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fs-facstaff\user\colmans\Work requests\WR Folders\WR 2619\"/>
    </mc:Choice>
  </mc:AlternateContent>
  <bookViews>
    <workbookView xWindow="0" yWindow="0" windowWidth="25200" windowHeight="11295"/>
  </bookViews>
  <sheets>
    <sheet name="FY 00-05" sheetId="13" r:id="rId1"/>
    <sheet name="FY 06" sheetId="1" r:id="rId2"/>
    <sheet name="FY 07" sheetId="2" r:id="rId3"/>
    <sheet name="FY 08" sheetId="3" r:id="rId4"/>
    <sheet name="FY 09" sheetId="4" r:id="rId5"/>
    <sheet name="FY 10" sheetId="5" r:id="rId6"/>
    <sheet name="FY 11" sheetId="6" r:id="rId7"/>
    <sheet name="FY 12" sheetId="7" r:id="rId8"/>
    <sheet name="FY 13" sheetId="8" r:id="rId9"/>
    <sheet name="FY 14" sheetId="9" r:id="rId10"/>
    <sheet name="FY 15" sheetId="10" r:id="rId11"/>
    <sheet name="FY 16" sheetId="11" r:id="rId12"/>
    <sheet name="FY 17" sheetId="12" r:id="rId13"/>
  </sheets>
  <definedNames>
    <definedName name="_xlnm._FilterDatabase" localSheetId="0" hidden="1">'FY 00-05'!$A$1:$M$535</definedName>
    <definedName name="_xlnm._FilterDatabase" localSheetId="1" hidden="1">'FY 06'!$A$1:$M$791</definedName>
    <definedName name="_xlnm._FilterDatabase" localSheetId="2" hidden="1">'FY 07'!$A$1:$M$694</definedName>
    <definedName name="_xlnm._FilterDatabase" localSheetId="3" hidden="1">'FY 08'!$A$1:$M$613</definedName>
    <definedName name="_xlnm._FilterDatabase" localSheetId="4" hidden="1">'FY 09'!$A$1:$M$543</definedName>
    <definedName name="_xlnm._FilterDatabase" localSheetId="5" hidden="1">'FY 10'!$A$1:$M$617</definedName>
    <definedName name="_xlnm._FilterDatabase" localSheetId="6" hidden="1">'FY 11'!$A$1:$M$648</definedName>
    <definedName name="_xlnm._FilterDatabase" localSheetId="7" hidden="1">'FY 12'!$A$1:$M$610</definedName>
    <definedName name="_xlnm._FilterDatabase" localSheetId="8" hidden="1">'FY 13'!$A$1:$M$666</definedName>
    <definedName name="_xlnm._FilterDatabase" localSheetId="9" hidden="1">'FY 14'!$A$1:$M$923</definedName>
    <definedName name="_xlnm._FilterDatabase" localSheetId="10" hidden="1">'FY 15'!$A$1:$M$802</definedName>
    <definedName name="_xlnm._FilterDatabase" localSheetId="11" hidden="1">'FY 16'!$A$1:$M$1007</definedName>
    <definedName name="_xlnm._FilterDatabase" localSheetId="12" hidden="1">'FY 17'!$A$1:$M$184</definedName>
    <definedName name="_xlnm.Print_Titles" localSheetId="0">'FY 00-05'!$1:$1</definedName>
  </definedNames>
  <calcPr calcId="152511"/>
</workbook>
</file>

<file path=xl/calcChain.xml><?xml version="1.0" encoding="utf-8"?>
<calcChain xmlns="http://schemas.openxmlformats.org/spreadsheetml/2006/main">
  <c r="K549" i="6" l="1"/>
  <c r="J549" i="6"/>
  <c r="I549" i="6"/>
  <c r="G549" i="6"/>
  <c r="F549" i="6"/>
  <c r="E549" i="6"/>
  <c r="D549" i="6"/>
  <c r="C549" i="6"/>
  <c r="A549" i="6"/>
  <c r="K548" i="6"/>
  <c r="J548" i="6"/>
  <c r="I548" i="6"/>
  <c r="G548" i="6"/>
  <c r="F548" i="6"/>
  <c r="E548" i="6"/>
  <c r="D548" i="6"/>
  <c r="C548" i="6"/>
  <c r="A548" i="6"/>
  <c r="K547" i="6"/>
  <c r="J547" i="6"/>
  <c r="I547" i="6"/>
  <c r="G547" i="6"/>
  <c r="F547" i="6"/>
  <c r="E547" i="6"/>
  <c r="D547" i="6"/>
  <c r="C547" i="6"/>
  <c r="A547" i="6"/>
  <c r="K546" i="6"/>
  <c r="J546" i="6"/>
  <c r="I546" i="6"/>
  <c r="G546" i="6"/>
  <c r="F546" i="6"/>
  <c r="E546" i="6"/>
  <c r="D546" i="6"/>
  <c r="C546" i="6"/>
  <c r="A546" i="6"/>
  <c r="K545" i="6"/>
  <c r="J545" i="6"/>
  <c r="I545" i="6"/>
  <c r="G545" i="6"/>
  <c r="F545" i="6"/>
  <c r="E545" i="6"/>
  <c r="D545" i="6"/>
  <c r="C545" i="6"/>
  <c r="A545" i="6"/>
  <c r="K544" i="6"/>
  <c r="J544" i="6"/>
  <c r="I544" i="6"/>
  <c r="G544" i="6"/>
  <c r="F544" i="6"/>
  <c r="E544" i="6"/>
  <c r="D544" i="6"/>
  <c r="C544" i="6"/>
  <c r="A544" i="6"/>
  <c r="K543" i="6"/>
  <c r="J543" i="6"/>
  <c r="I543" i="6"/>
  <c r="G543" i="6"/>
  <c r="F543" i="6"/>
  <c r="E543" i="6"/>
  <c r="D543" i="6"/>
  <c r="C543" i="6"/>
  <c r="A543" i="6"/>
  <c r="K542" i="6"/>
  <c r="J542" i="6"/>
  <c r="I542" i="6"/>
  <c r="G542" i="6"/>
  <c r="F542" i="6"/>
  <c r="E542" i="6"/>
  <c r="D542" i="6"/>
  <c r="C542" i="6"/>
  <c r="A542" i="6"/>
  <c r="K541" i="6"/>
  <c r="J541" i="6"/>
  <c r="I541" i="6"/>
  <c r="G541" i="6"/>
  <c r="F541" i="6"/>
  <c r="E541" i="6"/>
  <c r="D541" i="6"/>
  <c r="C541" i="6"/>
  <c r="A541" i="6"/>
  <c r="K540" i="6"/>
  <c r="J540" i="6"/>
  <c r="I540" i="6"/>
  <c r="G540" i="6"/>
  <c r="F540" i="6"/>
  <c r="E540" i="6"/>
  <c r="D540" i="6"/>
  <c r="C540" i="6"/>
  <c r="A540" i="6"/>
  <c r="K539" i="6"/>
  <c r="J539" i="6"/>
  <c r="I539" i="6"/>
  <c r="G539" i="6"/>
  <c r="F539" i="6"/>
  <c r="E539" i="6"/>
  <c r="D539" i="6"/>
  <c r="C539" i="6"/>
  <c r="A539" i="6"/>
  <c r="K538" i="6"/>
  <c r="J538" i="6"/>
  <c r="I538" i="6"/>
  <c r="G538" i="6"/>
  <c r="F538" i="6"/>
  <c r="E538" i="6"/>
  <c r="D538" i="6"/>
  <c r="C538" i="6"/>
  <c r="A538" i="6"/>
  <c r="K537" i="6"/>
  <c r="J537" i="6"/>
  <c r="I537" i="6"/>
  <c r="G537" i="6"/>
  <c r="F537" i="6"/>
  <c r="E537" i="6"/>
  <c r="D537" i="6"/>
  <c r="C537" i="6"/>
  <c r="A537" i="6"/>
  <c r="K536" i="6"/>
  <c r="J536" i="6"/>
  <c r="I536" i="6"/>
  <c r="G536" i="6"/>
  <c r="F536" i="6"/>
  <c r="E536" i="6"/>
  <c r="D536" i="6"/>
  <c r="C536" i="6"/>
  <c r="A536" i="6"/>
  <c r="K535" i="6"/>
  <c r="J535" i="6"/>
  <c r="I535" i="6"/>
  <c r="G535" i="6"/>
  <c r="F535" i="6"/>
  <c r="E535" i="6"/>
  <c r="D535" i="6"/>
  <c r="C535" i="6"/>
  <c r="A535" i="6"/>
  <c r="K534" i="6"/>
  <c r="J534" i="6"/>
  <c r="I534" i="6"/>
  <c r="G534" i="6"/>
  <c r="F534" i="6"/>
  <c r="E534" i="6"/>
  <c r="D534" i="6"/>
  <c r="C534" i="6"/>
  <c r="A534" i="6"/>
  <c r="K533" i="6"/>
  <c r="J533" i="6"/>
  <c r="I533" i="6"/>
  <c r="G533" i="6"/>
  <c r="F533" i="6"/>
  <c r="E533" i="6"/>
  <c r="D533" i="6"/>
  <c r="C533" i="6"/>
  <c r="A533" i="6"/>
  <c r="K532" i="6"/>
  <c r="J532" i="6"/>
  <c r="I532" i="6"/>
  <c r="G532" i="6"/>
  <c r="F532" i="6"/>
  <c r="E532" i="6"/>
  <c r="D532" i="6"/>
  <c r="C532" i="6"/>
  <c r="A532" i="6"/>
  <c r="K531" i="6"/>
  <c r="J531" i="6"/>
  <c r="I531" i="6"/>
  <c r="G531" i="6"/>
  <c r="F531" i="6"/>
  <c r="E531" i="6"/>
  <c r="D531" i="6"/>
  <c r="C531" i="6"/>
  <c r="A531" i="6"/>
  <c r="K530" i="6"/>
  <c r="J530" i="6"/>
  <c r="I530" i="6"/>
  <c r="G530" i="6"/>
  <c r="F530" i="6"/>
  <c r="E530" i="6"/>
  <c r="D530" i="6"/>
  <c r="C530" i="6"/>
  <c r="A530" i="6"/>
  <c r="K529" i="6"/>
  <c r="J529" i="6"/>
  <c r="I529" i="6"/>
  <c r="G529" i="6"/>
  <c r="F529" i="6"/>
  <c r="E529" i="6"/>
  <c r="D529" i="6"/>
  <c r="C529" i="6"/>
  <c r="A529" i="6"/>
  <c r="K528" i="6"/>
  <c r="J528" i="6"/>
  <c r="I528" i="6"/>
  <c r="G528" i="6"/>
  <c r="F528" i="6"/>
  <c r="E528" i="6"/>
  <c r="D528" i="6"/>
  <c r="C528" i="6"/>
  <c r="A528" i="6"/>
  <c r="K527" i="6"/>
  <c r="J527" i="6"/>
  <c r="I527" i="6"/>
  <c r="G527" i="6"/>
  <c r="F527" i="6"/>
  <c r="E527" i="6"/>
  <c r="D527" i="6"/>
  <c r="C527" i="6"/>
  <c r="A527" i="6"/>
  <c r="K526" i="6"/>
  <c r="J526" i="6"/>
  <c r="I526" i="6"/>
  <c r="G526" i="6"/>
  <c r="F526" i="6"/>
  <c r="E526" i="6"/>
  <c r="D526" i="6"/>
  <c r="C526" i="6"/>
  <c r="A526" i="6"/>
  <c r="K525" i="6"/>
  <c r="J525" i="6"/>
  <c r="I525" i="6"/>
  <c r="G525" i="6"/>
  <c r="F525" i="6"/>
  <c r="E525" i="6"/>
  <c r="D525" i="6"/>
  <c r="C525" i="6"/>
  <c r="A525" i="6"/>
  <c r="K524" i="6"/>
  <c r="J524" i="6"/>
  <c r="I524" i="6"/>
  <c r="G524" i="6"/>
  <c r="F524" i="6"/>
  <c r="E524" i="6"/>
  <c r="D524" i="6"/>
  <c r="C524" i="6"/>
  <c r="A524" i="6"/>
  <c r="K523" i="6"/>
  <c r="J523" i="6"/>
  <c r="I523" i="6"/>
  <c r="G523" i="6"/>
  <c r="F523" i="6"/>
  <c r="E523" i="6"/>
  <c r="D523" i="6"/>
  <c r="C523" i="6"/>
  <c r="A523" i="6"/>
  <c r="K522" i="6"/>
  <c r="J522" i="6"/>
  <c r="I522" i="6"/>
  <c r="G522" i="6"/>
  <c r="F522" i="6"/>
  <c r="E522" i="6"/>
  <c r="D522" i="6"/>
  <c r="C522" i="6"/>
  <c r="A522" i="6"/>
  <c r="K521" i="6"/>
  <c r="J521" i="6"/>
  <c r="I521" i="6"/>
  <c r="G521" i="6"/>
  <c r="F521" i="6"/>
  <c r="E521" i="6"/>
  <c r="D521" i="6"/>
  <c r="C521" i="6"/>
  <c r="A521" i="6"/>
  <c r="K520" i="6"/>
  <c r="J520" i="6"/>
  <c r="I520" i="6"/>
  <c r="G520" i="6"/>
  <c r="F520" i="6"/>
  <c r="E520" i="6"/>
  <c r="D520" i="6"/>
  <c r="C520" i="6"/>
  <c r="A520" i="6"/>
  <c r="K519" i="6"/>
  <c r="J519" i="6"/>
  <c r="I519" i="6"/>
  <c r="G519" i="6"/>
  <c r="F519" i="6"/>
  <c r="E519" i="6"/>
  <c r="D519" i="6"/>
  <c r="C519" i="6"/>
  <c r="A519" i="6"/>
  <c r="K518" i="6"/>
  <c r="J518" i="6"/>
  <c r="I518" i="6"/>
  <c r="G518" i="6"/>
  <c r="F518" i="6"/>
  <c r="E518" i="6"/>
  <c r="D518" i="6"/>
  <c r="C518" i="6"/>
  <c r="A518" i="6"/>
  <c r="K517" i="6"/>
  <c r="J517" i="6"/>
  <c r="I517" i="6"/>
  <c r="G517" i="6"/>
  <c r="F517" i="6"/>
  <c r="E517" i="6"/>
  <c r="D517" i="6"/>
  <c r="C517" i="6"/>
  <c r="A517" i="6"/>
  <c r="K516" i="6"/>
  <c r="J516" i="6"/>
  <c r="I516" i="6"/>
  <c r="G516" i="6"/>
  <c r="F516" i="6"/>
  <c r="E516" i="6"/>
  <c r="D516" i="6"/>
  <c r="C516" i="6"/>
  <c r="A516" i="6"/>
  <c r="K515" i="6"/>
  <c r="J515" i="6"/>
  <c r="I515" i="6"/>
  <c r="G515" i="6"/>
  <c r="F515" i="6"/>
  <c r="E515" i="6"/>
  <c r="D515" i="6"/>
  <c r="C515" i="6"/>
  <c r="A515" i="6"/>
  <c r="K514" i="6"/>
  <c r="J514" i="6"/>
  <c r="I514" i="6"/>
  <c r="G514" i="6"/>
  <c r="F514" i="6"/>
  <c r="E514" i="6"/>
  <c r="D514" i="6"/>
  <c r="C514" i="6"/>
  <c r="A514" i="6"/>
  <c r="K513" i="6"/>
  <c r="J513" i="6"/>
  <c r="I513" i="6"/>
  <c r="G513" i="6"/>
  <c r="F513" i="6"/>
  <c r="E513" i="6"/>
  <c r="D513" i="6"/>
  <c r="C513" i="6"/>
  <c r="A513" i="6"/>
  <c r="K512" i="6"/>
  <c r="J512" i="6"/>
  <c r="I512" i="6"/>
  <c r="G512" i="6"/>
  <c r="F512" i="6"/>
  <c r="E512" i="6"/>
  <c r="D512" i="6"/>
  <c r="C512" i="6"/>
  <c r="A512" i="6"/>
  <c r="K511" i="6"/>
  <c r="J511" i="6"/>
  <c r="I511" i="6"/>
  <c r="G511" i="6"/>
  <c r="F511" i="6"/>
  <c r="E511" i="6"/>
  <c r="D511" i="6"/>
  <c r="C511" i="6"/>
  <c r="A511" i="6"/>
  <c r="K510" i="6"/>
  <c r="J510" i="6"/>
  <c r="I510" i="6"/>
  <c r="G510" i="6"/>
  <c r="F510" i="6"/>
  <c r="E510" i="6"/>
  <c r="D510" i="6"/>
  <c r="C510" i="6"/>
  <c r="A510" i="6"/>
  <c r="K509" i="6"/>
  <c r="J509" i="6"/>
  <c r="I509" i="6"/>
  <c r="G509" i="6"/>
  <c r="F509" i="6"/>
  <c r="E509" i="6"/>
  <c r="D509" i="6"/>
  <c r="C509" i="6"/>
  <c r="A509" i="6"/>
  <c r="K508" i="6"/>
  <c r="J508" i="6"/>
  <c r="I508" i="6"/>
  <c r="G508" i="6"/>
  <c r="F508" i="6"/>
  <c r="E508" i="6"/>
  <c r="D508" i="6"/>
  <c r="C508" i="6"/>
  <c r="A508" i="6"/>
  <c r="K507" i="6"/>
  <c r="J507" i="6"/>
  <c r="I507" i="6"/>
  <c r="G507" i="6"/>
  <c r="F507" i="6"/>
  <c r="E507" i="6"/>
  <c r="D507" i="6"/>
  <c r="C507" i="6"/>
  <c r="A507" i="6"/>
  <c r="K506" i="6"/>
  <c r="J506" i="6"/>
  <c r="I506" i="6"/>
  <c r="G506" i="6"/>
  <c r="F506" i="6"/>
  <c r="E506" i="6"/>
  <c r="D506" i="6"/>
  <c r="C506" i="6"/>
  <c r="A506" i="6"/>
  <c r="K505" i="6"/>
  <c r="J505" i="6"/>
  <c r="I505" i="6"/>
  <c r="G505" i="6"/>
  <c r="F505" i="6"/>
  <c r="E505" i="6"/>
  <c r="D505" i="6"/>
  <c r="C505" i="6"/>
  <c r="A505" i="6"/>
  <c r="K504" i="6"/>
  <c r="J504" i="6"/>
  <c r="I504" i="6"/>
  <c r="G504" i="6"/>
  <c r="F504" i="6"/>
  <c r="E504" i="6"/>
  <c r="D504" i="6"/>
  <c r="C504" i="6"/>
  <c r="A504" i="6"/>
  <c r="K503" i="6"/>
  <c r="J503" i="6"/>
  <c r="I503" i="6"/>
  <c r="G503" i="6"/>
  <c r="F503" i="6"/>
  <c r="E503" i="6"/>
  <c r="D503" i="6"/>
  <c r="C503" i="6"/>
  <c r="A503" i="6"/>
  <c r="K502" i="6"/>
  <c r="J502" i="6"/>
  <c r="I502" i="6"/>
  <c r="G502" i="6"/>
  <c r="F502" i="6"/>
  <c r="E502" i="6"/>
  <c r="D502" i="6"/>
  <c r="C502" i="6"/>
  <c r="A502" i="6"/>
  <c r="K501" i="6"/>
  <c r="J501" i="6"/>
  <c r="I501" i="6"/>
  <c r="G501" i="6"/>
  <c r="F501" i="6"/>
  <c r="E501" i="6"/>
  <c r="D501" i="6"/>
  <c r="C501" i="6"/>
  <c r="A501" i="6"/>
  <c r="K500" i="6"/>
  <c r="J500" i="6"/>
  <c r="I500" i="6"/>
  <c r="G500" i="6"/>
  <c r="F500" i="6"/>
  <c r="E500" i="6"/>
  <c r="D500" i="6"/>
  <c r="C500" i="6"/>
  <c r="A500" i="6"/>
  <c r="K499" i="6"/>
  <c r="J499" i="6"/>
  <c r="I499" i="6"/>
  <c r="G499" i="6"/>
  <c r="F499" i="6"/>
  <c r="E499" i="6"/>
  <c r="D499" i="6"/>
  <c r="C499" i="6"/>
  <c r="A499" i="6"/>
  <c r="K498" i="6"/>
  <c r="J498" i="6"/>
  <c r="I498" i="6"/>
  <c r="G498" i="6"/>
  <c r="F498" i="6"/>
  <c r="E498" i="6"/>
  <c r="D498" i="6"/>
  <c r="C498" i="6"/>
  <c r="A498" i="6"/>
  <c r="K497" i="6"/>
  <c r="J497" i="6"/>
  <c r="I497" i="6"/>
  <c r="G497" i="6"/>
  <c r="F497" i="6"/>
  <c r="E497" i="6"/>
  <c r="D497" i="6"/>
  <c r="C497" i="6"/>
  <c r="A497" i="6"/>
  <c r="K496" i="6"/>
  <c r="J496" i="6"/>
  <c r="I496" i="6"/>
  <c r="G496" i="6"/>
  <c r="F496" i="6"/>
  <c r="E496" i="6"/>
  <c r="D496" i="6"/>
  <c r="C496" i="6"/>
  <c r="A496" i="6"/>
  <c r="K495" i="6"/>
  <c r="J495" i="6"/>
  <c r="I495" i="6"/>
  <c r="G495" i="6"/>
  <c r="F495" i="6"/>
  <c r="E495" i="6"/>
  <c r="D495" i="6"/>
  <c r="C495" i="6"/>
  <c r="A495" i="6"/>
  <c r="K494" i="6"/>
  <c r="J494" i="6"/>
  <c r="I494" i="6"/>
  <c r="G494" i="6"/>
  <c r="F494" i="6"/>
  <c r="E494" i="6"/>
  <c r="D494" i="6"/>
  <c r="C494" i="6"/>
  <c r="A494" i="6"/>
  <c r="K493" i="6"/>
  <c r="J493" i="6"/>
  <c r="I493" i="6"/>
  <c r="G493" i="6"/>
  <c r="F493" i="6"/>
  <c r="E493" i="6"/>
  <c r="D493" i="6"/>
  <c r="C493" i="6"/>
  <c r="A493" i="6"/>
  <c r="K492" i="6"/>
  <c r="J492" i="6"/>
  <c r="I492" i="6"/>
  <c r="G492" i="6"/>
  <c r="F492" i="6"/>
  <c r="E492" i="6"/>
  <c r="D492" i="6"/>
  <c r="C492" i="6"/>
  <c r="A492" i="6"/>
  <c r="K491" i="6"/>
  <c r="J491" i="6"/>
  <c r="I491" i="6"/>
  <c r="G491" i="6"/>
  <c r="F491" i="6"/>
  <c r="E491" i="6"/>
  <c r="D491" i="6"/>
  <c r="C491" i="6"/>
  <c r="A491" i="6"/>
  <c r="K490" i="6"/>
  <c r="J490" i="6"/>
  <c r="I490" i="6"/>
  <c r="G490" i="6"/>
  <c r="F490" i="6"/>
  <c r="E490" i="6"/>
  <c r="D490" i="6"/>
  <c r="C490" i="6"/>
  <c r="A490" i="6"/>
  <c r="K489" i="6"/>
  <c r="J489" i="6"/>
  <c r="I489" i="6"/>
  <c r="G489" i="6"/>
  <c r="F489" i="6"/>
  <c r="E489" i="6"/>
  <c r="D489" i="6"/>
  <c r="C489" i="6"/>
  <c r="A489" i="6"/>
  <c r="K488" i="6"/>
  <c r="J488" i="6"/>
  <c r="I488" i="6"/>
  <c r="G488" i="6"/>
  <c r="F488" i="6"/>
  <c r="E488" i="6"/>
  <c r="D488" i="6"/>
  <c r="C488" i="6"/>
  <c r="A488" i="6"/>
  <c r="K487" i="6"/>
  <c r="J487" i="6"/>
  <c r="I487" i="6"/>
  <c r="G487" i="6"/>
  <c r="F487" i="6"/>
  <c r="E487" i="6"/>
  <c r="D487" i="6"/>
  <c r="C487" i="6"/>
  <c r="A487" i="6"/>
  <c r="K486" i="6"/>
  <c r="J486" i="6"/>
  <c r="I486" i="6"/>
  <c r="G486" i="6"/>
  <c r="F486" i="6"/>
  <c r="E486" i="6"/>
  <c r="D486" i="6"/>
  <c r="C486" i="6"/>
  <c r="A486" i="6"/>
  <c r="K485" i="6"/>
  <c r="J485" i="6"/>
  <c r="I485" i="6"/>
  <c r="G485" i="6"/>
  <c r="F485" i="6"/>
  <c r="E485" i="6"/>
  <c r="D485" i="6"/>
  <c r="C485" i="6"/>
  <c r="A485" i="6"/>
  <c r="K484" i="6"/>
  <c r="J484" i="6"/>
  <c r="I484" i="6"/>
  <c r="G484" i="6"/>
  <c r="F484" i="6"/>
  <c r="E484" i="6"/>
  <c r="D484" i="6"/>
  <c r="C484" i="6"/>
  <c r="A484" i="6"/>
  <c r="K483" i="6"/>
  <c r="J483" i="6"/>
  <c r="I483" i="6"/>
  <c r="G483" i="6"/>
  <c r="F483" i="6"/>
  <c r="E483" i="6"/>
  <c r="D483" i="6"/>
  <c r="C483" i="6"/>
  <c r="A483" i="6"/>
  <c r="K482" i="6"/>
  <c r="J482" i="6"/>
  <c r="I482" i="6"/>
  <c r="G482" i="6"/>
  <c r="F482" i="6"/>
  <c r="E482" i="6"/>
  <c r="D482" i="6"/>
  <c r="C482" i="6"/>
  <c r="A482" i="6"/>
  <c r="K481" i="6"/>
  <c r="J481" i="6"/>
  <c r="I481" i="6"/>
  <c r="G481" i="6"/>
  <c r="F481" i="6"/>
  <c r="E481" i="6"/>
  <c r="D481" i="6"/>
  <c r="C481" i="6"/>
  <c r="A481" i="6"/>
  <c r="K480" i="6"/>
  <c r="J480" i="6"/>
  <c r="I480" i="6"/>
  <c r="G480" i="6"/>
  <c r="F480" i="6"/>
  <c r="E480" i="6"/>
  <c r="D480" i="6"/>
  <c r="C480" i="6"/>
  <c r="A480" i="6"/>
  <c r="K479" i="6"/>
  <c r="J479" i="6"/>
  <c r="I479" i="6"/>
  <c r="G479" i="6"/>
  <c r="F479" i="6"/>
  <c r="E479" i="6"/>
  <c r="D479" i="6"/>
  <c r="C479" i="6"/>
  <c r="A479" i="6"/>
  <c r="K478" i="6"/>
  <c r="J478" i="6"/>
  <c r="I478" i="6"/>
  <c r="G478" i="6"/>
  <c r="F478" i="6"/>
  <c r="E478" i="6"/>
  <c r="D478" i="6"/>
  <c r="C478" i="6"/>
  <c r="A478" i="6"/>
  <c r="K477" i="6"/>
  <c r="J477" i="6"/>
  <c r="I477" i="6"/>
  <c r="G477" i="6"/>
  <c r="F477" i="6"/>
  <c r="E477" i="6"/>
  <c r="D477" i="6"/>
  <c r="C477" i="6"/>
  <c r="A477" i="6"/>
  <c r="K476" i="6"/>
  <c r="J476" i="6"/>
  <c r="I476" i="6"/>
  <c r="G476" i="6"/>
  <c r="F476" i="6"/>
  <c r="E476" i="6"/>
  <c r="D476" i="6"/>
  <c r="C476" i="6"/>
  <c r="A476" i="6"/>
  <c r="K475" i="6"/>
  <c r="J475" i="6"/>
  <c r="I475" i="6"/>
  <c r="G475" i="6"/>
  <c r="F475" i="6"/>
  <c r="E475" i="6"/>
  <c r="D475" i="6"/>
  <c r="C475" i="6"/>
  <c r="A475" i="6"/>
  <c r="K474" i="6"/>
  <c r="J474" i="6"/>
  <c r="I474" i="6"/>
  <c r="G474" i="6"/>
  <c r="F474" i="6"/>
  <c r="E474" i="6"/>
  <c r="D474" i="6"/>
  <c r="C474" i="6"/>
  <c r="A474" i="6"/>
  <c r="K473" i="6"/>
  <c r="J473" i="6"/>
  <c r="I473" i="6"/>
  <c r="G473" i="6"/>
  <c r="F473" i="6"/>
  <c r="E473" i="6"/>
  <c r="D473" i="6"/>
  <c r="C473" i="6"/>
  <c r="A473" i="6"/>
  <c r="K472" i="6"/>
  <c r="J472" i="6"/>
  <c r="I472" i="6"/>
  <c r="G472" i="6"/>
  <c r="F472" i="6"/>
  <c r="E472" i="6"/>
  <c r="D472" i="6"/>
  <c r="C472" i="6"/>
  <c r="A472" i="6"/>
  <c r="K471" i="6"/>
  <c r="J471" i="6"/>
  <c r="I471" i="6"/>
  <c r="G471" i="6"/>
  <c r="F471" i="6"/>
  <c r="E471" i="6"/>
  <c r="D471" i="6"/>
  <c r="C471" i="6"/>
  <c r="A471" i="6"/>
  <c r="K470" i="6"/>
  <c r="J470" i="6"/>
  <c r="I470" i="6"/>
  <c r="G470" i="6"/>
  <c r="F470" i="6"/>
  <c r="E470" i="6"/>
  <c r="D470" i="6"/>
  <c r="C470" i="6"/>
  <c r="A470" i="6"/>
  <c r="K469" i="6"/>
  <c r="J469" i="6"/>
  <c r="I469" i="6"/>
  <c r="G469" i="6"/>
  <c r="F469" i="6"/>
  <c r="E469" i="6"/>
  <c r="D469" i="6"/>
  <c r="C469" i="6"/>
  <c r="A469" i="6"/>
  <c r="K468" i="6"/>
  <c r="J468" i="6"/>
  <c r="I468" i="6"/>
  <c r="G468" i="6"/>
  <c r="F468" i="6"/>
  <c r="E468" i="6"/>
  <c r="D468" i="6"/>
  <c r="C468" i="6"/>
  <c r="A468" i="6"/>
  <c r="K467" i="6"/>
  <c r="J467" i="6"/>
  <c r="I467" i="6"/>
  <c r="G467" i="6"/>
  <c r="F467" i="6"/>
  <c r="E467" i="6"/>
  <c r="D467" i="6"/>
  <c r="C467" i="6"/>
  <c r="A467" i="6"/>
  <c r="K466" i="6"/>
  <c r="J466" i="6"/>
  <c r="I466" i="6"/>
  <c r="G466" i="6"/>
  <c r="F466" i="6"/>
  <c r="E466" i="6"/>
  <c r="D466" i="6"/>
  <c r="C466" i="6"/>
  <c r="A466" i="6"/>
  <c r="K465" i="6"/>
  <c r="J465" i="6"/>
  <c r="I465" i="6"/>
  <c r="G465" i="6"/>
  <c r="F465" i="6"/>
  <c r="E465" i="6"/>
  <c r="D465" i="6"/>
  <c r="C465" i="6"/>
  <c r="A465" i="6"/>
  <c r="K464" i="6"/>
  <c r="J464" i="6"/>
  <c r="I464" i="6"/>
  <c r="G464" i="6"/>
  <c r="F464" i="6"/>
  <c r="E464" i="6"/>
  <c r="D464" i="6"/>
  <c r="C464" i="6"/>
  <c r="A464" i="6"/>
  <c r="K463" i="6"/>
  <c r="J463" i="6"/>
  <c r="I463" i="6"/>
  <c r="G463" i="6"/>
  <c r="F463" i="6"/>
  <c r="E463" i="6"/>
  <c r="D463" i="6"/>
  <c r="C463" i="6"/>
  <c r="A463" i="6"/>
  <c r="K462" i="6"/>
  <c r="J462" i="6"/>
  <c r="I462" i="6"/>
  <c r="G462" i="6"/>
  <c r="F462" i="6"/>
  <c r="E462" i="6"/>
  <c r="D462" i="6"/>
  <c r="C462" i="6"/>
  <c r="A462" i="6"/>
  <c r="K461" i="6"/>
  <c r="J461" i="6"/>
  <c r="I461" i="6"/>
  <c r="G461" i="6"/>
  <c r="F461" i="6"/>
  <c r="E461" i="6"/>
  <c r="D461" i="6"/>
  <c r="C461" i="6"/>
  <c r="A461" i="6"/>
  <c r="K460" i="6"/>
  <c r="J460" i="6"/>
  <c r="I460" i="6"/>
  <c r="G460" i="6"/>
  <c r="F460" i="6"/>
  <c r="E460" i="6"/>
  <c r="D460" i="6"/>
  <c r="C460" i="6"/>
  <c r="A460" i="6"/>
  <c r="K459" i="6"/>
  <c r="J459" i="6"/>
  <c r="I459" i="6"/>
  <c r="G459" i="6"/>
  <c r="F459" i="6"/>
  <c r="E459" i="6"/>
  <c r="D459" i="6"/>
  <c r="C459" i="6"/>
  <c r="A459" i="6"/>
  <c r="K458" i="6"/>
  <c r="J458" i="6"/>
  <c r="I458" i="6"/>
  <c r="G458" i="6"/>
  <c r="F458" i="6"/>
  <c r="E458" i="6"/>
  <c r="D458" i="6"/>
  <c r="C458" i="6"/>
  <c r="A458" i="6"/>
  <c r="K457" i="6"/>
  <c r="J457" i="6"/>
  <c r="I457" i="6"/>
  <c r="G457" i="6"/>
  <c r="F457" i="6"/>
  <c r="E457" i="6"/>
  <c r="D457" i="6"/>
  <c r="C457" i="6"/>
  <c r="A457" i="6"/>
  <c r="K456" i="6"/>
  <c r="J456" i="6"/>
  <c r="I456" i="6"/>
  <c r="G456" i="6"/>
  <c r="F456" i="6"/>
  <c r="E456" i="6"/>
  <c r="D456" i="6"/>
  <c r="C456" i="6"/>
  <c r="A456" i="6"/>
  <c r="K455" i="6"/>
  <c r="J455" i="6"/>
  <c r="I455" i="6"/>
  <c r="G455" i="6"/>
  <c r="F455" i="6"/>
  <c r="E455" i="6"/>
  <c r="D455" i="6"/>
  <c r="C455" i="6"/>
  <c r="A455" i="6"/>
  <c r="K454" i="6"/>
  <c r="J454" i="6"/>
  <c r="I454" i="6"/>
  <c r="G454" i="6"/>
  <c r="F454" i="6"/>
  <c r="E454" i="6"/>
  <c r="D454" i="6"/>
  <c r="C454" i="6"/>
  <c r="A454" i="6"/>
  <c r="K453" i="6"/>
  <c r="J453" i="6"/>
  <c r="I453" i="6"/>
  <c r="G453" i="6"/>
  <c r="F453" i="6"/>
  <c r="E453" i="6"/>
  <c r="D453" i="6"/>
  <c r="C453" i="6"/>
  <c r="A453" i="6"/>
  <c r="K452" i="6"/>
  <c r="J452" i="6"/>
  <c r="I452" i="6"/>
  <c r="G452" i="6"/>
  <c r="F452" i="6"/>
  <c r="E452" i="6"/>
  <c r="D452" i="6"/>
  <c r="C452" i="6"/>
  <c r="A452" i="6"/>
  <c r="K451" i="6"/>
  <c r="J451" i="6"/>
  <c r="I451" i="6"/>
  <c r="G451" i="6"/>
  <c r="F451" i="6"/>
  <c r="E451" i="6"/>
  <c r="D451" i="6"/>
  <c r="C451" i="6"/>
  <c r="A451" i="6"/>
  <c r="K450" i="6"/>
  <c r="J450" i="6"/>
  <c r="I450" i="6"/>
  <c r="G450" i="6"/>
  <c r="F450" i="6"/>
  <c r="E450" i="6"/>
  <c r="D450" i="6"/>
  <c r="C450" i="6"/>
  <c r="A450" i="6"/>
  <c r="K449" i="6"/>
  <c r="J449" i="6"/>
  <c r="I449" i="6"/>
  <c r="G449" i="6"/>
  <c r="F449" i="6"/>
  <c r="E449" i="6"/>
  <c r="D449" i="6"/>
  <c r="C449" i="6"/>
  <c r="A449" i="6"/>
  <c r="K448" i="6"/>
  <c r="J448" i="6"/>
  <c r="I448" i="6"/>
  <c r="G448" i="6"/>
  <c r="F448" i="6"/>
  <c r="E448" i="6"/>
  <c r="D448" i="6"/>
  <c r="C448" i="6"/>
  <c r="A448" i="6"/>
  <c r="K447" i="6"/>
  <c r="J447" i="6"/>
  <c r="I447" i="6"/>
  <c r="G447" i="6"/>
  <c r="F447" i="6"/>
  <c r="E447" i="6"/>
  <c r="D447" i="6"/>
  <c r="C447" i="6"/>
  <c r="A447" i="6"/>
  <c r="K446" i="6"/>
  <c r="J446" i="6"/>
  <c r="I446" i="6"/>
  <c r="G446" i="6"/>
  <c r="F446" i="6"/>
  <c r="E446" i="6"/>
  <c r="D446" i="6"/>
  <c r="C446" i="6"/>
  <c r="A446" i="6"/>
  <c r="K445" i="6"/>
  <c r="J445" i="6"/>
  <c r="I445" i="6"/>
  <c r="G445" i="6"/>
  <c r="F445" i="6"/>
  <c r="E445" i="6"/>
  <c r="D445" i="6"/>
  <c r="C445" i="6"/>
  <c r="A445" i="6"/>
  <c r="K444" i="6"/>
  <c r="J444" i="6"/>
  <c r="I444" i="6"/>
  <c r="G444" i="6"/>
  <c r="F444" i="6"/>
  <c r="E444" i="6"/>
  <c r="D444" i="6"/>
  <c r="C444" i="6"/>
  <c r="A444" i="6"/>
  <c r="K443" i="6"/>
  <c r="J443" i="6"/>
  <c r="I443" i="6"/>
  <c r="G443" i="6"/>
  <c r="F443" i="6"/>
  <c r="E443" i="6"/>
  <c r="D443" i="6"/>
  <c r="C443" i="6"/>
  <c r="A443" i="6"/>
  <c r="K442" i="6"/>
  <c r="J442" i="6"/>
  <c r="I442" i="6"/>
  <c r="G442" i="6"/>
  <c r="F442" i="6"/>
  <c r="E442" i="6"/>
  <c r="D442" i="6"/>
  <c r="C442" i="6"/>
  <c r="A442" i="6"/>
  <c r="K441" i="6"/>
  <c r="J441" i="6"/>
  <c r="I441" i="6"/>
  <c r="G441" i="6"/>
  <c r="F441" i="6"/>
  <c r="E441" i="6"/>
  <c r="D441" i="6"/>
  <c r="C441" i="6"/>
  <c r="A441" i="6"/>
  <c r="K440" i="6"/>
  <c r="J440" i="6"/>
  <c r="I440" i="6"/>
  <c r="G440" i="6"/>
  <c r="F440" i="6"/>
  <c r="E440" i="6"/>
  <c r="D440" i="6"/>
  <c r="C440" i="6"/>
  <c r="A440" i="6"/>
  <c r="K439" i="6"/>
  <c r="J439" i="6"/>
  <c r="I439" i="6"/>
  <c r="G439" i="6"/>
  <c r="F439" i="6"/>
  <c r="E439" i="6"/>
  <c r="D439" i="6"/>
  <c r="C439" i="6"/>
  <c r="A439" i="6"/>
  <c r="K438" i="6"/>
  <c r="J438" i="6"/>
  <c r="I438" i="6"/>
  <c r="G438" i="6"/>
  <c r="F438" i="6"/>
  <c r="E438" i="6"/>
  <c r="D438" i="6"/>
  <c r="C438" i="6"/>
  <c r="A438" i="6"/>
  <c r="K437" i="6"/>
  <c r="J437" i="6"/>
  <c r="I437" i="6"/>
  <c r="G437" i="6"/>
  <c r="F437" i="6"/>
  <c r="E437" i="6"/>
  <c r="D437" i="6"/>
  <c r="C437" i="6"/>
  <c r="A437" i="6"/>
  <c r="K436" i="6"/>
  <c r="J436" i="6"/>
  <c r="I436" i="6"/>
  <c r="G436" i="6"/>
  <c r="F436" i="6"/>
  <c r="E436" i="6"/>
  <c r="D436" i="6"/>
  <c r="C436" i="6"/>
  <c r="A436" i="6"/>
  <c r="K435" i="6"/>
  <c r="J435" i="6"/>
  <c r="I435" i="6"/>
  <c r="G435" i="6"/>
  <c r="F435" i="6"/>
  <c r="E435" i="6"/>
  <c r="D435" i="6"/>
  <c r="C435" i="6"/>
  <c r="A435" i="6"/>
  <c r="K434" i="6"/>
  <c r="J434" i="6"/>
  <c r="I434" i="6"/>
  <c r="G434" i="6"/>
  <c r="F434" i="6"/>
  <c r="E434" i="6"/>
  <c r="D434" i="6"/>
  <c r="C434" i="6"/>
  <c r="A434" i="6"/>
  <c r="K433" i="6"/>
  <c r="J433" i="6"/>
  <c r="I433" i="6"/>
  <c r="G433" i="6"/>
  <c r="F433" i="6"/>
  <c r="E433" i="6"/>
  <c r="D433" i="6"/>
  <c r="C433" i="6"/>
  <c r="A433" i="6"/>
  <c r="K432" i="6"/>
  <c r="J432" i="6"/>
  <c r="I432" i="6"/>
  <c r="G432" i="6"/>
  <c r="F432" i="6"/>
  <c r="E432" i="6"/>
  <c r="D432" i="6"/>
  <c r="C432" i="6"/>
  <c r="A432" i="6"/>
  <c r="K431" i="6"/>
  <c r="J431" i="6"/>
  <c r="I431" i="6"/>
  <c r="G431" i="6"/>
  <c r="F431" i="6"/>
  <c r="E431" i="6"/>
  <c r="D431" i="6"/>
  <c r="C431" i="6"/>
  <c r="A431" i="6"/>
  <c r="K430" i="6"/>
  <c r="J430" i="6"/>
  <c r="I430" i="6"/>
  <c r="G430" i="6"/>
  <c r="F430" i="6"/>
  <c r="E430" i="6"/>
  <c r="D430" i="6"/>
  <c r="C430" i="6"/>
  <c r="A430" i="6"/>
  <c r="K429" i="6"/>
  <c r="J429" i="6"/>
  <c r="I429" i="6"/>
  <c r="G429" i="6"/>
  <c r="F429" i="6"/>
  <c r="E429" i="6"/>
  <c r="D429" i="6"/>
  <c r="C429" i="6"/>
  <c r="A429" i="6"/>
  <c r="K428" i="6"/>
  <c r="J428" i="6"/>
  <c r="I428" i="6"/>
  <c r="G428" i="6"/>
  <c r="F428" i="6"/>
  <c r="E428" i="6"/>
  <c r="D428" i="6"/>
  <c r="C428" i="6"/>
  <c r="A428" i="6"/>
  <c r="K427" i="6"/>
  <c r="J427" i="6"/>
  <c r="I427" i="6"/>
  <c r="G427" i="6"/>
  <c r="F427" i="6"/>
  <c r="E427" i="6"/>
  <c r="D427" i="6"/>
  <c r="C427" i="6"/>
  <c r="A427" i="6"/>
  <c r="K426" i="6"/>
  <c r="J426" i="6"/>
  <c r="I426" i="6"/>
  <c r="G426" i="6"/>
  <c r="F426" i="6"/>
  <c r="E426" i="6"/>
  <c r="D426" i="6"/>
  <c r="C426" i="6"/>
  <c r="A426" i="6"/>
  <c r="K425" i="6"/>
  <c r="J425" i="6"/>
  <c r="I425" i="6"/>
  <c r="G425" i="6"/>
  <c r="F425" i="6"/>
  <c r="E425" i="6"/>
  <c r="D425" i="6"/>
  <c r="C425" i="6"/>
  <c r="A425" i="6"/>
  <c r="K424" i="6"/>
  <c r="J424" i="6"/>
  <c r="I424" i="6"/>
  <c r="G424" i="6"/>
  <c r="F424" i="6"/>
  <c r="E424" i="6"/>
  <c r="D424" i="6"/>
  <c r="C424" i="6"/>
  <c r="A424" i="6"/>
  <c r="K423" i="6"/>
  <c r="J423" i="6"/>
  <c r="I423" i="6"/>
  <c r="G423" i="6"/>
  <c r="F423" i="6"/>
  <c r="E423" i="6"/>
  <c r="D423" i="6"/>
  <c r="C423" i="6"/>
  <c r="A423" i="6"/>
  <c r="K422" i="6"/>
  <c r="J422" i="6"/>
  <c r="I422" i="6"/>
  <c r="G422" i="6"/>
  <c r="F422" i="6"/>
  <c r="E422" i="6"/>
  <c r="D422" i="6"/>
  <c r="C422" i="6"/>
  <c r="A422" i="6"/>
  <c r="K421" i="6"/>
  <c r="J421" i="6"/>
  <c r="I421" i="6"/>
  <c r="G421" i="6"/>
  <c r="F421" i="6"/>
  <c r="E421" i="6"/>
  <c r="D421" i="6"/>
  <c r="C421" i="6"/>
  <c r="A421" i="6"/>
  <c r="K420" i="6"/>
  <c r="J420" i="6"/>
  <c r="I420" i="6"/>
  <c r="G420" i="6"/>
  <c r="F420" i="6"/>
  <c r="E420" i="6"/>
  <c r="D420" i="6"/>
  <c r="C420" i="6"/>
  <c r="A420" i="6"/>
  <c r="K419" i="6"/>
  <c r="J419" i="6"/>
  <c r="I419" i="6"/>
  <c r="G419" i="6"/>
  <c r="F419" i="6"/>
  <c r="E419" i="6"/>
  <c r="D419" i="6"/>
  <c r="C419" i="6"/>
  <c r="A419" i="6"/>
  <c r="K418" i="6"/>
  <c r="J418" i="6"/>
  <c r="I418" i="6"/>
  <c r="G418" i="6"/>
  <c r="F418" i="6"/>
  <c r="E418" i="6"/>
  <c r="D418" i="6"/>
  <c r="C418" i="6"/>
  <c r="A418" i="6"/>
  <c r="K417" i="6"/>
  <c r="J417" i="6"/>
  <c r="I417" i="6"/>
  <c r="G417" i="6"/>
  <c r="F417" i="6"/>
  <c r="E417" i="6"/>
  <c r="D417" i="6"/>
  <c r="C417" i="6"/>
  <c r="A417" i="6"/>
  <c r="K416" i="6"/>
  <c r="J416" i="6"/>
  <c r="I416" i="6"/>
  <c r="G416" i="6"/>
  <c r="F416" i="6"/>
  <c r="E416" i="6"/>
  <c r="D416" i="6"/>
  <c r="C416" i="6"/>
  <c r="A416" i="6"/>
  <c r="K415" i="6"/>
  <c r="J415" i="6"/>
  <c r="I415" i="6"/>
  <c r="G415" i="6"/>
  <c r="F415" i="6"/>
  <c r="E415" i="6"/>
  <c r="D415" i="6"/>
  <c r="C415" i="6"/>
  <c r="A415" i="6"/>
  <c r="K414" i="6"/>
  <c r="J414" i="6"/>
  <c r="I414" i="6"/>
  <c r="G414" i="6"/>
  <c r="F414" i="6"/>
  <c r="E414" i="6"/>
  <c r="D414" i="6"/>
  <c r="C414" i="6"/>
  <c r="A414" i="6"/>
  <c r="K413" i="6"/>
  <c r="J413" i="6"/>
  <c r="I413" i="6"/>
  <c r="G413" i="6"/>
  <c r="F413" i="6"/>
  <c r="E413" i="6"/>
  <c r="D413" i="6"/>
  <c r="C413" i="6"/>
  <c r="A413" i="6"/>
  <c r="K412" i="6"/>
  <c r="J412" i="6"/>
  <c r="I412" i="6"/>
  <c r="G412" i="6"/>
  <c r="F412" i="6"/>
  <c r="E412" i="6"/>
  <c r="D412" i="6"/>
  <c r="C412" i="6"/>
  <c r="A412" i="6"/>
  <c r="K411" i="6"/>
  <c r="J411" i="6"/>
  <c r="I411" i="6"/>
  <c r="G411" i="6"/>
  <c r="F411" i="6"/>
  <c r="E411" i="6"/>
  <c r="D411" i="6"/>
  <c r="C411" i="6"/>
  <c r="A411" i="6"/>
  <c r="K410" i="6"/>
  <c r="J410" i="6"/>
  <c r="I410" i="6"/>
  <c r="G410" i="6"/>
  <c r="F410" i="6"/>
  <c r="E410" i="6"/>
  <c r="D410" i="6"/>
  <c r="C410" i="6"/>
  <c r="A410" i="6"/>
  <c r="K409" i="6"/>
  <c r="J409" i="6"/>
  <c r="I409" i="6"/>
  <c r="G409" i="6"/>
  <c r="F409" i="6"/>
  <c r="E409" i="6"/>
  <c r="D409" i="6"/>
  <c r="C409" i="6"/>
  <c r="A409" i="6"/>
  <c r="K408" i="6"/>
  <c r="J408" i="6"/>
  <c r="I408" i="6"/>
  <c r="G408" i="6"/>
  <c r="F408" i="6"/>
  <c r="E408" i="6"/>
  <c r="D408" i="6"/>
  <c r="C408" i="6"/>
  <c r="A408" i="6"/>
  <c r="K407" i="6"/>
  <c r="J407" i="6"/>
  <c r="I407" i="6"/>
  <c r="G407" i="6"/>
  <c r="F407" i="6"/>
  <c r="E407" i="6"/>
  <c r="D407" i="6"/>
  <c r="C407" i="6"/>
  <c r="A407" i="6"/>
  <c r="K406" i="6"/>
  <c r="J406" i="6"/>
  <c r="I406" i="6"/>
  <c r="G406" i="6"/>
  <c r="F406" i="6"/>
  <c r="E406" i="6"/>
  <c r="D406" i="6"/>
  <c r="C406" i="6"/>
  <c r="A406" i="6"/>
  <c r="K405" i="6"/>
  <c r="J405" i="6"/>
  <c r="I405" i="6"/>
  <c r="G405" i="6"/>
  <c r="F405" i="6"/>
  <c r="E405" i="6"/>
  <c r="D405" i="6"/>
  <c r="C405" i="6"/>
  <c r="A405" i="6"/>
  <c r="K404" i="6"/>
  <c r="J404" i="6"/>
  <c r="I404" i="6"/>
  <c r="G404" i="6"/>
  <c r="F404" i="6"/>
  <c r="E404" i="6"/>
  <c r="D404" i="6"/>
  <c r="C404" i="6"/>
  <c r="A404" i="6"/>
  <c r="K403" i="6"/>
  <c r="J403" i="6"/>
  <c r="I403" i="6"/>
  <c r="G403" i="6"/>
  <c r="F403" i="6"/>
  <c r="E403" i="6"/>
  <c r="D403" i="6"/>
  <c r="C403" i="6"/>
  <c r="A403" i="6"/>
  <c r="K402" i="6"/>
  <c r="J402" i="6"/>
  <c r="I402" i="6"/>
  <c r="G402" i="6"/>
  <c r="F402" i="6"/>
  <c r="E402" i="6"/>
  <c r="D402" i="6"/>
  <c r="C402" i="6"/>
  <c r="A402" i="6"/>
  <c r="K401" i="6"/>
  <c r="J401" i="6"/>
  <c r="I401" i="6"/>
  <c r="G401" i="6"/>
  <c r="F401" i="6"/>
  <c r="E401" i="6"/>
  <c r="D401" i="6"/>
  <c r="C401" i="6"/>
  <c r="A401" i="6"/>
  <c r="K400" i="6"/>
  <c r="J400" i="6"/>
  <c r="I400" i="6"/>
  <c r="G400" i="6"/>
  <c r="F400" i="6"/>
  <c r="E400" i="6"/>
  <c r="D400" i="6"/>
  <c r="C400" i="6"/>
  <c r="A400" i="6"/>
  <c r="K399" i="6"/>
  <c r="J399" i="6"/>
  <c r="I399" i="6"/>
  <c r="G399" i="6"/>
  <c r="F399" i="6"/>
  <c r="E399" i="6"/>
  <c r="D399" i="6"/>
  <c r="C399" i="6"/>
  <c r="A399" i="6"/>
  <c r="K398" i="6"/>
  <c r="J398" i="6"/>
  <c r="I398" i="6"/>
  <c r="G398" i="6"/>
  <c r="F398" i="6"/>
  <c r="E398" i="6"/>
  <c r="D398" i="6"/>
  <c r="C398" i="6"/>
  <c r="A398" i="6"/>
  <c r="K397" i="6"/>
  <c r="J397" i="6"/>
  <c r="I397" i="6"/>
  <c r="G397" i="6"/>
  <c r="F397" i="6"/>
  <c r="E397" i="6"/>
  <c r="D397" i="6"/>
  <c r="C397" i="6"/>
  <c r="A397" i="6"/>
  <c r="K396" i="6"/>
  <c r="J396" i="6"/>
  <c r="I396" i="6"/>
  <c r="G396" i="6"/>
  <c r="F396" i="6"/>
  <c r="E396" i="6"/>
  <c r="D396" i="6"/>
  <c r="C396" i="6"/>
  <c r="A396" i="6"/>
  <c r="K395" i="6"/>
  <c r="J395" i="6"/>
  <c r="I395" i="6"/>
  <c r="G395" i="6"/>
  <c r="F395" i="6"/>
  <c r="E395" i="6"/>
  <c r="D395" i="6"/>
  <c r="C395" i="6"/>
  <c r="A395" i="6"/>
  <c r="K394" i="6"/>
  <c r="J394" i="6"/>
  <c r="I394" i="6"/>
  <c r="G394" i="6"/>
  <c r="F394" i="6"/>
  <c r="E394" i="6"/>
  <c r="D394" i="6"/>
  <c r="C394" i="6"/>
  <c r="A394" i="6"/>
  <c r="K393" i="6"/>
  <c r="J393" i="6"/>
  <c r="I393" i="6"/>
  <c r="G393" i="6"/>
  <c r="F393" i="6"/>
  <c r="E393" i="6"/>
  <c r="D393" i="6"/>
  <c r="C393" i="6"/>
  <c r="A393" i="6"/>
  <c r="K392" i="6"/>
  <c r="J392" i="6"/>
  <c r="I392" i="6"/>
  <c r="G392" i="6"/>
  <c r="F392" i="6"/>
  <c r="E392" i="6"/>
  <c r="D392" i="6"/>
  <c r="C392" i="6"/>
  <c r="A392" i="6"/>
  <c r="K391" i="6"/>
  <c r="J391" i="6"/>
  <c r="I391" i="6"/>
  <c r="G391" i="6"/>
  <c r="F391" i="6"/>
  <c r="E391" i="6"/>
  <c r="D391" i="6"/>
  <c r="C391" i="6"/>
  <c r="A391" i="6"/>
  <c r="K390" i="6"/>
  <c r="J390" i="6"/>
  <c r="I390" i="6"/>
  <c r="G390" i="6"/>
  <c r="F390" i="6"/>
  <c r="E390" i="6"/>
  <c r="D390" i="6"/>
  <c r="C390" i="6"/>
  <c r="A390" i="6"/>
  <c r="K389" i="6"/>
  <c r="J389" i="6"/>
  <c r="I389" i="6"/>
  <c r="G389" i="6"/>
  <c r="F389" i="6"/>
  <c r="E389" i="6"/>
  <c r="D389" i="6"/>
  <c r="C389" i="6"/>
  <c r="A389" i="6"/>
  <c r="K388" i="6"/>
  <c r="J388" i="6"/>
  <c r="I388" i="6"/>
  <c r="G388" i="6"/>
  <c r="F388" i="6"/>
  <c r="E388" i="6"/>
  <c r="D388" i="6"/>
  <c r="C388" i="6"/>
  <c r="A388" i="6"/>
  <c r="K387" i="6"/>
  <c r="J387" i="6"/>
  <c r="I387" i="6"/>
  <c r="G387" i="6"/>
  <c r="F387" i="6"/>
  <c r="E387" i="6"/>
  <c r="D387" i="6"/>
  <c r="C387" i="6"/>
  <c r="A387" i="6"/>
  <c r="K386" i="6"/>
  <c r="J386" i="6"/>
  <c r="I386" i="6"/>
  <c r="G386" i="6"/>
  <c r="F386" i="6"/>
  <c r="E386" i="6"/>
  <c r="D386" i="6"/>
  <c r="C386" i="6"/>
  <c r="A386" i="6"/>
  <c r="K385" i="6"/>
  <c r="J385" i="6"/>
  <c r="I385" i="6"/>
  <c r="G385" i="6"/>
  <c r="F385" i="6"/>
  <c r="E385" i="6"/>
  <c r="D385" i="6"/>
  <c r="C385" i="6"/>
  <c r="A385" i="6"/>
  <c r="K384" i="6"/>
  <c r="J384" i="6"/>
  <c r="I384" i="6"/>
  <c r="G384" i="6"/>
  <c r="F384" i="6"/>
  <c r="E384" i="6"/>
  <c r="D384" i="6"/>
  <c r="C384" i="6"/>
  <c r="A384" i="6"/>
  <c r="K383" i="6"/>
  <c r="J383" i="6"/>
  <c r="I383" i="6"/>
  <c r="G383" i="6"/>
  <c r="F383" i="6"/>
  <c r="E383" i="6"/>
  <c r="D383" i="6"/>
  <c r="C383" i="6"/>
  <c r="A383" i="6"/>
  <c r="K382" i="6"/>
  <c r="J382" i="6"/>
  <c r="I382" i="6"/>
  <c r="G382" i="6"/>
  <c r="F382" i="6"/>
  <c r="E382" i="6"/>
  <c r="D382" i="6"/>
  <c r="C382" i="6"/>
  <c r="A382" i="6"/>
  <c r="K381" i="6"/>
  <c r="J381" i="6"/>
  <c r="I381" i="6"/>
  <c r="G381" i="6"/>
  <c r="F381" i="6"/>
  <c r="E381" i="6"/>
  <c r="D381" i="6"/>
  <c r="C381" i="6"/>
  <c r="A381" i="6"/>
  <c r="K380" i="6"/>
  <c r="J380" i="6"/>
  <c r="I380" i="6"/>
  <c r="G380" i="6"/>
  <c r="F380" i="6"/>
  <c r="E380" i="6"/>
  <c r="D380" i="6"/>
  <c r="C380" i="6"/>
  <c r="A380" i="6"/>
  <c r="K379" i="6"/>
  <c r="J379" i="6"/>
  <c r="I379" i="6"/>
  <c r="G379" i="6"/>
  <c r="F379" i="6"/>
  <c r="E379" i="6"/>
  <c r="D379" i="6"/>
  <c r="C379" i="6"/>
  <c r="A379" i="6"/>
  <c r="K378" i="6"/>
  <c r="J378" i="6"/>
  <c r="I378" i="6"/>
  <c r="G378" i="6"/>
  <c r="F378" i="6"/>
  <c r="E378" i="6"/>
  <c r="D378" i="6"/>
  <c r="C378" i="6"/>
  <c r="A378" i="6"/>
  <c r="K377" i="6"/>
  <c r="J377" i="6"/>
  <c r="I377" i="6"/>
  <c r="G377" i="6"/>
  <c r="F377" i="6"/>
  <c r="E377" i="6"/>
  <c r="D377" i="6"/>
  <c r="C377" i="6"/>
  <c r="A377" i="6"/>
  <c r="K376" i="6"/>
  <c r="J376" i="6"/>
  <c r="I376" i="6"/>
  <c r="G376" i="6"/>
  <c r="F376" i="6"/>
  <c r="E376" i="6"/>
  <c r="D376" i="6"/>
  <c r="C376" i="6"/>
  <c r="A376" i="6"/>
  <c r="K375" i="6"/>
  <c r="J375" i="6"/>
  <c r="I375" i="6"/>
  <c r="G375" i="6"/>
  <c r="F375" i="6"/>
  <c r="E375" i="6"/>
  <c r="D375" i="6"/>
  <c r="C375" i="6"/>
  <c r="A375" i="6"/>
  <c r="K374" i="6"/>
  <c r="J374" i="6"/>
  <c r="I374" i="6"/>
  <c r="G374" i="6"/>
  <c r="F374" i="6"/>
  <c r="E374" i="6"/>
  <c r="D374" i="6"/>
  <c r="C374" i="6"/>
  <c r="A374" i="6"/>
  <c r="K373" i="6"/>
  <c r="J373" i="6"/>
  <c r="I373" i="6"/>
  <c r="G373" i="6"/>
  <c r="F373" i="6"/>
  <c r="E373" i="6"/>
  <c r="D373" i="6"/>
  <c r="C373" i="6"/>
  <c r="A373" i="6"/>
  <c r="K372" i="6"/>
  <c r="J372" i="6"/>
  <c r="I372" i="6"/>
  <c r="G372" i="6"/>
  <c r="F372" i="6"/>
  <c r="E372" i="6"/>
  <c r="D372" i="6"/>
  <c r="C372" i="6"/>
  <c r="A372" i="6"/>
  <c r="K371" i="6"/>
  <c r="J371" i="6"/>
  <c r="I371" i="6"/>
  <c r="G371" i="6"/>
  <c r="F371" i="6"/>
  <c r="E371" i="6"/>
  <c r="D371" i="6"/>
  <c r="C371" i="6"/>
  <c r="A371" i="6"/>
  <c r="K370" i="6"/>
  <c r="J370" i="6"/>
  <c r="I370" i="6"/>
  <c r="G370" i="6"/>
  <c r="F370" i="6"/>
  <c r="E370" i="6"/>
  <c r="D370" i="6"/>
  <c r="C370" i="6"/>
  <c r="A370" i="6"/>
  <c r="K369" i="6"/>
  <c r="J369" i="6"/>
  <c r="I369" i="6"/>
  <c r="G369" i="6"/>
  <c r="F369" i="6"/>
  <c r="E369" i="6"/>
  <c r="D369" i="6"/>
  <c r="C369" i="6"/>
  <c r="A369" i="6"/>
  <c r="K368" i="6"/>
  <c r="J368" i="6"/>
  <c r="I368" i="6"/>
  <c r="G368" i="6"/>
  <c r="F368" i="6"/>
  <c r="E368" i="6"/>
  <c r="D368" i="6"/>
  <c r="C368" i="6"/>
  <c r="A368" i="6"/>
  <c r="K367" i="6"/>
  <c r="J367" i="6"/>
  <c r="I367" i="6"/>
  <c r="G367" i="6"/>
  <c r="F367" i="6"/>
  <c r="E367" i="6"/>
  <c r="D367" i="6"/>
  <c r="C367" i="6"/>
  <c r="A367" i="6"/>
  <c r="K366" i="6"/>
  <c r="J366" i="6"/>
  <c r="I366" i="6"/>
  <c r="G366" i="6"/>
  <c r="F366" i="6"/>
  <c r="E366" i="6"/>
  <c r="D366" i="6"/>
  <c r="C366" i="6"/>
  <c r="A366" i="6"/>
  <c r="K365" i="6"/>
  <c r="J365" i="6"/>
  <c r="I365" i="6"/>
  <c r="G365" i="6"/>
  <c r="F365" i="6"/>
  <c r="E365" i="6"/>
  <c r="D365" i="6"/>
  <c r="C365" i="6"/>
  <c r="A365" i="6"/>
  <c r="K364" i="6"/>
  <c r="J364" i="6"/>
  <c r="I364" i="6"/>
  <c r="G364" i="6"/>
  <c r="F364" i="6"/>
  <c r="E364" i="6"/>
  <c r="D364" i="6"/>
  <c r="C364" i="6"/>
  <c r="A364" i="6"/>
  <c r="K363" i="6"/>
  <c r="J363" i="6"/>
  <c r="I363" i="6"/>
  <c r="G363" i="6"/>
  <c r="F363" i="6"/>
  <c r="E363" i="6"/>
  <c r="D363" i="6"/>
  <c r="C363" i="6"/>
  <c r="A363" i="6"/>
  <c r="K362" i="6"/>
  <c r="J362" i="6"/>
  <c r="I362" i="6"/>
  <c r="G362" i="6"/>
  <c r="F362" i="6"/>
  <c r="E362" i="6"/>
  <c r="D362" i="6"/>
  <c r="C362" i="6"/>
  <c r="A362" i="6"/>
  <c r="K361" i="6"/>
  <c r="J361" i="6"/>
  <c r="I361" i="6"/>
  <c r="G361" i="6"/>
  <c r="F361" i="6"/>
  <c r="E361" i="6"/>
  <c r="D361" i="6"/>
  <c r="C361" i="6"/>
  <c r="A361" i="6"/>
  <c r="K360" i="6"/>
  <c r="J360" i="6"/>
  <c r="I360" i="6"/>
  <c r="G360" i="6"/>
  <c r="F360" i="6"/>
  <c r="E360" i="6"/>
  <c r="D360" i="6"/>
  <c r="C360" i="6"/>
  <c r="A360" i="6"/>
  <c r="K359" i="6"/>
  <c r="J359" i="6"/>
  <c r="I359" i="6"/>
  <c r="G359" i="6"/>
  <c r="F359" i="6"/>
  <c r="E359" i="6"/>
  <c r="D359" i="6"/>
  <c r="C359" i="6"/>
  <c r="A359" i="6"/>
  <c r="K358" i="6"/>
  <c r="J358" i="6"/>
  <c r="I358" i="6"/>
  <c r="G358" i="6"/>
  <c r="F358" i="6"/>
  <c r="E358" i="6"/>
  <c r="D358" i="6"/>
  <c r="C358" i="6"/>
  <c r="A358" i="6"/>
  <c r="K357" i="6"/>
  <c r="J357" i="6"/>
  <c r="I357" i="6"/>
  <c r="G357" i="6"/>
  <c r="F357" i="6"/>
  <c r="E357" i="6"/>
  <c r="D357" i="6"/>
  <c r="C357" i="6"/>
  <c r="A357" i="6"/>
  <c r="K356" i="6"/>
  <c r="J356" i="6"/>
  <c r="I356" i="6"/>
  <c r="G356" i="6"/>
  <c r="F356" i="6"/>
  <c r="E356" i="6"/>
  <c r="D356" i="6"/>
  <c r="C356" i="6"/>
  <c r="A356" i="6"/>
  <c r="K355" i="6"/>
  <c r="J355" i="6"/>
  <c r="I355" i="6"/>
  <c r="G355" i="6"/>
  <c r="F355" i="6"/>
  <c r="E355" i="6"/>
  <c r="D355" i="6"/>
  <c r="C355" i="6"/>
  <c r="A355" i="6"/>
  <c r="K354" i="6"/>
  <c r="J354" i="6"/>
  <c r="I354" i="6"/>
  <c r="G354" i="6"/>
  <c r="F354" i="6"/>
  <c r="E354" i="6"/>
  <c r="D354" i="6"/>
  <c r="C354" i="6"/>
  <c r="A354" i="6"/>
  <c r="K353" i="6"/>
  <c r="J353" i="6"/>
  <c r="I353" i="6"/>
  <c r="G353" i="6"/>
  <c r="F353" i="6"/>
  <c r="E353" i="6"/>
  <c r="D353" i="6"/>
  <c r="C353" i="6"/>
  <c r="A353" i="6"/>
  <c r="K352" i="6"/>
  <c r="J352" i="6"/>
  <c r="I352" i="6"/>
  <c r="G352" i="6"/>
  <c r="F352" i="6"/>
  <c r="E352" i="6"/>
  <c r="D352" i="6"/>
  <c r="C352" i="6"/>
  <c r="A352" i="6"/>
  <c r="K351" i="6"/>
  <c r="J351" i="6"/>
  <c r="I351" i="6"/>
  <c r="G351" i="6"/>
  <c r="F351" i="6"/>
  <c r="E351" i="6"/>
  <c r="D351" i="6"/>
  <c r="C351" i="6"/>
  <c r="A351" i="6"/>
  <c r="K350" i="6"/>
  <c r="J350" i="6"/>
  <c r="I350" i="6"/>
  <c r="G350" i="6"/>
  <c r="F350" i="6"/>
  <c r="E350" i="6"/>
  <c r="D350" i="6"/>
  <c r="C350" i="6"/>
  <c r="A350" i="6"/>
  <c r="K349" i="6"/>
  <c r="J349" i="6"/>
  <c r="I349" i="6"/>
  <c r="G349" i="6"/>
  <c r="F349" i="6"/>
  <c r="E349" i="6"/>
  <c r="D349" i="6"/>
  <c r="C349" i="6"/>
  <c r="A349" i="6"/>
  <c r="K348" i="6"/>
  <c r="J348" i="6"/>
  <c r="I348" i="6"/>
  <c r="G348" i="6"/>
  <c r="F348" i="6"/>
  <c r="E348" i="6"/>
  <c r="D348" i="6"/>
  <c r="C348" i="6"/>
  <c r="A348" i="6"/>
  <c r="K347" i="6"/>
  <c r="J347" i="6"/>
  <c r="I347" i="6"/>
  <c r="G347" i="6"/>
  <c r="F347" i="6"/>
  <c r="E347" i="6"/>
  <c r="D347" i="6"/>
  <c r="C347" i="6"/>
  <c r="A347" i="6"/>
  <c r="K346" i="6"/>
  <c r="J346" i="6"/>
  <c r="I346" i="6"/>
  <c r="G346" i="6"/>
  <c r="F346" i="6"/>
  <c r="E346" i="6"/>
  <c r="D346" i="6"/>
  <c r="C346" i="6"/>
  <c r="A346" i="6"/>
  <c r="K345" i="6"/>
  <c r="J345" i="6"/>
  <c r="I345" i="6"/>
  <c r="G345" i="6"/>
  <c r="F345" i="6"/>
  <c r="E345" i="6"/>
  <c r="D345" i="6"/>
  <c r="C345" i="6"/>
  <c r="A345" i="6"/>
  <c r="K344" i="6"/>
  <c r="J344" i="6"/>
  <c r="I344" i="6"/>
  <c r="G344" i="6"/>
  <c r="F344" i="6"/>
  <c r="E344" i="6"/>
  <c r="D344" i="6"/>
  <c r="C344" i="6"/>
  <c r="A344" i="6"/>
  <c r="K343" i="6"/>
  <c r="J343" i="6"/>
  <c r="I343" i="6"/>
  <c r="G343" i="6"/>
  <c r="F343" i="6"/>
  <c r="E343" i="6"/>
  <c r="D343" i="6"/>
  <c r="C343" i="6"/>
  <c r="A343" i="6"/>
  <c r="K342" i="6"/>
  <c r="J342" i="6"/>
  <c r="I342" i="6"/>
  <c r="G342" i="6"/>
  <c r="F342" i="6"/>
  <c r="E342" i="6"/>
  <c r="D342" i="6"/>
  <c r="C342" i="6"/>
  <c r="A342" i="6"/>
  <c r="K341" i="6"/>
  <c r="J341" i="6"/>
  <c r="I341" i="6"/>
  <c r="G341" i="6"/>
  <c r="F341" i="6"/>
  <c r="E341" i="6"/>
  <c r="D341" i="6"/>
  <c r="C341" i="6"/>
  <c r="A341" i="6"/>
  <c r="K340" i="6"/>
  <c r="J340" i="6"/>
  <c r="I340" i="6"/>
  <c r="G340" i="6"/>
  <c r="F340" i="6"/>
  <c r="E340" i="6"/>
  <c r="D340" i="6"/>
  <c r="C340" i="6"/>
  <c r="A340" i="6"/>
  <c r="K339" i="6"/>
  <c r="J339" i="6"/>
  <c r="I339" i="6"/>
  <c r="G339" i="6"/>
  <c r="F339" i="6"/>
  <c r="E339" i="6"/>
  <c r="D339" i="6"/>
  <c r="C339" i="6"/>
  <c r="A339" i="6"/>
  <c r="K338" i="6"/>
  <c r="J338" i="6"/>
  <c r="I338" i="6"/>
  <c r="G338" i="6"/>
  <c r="F338" i="6"/>
  <c r="E338" i="6"/>
  <c r="D338" i="6"/>
  <c r="C338" i="6"/>
  <c r="A338" i="6"/>
  <c r="K337" i="6"/>
  <c r="J337" i="6"/>
  <c r="I337" i="6"/>
  <c r="G337" i="6"/>
  <c r="F337" i="6"/>
  <c r="E337" i="6"/>
  <c r="D337" i="6"/>
  <c r="C337" i="6"/>
  <c r="A337" i="6"/>
  <c r="K336" i="6"/>
  <c r="J336" i="6"/>
  <c r="I336" i="6"/>
  <c r="G336" i="6"/>
  <c r="F336" i="6"/>
  <c r="E336" i="6"/>
  <c r="D336" i="6"/>
  <c r="C336" i="6"/>
  <c r="A336" i="6"/>
  <c r="K335" i="6"/>
  <c r="J335" i="6"/>
  <c r="I335" i="6"/>
  <c r="G335" i="6"/>
  <c r="F335" i="6"/>
  <c r="E335" i="6"/>
  <c r="D335" i="6"/>
  <c r="C335" i="6"/>
  <c r="A335" i="6"/>
  <c r="K334" i="6"/>
  <c r="J334" i="6"/>
  <c r="I334" i="6"/>
  <c r="G334" i="6"/>
  <c r="F334" i="6"/>
  <c r="E334" i="6"/>
  <c r="D334" i="6"/>
  <c r="C334" i="6"/>
  <c r="A334" i="6"/>
  <c r="K333" i="6"/>
  <c r="J333" i="6"/>
  <c r="I333" i="6"/>
  <c r="G333" i="6"/>
  <c r="F333" i="6"/>
  <c r="E333" i="6"/>
  <c r="D333" i="6"/>
  <c r="C333" i="6"/>
  <c r="A333" i="6"/>
  <c r="K332" i="6"/>
  <c r="J332" i="6"/>
  <c r="I332" i="6"/>
  <c r="G332" i="6"/>
  <c r="F332" i="6"/>
  <c r="E332" i="6"/>
  <c r="D332" i="6"/>
  <c r="C332" i="6"/>
  <c r="A332" i="6"/>
  <c r="K331" i="6"/>
  <c r="J331" i="6"/>
  <c r="I331" i="6"/>
  <c r="G331" i="6"/>
  <c r="F331" i="6"/>
  <c r="E331" i="6"/>
  <c r="D331" i="6"/>
  <c r="C331" i="6"/>
  <c r="A331" i="6"/>
  <c r="K330" i="6"/>
  <c r="J330" i="6"/>
  <c r="I330" i="6"/>
  <c r="G330" i="6"/>
  <c r="F330" i="6"/>
  <c r="E330" i="6"/>
  <c r="D330" i="6"/>
  <c r="C330" i="6"/>
  <c r="A330" i="6"/>
  <c r="K329" i="6"/>
  <c r="J329" i="6"/>
  <c r="I329" i="6"/>
  <c r="G329" i="6"/>
  <c r="F329" i="6"/>
  <c r="E329" i="6"/>
  <c r="D329" i="6"/>
  <c r="C329" i="6"/>
  <c r="A329" i="6"/>
  <c r="K328" i="6"/>
  <c r="J328" i="6"/>
  <c r="I328" i="6"/>
  <c r="G328" i="6"/>
  <c r="F328" i="6"/>
  <c r="E328" i="6"/>
  <c r="D328" i="6"/>
  <c r="C328" i="6"/>
  <c r="A328" i="6"/>
  <c r="K327" i="6"/>
  <c r="J327" i="6"/>
  <c r="I327" i="6"/>
  <c r="G327" i="6"/>
  <c r="F327" i="6"/>
  <c r="E327" i="6"/>
  <c r="D327" i="6"/>
  <c r="C327" i="6"/>
  <c r="A327" i="6"/>
  <c r="K326" i="6"/>
  <c r="J326" i="6"/>
  <c r="I326" i="6"/>
  <c r="G326" i="6"/>
  <c r="F326" i="6"/>
  <c r="E326" i="6"/>
  <c r="D326" i="6"/>
  <c r="C326" i="6"/>
  <c r="A326" i="6"/>
  <c r="K325" i="6"/>
  <c r="J325" i="6"/>
  <c r="I325" i="6"/>
  <c r="G325" i="6"/>
  <c r="F325" i="6"/>
  <c r="E325" i="6"/>
  <c r="D325" i="6"/>
  <c r="C325" i="6"/>
  <c r="A325" i="6"/>
  <c r="K324" i="6"/>
  <c r="J324" i="6"/>
  <c r="I324" i="6"/>
  <c r="G324" i="6"/>
  <c r="F324" i="6"/>
  <c r="E324" i="6"/>
  <c r="D324" i="6"/>
  <c r="C324" i="6"/>
  <c r="A324" i="6"/>
  <c r="K323" i="6"/>
  <c r="J323" i="6"/>
  <c r="I323" i="6"/>
  <c r="G323" i="6"/>
  <c r="F323" i="6"/>
  <c r="E323" i="6"/>
  <c r="D323" i="6"/>
  <c r="C323" i="6"/>
  <c r="A323" i="6"/>
  <c r="K322" i="6"/>
  <c r="J322" i="6"/>
  <c r="I322" i="6"/>
  <c r="G322" i="6"/>
  <c r="F322" i="6"/>
  <c r="E322" i="6"/>
  <c r="D322" i="6"/>
  <c r="C322" i="6"/>
  <c r="A322" i="6"/>
  <c r="K321" i="6"/>
  <c r="J321" i="6"/>
  <c r="I321" i="6"/>
  <c r="G321" i="6"/>
  <c r="F321" i="6"/>
  <c r="E321" i="6"/>
  <c r="D321" i="6"/>
  <c r="C321" i="6"/>
  <c r="A321" i="6"/>
  <c r="K320" i="6"/>
  <c r="J320" i="6"/>
  <c r="I320" i="6"/>
  <c r="G320" i="6"/>
  <c r="F320" i="6"/>
  <c r="E320" i="6"/>
  <c r="D320" i="6"/>
  <c r="C320" i="6"/>
  <c r="A320" i="6"/>
  <c r="K319" i="6"/>
  <c r="J319" i="6"/>
  <c r="I319" i="6"/>
  <c r="G319" i="6"/>
  <c r="F319" i="6"/>
  <c r="E319" i="6"/>
  <c r="D319" i="6"/>
  <c r="C319" i="6"/>
  <c r="A319" i="6"/>
  <c r="K318" i="6"/>
  <c r="J318" i="6"/>
  <c r="I318" i="6"/>
  <c r="G318" i="6"/>
  <c r="F318" i="6"/>
  <c r="E318" i="6"/>
  <c r="D318" i="6"/>
  <c r="C318" i="6"/>
  <c r="A318" i="6"/>
  <c r="K317" i="6"/>
  <c r="J317" i="6"/>
  <c r="I317" i="6"/>
  <c r="G317" i="6"/>
  <c r="F317" i="6"/>
  <c r="E317" i="6"/>
  <c r="D317" i="6"/>
  <c r="C317" i="6"/>
  <c r="A317" i="6"/>
  <c r="K316" i="6"/>
  <c r="J316" i="6"/>
  <c r="I316" i="6"/>
  <c r="G316" i="6"/>
  <c r="F316" i="6"/>
  <c r="E316" i="6"/>
  <c r="D316" i="6"/>
  <c r="C316" i="6"/>
  <c r="A316" i="6"/>
  <c r="K315" i="6"/>
  <c r="J315" i="6"/>
  <c r="I315" i="6"/>
  <c r="G315" i="6"/>
  <c r="F315" i="6"/>
  <c r="E315" i="6"/>
  <c r="D315" i="6"/>
  <c r="C315" i="6"/>
  <c r="A315" i="6"/>
  <c r="K314" i="6"/>
  <c r="J314" i="6"/>
  <c r="I314" i="6"/>
  <c r="G314" i="6"/>
  <c r="F314" i="6"/>
  <c r="E314" i="6"/>
  <c r="D314" i="6"/>
  <c r="C314" i="6"/>
  <c r="A314" i="6"/>
  <c r="K313" i="6"/>
  <c r="J313" i="6"/>
  <c r="I313" i="6"/>
  <c r="G313" i="6"/>
  <c r="F313" i="6"/>
  <c r="E313" i="6"/>
  <c r="D313" i="6"/>
  <c r="C313" i="6"/>
  <c r="A313" i="6"/>
  <c r="K312" i="6"/>
  <c r="J312" i="6"/>
  <c r="I312" i="6"/>
  <c r="G312" i="6"/>
  <c r="F312" i="6"/>
  <c r="E312" i="6"/>
  <c r="D312" i="6"/>
  <c r="C312" i="6"/>
  <c r="A312" i="6"/>
  <c r="K311" i="6"/>
  <c r="J311" i="6"/>
  <c r="I311" i="6"/>
  <c r="G311" i="6"/>
  <c r="F311" i="6"/>
  <c r="E311" i="6"/>
  <c r="D311" i="6"/>
  <c r="C311" i="6"/>
  <c r="A311" i="6"/>
  <c r="K310" i="6"/>
  <c r="J310" i="6"/>
  <c r="I310" i="6"/>
  <c r="G310" i="6"/>
  <c r="F310" i="6"/>
  <c r="E310" i="6"/>
  <c r="D310" i="6"/>
  <c r="C310" i="6"/>
  <c r="A310" i="6"/>
  <c r="K309" i="6"/>
  <c r="J309" i="6"/>
  <c r="I309" i="6"/>
  <c r="G309" i="6"/>
  <c r="F309" i="6"/>
  <c r="E309" i="6"/>
  <c r="D309" i="6"/>
  <c r="C309" i="6"/>
  <c r="A309" i="6"/>
  <c r="K308" i="6"/>
  <c r="J308" i="6"/>
  <c r="I308" i="6"/>
  <c r="G308" i="6"/>
  <c r="F308" i="6"/>
  <c r="E308" i="6"/>
  <c r="D308" i="6"/>
  <c r="C308" i="6"/>
  <c r="A308" i="6"/>
  <c r="K307" i="6"/>
  <c r="J307" i="6"/>
  <c r="I307" i="6"/>
  <c r="G307" i="6"/>
  <c r="F307" i="6"/>
  <c r="E307" i="6"/>
  <c r="D307" i="6"/>
  <c r="C307" i="6"/>
  <c r="A307" i="6"/>
  <c r="K306" i="6"/>
  <c r="J306" i="6"/>
  <c r="I306" i="6"/>
  <c r="G306" i="6"/>
  <c r="F306" i="6"/>
  <c r="E306" i="6"/>
  <c r="D306" i="6"/>
  <c r="C306" i="6"/>
  <c r="A306" i="6"/>
  <c r="K305" i="6"/>
  <c r="J305" i="6"/>
  <c r="I305" i="6"/>
  <c r="G305" i="6"/>
  <c r="F305" i="6"/>
  <c r="E305" i="6"/>
  <c r="D305" i="6"/>
  <c r="C305" i="6"/>
  <c r="A305" i="6"/>
  <c r="K304" i="6"/>
  <c r="J304" i="6"/>
  <c r="I304" i="6"/>
  <c r="G304" i="6"/>
  <c r="F304" i="6"/>
  <c r="E304" i="6"/>
  <c r="D304" i="6"/>
  <c r="C304" i="6"/>
  <c r="A304" i="6"/>
  <c r="K303" i="6"/>
  <c r="J303" i="6"/>
  <c r="I303" i="6"/>
  <c r="G303" i="6"/>
  <c r="F303" i="6"/>
  <c r="E303" i="6"/>
  <c r="D303" i="6"/>
  <c r="C303" i="6"/>
  <c r="A303" i="6"/>
  <c r="K302" i="6"/>
  <c r="J302" i="6"/>
  <c r="I302" i="6"/>
  <c r="G302" i="6"/>
  <c r="F302" i="6"/>
  <c r="E302" i="6"/>
  <c r="D302" i="6"/>
  <c r="C302" i="6"/>
  <c r="A302" i="6"/>
  <c r="K301" i="6"/>
  <c r="J301" i="6"/>
  <c r="I301" i="6"/>
  <c r="G301" i="6"/>
  <c r="F301" i="6"/>
  <c r="E301" i="6"/>
  <c r="D301" i="6"/>
  <c r="C301" i="6"/>
  <c r="A301" i="6"/>
  <c r="K300" i="6"/>
  <c r="J300" i="6"/>
  <c r="I300" i="6"/>
  <c r="G300" i="6"/>
  <c r="F300" i="6"/>
  <c r="E300" i="6"/>
  <c r="D300" i="6"/>
  <c r="C300" i="6"/>
  <c r="A300" i="6"/>
  <c r="K299" i="6"/>
  <c r="J299" i="6"/>
  <c r="I299" i="6"/>
  <c r="G299" i="6"/>
  <c r="F299" i="6"/>
  <c r="E299" i="6"/>
  <c r="D299" i="6"/>
  <c r="C299" i="6"/>
  <c r="A299" i="6"/>
  <c r="K298" i="6"/>
  <c r="J298" i="6"/>
  <c r="I298" i="6"/>
  <c r="G298" i="6"/>
  <c r="F298" i="6"/>
  <c r="E298" i="6"/>
  <c r="D298" i="6"/>
  <c r="C298" i="6"/>
  <c r="A298" i="6"/>
  <c r="K297" i="6"/>
  <c r="J297" i="6"/>
  <c r="I297" i="6"/>
  <c r="G297" i="6"/>
  <c r="F297" i="6"/>
  <c r="E297" i="6"/>
  <c r="D297" i="6"/>
  <c r="C297" i="6"/>
  <c r="A297" i="6"/>
  <c r="K296" i="6"/>
  <c r="J296" i="6"/>
  <c r="I296" i="6"/>
  <c r="G296" i="6"/>
  <c r="F296" i="6"/>
  <c r="E296" i="6"/>
  <c r="D296" i="6"/>
  <c r="C296" i="6"/>
  <c r="A296" i="6"/>
  <c r="K295" i="6"/>
  <c r="J295" i="6"/>
  <c r="I295" i="6"/>
  <c r="G295" i="6"/>
  <c r="F295" i="6"/>
  <c r="E295" i="6"/>
  <c r="D295" i="6"/>
  <c r="C295" i="6"/>
  <c r="A295" i="6"/>
  <c r="K294" i="6"/>
  <c r="J294" i="6"/>
  <c r="I294" i="6"/>
  <c r="G294" i="6"/>
  <c r="F294" i="6"/>
  <c r="E294" i="6"/>
  <c r="D294" i="6"/>
  <c r="C294" i="6"/>
  <c r="A294" i="6"/>
  <c r="K293" i="6"/>
  <c r="J293" i="6"/>
  <c r="I293" i="6"/>
  <c r="G293" i="6"/>
  <c r="F293" i="6"/>
  <c r="E293" i="6"/>
  <c r="D293" i="6"/>
  <c r="C293" i="6"/>
  <c r="A293" i="6"/>
  <c r="K292" i="6"/>
  <c r="J292" i="6"/>
  <c r="I292" i="6"/>
  <c r="G292" i="6"/>
  <c r="F292" i="6"/>
  <c r="E292" i="6"/>
  <c r="D292" i="6"/>
  <c r="C292" i="6"/>
  <c r="A292" i="6"/>
  <c r="K291" i="6"/>
  <c r="J291" i="6"/>
  <c r="I291" i="6"/>
  <c r="G291" i="6"/>
  <c r="F291" i="6"/>
  <c r="E291" i="6"/>
  <c r="D291" i="6"/>
  <c r="C291" i="6"/>
  <c r="A291" i="6"/>
  <c r="K290" i="6"/>
  <c r="J290" i="6"/>
  <c r="I290" i="6"/>
  <c r="G290" i="6"/>
  <c r="F290" i="6"/>
  <c r="E290" i="6"/>
  <c r="D290" i="6"/>
  <c r="C290" i="6"/>
  <c r="A290" i="6"/>
  <c r="K289" i="6"/>
  <c r="J289" i="6"/>
  <c r="I289" i="6"/>
  <c r="G289" i="6"/>
  <c r="F289" i="6"/>
  <c r="E289" i="6"/>
  <c r="D289" i="6"/>
  <c r="C289" i="6"/>
  <c r="A289" i="6"/>
  <c r="K288" i="6"/>
  <c r="J288" i="6"/>
  <c r="I288" i="6"/>
  <c r="G288" i="6"/>
  <c r="F288" i="6"/>
  <c r="E288" i="6"/>
  <c r="D288" i="6"/>
  <c r="C288" i="6"/>
  <c r="A288" i="6"/>
  <c r="K287" i="6"/>
  <c r="J287" i="6"/>
  <c r="I287" i="6"/>
  <c r="G287" i="6"/>
  <c r="F287" i="6"/>
  <c r="E287" i="6"/>
  <c r="D287" i="6"/>
  <c r="C287" i="6"/>
  <c r="A287" i="6"/>
  <c r="K286" i="6"/>
  <c r="J286" i="6"/>
  <c r="I286" i="6"/>
  <c r="G286" i="6"/>
  <c r="F286" i="6"/>
  <c r="E286" i="6"/>
  <c r="D286" i="6"/>
  <c r="C286" i="6"/>
  <c r="A286" i="6"/>
  <c r="K285" i="6"/>
  <c r="J285" i="6"/>
  <c r="I285" i="6"/>
  <c r="G285" i="6"/>
  <c r="F285" i="6"/>
  <c r="E285" i="6"/>
  <c r="D285" i="6"/>
  <c r="C285" i="6"/>
  <c r="A285" i="6"/>
  <c r="K284" i="6"/>
  <c r="J284" i="6"/>
  <c r="I284" i="6"/>
  <c r="G284" i="6"/>
  <c r="F284" i="6"/>
  <c r="E284" i="6"/>
  <c r="D284" i="6"/>
  <c r="C284" i="6"/>
  <c r="A284" i="6"/>
  <c r="K283" i="6"/>
  <c r="J283" i="6"/>
  <c r="I283" i="6"/>
  <c r="G283" i="6"/>
  <c r="F283" i="6"/>
  <c r="E283" i="6"/>
  <c r="D283" i="6"/>
  <c r="C283" i="6"/>
  <c r="A283" i="6"/>
  <c r="K282" i="6"/>
  <c r="J282" i="6"/>
  <c r="I282" i="6"/>
  <c r="G282" i="6"/>
  <c r="F282" i="6"/>
  <c r="E282" i="6"/>
  <c r="D282" i="6"/>
  <c r="C282" i="6"/>
  <c r="A282" i="6"/>
  <c r="K281" i="6"/>
  <c r="J281" i="6"/>
  <c r="I281" i="6"/>
  <c r="G281" i="6"/>
  <c r="F281" i="6"/>
  <c r="E281" i="6"/>
  <c r="D281" i="6"/>
  <c r="C281" i="6"/>
  <c r="A281" i="6"/>
  <c r="K280" i="6"/>
  <c r="J280" i="6"/>
  <c r="I280" i="6"/>
  <c r="G280" i="6"/>
  <c r="F280" i="6"/>
  <c r="E280" i="6"/>
  <c r="D280" i="6"/>
  <c r="C280" i="6"/>
  <c r="A280" i="6"/>
  <c r="K279" i="6"/>
  <c r="J279" i="6"/>
  <c r="I279" i="6"/>
  <c r="G279" i="6"/>
  <c r="F279" i="6"/>
  <c r="E279" i="6"/>
  <c r="D279" i="6"/>
  <c r="C279" i="6"/>
  <c r="A279" i="6"/>
  <c r="K278" i="6"/>
  <c r="J278" i="6"/>
  <c r="I278" i="6"/>
  <c r="G278" i="6"/>
  <c r="F278" i="6"/>
  <c r="E278" i="6"/>
  <c r="D278" i="6"/>
  <c r="C278" i="6"/>
  <c r="A278" i="6"/>
  <c r="K277" i="6"/>
  <c r="J277" i="6"/>
  <c r="I277" i="6"/>
  <c r="G277" i="6"/>
  <c r="F277" i="6"/>
  <c r="E277" i="6"/>
  <c r="D277" i="6"/>
  <c r="C277" i="6"/>
  <c r="A277" i="6"/>
  <c r="K276" i="6"/>
  <c r="J276" i="6"/>
  <c r="I276" i="6"/>
  <c r="G276" i="6"/>
  <c r="F276" i="6"/>
  <c r="E276" i="6"/>
  <c r="D276" i="6"/>
  <c r="C276" i="6"/>
  <c r="A276" i="6"/>
  <c r="K275" i="6"/>
  <c r="J275" i="6"/>
  <c r="I275" i="6"/>
  <c r="G275" i="6"/>
  <c r="F275" i="6"/>
  <c r="E275" i="6"/>
  <c r="D275" i="6"/>
  <c r="C275" i="6"/>
  <c r="A275" i="6"/>
  <c r="K274" i="6"/>
  <c r="J274" i="6"/>
  <c r="I274" i="6"/>
  <c r="G274" i="6"/>
  <c r="F274" i="6"/>
  <c r="E274" i="6"/>
  <c r="D274" i="6"/>
  <c r="C274" i="6"/>
  <c r="A274" i="6"/>
  <c r="K273" i="6"/>
  <c r="J273" i="6"/>
  <c r="I273" i="6"/>
  <c r="G273" i="6"/>
  <c r="F273" i="6"/>
  <c r="E273" i="6"/>
  <c r="D273" i="6"/>
  <c r="C273" i="6"/>
  <c r="A273" i="6"/>
  <c r="K272" i="6"/>
  <c r="J272" i="6"/>
  <c r="I272" i="6"/>
  <c r="G272" i="6"/>
  <c r="F272" i="6"/>
  <c r="E272" i="6"/>
  <c r="D272" i="6"/>
  <c r="C272" i="6"/>
  <c r="A272" i="6"/>
  <c r="K271" i="6"/>
  <c r="J271" i="6"/>
  <c r="I271" i="6"/>
  <c r="G271" i="6"/>
  <c r="F271" i="6"/>
  <c r="E271" i="6"/>
  <c r="D271" i="6"/>
  <c r="C271" i="6"/>
  <c r="A271" i="6"/>
  <c r="K270" i="6"/>
  <c r="J270" i="6"/>
  <c r="I270" i="6"/>
  <c r="G270" i="6"/>
  <c r="F270" i="6"/>
  <c r="E270" i="6"/>
  <c r="D270" i="6"/>
  <c r="C270" i="6"/>
  <c r="A270" i="6"/>
  <c r="K269" i="6"/>
  <c r="J269" i="6"/>
  <c r="I269" i="6"/>
  <c r="G269" i="6"/>
  <c r="F269" i="6"/>
  <c r="E269" i="6"/>
  <c r="D269" i="6"/>
  <c r="C269" i="6"/>
  <c r="A269" i="6"/>
  <c r="K268" i="6"/>
  <c r="J268" i="6"/>
  <c r="I268" i="6"/>
  <c r="G268" i="6"/>
  <c r="F268" i="6"/>
  <c r="E268" i="6"/>
  <c r="D268" i="6"/>
  <c r="C268" i="6"/>
  <c r="A268" i="6"/>
  <c r="K267" i="6"/>
  <c r="J267" i="6"/>
  <c r="I267" i="6"/>
  <c r="G267" i="6"/>
  <c r="F267" i="6"/>
  <c r="E267" i="6"/>
  <c r="D267" i="6"/>
  <c r="C267" i="6"/>
  <c r="A267" i="6"/>
  <c r="K266" i="6"/>
  <c r="J266" i="6"/>
  <c r="I266" i="6"/>
  <c r="G266" i="6"/>
  <c r="F266" i="6"/>
  <c r="E266" i="6"/>
  <c r="D266" i="6"/>
  <c r="C266" i="6"/>
  <c r="A266" i="6"/>
  <c r="K265" i="6"/>
  <c r="J265" i="6"/>
  <c r="I265" i="6"/>
  <c r="G265" i="6"/>
  <c r="F265" i="6"/>
  <c r="E265" i="6"/>
  <c r="D265" i="6"/>
  <c r="C265" i="6"/>
  <c r="A265" i="6"/>
  <c r="K264" i="6"/>
  <c r="J264" i="6"/>
  <c r="I264" i="6"/>
  <c r="G264" i="6"/>
  <c r="F264" i="6"/>
  <c r="E264" i="6"/>
  <c r="D264" i="6"/>
  <c r="C264" i="6"/>
  <c r="A264" i="6"/>
  <c r="K263" i="6"/>
  <c r="J263" i="6"/>
  <c r="I263" i="6"/>
  <c r="G263" i="6"/>
  <c r="F263" i="6"/>
  <c r="E263" i="6"/>
  <c r="D263" i="6"/>
  <c r="C263" i="6"/>
  <c r="A263" i="6"/>
  <c r="K262" i="6"/>
  <c r="J262" i="6"/>
  <c r="I262" i="6"/>
  <c r="G262" i="6"/>
  <c r="F262" i="6"/>
  <c r="E262" i="6"/>
  <c r="D262" i="6"/>
  <c r="C262" i="6"/>
  <c r="A262" i="6"/>
  <c r="K261" i="6"/>
  <c r="J261" i="6"/>
  <c r="I261" i="6"/>
  <c r="G261" i="6"/>
  <c r="F261" i="6"/>
  <c r="E261" i="6"/>
  <c r="D261" i="6"/>
  <c r="C261" i="6"/>
  <c r="A261" i="6"/>
  <c r="K260" i="6"/>
  <c r="J260" i="6"/>
  <c r="I260" i="6"/>
  <c r="G260" i="6"/>
  <c r="F260" i="6"/>
  <c r="E260" i="6"/>
  <c r="D260" i="6"/>
  <c r="C260" i="6"/>
  <c r="A260" i="6"/>
  <c r="K259" i="6"/>
  <c r="J259" i="6"/>
  <c r="I259" i="6"/>
  <c r="G259" i="6"/>
  <c r="F259" i="6"/>
  <c r="E259" i="6"/>
  <c r="D259" i="6"/>
  <c r="C259" i="6"/>
  <c r="A259" i="6"/>
  <c r="K258" i="6"/>
  <c r="J258" i="6"/>
  <c r="I258" i="6"/>
  <c r="G258" i="6"/>
  <c r="F258" i="6"/>
  <c r="E258" i="6"/>
  <c r="D258" i="6"/>
  <c r="C258" i="6"/>
  <c r="A258" i="6"/>
  <c r="K257" i="6"/>
  <c r="J257" i="6"/>
  <c r="I257" i="6"/>
  <c r="G257" i="6"/>
  <c r="F257" i="6"/>
  <c r="E257" i="6"/>
  <c r="D257" i="6"/>
  <c r="C257" i="6"/>
  <c r="A257" i="6"/>
  <c r="K256" i="6"/>
  <c r="J256" i="6"/>
  <c r="I256" i="6"/>
  <c r="G256" i="6"/>
  <c r="F256" i="6"/>
  <c r="E256" i="6"/>
  <c r="D256" i="6"/>
  <c r="C256" i="6"/>
  <c r="A256" i="6"/>
  <c r="K255" i="6"/>
  <c r="J255" i="6"/>
  <c r="I255" i="6"/>
  <c r="G255" i="6"/>
  <c r="F255" i="6"/>
  <c r="E255" i="6"/>
  <c r="D255" i="6"/>
  <c r="C255" i="6"/>
  <c r="A255" i="6"/>
  <c r="K254" i="6"/>
  <c r="J254" i="6"/>
  <c r="I254" i="6"/>
  <c r="G254" i="6"/>
  <c r="F254" i="6"/>
  <c r="E254" i="6"/>
  <c r="D254" i="6"/>
  <c r="C254" i="6"/>
  <c r="A254" i="6"/>
  <c r="K253" i="6"/>
  <c r="J253" i="6"/>
  <c r="I253" i="6"/>
  <c r="G253" i="6"/>
  <c r="F253" i="6"/>
  <c r="E253" i="6"/>
  <c r="D253" i="6"/>
  <c r="C253" i="6"/>
  <c r="A253" i="6"/>
  <c r="K252" i="6"/>
  <c r="J252" i="6"/>
  <c r="I252" i="6"/>
  <c r="G252" i="6"/>
  <c r="F252" i="6"/>
  <c r="E252" i="6"/>
  <c r="D252" i="6"/>
  <c r="C252" i="6"/>
  <c r="A252" i="6"/>
  <c r="K251" i="6"/>
  <c r="J251" i="6"/>
  <c r="I251" i="6"/>
  <c r="G251" i="6"/>
  <c r="F251" i="6"/>
  <c r="E251" i="6"/>
  <c r="D251" i="6"/>
  <c r="C251" i="6"/>
  <c r="A251" i="6"/>
  <c r="K250" i="6"/>
  <c r="J250" i="6"/>
  <c r="I250" i="6"/>
  <c r="G250" i="6"/>
  <c r="F250" i="6"/>
  <c r="E250" i="6"/>
  <c r="D250" i="6"/>
  <c r="C250" i="6"/>
  <c r="A250" i="6"/>
  <c r="K249" i="6"/>
  <c r="J249" i="6"/>
  <c r="I249" i="6"/>
  <c r="G249" i="6"/>
  <c r="F249" i="6"/>
  <c r="E249" i="6"/>
  <c r="D249" i="6"/>
  <c r="C249" i="6"/>
  <c r="A249" i="6"/>
  <c r="K248" i="6"/>
  <c r="J248" i="6"/>
  <c r="I248" i="6"/>
  <c r="G248" i="6"/>
  <c r="F248" i="6"/>
  <c r="E248" i="6"/>
  <c r="D248" i="6"/>
  <c r="C248" i="6"/>
  <c r="A248" i="6"/>
  <c r="K247" i="6"/>
  <c r="J247" i="6"/>
  <c r="I247" i="6"/>
  <c r="G247" i="6"/>
  <c r="F247" i="6"/>
  <c r="E247" i="6"/>
  <c r="D247" i="6"/>
  <c r="C247" i="6"/>
  <c r="A247" i="6"/>
  <c r="K246" i="6"/>
  <c r="J246" i="6"/>
  <c r="I246" i="6"/>
  <c r="G246" i="6"/>
  <c r="F246" i="6"/>
  <c r="E246" i="6"/>
  <c r="D246" i="6"/>
  <c r="C246" i="6"/>
  <c r="A246" i="6"/>
  <c r="K245" i="6"/>
  <c r="J245" i="6"/>
  <c r="I245" i="6"/>
  <c r="G245" i="6"/>
  <c r="F245" i="6"/>
  <c r="E245" i="6"/>
  <c r="D245" i="6"/>
  <c r="C245" i="6"/>
  <c r="A245" i="6"/>
  <c r="K244" i="6"/>
  <c r="J244" i="6"/>
  <c r="I244" i="6"/>
  <c r="G244" i="6"/>
  <c r="F244" i="6"/>
  <c r="E244" i="6"/>
  <c r="D244" i="6"/>
  <c r="C244" i="6"/>
  <c r="A244" i="6"/>
  <c r="K243" i="6"/>
  <c r="J243" i="6"/>
  <c r="I243" i="6"/>
  <c r="G243" i="6"/>
  <c r="F243" i="6"/>
  <c r="E243" i="6"/>
  <c r="D243" i="6"/>
  <c r="C243" i="6"/>
  <c r="A243" i="6"/>
  <c r="K242" i="6"/>
  <c r="J242" i="6"/>
  <c r="I242" i="6"/>
  <c r="G242" i="6"/>
  <c r="F242" i="6"/>
  <c r="E242" i="6"/>
  <c r="D242" i="6"/>
  <c r="C242" i="6"/>
  <c r="A242" i="6"/>
  <c r="K241" i="6"/>
  <c r="J241" i="6"/>
  <c r="I241" i="6"/>
  <c r="G241" i="6"/>
  <c r="F241" i="6"/>
  <c r="E241" i="6"/>
  <c r="D241" i="6"/>
  <c r="C241" i="6"/>
  <c r="A241" i="6"/>
  <c r="K240" i="6"/>
  <c r="J240" i="6"/>
  <c r="I240" i="6"/>
  <c r="G240" i="6"/>
  <c r="F240" i="6"/>
  <c r="E240" i="6"/>
  <c r="D240" i="6"/>
  <c r="C240" i="6"/>
  <c r="A240" i="6"/>
  <c r="K239" i="6"/>
  <c r="J239" i="6"/>
  <c r="I239" i="6"/>
  <c r="G239" i="6"/>
  <c r="F239" i="6"/>
  <c r="E239" i="6"/>
  <c r="D239" i="6"/>
  <c r="C239" i="6"/>
  <c r="A239" i="6"/>
  <c r="K238" i="6"/>
  <c r="J238" i="6"/>
  <c r="I238" i="6"/>
  <c r="G238" i="6"/>
  <c r="F238" i="6"/>
  <c r="E238" i="6"/>
  <c r="D238" i="6"/>
  <c r="C238" i="6"/>
  <c r="A238" i="6"/>
  <c r="K237" i="6"/>
  <c r="J237" i="6"/>
  <c r="I237" i="6"/>
  <c r="G237" i="6"/>
  <c r="F237" i="6"/>
  <c r="E237" i="6"/>
  <c r="D237" i="6"/>
  <c r="C237" i="6"/>
  <c r="A237" i="6"/>
  <c r="K236" i="6"/>
  <c r="J236" i="6"/>
  <c r="I236" i="6"/>
  <c r="G236" i="6"/>
  <c r="F236" i="6"/>
  <c r="E236" i="6"/>
  <c r="D236" i="6"/>
  <c r="C236" i="6"/>
  <c r="A236" i="6"/>
  <c r="K235" i="6"/>
  <c r="J235" i="6"/>
  <c r="I235" i="6"/>
  <c r="G235" i="6"/>
  <c r="F235" i="6"/>
  <c r="E235" i="6"/>
  <c r="D235" i="6"/>
  <c r="C235" i="6"/>
  <c r="A235" i="6"/>
  <c r="K234" i="6"/>
  <c r="J234" i="6"/>
  <c r="I234" i="6"/>
  <c r="G234" i="6"/>
  <c r="F234" i="6"/>
  <c r="E234" i="6"/>
  <c r="D234" i="6"/>
  <c r="C234" i="6"/>
  <c r="A234" i="6"/>
  <c r="K233" i="6"/>
  <c r="J233" i="6"/>
  <c r="I233" i="6"/>
  <c r="G233" i="6"/>
  <c r="F233" i="6"/>
  <c r="E233" i="6"/>
  <c r="D233" i="6"/>
  <c r="C233" i="6"/>
  <c r="A233" i="6"/>
  <c r="K232" i="6"/>
  <c r="J232" i="6"/>
  <c r="I232" i="6"/>
  <c r="G232" i="6"/>
  <c r="F232" i="6"/>
  <c r="E232" i="6"/>
  <c r="D232" i="6"/>
  <c r="C232" i="6"/>
  <c r="A232" i="6"/>
  <c r="K231" i="6"/>
  <c r="J231" i="6"/>
  <c r="I231" i="6"/>
  <c r="G231" i="6"/>
  <c r="F231" i="6"/>
  <c r="E231" i="6"/>
  <c r="D231" i="6"/>
  <c r="C231" i="6"/>
  <c r="A231" i="6"/>
  <c r="K230" i="6"/>
  <c r="J230" i="6"/>
  <c r="I230" i="6"/>
  <c r="G230" i="6"/>
  <c r="F230" i="6"/>
  <c r="E230" i="6"/>
  <c r="D230" i="6"/>
  <c r="C230" i="6"/>
  <c r="A230" i="6"/>
  <c r="K229" i="6"/>
  <c r="J229" i="6"/>
  <c r="I229" i="6"/>
  <c r="G229" i="6"/>
  <c r="F229" i="6"/>
  <c r="E229" i="6"/>
  <c r="D229" i="6"/>
  <c r="C229" i="6"/>
  <c r="A229" i="6"/>
  <c r="K228" i="6"/>
  <c r="J228" i="6"/>
  <c r="I228" i="6"/>
  <c r="G228" i="6"/>
  <c r="F228" i="6"/>
  <c r="E228" i="6"/>
  <c r="D228" i="6"/>
  <c r="C228" i="6"/>
  <c r="A228" i="6"/>
  <c r="K227" i="6"/>
  <c r="J227" i="6"/>
  <c r="I227" i="6"/>
  <c r="G227" i="6"/>
  <c r="F227" i="6"/>
  <c r="E227" i="6"/>
  <c r="D227" i="6"/>
  <c r="C227" i="6"/>
  <c r="A227" i="6"/>
  <c r="K226" i="6"/>
  <c r="J226" i="6"/>
  <c r="I226" i="6"/>
  <c r="G226" i="6"/>
  <c r="F226" i="6"/>
  <c r="E226" i="6"/>
  <c r="D226" i="6"/>
  <c r="C226" i="6"/>
  <c r="A226" i="6"/>
  <c r="K225" i="6"/>
  <c r="J225" i="6"/>
  <c r="I225" i="6"/>
  <c r="G225" i="6"/>
  <c r="F225" i="6"/>
  <c r="E225" i="6"/>
  <c r="D225" i="6"/>
  <c r="C225" i="6"/>
  <c r="A225" i="6"/>
  <c r="K224" i="6"/>
  <c r="J224" i="6"/>
  <c r="I224" i="6"/>
  <c r="G224" i="6"/>
  <c r="F224" i="6"/>
  <c r="E224" i="6"/>
  <c r="D224" i="6"/>
  <c r="C224" i="6"/>
  <c r="A224" i="6"/>
  <c r="K223" i="6"/>
  <c r="J223" i="6"/>
  <c r="I223" i="6"/>
  <c r="G223" i="6"/>
  <c r="F223" i="6"/>
  <c r="E223" i="6"/>
  <c r="D223" i="6"/>
  <c r="C223" i="6"/>
  <c r="A223" i="6"/>
  <c r="K222" i="6"/>
  <c r="J222" i="6"/>
  <c r="I222" i="6"/>
  <c r="G222" i="6"/>
  <c r="F222" i="6"/>
  <c r="E222" i="6"/>
  <c r="D222" i="6"/>
  <c r="C222" i="6"/>
  <c r="A222" i="6"/>
  <c r="K221" i="6"/>
  <c r="J221" i="6"/>
  <c r="I221" i="6"/>
  <c r="G221" i="6"/>
  <c r="F221" i="6"/>
  <c r="E221" i="6"/>
  <c r="D221" i="6"/>
  <c r="C221" i="6"/>
  <c r="A221" i="6"/>
  <c r="K220" i="6"/>
  <c r="J220" i="6"/>
  <c r="I220" i="6"/>
  <c r="G220" i="6"/>
  <c r="F220" i="6"/>
  <c r="E220" i="6"/>
  <c r="D220" i="6"/>
  <c r="C220" i="6"/>
  <c r="A220" i="6"/>
  <c r="K219" i="6"/>
  <c r="J219" i="6"/>
  <c r="I219" i="6"/>
  <c r="G219" i="6"/>
  <c r="F219" i="6"/>
  <c r="E219" i="6"/>
  <c r="D219" i="6"/>
  <c r="C219" i="6"/>
  <c r="A219" i="6"/>
  <c r="K218" i="6"/>
  <c r="J218" i="6"/>
  <c r="I218" i="6"/>
  <c r="G218" i="6"/>
  <c r="F218" i="6"/>
  <c r="E218" i="6"/>
  <c r="D218" i="6"/>
  <c r="C218" i="6"/>
  <c r="A218" i="6"/>
  <c r="K217" i="6"/>
  <c r="J217" i="6"/>
  <c r="I217" i="6"/>
  <c r="G217" i="6"/>
  <c r="F217" i="6"/>
  <c r="E217" i="6"/>
  <c r="D217" i="6"/>
  <c r="C217" i="6"/>
  <c r="A217" i="6"/>
  <c r="K216" i="6"/>
  <c r="J216" i="6"/>
  <c r="I216" i="6"/>
  <c r="G216" i="6"/>
  <c r="F216" i="6"/>
  <c r="E216" i="6"/>
  <c r="D216" i="6"/>
  <c r="C216" i="6"/>
  <c r="A216" i="6"/>
  <c r="K215" i="6"/>
  <c r="J215" i="6"/>
  <c r="I215" i="6"/>
  <c r="G215" i="6"/>
  <c r="F215" i="6"/>
  <c r="E215" i="6"/>
  <c r="D215" i="6"/>
  <c r="C215" i="6"/>
  <c r="A215" i="6"/>
  <c r="K214" i="6"/>
  <c r="J214" i="6"/>
  <c r="I214" i="6"/>
  <c r="G214" i="6"/>
  <c r="F214" i="6"/>
  <c r="E214" i="6"/>
  <c r="D214" i="6"/>
  <c r="C214" i="6"/>
  <c r="A214" i="6"/>
  <c r="K213" i="6"/>
  <c r="J213" i="6"/>
  <c r="I213" i="6"/>
  <c r="G213" i="6"/>
  <c r="F213" i="6"/>
  <c r="E213" i="6"/>
  <c r="D213" i="6"/>
  <c r="C213" i="6"/>
  <c r="A213" i="6"/>
  <c r="K212" i="6"/>
  <c r="J212" i="6"/>
  <c r="I212" i="6"/>
  <c r="G212" i="6"/>
  <c r="F212" i="6"/>
  <c r="E212" i="6"/>
  <c r="D212" i="6"/>
  <c r="C212" i="6"/>
  <c r="A212" i="6"/>
  <c r="K211" i="6"/>
  <c r="J211" i="6"/>
  <c r="I211" i="6"/>
  <c r="G211" i="6"/>
  <c r="F211" i="6"/>
  <c r="E211" i="6"/>
  <c r="D211" i="6"/>
  <c r="C211" i="6"/>
  <c r="A211" i="6"/>
  <c r="K210" i="6"/>
  <c r="J210" i="6"/>
  <c r="I210" i="6"/>
  <c r="G210" i="6"/>
  <c r="F210" i="6"/>
  <c r="E210" i="6"/>
  <c r="D210" i="6"/>
  <c r="C210" i="6"/>
  <c r="A210" i="6"/>
  <c r="K209" i="6"/>
  <c r="J209" i="6"/>
  <c r="I209" i="6"/>
  <c r="G209" i="6"/>
  <c r="F209" i="6"/>
  <c r="E209" i="6"/>
  <c r="D209" i="6"/>
  <c r="C209" i="6"/>
  <c r="A209" i="6"/>
  <c r="K208" i="6"/>
  <c r="J208" i="6"/>
  <c r="I208" i="6"/>
  <c r="G208" i="6"/>
  <c r="F208" i="6"/>
  <c r="E208" i="6"/>
  <c r="D208" i="6"/>
  <c r="C208" i="6"/>
  <c r="A208" i="6"/>
  <c r="K207" i="6"/>
  <c r="J207" i="6"/>
  <c r="I207" i="6"/>
  <c r="G207" i="6"/>
  <c r="F207" i="6"/>
  <c r="E207" i="6"/>
  <c r="D207" i="6"/>
  <c r="C207" i="6"/>
  <c r="A207" i="6"/>
  <c r="K206" i="6"/>
  <c r="J206" i="6"/>
  <c r="I206" i="6"/>
  <c r="G206" i="6"/>
  <c r="F206" i="6"/>
  <c r="E206" i="6"/>
  <c r="D206" i="6"/>
  <c r="C206" i="6"/>
  <c r="A206" i="6"/>
  <c r="K205" i="6"/>
  <c r="J205" i="6"/>
  <c r="I205" i="6"/>
  <c r="G205" i="6"/>
  <c r="F205" i="6"/>
  <c r="E205" i="6"/>
  <c r="D205" i="6"/>
  <c r="C205" i="6"/>
  <c r="A205" i="6"/>
  <c r="K204" i="6"/>
  <c r="J204" i="6"/>
  <c r="I204" i="6"/>
  <c r="G204" i="6"/>
  <c r="F204" i="6"/>
  <c r="E204" i="6"/>
  <c r="D204" i="6"/>
  <c r="C204" i="6"/>
  <c r="A204" i="6"/>
  <c r="K203" i="6"/>
  <c r="J203" i="6"/>
  <c r="I203" i="6"/>
  <c r="G203" i="6"/>
  <c r="F203" i="6"/>
  <c r="E203" i="6"/>
  <c r="D203" i="6"/>
  <c r="C203" i="6"/>
  <c r="A203" i="6"/>
  <c r="K202" i="6"/>
  <c r="J202" i="6"/>
  <c r="I202" i="6"/>
  <c r="G202" i="6"/>
  <c r="F202" i="6"/>
  <c r="E202" i="6"/>
  <c r="D202" i="6"/>
  <c r="C202" i="6"/>
  <c r="A202" i="6"/>
  <c r="K201" i="6"/>
  <c r="J201" i="6"/>
  <c r="I201" i="6"/>
  <c r="G201" i="6"/>
  <c r="F201" i="6"/>
  <c r="E201" i="6"/>
  <c r="D201" i="6"/>
  <c r="C201" i="6"/>
  <c r="A201" i="6"/>
  <c r="K200" i="6"/>
  <c r="J200" i="6"/>
  <c r="I200" i="6"/>
  <c r="G200" i="6"/>
  <c r="F200" i="6"/>
  <c r="E200" i="6"/>
  <c r="D200" i="6"/>
  <c r="C200" i="6"/>
  <c r="A200" i="6"/>
  <c r="K199" i="6"/>
  <c r="J199" i="6"/>
  <c r="I199" i="6"/>
  <c r="G199" i="6"/>
  <c r="F199" i="6"/>
  <c r="E199" i="6"/>
  <c r="D199" i="6"/>
  <c r="C199" i="6"/>
  <c r="A199" i="6"/>
  <c r="K198" i="6"/>
  <c r="J198" i="6"/>
  <c r="I198" i="6"/>
  <c r="G198" i="6"/>
  <c r="F198" i="6"/>
  <c r="E198" i="6"/>
  <c r="D198" i="6"/>
  <c r="C198" i="6"/>
  <c r="A198" i="6"/>
  <c r="K197" i="6"/>
  <c r="J197" i="6"/>
  <c r="I197" i="6"/>
  <c r="G197" i="6"/>
  <c r="F197" i="6"/>
  <c r="E197" i="6"/>
  <c r="D197" i="6"/>
  <c r="C197" i="6"/>
  <c r="A197" i="6"/>
  <c r="K196" i="6"/>
  <c r="J196" i="6"/>
  <c r="I196" i="6"/>
  <c r="G196" i="6"/>
  <c r="F196" i="6"/>
  <c r="E196" i="6"/>
  <c r="D196" i="6"/>
  <c r="C196" i="6"/>
  <c r="A196" i="6"/>
  <c r="K195" i="6"/>
  <c r="J195" i="6"/>
  <c r="I195" i="6"/>
  <c r="G195" i="6"/>
  <c r="F195" i="6"/>
  <c r="E195" i="6"/>
  <c r="D195" i="6"/>
  <c r="C195" i="6"/>
  <c r="A195" i="6"/>
  <c r="K194" i="6"/>
  <c r="J194" i="6"/>
  <c r="I194" i="6"/>
  <c r="G194" i="6"/>
  <c r="F194" i="6"/>
  <c r="E194" i="6"/>
  <c r="D194" i="6"/>
  <c r="C194" i="6"/>
  <c r="A194" i="6"/>
  <c r="K193" i="6"/>
  <c r="J193" i="6"/>
  <c r="I193" i="6"/>
  <c r="G193" i="6"/>
  <c r="F193" i="6"/>
  <c r="E193" i="6"/>
  <c r="D193" i="6"/>
  <c r="C193" i="6"/>
  <c r="A193" i="6"/>
  <c r="K192" i="6"/>
  <c r="J192" i="6"/>
  <c r="I192" i="6"/>
  <c r="G192" i="6"/>
  <c r="F192" i="6"/>
  <c r="E192" i="6"/>
  <c r="D192" i="6"/>
  <c r="C192" i="6"/>
  <c r="A192" i="6"/>
  <c r="K191" i="6"/>
  <c r="J191" i="6"/>
  <c r="I191" i="6"/>
  <c r="G191" i="6"/>
  <c r="F191" i="6"/>
  <c r="E191" i="6"/>
  <c r="D191" i="6"/>
  <c r="C191" i="6"/>
  <c r="A191" i="6"/>
  <c r="K190" i="6"/>
  <c r="J190" i="6"/>
  <c r="I190" i="6"/>
  <c r="G190" i="6"/>
  <c r="F190" i="6"/>
  <c r="E190" i="6"/>
  <c r="D190" i="6"/>
  <c r="C190" i="6"/>
  <c r="A190" i="6"/>
  <c r="K189" i="6"/>
  <c r="J189" i="6"/>
  <c r="I189" i="6"/>
  <c r="G189" i="6"/>
  <c r="F189" i="6"/>
  <c r="E189" i="6"/>
  <c r="D189" i="6"/>
  <c r="C189" i="6"/>
  <c r="A189" i="6"/>
  <c r="K188" i="6"/>
  <c r="J188" i="6"/>
  <c r="I188" i="6"/>
  <c r="G188" i="6"/>
  <c r="F188" i="6"/>
  <c r="E188" i="6"/>
  <c r="D188" i="6"/>
  <c r="C188" i="6"/>
  <c r="A188" i="6"/>
  <c r="K187" i="6"/>
  <c r="J187" i="6"/>
  <c r="I187" i="6"/>
  <c r="G187" i="6"/>
  <c r="F187" i="6"/>
  <c r="E187" i="6"/>
  <c r="D187" i="6"/>
  <c r="C187" i="6"/>
  <c r="A187" i="6"/>
  <c r="K186" i="6"/>
  <c r="J186" i="6"/>
  <c r="I186" i="6"/>
  <c r="G186" i="6"/>
  <c r="F186" i="6"/>
  <c r="E186" i="6"/>
  <c r="D186" i="6"/>
  <c r="C186" i="6"/>
  <c r="A186" i="6"/>
  <c r="K185" i="6"/>
  <c r="J185" i="6"/>
  <c r="I185" i="6"/>
  <c r="G185" i="6"/>
  <c r="F185" i="6"/>
  <c r="E185" i="6"/>
  <c r="D185" i="6"/>
  <c r="C185" i="6"/>
  <c r="A185" i="6"/>
  <c r="K184" i="6"/>
  <c r="J184" i="6"/>
  <c r="I184" i="6"/>
  <c r="G184" i="6"/>
  <c r="F184" i="6"/>
  <c r="E184" i="6"/>
  <c r="D184" i="6"/>
  <c r="C184" i="6"/>
  <c r="A184" i="6"/>
  <c r="K183" i="6"/>
  <c r="J183" i="6"/>
  <c r="I183" i="6"/>
  <c r="G183" i="6"/>
  <c r="F183" i="6"/>
  <c r="E183" i="6"/>
  <c r="D183" i="6"/>
  <c r="C183" i="6"/>
  <c r="A183" i="6"/>
  <c r="K182" i="6"/>
  <c r="J182" i="6"/>
  <c r="I182" i="6"/>
  <c r="G182" i="6"/>
  <c r="F182" i="6"/>
  <c r="E182" i="6"/>
  <c r="D182" i="6"/>
  <c r="C182" i="6"/>
  <c r="A182" i="6"/>
  <c r="K181" i="6"/>
  <c r="J181" i="6"/>
  <c r="I181" i="6"/>
  <c r="G181" i="6"/>
  <c r="F181" i="6"/>
  <c r="E181" i="6"/>
  <c r="D181" i="6"/>
  <c r="C181" i="6"/>
  <c r="A181" i="6"/>
  <c r="K180" i="6"/>
  <c r="J180" i="6"/>
  <c r="I180" i="6"/>
  <c r="G180" i="6"/>
  <c r="F180" i="6"/>
  <c r="E180" i="6"/>
  <c r="D180" i="6"/>
  <c r="C180" i="6"/>
  <c r="A180" i="6"/>
  <c r="K179" i="6"/>
  <c r="J179" i="6"/>
  <c r="I179" i="6"/>
  <c r="G179" i="6"/>
  <c r="F179" i="6"/>
  <c r="E179" i="6"/>
  <c r="D179" i="6"/>
  <c r="C179" i="6"/>
  <c r="A179" i="6"/>
  <c r="K178" i="6"/>
  <c r="J178" i="6"/>
  <c r="I178" i="6"/>
  <c r="G178" i="6"/>
  <c r="F178" i="6"/>
  <c r="E178" i="6"/>
  <c r="D178" i="6"/>
  <c r="C178" i="6"/>
  <c r="A178" i="6"/>
  <c r="K177" i="6"/>
  <c r="J177" i="6"/>
  <c r="I177" i="6"/>
  <c r="G177" i="6"/>
  <c r="F177" i="6"/>
  <c r="E177" i="6"/>
  <c r="D177" i="6"/>
  <c r="C177" i="6"/>
  <c r="A177" i="6"/>
  <c r="K176" i="6"/>
  <c r="J176" i="6"/>
  <c r="I176" i="6"/>
  <c r="G176" i="6"/>
  <c r="F176" i="6"/>
  <c r="E176" i="6"/>
  <c r="D176" i="6"/>
  <c r="C176" i="6"/>
  <c r="A176" i="6"/>
  <c r="K175" i="6"/>
  <c r="J175" i="6"/>
  <c r="I175" i="6"/>
  <c r="G175" i="6"/>
  <c r="F175" i="6"/>
  <c r="E175" i="6"/>
  <c r="D175" i="6"/>
  <c r="C175" i="6"/>
  <c r="A175" i="6"/>
  <c r="K174" i="6"/>
  <c r="J174" i="6"/>
  <c r="I174" i="6"/>
  <c r="G174" i="6"/>
  <c r="F174" i="6"/>
  <c r="E174" i="6"/>
  <c r="D174" i="6"/>
  <c r="C174" i="6"/>
  <c r="A174" i="6"/>
  <c r="K173" i="6"/>
  <c r="J173" i="6"/>
  <c r="I173" i="6"/>
  <c r="G173" i="6"/>
  <c r="F173" i="6"/>
  <c r="E173" i="6"/>
  <c r="D173" i="6"/>
  <c r="C173" i="6"/>
  <c r="A173" i="6"/>
  <c r="K172" i="6"/>
  <c r="J172" i="6"/>
  <c r="I172" i="6"/>
  <c r="G172" i="6"/>
  <c r="F172" i="6"/>
  <c r="E172" i="6"/>
  <c r="D172" i="6"/>
  <c r="C172" i="6"/>
  <c r="A172" i="6"/>
  <c r="K171" i="6"/>
  <c r="J171" i="6"/>
  <c r="I171" i="6"/>
  <c r="G171" i="6"/>
  <c r="F171" i="6"/>
  <c r="E171" i="6"/>
  <c r="D171" i="6"/>
  <c r="C171" i="6"/>
  <c r="A171" i="6"/>
  <c r="K170" i="6"/>
  <c r="J170" i="6"/>
  <c r="I170" i="6"/>
  <c r="G170" i="6"/>
  <c r="F170" i="6"/>
  <c r="E170" i="6"/>
  <c r="D170" i="6"/>
  <c r="C170" i="6"/>
  <c r="A170" i="6"/>
  <c r="K169" i="6"/>
  <c r="J169" i="6"/>
  <c r="I169" i="6"/>
  <c r="G169" i="6"/>
  <c r="F169" i="6"/>
  <c r="E169" i="6"/>
  <c r="D169" i="6"/>
  <c r="C169" i="6"/>
  <c r="A169" i="6"/>
  <c r="K168" i="6"/>
  <c r="J168" i="6"/>
  <c r="I168" i="6"/>
  <c r="G168" i="6"/>
  <c r="F168" i="6"/>
  <c r="E168" i="6"/>
  <c r="D168" i="6"/>
  <c r="C168" i="6"/>
  <c r="A168" i="6"/>
  <c r="K167" i="6"/>
  <c r="J167" i="6"/>
  <c r="I167" i="6"/>
  <c r="G167" i="6"/>
  <c r="F167" i="6"/>
  <c r="E167" i="6"/>
  <c r="D167" i="6"/>
  <c r="C167" i="6"/>
  <c r="A167" i="6"/>
  <c r="K166" i="6"/>
  <c r="J166" i="6"/>
  <c r="I166" i="6"/>
  <c r="G166" i="6"/>
  <c r="F166" i="6"/>
  <c r="E166" i="6"/>
  <c r="D166" i="6"/>
  <c r="C166" i="6"/>
  <c r="A166" i="6"/>
  <c r="K165" i="6"/>
  <c r="J165" i="6"/>
  <c r="I165" i="6"/>
  <c r="G165" i="6"/>
  <c r="F165" i="6"/>
  <c r="E165" i="6"/>
  <c r="D165" i="6"/>
  <c r="C165" i="6"/>
  <c r="A165" i="6"/>
  <c r="K164" i="6"/>
  <c r="J164" i="6"/>
  <c r="I164" i="6"/>
  <c r="G164" i="6"/>
  <c r="F164" i="6"/>
  <c r="E164" i="6"/>
  <c r="D164" i="6"/>
  <c r="C164" i="6"/>
  <c r="A164" i="6"/>
  <c r="K163" i="6"/>
  <c r="J163" i="6"/>
  <c r="I163" i="6"/>
  <c r="G163" i="6"/>
  <c r="F163" i="6"/>
  <c r="E163" i="6"/>
  <c r="D163" i="6"/>
  <c r="C163" i="6"/>
  <c r="A163" i="6"/>
  <c r="K162" i="6"/>
  <c r="J162" i="6"/>
  <c r="I162" i="6"/>
  <c r="G162" i="6"/>
  <c r="F162" i="6"/>
  <c r="E162" i="6"/>
  <c r="D162" i="6"/>
  <c r="C162" i="6"/>
  <c r="A162" i="6"/>
  <c r="K161" i="6"/>
  <c r="J161" i="6"/>
  <c r="I161" i="6"/>
  <c r="G161" i="6"/>
  <c r="F161" i="6"/>
  <c r="E161" i="6"/>
  <c r="D161" i="6"/>
  <c r="C161" i="6"/>
  <c r="A161" i="6"/>
  <c r="K160" i="6"/>
  <c r="J160" i="6"/>
  <c r="I160" i="6"/>
  <c r="G160" i="6"/>
  <c r="F160" i="6"/>
  <c r="E160" i="6"/>
  <c r="D160" i="6"/>
  <c r="C160" i="6"/>
  <c r="A160" i="6"/>
  <c r="K159" i="6"/>
  <c r="J159" i="6"/>
  <c r="I159" i="6"/>
  <c r="G159" i="6"/>
  <c r="F159" i="6"/>
  <c r="E159" i="6"/>
  <c r="D159" i="6"/>
  <c r="C159" i="6"/>
  <c r="A159" i="6"/>
  <c r="K158" i="6"/>
  <c r="J158" i="6"/>
  <c r="I158" i="6"/>
  <c r="G158" i="6"/>
  <c r="F158" i="6"/>
  <c r="E158" i="6"/>
  <c r="D158" i="6"/>
  <c r="C158" i="6"/>
  <c r="A158" i="6"/>
  <c r="K157" i="6"/>
  <c r="J157" i="6"/>
  <c r="I157" i="6"/>
  <c r="G157" i="6"/>
  <c r="F157" i="6"/>
  <c r="E157" i="6"/>
  <c r="D157" i="6"/>
  <c r="C157" i="6"/>
  <c r="A157" i="6"/>
  <c r="K156" i="6"/>
  <c r="J156" i="6"/>
  <c r="I156" i="6"/>
  <c r="G156" i="6"/>
  <c r="F156" i="6"/>
  <c r="E156" i="6"/>
  <c r="D156" i="6"/>
  <c r="C156" i="6"/>
  <c r="A156" i="6"/>
  <c r="K155" i="6"/>
  <c r="J155" i="6"/>
  <c r="I155" i="6"/>
  <c r="G155" i="6"/>
  <c r="F155" i="6"/>
  <c r="E155" i="6"/>
  <c r="D155" i="6"/>
  <c r="C155" i="6"/>
  <c r="A155" i="6"/>
  <c r="K154" i="6"/>
  <c r="J154" i="6"/>
  <c r="I154" i="6"/>
  <c r="G154" i="6"/>
  <c r="F154" i="6"/>
  <c r="E154" i="6"/>
  <c r="D154" i="6"/>
  <c r="C154" i="6"/>
  <c r="A154" i="6"/>
  <c r="K153" i="6"/>
  <c r="J153" i="6"/>
  <c r="I153" i="6"/>
  <c r="G153" i="6"/>
  <c r="F153" i="6"/>
  <c r="E153" i="6"/>
  <c r="D153" i="6"/>
  <c r="C153" i="6"/>
  <c r="A153" i="6"/>
  <c r="K152" i="6"/>
  <c r="J152" i="6"/>
  <c r="I152" i="6"/>
  <c r="G152" i="6"/>
  <c r="F152" i="6"/>
  <c r="E152" i="6"/>
  <c r="D152" i="6"/>
  <c r="C152" i="6"/>
  <c r="A152" i="6"/>
  <c r="K151" i="6"/>
  <c r="J151" i="6"/>
  <c r="I151" i="6"/>
  <c r="G151" i="6"/>
  <c r="F151" i="6"/>
  <c r="E151" i="6"/>
  <c r="D151" i="6"/>
  <c r="C151" i="6"/>
  <c r="A151" i="6"/>
  <c r="K150" i="6"/>
  <c r="J150" i="6"/>
  <c r="I150" i="6"/>
  <c r="G150" i="6"/>
  <c r="F150" i="6"/>
  <c r="E150" i="6"/>
  <c r="D150" i="6"/>
  <c r="C150" i="6"/>
  <c r="A150" i="6"/>
  <c r="K149" i="6"/>
  <c r="J149" i="6"/>
  <c r="I149" i="6"/>
  <c r="G149" i="6"/>
  <c r="F149" i="6"/>
  <c r="E149" i="6"/>
  <c r="D149" i="6"/>
  <c r="C149" i="6"/>
  <c r="A149" i="6"/>
  <c r="K148" i="6"/>
  <c r="J148" i="6"/>
  <c r="I148" i="6"/>
  <c r="G148" i="6"/>
  <c r="F148" i="6"/>
  <c r="E148" i="6"/>
  <c r="D148" i="6"/>
  <c r="C148" i="6"/>
  <c r="A148" i="6"/>
  <c r="K147" i="6"/>
  <c r="J147" i="6"/>
  <c r="I147" i="6"/>
  <c r="G147" i="6"/>
  <c r="F147" i="6"/>
  <c r="E147" i="6"/>
  <c r="D147" i="6"/>
  <c r="C147" i="6"/>
  <c r="A147" i="6"/>
  <c r="K146" i="6"/>
  <c r="J146" i="6"/>
  <c r="I146" i="6"/>
  <c r="G146" i="6"/>
  <c r="F146" i="6"/>
  <c r="E146" i="6"/>
  <c r="D146" i="6"/>
  <c r="C146" i="6"/>
  <c r="A146" i="6"/>
  <c r="K145" i="6"/>
  <c r="J145" i="6"/>
  <c r="I145" i="6"/>
  <c r="G145" i="6"/>
  <c r="F145" i="6"/>
  <c r="E145" i="6"/>
  <c r="D145" i="6"/>
  <c r="C145" i="6"/>
  <c r="A145" i="6"/>
  <c r="K144" i="6"/>
  <c r="J144" i="6"/>
  <c r="I144" i="6"/>
  <c r="G144" i="6"/>
  <c r="F144" i="6"/>
  <c r="E144" i="6"/>
  <c r="D144" i="6"/>
  <c r="C144" i="6"/>
  <c r="A144" i="6"/>
  <c r="K143" i="6"/>
  <c r="J143" i="6"/>
  <c r="I143" i="6"/>
  <c r="G143" i="6"/>
  <c r="F143" i="6"/>
  <c r="E143" i="6"/>
  <c r="D143" i="6"/>
  <c r="C143" i="6"/>
  <c r="A143" i="6"/>
  <c r="K142" i="6"/>
  <c r="J142" i="6"/>
  <c r="I142" i="6"/>
  <c r="G142" i="6"/>
  <c r="F142" i="6"/>
  <c r="E142" i="6"/>
  <c r="D142" i="6"/>
  <c r="C142" i="6"/>
  <c r="A142" i="6"/>
  <c r="K141" i="6"/>
  <c r="J141" i="6"/>
  <c r="I141" i="6"/>
  <c r="G141" i="6"/>
  <c r="F141" i="6"/>
  <c r="E141" i="6"/>
  <c r="D141" i="6"/>
  <c r="C141" i="6"/>
  <c r="A141" i="6"/>
  <c r="K140" i="6"/>
  <c r="J140" i="6"/>
  <c r="I140" i="6"/>
  <c r="G140" i="6"/>
  <c r="F140" i="6"/>
  <c r="E140" i="6"/>
  <c r="D140" i="6"/>
  <c r="C140" i="6"/>
  <c r="A140" i="6"/>
  <c r="K139" i="6"/>
  <c r="J139" i="6"/>
  <c r="I139" i="6"/>
  <c r="G139" i="6"/>
  <c r="F139" i="6"/>
  <c r="E139" i="6"/>
  <c r="D139" i="6"/>
  <c r="C139" i="6"/>
  <c r="A139" i="6"/>
  <c r="K138" i="6"/>
  <c r="J138" i="6"/>
  <c r="I138" i="6"/>
  <c r="G138" i="6"/>
  <c r="F138" i="6"/>
  <c r="E138" i="6"/>
  <c r="D138" i="6"/>
  <c r="C138" i="6"/>
  <c r="A138" i="6"/>
  <c r="K137" i="6"/>
  <c r="J137" i="6"/>
  <c r="I137" i="6"/>
  <c r="G137" i="6"/>
  <c r="F137" i="6"/>
  <c r="E137" i="6"/>
  <c r="D137" i="6"/>
  <c r="C137" i="6"/>
  <c r="A137" i="6"/>
  <c r="K136" i="6"/>
  <c r="J136" i="6"/>
  <c r="I136" i="6"/>
  <c r="G136" i="6"/>
  <c r="F136" i="6"/>
  <c r="E136" i="6"/>
  <c r="D136" i="6"/>
  <c r="C136" i="6"/>
  <c r="A136" i="6"/>
  <c r="K135" i="6"/>
  <c r="J135" i="6"/>
  <c r="I135" i="6"/>
  <c r="G135" i="6"/>
  <c r="F135" i="6"/>
  <c r="E135" i="6"/>
  <c r="D135" i="6"/>
  <c r="C135" i="6"/>
  <c r="A135" i="6"/>
  <c r="K134" i="6"/>
  <c r="J134" i="6"/>
  <c r="I134" i="6"/>
  <c r="G134" i="6"/>
  <c r="F134" i="6"/>
  <c r="E134" i="6"/>
  <c r="D134" i="6"/>
  <c r="C134" i="6"/>
  <c r="A134" i="6"/>
  <c r="K133" i="6"/>
  <c r="J133" i="6"/>
  <c r="I133" i="6"/>
  <c r="G133" i="6"/>
  <c r="F133" i="6"/>
  <c r="E133" i="6"/>
  <c r="D133" i="6"/>
  <c r="C133" i="6"/>
  <c r="A133" i="6"/>
  <c r="K132" i="6"/>
  <c r="J132" i="6"/>
  <c r="I132" i="6"/>
  <c r="G132" i="6"/>
  <c r="F132" i="6"/>
  <c r="E132" i="6"/>
  <c r="D132" i="6"/>
  <c r="C132" i="6"/>
  <c r="A132" i="6"/>
  <c r="K131" i="6"/>
  <c r="J131" i="6"/>
  <c r="I131" i="6"/>
  <c r="G131" i="6"/>
  <c r="F131" i="6"/>
  <c r="E131" i="6"/>
  <c r="D131" i="6"/>
  <c r="C131" i="6"/>
  <c r="A131" i="6"/>
  <c r="K130" i="6"/>
  <c r="J130" i="6"/>
  <c r="I130" i="6"/>
  <c r="G130" i="6"/>
  <c r="F130" i="6"/>
  <c r="E130" i="6"/>
  <c r="D130" i="6"/>
  <c r="C130" i="6"/>
  <c r="A130" i="6"/>
  <c r="K129" i="6"/>
  <c r="J129" i="6"/>
  <c r="I129" i="6"/>
  <c r="G129" i="6"/>
  <c r="F129" i="6"/>
  <c r="E129" i="6"/>
  <c r="D129" i="6"/>
  <c r="C129" i="6"/>
  <c r="A129" i="6"/>
  <c r="K128" i="6"/>
  <c r="J128" i="6"/>
  <c r="I128" i="6"/>
  <c r="G128" i="6"/>
  <c r="F128" i="6"/>
  <c r="E128" i="6"/>
  <c r="D128" i="6"/>
  <c r="C128" i="6"/>
  <c r="A128" i="6"/>
  <c r="K127" i="6"/>
  <c r="J127" i="6"/>
  <c r="I127" i="6"/>
  <c r="G127" i="6"/>
  <c r="F127" i="6"/>
  <c r="E127" i="6"/>
  <c r="D127" i="6"/>
  <c r="C127" i="6"/>
  <c r="A127" i="6"/>
  <c r="K126" i="6"/>
  <c r="J126" i="6"/>
  <c r="I126" i="6"/>
  <c r="G126" i="6"/>
  <c r="F126" i="6"/>
  <c r="E126" i="6"/>
  <c r="D126" i="6"/>
  <c r="C126" i="6"/>
  <c r="A126" i="6"/>
  <c r="K125" i="6"/>
  <c r="J125" i="6"/>
  <c r="I125" i="6"/>
  <c r="G125" i="6"/>
  <c r="F125" i="6"/>
  <c r="E125" i="6"/>
  <c r="D125" i="6"/>
  <c r="C125" i="6"/>
  <c r="A125" i="6"/>
  <c r="K124" i="6"/>
  <c r="J124" i="6"/>
  <c r="I124" i="6"/>
  <c r="G124" i="6"/>
  <c r="F124" i="6"/>
  <c r="E124" i="6"/>
  <c r="D124" i="6"/>
  <c r="C124" i="6"/>
  <c r="A124" i="6"/>
  <c r="K123" i="6"/>
  <c r="J123" i="6"/>
  <c r="I123" i="6"/>
  <c r="G123" i="6"/>
  <c r="F123" i="6"/>
  <c r="E123" i="6"/>
  <c r="D123" i="6"/>
  <c r="C123" i="6"/>
  <c r="A123" i="6"/>
  <c r="K122" i="6"/>
  <c r="J122" i="6"/>
  <c r="I122" i="6"/>
  <c r="G122" i="6"/>
  <c r="F122" i="6"/>
  <c r="E122" i="6"/>
  <c r="D122" i="6"/>
  <c r="C122" i="6"/>
  <c r="A122" i="6"/>
  <c r="K121" i="6"/>
  <c r="J121" i="6"/>
  <c r="I121" i="6"/>
  <c r="G121" i="6"/>
  <c r="F121" i="6"/>
  <c r="E121" i="6"/>
  <c r="D121" i="6"/>
  <c r="C121" i="6"/>
  <c r="A121" i="6"/>
  <c r="K120" i="6"/>
  <c r="J120" i="6"/>
  <c r="I120" i="6"/>
  <c r="G120" i="6"/>
  <c r="F120" i="6"/>
  <c r="E120" i="6"/>
  <c r="D120" i="6"/>
  <c r="C120" i="6"/>
  <c r="A120" i="6"/>
  <c r="K119" i="6"/>
  <c r="J119" i="6"/>
  <c r="I119" i="6"/>
  <c r="G119" i="6"/>
  <c r="F119" i="6"/>
  <c r="E119" i="6"/>
  <c r="D119" i="6"/>
  <c r="C119" i="6"/>
  <c r="A119" i="6"/>
  <c r="K118" i="6"/>
  <c r="J118" i="6"/>
  <c r="I118" i="6"/>
  <c r="G118" i="6"/>
  <c r="F118" i="6"/>
  <c r="E118" i="6"/>
  <c r="D118" i="6"/>
  <c r="C118" i="6"/>
  <c r="A118" i="6"/>
  <c r="K117" i="6"/>
  <c r="J117" i="6"/>
  <c r="I117" i="6"/>
  <c r="G117" i="6"/>
  <c r="F117" i="6"/>
  <c r="E117" i="6"/>
  <c r="D117" i="6"/>
  <c r="C117" i="6"/>
  <c r="A117" i="6"/>
  <c r="K116" i="6"/>
  <c r="J116" i="6"/>
  <c r="I116" i="6"/>
  <c r="G116" i="6"/>
  <c r="F116" i="6"/>
  <c r="E116" i="6"/>
  <c r="D116" i="6"/>
  <c r="C116" i="6"/>
  <c r="A116" i="6"/>
  <c r="K115" i="6"/>
  <c r="J115" i="6"/>
  <c r="I115" i="6"/>
  <c r="G115" i="6"/>
  <c r="F115" i="6"/>
  <c r="E115" i="6"/>
  <c r="D115" i="6"/>
  <c r="C115" i="6"/>
  <c r="A115" i="6"/>
  <c r="K114" i="6"/>
  <c r="J114" i="6"/>
  <c r="I114" i="6"/>
  <c r="G114" i="6"/>
  <c r="F114" i="6"/>
  <c r="E114" i="6"/>
  <c r="D114" i="6"/>
  <c r="C114" i="6"/>
  <c r="A114" i="6"/>
  <c r="K113" i="6"/>
  <c r="J113" i="6"/>
  <c r="I113" i="6"/>
  <c r="G113" i="6"/>
  <c r="F113" i="6"/>
  <c r="E113" i="6"/>
  <c r="D113" i="6"/>
  <c r="C113" i="6"/>
  <c r="A113" i="6"/>
  <c r="K112" i="6"/>
  <c r="J112" i="6"/>
  <c r="I112" i="6"/>
  <c r="G112" i="6"/>
  <c r="F112" i="6"/>
  <c r="E112" i="6"/>
  <c r="D112" i="6"/>
  <c r="C112" i="6"/>
  <c r="A112" i="6"/>
  <c r="K111" i="6"/>
  <c r="J111" i="6"/>
  <c r="I111" i="6"/>
  <c r="G111" i="6"/>
  <c r="F111" i="6"/>
  <c r="E111" i="6"/>
  <c r="D111" i="6"/>
  <c r="C111" i="6"/>
  <c r="A111" i="6"/>
  <c r="K110" i="6"/>
  <c r="J110" i="6"/>
  <c r="I110" i="6"/>
  <c r="G110" i="6"/>
  <c r="F110" i="6"/>
  <c r="E110" i="6"/>
  <c r="D110" i="6"/>
  <c r="C110" i="6"/>
  <c r="A110" i="6"/>
  <c r="K109" i="6"/>
  <c r="J109" i="6"/>
  <c r="I109" i="6"/>
  <c r="G109" i="6"/>
  <c r="F109" i="6"/>
  <c r="E109" i="6"/>
  <c r="D109" i="6"/>
  <c r="C109" i="6"/>
  <c r="A109" i="6"/>
  <c r="K108" i="6"/>
  <c r="J108" i="6"/>
  <c r="I108" i="6"/>
  <c r="G108" i="6"/>
  <c r="F108" i="6"/>
  <c r="E108" i="6"/>
  <c r="D108" i="6"/>
  <c r="C108" i="6"/>
  <c r="A108" i="6"/>
  <c r="K107" i="6"/>
  <c r="J107" i="6"/>
  <c r="I107" i="6"/>
  <c r="G107" i="6"/>
  <c r="F107" i="6"/>
  <c r="E107" i="6"/>
  <c r="D107" i="6"/>
  <c r="C107" i="6"/>
  <c r="A107" i="6"/>
  <c r="K106" i="6"/>
  <c r="J106" i="6"/>
  <c r="I106" i="6"/>
  <c r="G106" i="6"/>
  <c r="F106" i="6"/>
  <c r="E106" i="6"/>
  <c r="D106" i="6"/>
  <c r="C106" i="6"/>
  <c r="A106" i="6"/>
  <c r="K105" i="6"/>
  <c r="J105" i="6"/>
  <c r="I105" i="6"/>
  <c r="G105" i="6"/>
  <c r="F105" i="6"/>
  <c r="E105" i="6"/>
  <c r="D105" i="6"/>
  <c r="C105" i="6"/>
  <c r="A105" i="6"/>
  <c r="K104" i="6"/>
  <c r="J104" i="6"/>
  <c r="I104" i="6"/>
  <c r="G104" i="6"/>
  <c r="F104" i="6"/>
  <c r="E104" i="6"/>
  <c r="D104" i="6"/>
  <c r="C104" i="6"/>
  <c r="A104" i="6"/>
  <c r="K103" i="6"/>
  <c r="J103" i="6"/>
  <c r="I103" i="6"/>
  <c r="G103" i="6"/>
  <c r="F103" i="6"/>
  <c r="E103" i="6"/>
  <c r="D103" i="6"/>
  <c r="C103" i="6"/>
  <c r="A103" i="6"/>
  <c r="K102" i="6"/>
  <c r="J102" i="6"/>
  <c r="I102" i="6"/>
  <c r="G102" i="6"/>
  <c r="F102" i="6"/>
  <c r="E102" i="6"/>
  <c r="D102" i="6"/>
  <c r="C102" i="6"/>
  <c r="A102" i="6"/>
  <c r="K101" i="6"/>
  <c r="J101" i="6"/>
  <c r="I101" i="6"/>
  <c r="G101" i="6"/>
  <c r="F101" i="6"/>
  <c r="E101" i="6"/>
  <c r="D101" i="6"/>
  <c r="C101" i="6"/>
  <c r="A101" i="6"/>
  <c r="K100" i="6"/>
  <c r="J100" i="6"/>
  <c r="I100" i="6"/>
  <c r="G100" i="6"/>
  <c r="F100" i="6"/>
  <c r="E100" i="6"/>
  <c r="D100" i="6"/>
  <c r="C100" i="6"/>
  <c r="A100" i="6"/>
  <c r="K99" i="6"/>
  <c r="J99" i="6"/>
  <c r="I99" i="6"/>
  <c r="G99" i="6"/>
  <c r="F99" i="6"/>
  <c r="E99" i="6"/>
  <c r="D99" i="6"/>
  <c r="C99" i="6"/>
  <c r="A99" i="6"/>
  <c r="K98" i="6"/>
  <c r="J98" i="6"/>
  <c r="I98" i="6"/>
  <c r="G98" i="6"/>
  <c r="F98" i="6"/>
  <c r="E98" i="6"/>
  <c r="D98" i="6"/>
  <c r="C98" i="6"/>
  <c r="A98" i="6"/>
  <c r="K97" i="6"/>
  <c r="J97" i="6"/>
  <c r="I97" i="6"/>
  <c r="G97" i="6"/>
  <c r="F97" i="6"/>
  <c r="E97" i="6"/>
  <c r="D97" i="6"/>
  <c r="C97" i="6"/>
  <c r="A97" i="6"/>
  <c r="K96" i="6"/>
  <c r="J96" i="6"/>
  <c r="I96" i="6"/>
  <c r="G96" i="6"/>
  <c r="F96" i="6"/>
  <c r="E96" i="6"/>
  <c r="D96" i="6"/>
  <c r="C96" i="6"/>
  <c r="A96" i="6"/>
  <c r="K95" i="6"/>
  <c r="J95" i="6"/>
  <c r="I95" i="6"/>
  <c r="G95" i="6"/>
  <c r="F95" i="6"/>
  <c r="E95" i="6"/>
  <c r="D95" i="6"/>
  <c r="C95" i="6"/>
  <c r="A95" i="6"/>
  <c r="K94" i="6"/>
  <c r="J94" i="6"/>
  <c r="I94" i="6"/>
  <c r="G94" i="6"/>
  <c r="F94" i="6"/>
  <c r="E94" i="6"/>
  <c r="D94" i="6"/>
  <c r="C94" i="6"/>
  <c r="A94" i="6"/>
  <c r="K93" i="6"/>
  <c r="J93" i="6"/>
  <c r="I93" i="6"/>
  <c r="G93" i="6"/>
  <c r="F93" i="6"/>
  <c r="E93" i="6"/>
  <c r="D93" i="6"/>
  <c r="C93" i="6"/>
  <c r="A93" i="6"/>
  <c r="K92" i="6"/>
  <c r="J92" i="6"/>
  <c r="I92" i="6"/>
  <c r="G92" i="6"/>
  <c r="F92" i="6"/>
  <c r="E92" i="6"/>
  <c r="D92" i="6"/>
  <c r="C92" i="6"/>
  <c r="A92" i="6"/>
  <c r="K91" i="6"/>
  <c r="J91" i="6"/>
  <c r="I91" i="6"/>
  <c r="G91" i="6"/>
  <c r="F91" i="6"/>
  <c r="E91" i="6"/>
  <c r="D91" i="6"/>
  <c r="C91" i="6"/>
  <c r="A91" i="6"/>
  <c r="K90" i="6"/>
  <c r="J90" i="6"/>
  <c r="I90" i="6"/>
  <c r="G90" i="6"/>
  <c r="F90" i="6"/>
  <c r="E90" i="6"/>
  <c r="D90" i="6"/>
  <c r="C90" i="6"/>
  <c r="A90" i="6"/>
  <c r="K89" i="6"/>
  <c r="J89" i="6"/>
  <c r="I89" i="6"/>
  <c r="G89" i="6"/>
  <c r="F89" i="6"/>
  <c r="E89" i="6"/>
  <c r="D89" i="6"/>
  <c r="C89" i="6"/>
  <c r="A89" i="6"/>
  <c r="K88" i="6"/>
  <c r="J88" i="6"/>
  <c r="I88" i="6"/>
  <c r="G88" i="6"/>
  <c r="F88" i="6"/>
  <c r="E88" i="6"/>
  <c r="D88" i="6"/>
  <c r="C88" i="6"/>
  <c r="A88" i="6"/>
  <c r="K87" i="6"/>
  <c r="J87" i="6"/>
  <c r="I87" i="6"/>
  <c r="G87" i="6"/>
  <c r="F87" i="6"/>
  <c r="E87" i="6"/>
  <c r="D87" i="6"/>
  <c r="C87" i="6"/>
  <c r="A87" i="6"/>
  <c r="K86" i="6"/>
  <c r="J86" i="6"/>
  <c r="I86" i="6"/>
  <c r="G86" i="6"/>
  <c r="F86" i="6"/>
  <c r="E86" i="6"/>
  <c r="D86" i="6"/>
  <c r="C86" i="6"/>
  <c r="A86" i="6"/>
  <c r="K85" i="6"/>
  <c r="J85" i="6"/>
  <c r="I85" i="6"/>
  <c r="G85" i="6"/>
  <c r="F85" i="6"/>
  <c r="E85" i="6"/>
  <c r="D85" i="6"/>
  <c r="C85" i="6"/>
  <c r="A85" i="6"/>
  <c r="K84" i="6"/>
  <c r="J84" i="6"/>
  <c r="I84" i="6"/>
  <c r="G84" i="6"/>
  <c r="F84" i="6"/>
  <c r="E84" i="6"/>
  <c r="D84" i="6"/>
  <c r="C84" i="6"/>
  <c r="A84" i="6"/>
  <c r="K83" i="6"/>
  <c r="J83" i="6"/>
  <c r="I83" i="6"/>
  <c r="G83" i="6"/>
  <c r="F83" i="6"/>
  <c r="E83" i="6"/>
  <c r="D83" i="6"/>
  <c r="C83" i="6"/>
  <c r="A83" i="6"/>
  <c r="K82" i="6"/>
  <c r="J82" i="6"/>
  <c r="I82" i="6"/>
  <c r="G82" i="6"/>
  <c r="F82" i="6"/>
  <c r="E82" i="6"/>
  <c r="D82" i="6"/>
  <c r="C82" i="6"/>
  <c r="A82" i="6"/>
  <c r="K81" i="6"/>
  <c r="J81" i="6"/>
  <c r="I81" i="6"/>
  <c r="G81" i="6"/>
  <c r="F81" i="6"/>
  <c r="E81" i="6"/>
  <c r="D81" i="6"/>
  <c r="C81" i="6"/>
  <c r="A81" i="6"/>
  <c r="K80" i="6"/>
  <c r="J80" i="6"/>
  <c r="I80" i="6"/>
  <c r="G80" i="6"/>
  <c r="F80" i="6"/>
  <c r="E80" i="6"/>
  <c r="D80" i="6"/>
  <c r="C80" i="6"/>
  <c r="A80" i="6"/>
  <c r="K79" i="6"/>
  <c r="J79" i="6"/>
  <c r="I79" i="6"/>
  <c r="G79" i="6"/>
  <c r="F79" i="6"/>
  <c r="E79" i="6"/>
  <c r="D79" i="6"/>
  <c r="C79" i="6"/>
  <c r="A79" i="6"/>
  <c r="K78" i="6"/>
  <c r="J78" i="6"/>
  <c r="I78" i="6"/>
  <c r="G78" i="6"/>
  <c r="F78" i="6"/>
  <c r="E78" i="6"/>
  <c r="D78" i="6"/>
  <c r="C78" i="6"/>
  <c r="A78" i="6"/>
  <c r="K77" i="6"/>
  <c r="J77" i="6"/>
  <c r="I77" i="6"/>
  <c r="G77" i="6"/>
  <c r="F77" i="6"/>
  <c r="E77" i="6"/>
  <c r="D77" i="6"/>
  <c r="C77" i="6"/>
  <c r="A77" i="6"/>
  <c r="K76" i="6"/>
  <c r="J76" i="6"/>
  <c r="I76" i="6"/>
  <c r="G76" i="6"/>
  <c r="F76" i="6"/>
  <c r="E76" i="6"/>
  <c r="D76" i="6"/>
  <c r="C76" i="6"/>
  <c r="A76" i="6"/>
  <c r="K75" i="6"/>
  <c r="J75" i="6"/>
  <c r="I75" i="6"/>
  <c r="G75" i="6"/>
  <c r="F75" i="6"/>
  <c r="E75" i="6"/>
  <c r="D75" i="6"/>
  <c r="C75" i="6"/>
  <c r="A75" i="6"/>
  <c r="K74" i="6"/>
  <c r="J74" i="6"/>
  <c r="I74" i="6"/>
  <c r="G74" i="6"/>
  <c r="F74" i="6"/>
  <c r="E74" i="6"/>
  <c r="D74" i="6"/>
  <c r="C74" i="6"/>
  <c r="A74" i="6"/>
  <c r="K73" i="6"/>
  <c r="J73" i="6"/>
  <c r="I73" i="6"/>
  <c r="G73" i="6"/>
  <c r="F73" i="6"/>
  <c r="E73" i="6"/>
  <c r="D73" i="6"/>
  <c r="C73" i="6"/>
  <c r="A73" i="6"/>
  <c r="K72" i="6"/>
  <c r="J72" i="6"/>
  <c r="I72" i="6"/>
  <c r="G72" i="6"/>
  <c r="F72" i="6"/>
  <c r="E72" i="6"/>
  <c r="D72" i="6"/>
  <c r="C72" i="6"/>
  <c r="A72" i="6"/>
  <c r="K71" i="6"/>
  <c r="J71" i="6"/>
  <c r="I71" i="6"/>
  <c r="G71" i="6"/>
  <c r="F71" i="6"/>
  <c r="E71" i="6"/>
  <c r="D71" i="6"/>
  <c r="C71" i="6"/>
  <c r="A71" i="6"/>
  <c r="K70" i="6"/>
  <c r="J70" i="6"/>
  <c r="I70" i="6"/>
  <c r="G70" i="6"/>
  <c r="F70" i="6"/>
  <c r="E70" i="6"/>
  <c r="D70" i="6"/>
  <c r="C70" i="6"/>
  <c r="A70" i="6"/>
  <c r="K69" i="6"/>
  <c r="J69" i="6"/>
  <c r="I69" i="6"/>
  <c r="G69" i="6"/>
  <c r="F69" i="6"/>
  <c r="E69" i="6"/>
  <c r="D69" i="6"/>
  <c r="C69" i="6"/>
  <c r="A69" i="6"/>
  <c r="K68" i="6"/>
  <c r="J68" i="6"/>
  <c r="I68" i="6"/>
  <c r="G68" i="6"/>
  <c r="F68" i="6"/>
  <c r="E68" i="6"/>
  <c r="D68" i="6"/>
  <c r="C68" i="6"/>
  <c r="A68" i="6"/>
  <c r="K67" i="6"/>
  <c r="J67" i="6"/>
  <c r="I67" i="6"/>
  <c r="G67" i="6"/>
  <c r="F67" i="6"/>
  <c r="E67" i="6"/>
  <c r="D67" i="6"/>
  <c r="C67" i="6"/>
  <c r="A67" i="6"/>
  <c r="K66" i="6"/>
  <c r="J66" i="6"/>
  <c r="I66" i="6"/>
  <c r="G66" i="6"/>
  <c r="F66" i="6"/>
  <c r="E66" i="6"/>
  <c r="D66" i="6"/>
  <c r="C66" i="6"/>
  <c r="A66" i="6"/>
  <c r="K65" i="6"/>
  <c r="J65" i="6"/>
  <c r="I65" i="6"/>
  <c r="G65" i="6"/>
  <c r="F65" i="6"/>
  <c r="E65" i="6"/>
  <c r="D65" i="6"/>
  <c r="C65" i="6"/>
  <c r="A65" i="6"/>
  <c r="K64" i="6"/>
  <c r="J64" i="6"/>
  <c r="I64" i="6"/>
  <c r="G64" i="6"/>
  <c r="F64" i="6"/>
  <c r="E64" i="6"/>
  <c r="D64" i="6"/>
  <c r="C64" i="6"/>
  <c r="A64" i="6"/>
  <c r="K63" i="6"/>
  <c r="J63" i="6"/>
  <c r="I63" i="6"/>
  <c r="G63" i="6"/>
  <c r="F63" i="6"/>
  <c r="E63" i="6"/>
  <c r="D63" i="6"/>
  <c r="C63" i="6"/>
  <c r="A63" i="6"/>
  <c r="K62" i="6"/>
  <c r="J62" i="6"/>
  <c r="I62" i="6"/>
  <c r="G62" i="6"/>
  <c r="F62" i="6"/>
  <c r="E62" i="6"/>
  <c r="D62" i="6"/>
  <c r="C62" i="6"/>
  <c r="A62" i="6"/>
  <c r="K61" i="6"/>
  <c r="J61" i="6"/>
  <c r="I61" i="6"/>
  <c r="G61" i="6"/>
  <c r="F61" i="6"/>
  <c r="E61" i="6"/>
  <c r="D61" i="6"/>
  <c r="C61" i="6"/>
  <c r="A61" i="6"/>
  <c r="K60" i="6"/>
  <c r="J60" i="6"/>
  <c r="I60" i="6"/>
  <c r="G60" i="6"/>
  <c r="F60" i="6"/>
  <c r="E60" i="6"/>
  <c r="D60" i="6"/>
  <c r="C60" i="6"/>
  <c r="A60" i="6"/>
  <c r="K59" i="6"/>
  <c r="J59" i="6"/>
  <c r="I59" i="6"/>
  <c r="G59" i="6"/>
  <c r="F59" i="6"/>
  <c r="E59" i="6"/>
  <c r="D59" i="6"/>
  <c r="C59" i="6"/>
  <c r="A59" i="6"/>
  <c r="K58" i="6"/>
  <c r="J58" i="6"/>
  <c r="I58" i="6"/>
  <c r="G58" i="6"/>
  <c r="F58" i="6"/>
  <c r="E58" i="6"/>
  <c r="D58" i="6"/>
  <c r="C58" i="6"/>
  <c r="A58" i="6"/>
  <c r="K57" i="6"/>
  <c r="J57" i="6"/>
  <c r="I57" i="6"/>
  <c r="G57" i="6"/>
  <c r="F57" i="6"/>
  <c r="E57" i="6"/>
  <c r="D57" i="6"/>
  <c r="C57" i="6"/>
  <c r="A57" i="6"/>
  <c r="K56" i="6"/>
  <c r="J56" i="6"/>
  <c r="I56" i="6"/>
  <c r="G56" i="6"/>
  <c r="F56" i="6"/>
  <c r="E56" i="6"/>
  <c r="D56" i="6"/>
  <c r="C56" i="6"/>
  <c r="A56" i="6"/>
  <c r="K55" i="6"/>
  <c r="J55" i="6"/>
  <c r="I55" i="6"/>
  <c r="G55" i="6"/>
  <c r="F55" i="6"/>
  <c r="E55" i="6"/>
  <c r="D55" i="6"/>
  <c r="C55" i="6"/>
  <c r="A55" i="6"/>
  <c r="K54" i="6"/>
  <c r="J54" i="6"/>
  <c r="I54" i="6"/>
  <c r="G54" i="6"/>
  <c r="F54" i="6"/>
  <c r="E54" i="6"/>
  <c r="D54" i="6"/>
  <c r="C54" i="6"/>
  <c r="A54" i="6"/>
  <c r="K53" i="6"/>
  <c r="J53" i="6"/>
  <c r="I53" i="6"/>
  <c r="G53" i="6"/>
  <c r="F53" i="6"/>
  <c r="E53" i="6"/>
  <c r="D53" i="6"/>
  <c r="C53" i="6"/>
  <c r="A53" i="6"/>
  <c r="K52" i="6"/>
  <c r="J52" i="6"/>
  <c r="I52" i="6"/>
  <c r="G52" i="6"/>
  <c r="F52" i="6"/>
  <c r="E52" i="6"/>
  <c r="D52" i="6"/>
  <c r="C52" i="6"/>
  <c r="A52" i="6"/>
  <c r="K51" i="6"/>
  <c r="J51" i="6"/>
  <c r="I51" i="6"/>
  <c r="G51" i="6"/>
  <c r="F51" i="6"/>
  <c r="E51" i="6"/>
  <c r="D51" i="6"/>
  <c r="C51" i="6"/>
  <c r="A51" i="6"/>
  <c r="K50" i="6"/>
  <c r="J50" i="6"/>
  <c r="I50" i="6"/>
  <c r="G50" i="6"/>
  <c r="F50" i="6"/>
  <c r="E50" i="6"/>
  <c r="D50" i="6"/>
  <c r="C50" i="6"/>
  <c r="A50" i="6"/>
  <c r="K49" i="6"/>
  <c r="J49" i="6"/>
  <c r="I49" i="6"/>
  <c r="G49" i="6"/>
  <c r="F49" i="6"/>
  <c r="E49" i="6"/>
  <c r="D49" i="6"/>
  <c r="C49" i="6"/>
  <c r="A49" i="6"/>
  <c r="K48" i="6"/>
  <c r="J48" i="6"/>
  <c r="I48" i="6"/>
  <c r="G48" i="6"/>
  <c r="F48" i="6"/>
  <c r="E48" i="6"/>
  <c r="D48" i="6"/>
  <c r="C48" i="6"/>
  <c r="A48" i="6"/>
  <c r="K47" i="6"/>
  <c r="J47" i="6"/>
  <c r="I47" i="6"/>
  <c r="G47" i="6"/>
  <c r="F47" i="6"/>
  <c r="E47" i="6"/>
  <c r="D47" i="6"/>
  <c r="C47" i="6"/>
  <c r="A47" i="6"/>
  <c r="K46" i="6"/>
  <c r="J46" i="6"/>
  <c r="I46" i="6"/>
  <c r="G46" i="6"/>
  <c r="F46" i="6"/>
  <c r="E46" i="6"/>
  <c r="D46" i="6"/>
  <c r="C46" i="6"/>
  <c r="A46" i="6"/>
  <c r="K45" i="6"/>
  <c r="J45" i="6"/>
  <c r="I45" i="6"/>
  <c r="G45" i="6"/>
  <c r="F45" i="6"/>
  <c r="E45" i="6"/>
  <c r="D45" i="6"/>
  <c r="C45" i="6"/>
  <c r="A45" i="6"/>
  <c r="K44" i="6"/>
  <c r="J44" i="6"/>
  <c r="I44" i="6"/>
  <c r="G44" i="6"/>
  <c r="F44" i="6"/>
  <c r="E44" i="6"/>
  <c r="D44" i="6"/>
  <c r="C44" i="6"/>
  <c r="A44" i="6"/>
  <c r="K43" i="6"/>
  <c r="J43" i="6"/>
  <c r="I43" i="6"/>
  <c r="G43" i="6"/>
  <c r="F43" i="6"/>
  <c r="E43" i="6"/>
  <c r="D43" i="6"/>
  <c r="C43" i="6"/>
  <c r="A43" i="6"/>
  <c r="K42" i="6"/>
  <c r="J42" i="6"/>
  <c r="I42" i="6"/>
  <c r="G42" i="6"/>
  <c r="F42" i="6"/>
  <c r="E42" i="6"/>
  <c r="D42" i="6"/>
  <c r="C42" i="6"/>
  <c r="A42" i="6"/>
  <c r="K41" i="6"/>
  <c r="J41" i="6"/>
  <c r="I41" i="6"/>
  <c r="G41" i="6"/>
  <c r="F41" i="6"/>
  <c r="E41" i="6"/>
  <c r="D41" i="6"/>
  <c r="C41" i="6"/>
  <c r="A41" i="6"/>
  <c r="K40" i="6"/>
  <c r="J40" i="6"/>
  <c r="I40" i="6"/>
  <c r="G40" i="6"/>
  <c r="F40" i="6"/>
  <c r="E40" i="6"/>
  <c r="D40" i="6"/>
  <c r="C40" i="6"/>
  <c r="A40" i="6"/>
  <c r="K39" i="6"/>
  <c r="J39" i="6"/>
  <c r="I39" i="6"/>
  <c r="G39" i="6"/>
  <c r="F39" i="6"/>
  <c r="E39" i="6"/>
  <c r="D39" i="6"/>
  <c r="C39" i="6"/>
  <c r="A39" i="6"/>
  <c r="K38" i="6"/>
  <c r="J38" i="6"/>
  <c r="I38" i="6"/>
  <c r="G38" i="6"/>
  <c r="F38" i="6"/>
  <c r="E38" i="6"/>
  <c r="D38" i="6"/>
  <c r="C38" i="6"/>
  <c r="A38" i="6"/>
  <c r="K37" i="6"/>
  <c r="J37" i="6"/>
  <c r="I37" i="6"/>
  <c r="G37" i="6"/>
  <c r="F37" i="6"/>
  <c r="E37" i="6"/>
  <c r="D37" i="6"/>
  <c r="C37" i="6"/>
  <c r="A37" i="6"/>
  <c r="K36" i="6"/>
  <c r="J36" i="6"/>
  <c r="I36" i="6"/>
  <c r="G36" i="6"/>
  <c r="F36" i="6"/>
  <c r="E36" i="6"/>
  <c r="D36" i="6"/>
  <c r="C36" i="6"/>
  <c r="A36" i="6"/>
  <c r="K35" i="6"/>
  <c r="J35" i="6"/>
  <c r="I35" i="6"/>
  <c r="G35" i="6"/>
  <c r="F35" i="6"/>
  <c r="E35" i="6"/>
  <c r="D35" i="6"/>
  <c r="C35" i="6"/>
  <c r="A35" i="6"/>
  <c r="K34" i="6"/>
  <c r="J34" i="6"/>
  <c r="I34" i="6"/>
  <c r="G34" i="6"/>
  <c r="F34" i="6"/>
  <c r="E34" i="6"/>
  <c r="D34" i="6"/>
  <c r="C34" i="6"/>
  <c r="A34" i="6"/>
  <c r="K33" i="6"/>
  <c r="J33" i="6"/>
  <c r="I33" i="6"/>
  <c r="G33" i="6"/>
  <c r="F33" i="6"/>
  <c r="E33" i="6"/>
  <c r="D33" i="6"/>
  <c r="C33" i="6"/>
  <c r="A33" i="6"/>
  <c r="K32" i="6"/>
  <c r="J32" i="6"/>
  <c r="I32" i="6"/>
  <c r="G32" i="6"/>
  <c r="F32" i="6"/>
  <c r="E32" i="6"/>
  <c r="D32" i="6"/>
  <c r="C32" i="6"/>
  <c r="A32" i="6"/>
  <c r="K31" i="6"/>
  <c r="J31" i="6"/>
  <c r="I31" i="6"/>
  <c r="G31" i="6"/>
  <c r="F31" i="6"/>
  <c r="E31" i="6"/>
  <c r="D31" i="6"/>
  <c r="C31" i="6"/>
  <c r="A31" i="6"/>
  <c r="K30" i="6"/>
  <c r="J30" i="6"/>
  <c r="I30" i="6"/>
  <c r="G30" i="6"/>
  <c r="F30" i="6"/>
  <c r="E30" i="6"/>
  <c r="D30" i="6"/>
  <c r="C30" i="6"/>
  <c r="A30" i="6"/>
  <c r="K29" i="6"/>
  <c r="J29" i="6"/>
  <c r="I29" i="6"/>
  <c r="G29" i="6"/>
  <c r="F29" i="6"/>
  <c r="E29" i="6"/>
  <c r="D29" i="6"/>
  <c r="C29" i="6"/>
  <c r="A29" i="6"/>
  <c r="K28" i="6"/>
  <c r="J28" i="6"/>
  <c r="I28" i="6"/>
  <c r="G28" i="6"/>
  <c r="F28" i="6"/>
  <c r="E28" i="6"/>
  <c r="D28" i="6"/>
  <c r="C28" i="6"/>
  <c r="A28" i="6"/>
  <c r="K27" i="6"/>
  <c r="J27" i="6"/>
  <c r="I27" i="6"/>
  <c r="G27" i="6"/>
  <c r="F27" i="6"/>
  <c r="E27" i="6"/>
  <c r="D27" i="6"/>
  <c r="C27" i="6"/>
  <c r="A27" i="6"/>
  <c r="K26" i="6"/>
  <c r="J26" i="6"/>
  <c r="I26" i="6"/>
  <c r="G26" i="6"/>
  <c r="F26" i="6"/>
  <c r="E26" i="6"/>
  <c r="D26" i="6"/>
  <c r="C26" i="6"/>
  <c r="A26" i="6"/>
  <c r="K25" i="6"/>
  <c r="J25" i="6"/>
  <c r="I25" i="6"/>
  <c r="G25" i="6"/>
  <c r="F25" i="6"/>
  <c r="E25" i="6"/>
  <c r="D25" i="6"/>
  <c r="C25" i="6"/>
  <c r="A25" i="6"/>
  <c r="K24" i="6"/>
  <c r="J24" i="6"/>
  <c r="I24" i="6"/>
  <c r="G24" i="6"/>
  <c r="F24" i="6"/>
  <c r="E24" i="6"/>
  <c r="D24" i="6"/>
  <c r="C24" i="6"/>
  <c r="A24" i="6"/>
  <c r="K23" i="6"/>
  <c r="J23" i="6"/>
  <c r="I23" i="6"/>
  <c r="G23" i="6"/>
  <c r="F23" i="6"/>
  <c r="E23" i="6"/>
  <c r="D23" i="6"/>
  <c r="C23" i="6"/>
  <c r="A23" i="6"/>
  <c r="K22" i="6"/>
  <c r="J22" i="6"/>
  <c r="I22" i="6"/>
  <c r="G22" i="6"/>
  <c r="F22" i="6"/>
  <c r="E22" i="6"/>
  <c r="D22" i="6"/>
  <c r="C22" i="6"/>
  <c r="A22" i="6"/>
  <c r="K21" i="6"/>
  <c r="J21" i="6"/>
  <c r="I21" i="6"/>
  <c r="G21" i="6"/>
  <c r="F21" i="6"/>
  <c r="E21" i="6"/>
  <c r="D21" i="6"/>
  <c r="C21" i="6"/>
  <c r="A21" i="6"/>
  <c r="K20" i="6"/>
  <c r="J20" i="6"/>
  <c r="I20" i="6"/>
  <c r="G20" i="6"/>
  <c r="F20" i="6"/>
  <c r="E20" i="6"/>
  <c r="D20" i="6"/>
  <c r="C20" i="6"/>
  <c r="A20" i="6"/>
  <c r="K19" i="6"/>
  <c r="J19" i="6"/>
  <c r="I19" i="6"/>
  <c r="G19" i="6"/>
  <c r="F19" i="6"/>
  <c r="E19" i="6"/>
  <c r="D19" i="6"/>
  <c r="C19" i="6"/>
  <c r="A19" i="6"/>
  <c r="K18" i="6"/>
  <c r="J18" i="6"/>
  <c r="I18" i="6"/>
  <c r="G18" i="6"/>
  <c r="F18" i="6"/>
  <c r="E18" i="6"/>
  <c r="D18" i="6"/>
  <c r="C18" i="6"/>
  <c r="A18" i="6"/>
  <c r="K17" i="6"/>
  <c r="J17" i="6"/>
  <c r="I17" i="6"/>
  <c r="G17" i="6"/>
  <c r="F17" i="6"/>
  <c r="E17" i="6"/>
  <c r="D17" i="6"/>
  <c r="C17" i="6"/>
  <c r="A17" i="6"/>
  <c r="K16" i="6"/>
  <c r="J16" i="6"/>
  <c r="I16" i="6"/>
  <c r="G16" i="6"/>
  <c r="F16" i="6"/>
  <c r="E16" i="6"/>
  <c r="D16" i="6"/>
  <c r="C16" i="6"/>
  <c r="A16" i="6"/>
  <c r="K15" i="6"/>
  <c r="J15" i="6"/>
  <c r="I15" i="6"/>
  <c r="G15" i="6"/>
  <c r="F15" i="6"/>
  <c r="E15" i="6"/>
  <c r="D15" i="6"/>
  <c r="C15" i="6"/>
  <c r="A15" i="6"/>
  <c r="K14" i="6"/>
  <c r="J14" i="6"/>
  <c r="I14" i="6"/>
  <c r="G14" i="6"/>
  <c r="F14" i="6"/>
  <c r="E14" i="6"/>
  <c r="D14" i="6"/>
  <c r="C14" i="6"/>
  <c r="A14" i="6"/>
  <c r="K13" i="6"/>
  <c r="J13" i="6"/>
  <c r="I13" i="6"/>
  <c r="G13" i="6"/>
  <c r="F13" i="6"/>
  <c r="E13" i="6"/>
  <c r="D13" i="6"/>
  <c r="C13" i="6"/>
  <c r="A13" i="6"/>
  <c r="K12" i="6"/>
  <c r="J12" i="6"/>
  <c r="I12" i="6"/>
  <c r="G12" i="6"/>
  <c r="F12" i="6"/>
  <c r="E12" i="6"/>
  <c r="D12" i="6"/>
  <c r="C12" i="6"/>
  <c r="A12" i="6"/>
  <c r="K11" i="6"/>
  <c r="J11" i="6"/>
  <c r="I11" i="6"/>
  <c r="G11" i="6"/>
  <c r="F11" i="6"/>
  <c r="E11" i="6"/>
  <c r="D11" i="6"/>
  <c r="C11" i="6"/>
  <c r="A11" i="6"/>
  <c r="K10" i="6"/>
  <c r="J10" i="6"/>
  <c r="I10" i="6"/>
  <c r="G10" i="6"/>
  <c r="F10" i="6"/>
  <c r="E10" i="6"/>
  <c r="D10" i="6"/>
  <c r="C10" i="6"/>
  <c r="A10" i="6"/>
  <c r="K9" i="6"/>
  <c r="J9" i="6"/>
  <c r="I9" i="6"/>
  <c r="G9" i="6"/>
  <c r="F9" i="6"/>
  <c r="E9" i="6"/>
  <c r="D9" i="6"/>
  <c r="C9" i="6"/>
  <c r="A9" i="6"/>
  <c r="K8" i="6"/>
  <c r="J8" i="6"/>
  <c r="I8" i="6"/>
  <c r="G8" i="6"/>
  <c r="F8" i="6"/>
  <c r="E8" i="6"/>
  <c r="D8" i="6"/>
  <c r="C8" i="6"/>
  <c r="A8" i="6"/>
  <c r="K7" i="6"/>
  <c r="J7" i="6"/>
  <c r="I7" i="6"/>
  <c r="G7" i="6"/>
  <c r="F7" i="6"/>
  <c r="E7" i="6"/>
  <c r="D7" i="6"/>
  <c r="C7" i="6"/>
  <c r="A7" i="6"/>
  <c r="K6" i="6"/>
  <c r="J6" i="6"/>
  <c r="I6" i="6"/>
  <c r="G6" i="6"/>
  <c r="F6" i="6"/>
  <c r="E6" i="6"/>
  <c r="D6" i="6"/>
  <c r="C6" i="6"/>
  <c r="A6" i="6"/>
  <c r="K5" i="6"/>
  <c r="J5" i="6"/>
  <c r="I5" i="6"/>
  <c r="G5" i="6"/>
  <c r="F5" i="6"/>
  <c r="E5" i="6"/>
  <c r="D5" i="6"/>
  <c r="C5" i="6"/>
  <c r="A5" i="6"/>
  <c r="K4" i="6"/>
  <c r="J4" i="6"/>
  <c r="I4" i="6"/>
  <c r="G4" i="6"/>
  <c r="F4" i="6"/>
  <c r="E4" i="6"/>
  <c r="D4" i="6"/>
  <c r="C4" i="6"/>
  <c r="A4" i="6"/>
  <c r="K3" i="6"/>
  <c r="J3" i="6"/>
  <c r="I3" i="6"/>
  <c r="G3" i="6"/>
  <c r="F3" i="6"/>
  <c r="E3" i="6"/>
  <c r="D3" i="6"/>
  <c r="C3" i="6"/>
  <c r="A3" i="6"/>
  <c r="K2" i="6"/>
  <c r="J2" i="6"/>
  <c r="I2" i="6"/>
  <c r="G2" i="6"/>
  <c r="F2" i="6"/>
  <c r="E2" i="6"/>
  <c r="D2" i="6"/>
  <c r="C2" i="6"/>
  <c r="A2" i="6"/>
  <c r="A623" i="6"/>
  <c r="C623" i="6"/>
  <c r="D623" i="6"/>
  <c r="E623" i="6"/>
  <c r="F623" i="6"/>
  <c r="G623" i="6"/>
  <c r="I623" i="6"/>
  <c r="J623" i="6"/>
  <c r="K623" i="6"/>
  <c r="A624" i="6"/>
  <c r="C624" i="6"/>
  <c r="D624" i="6"/>
  <c r="E624" i="6"/>
  <c r="F624" i="6"/>
  <c r="G624" i="6"/>
  <c r="I624" i="6"/>
  <c r="J624" i="6"/>
  <c r="K624" i="6"/>
  <c r="A625" i="6"/>
  <c r="C625" i="6"/>
  <c r="D625" i="6"/>
  <c r="E625" i="6"/>
  <c r="F625" i="6"/>
  <c r="G625" i="6"/>
  <c r="I625" i="6"/>
  <c r="J625" i="6"/>
  <c r="K625" i="6"/>
  <c r="A626" i="6"/>
  <c r="C626" i="6"/>
  <c r="D626" i="6"/>
  <c r="E626" i="6"/>
  <c r="F626" i="6"/>
  <c r="G626" i="6"/>
  <c r="I626" i="6"/>
  <c r="J626" i="6"/>
  <c r="K626" i="6"/>
  <c r="A627" i="6"/>
  <c r="C627" i="6"/>
  <c r="D627" i="6"/>
  <c r="E627" i="6"/>
  <c r="F627" i="6"/>
  <c r="G627" i="6"/>
  <c r="I627" i="6"/>
  <c r="J627" i="6"/>
  <c r="K627" i="6"/>
  <c r="A628" i="6"/>
  <c r="C628" i="6"/>
  <c r="D628" i="6"/>
  <c r="E628" i="6"/>
  <c r="F628" i="6"/>
  <c r="G628" i="6"/>
  <c r="I628" i="6"/>
  <c r="J628" i="6"/>
  <c r="K628" i="6"/>
  <c r="A629" i="6"/>
  <c r="C629" i="6"/>
  <c r="D629" i="6"/>
  <c r="E629" i="6"/>
  <c r="F629" i="6"/>
  <c r="G629" i="6"/>
  <c r="I629" i="6"/>
  <c r="J629" i="6"/>
  <c r="K629" i="6"/>
  <c r="A630" i="6"/>
  <c r="C630" i="6"/>
  <c r="D630" i="6"/>
  <c r="E630" i="6"/>
  <c r="F630" i="6"/>
  <c r="G630" i="6"/>
  <c r="I630" i="6"/>
  <c r="J630" i="6"/>
  <c r="K630" i="6"/>
  <c r="A631" i="6"/>
  <c r="C631" i="6"/>
  <c r="D631" i="6"/>
  <c r="E631" i="6"/>
  <c r="F631" i="6"/>
  <c r="G631" i="6"/>
  <c r="I631" i="6"/>
  <c r="J631" i="6"/>
  <c r="K631" i="6"/>
  <c r="A632" i="6"/>
  <c r="C632" i="6"/>
  <c r="D632" i="6"/>
  <c r="E632" i="6"/>
  <c r="F632" i="6"/>
  <c r="G632" i="6"/>
  <c r="I632" i="6"/>
  <c r="J632" i="6"/>
  <c r="K632" i="6"/>
  <c r="A633" i="6"/>
  <c r="C633" i="6"/>
  <c r="D633" i="6"/>
  <c r="E633" i="6"/>
  <c r="F633" i="6"/>
  <c r="G633" i="6"/>
  <c r="I633" i="6"/>
  <c r="J633" i="6"/>
  <c r="K633" i="6"/>
  <c r="A634" i="6"/>
  <c r="C634" i="6"/>
  <c r="D634" i="6"/>
  <c r="E634" i="6"/>
  <c r="F634" i="6"/>
  <c r="G634" i="6"/>
  <c r="I634" i="6"/>
  <c r="J634" i="6"/>
  <c r="K634" i="6"/>
  <c r="A635" i="6"/>
  <c r="C635" i="6"/>
  <c r="D635" i="6"/>
  <c r="E635" i="6"/>
  <c r="F635" i="6"/>
  <c r="G635" i="6"/>
  <c r="I635" i="6"/>
  <c r="J635" i="6"/>
  <c r="K635" i="6"/>
  <c r="A636" i="6"/>
  <c r="C636" i="6"/>
  <c r="D636" i="6"/>
  <c r="E636" i="6"/>
  <c r="F636" i="6"/>
  <c r="G636" i="6"/>
  <c r="I636" i="6"/>
  <c r="J636" i="6"/>
  <c r="K636" i="6"/>
  <c r="A637" i="6"/>
  <c r="C637" i="6"/>
  <c r="D637" i="6"/>
  <c r="E637" i="6"/>
  <c r="F637" i="6"/>
  <c r="G637" i="6"/>
  <c r="I637" i="6"/>
  <c r="J637" i="6"/>
  <c r="K637" i="6"/>
  <c r="A638" i="6"/>
  <c r="C638" i="6"/>
  <c r="D638" i="6"/>
  <c r="E638" i="6"/>
  <c r="F638" i="6"/>
  <c r="G638" i="6"/>
  <c r="I638" i="6"/>
  <c r="J638" i="6"/>
  <c r="K638" i="6"/>
  <c r="A639" i="6"/>
  <c r="C639" i="6"/>
  <c r="D639" i="6"/>
  <c r="E639" i="6"/>
  <c r="F639" i="6"/>
  <c r="G639" i="6"/>
  <c r="I639" i="6"/>
  <c r="J639" i="6"/>
  <c r="K639" i="6"/>
  <c r="A640" i="6"/>
  <c r="C640" i="6"/>
  <c r="D640" i="6"/>
  <c r="E640" i="6"/>
  <c r="F640" i="6"/>
  <c r="G640" i="6"/>
  <c r="I640" i="6"/>
  <c r="J640" i="6"/>
  <c r="K640" i="6"/>
  <c r="A641" i="6"/>
  <c r="C641" i="6"/>
  <c r="D641" i="6"/>
  <c r="E641" i="6"/>
  <c r="F641" i="6"/>
  <c r="G641" i="6"/>
  <c r="I641" i="6"/>
  <c r="J641" i="6"/>
  <c r="K641" i="6"/>
  <c r="A642" i="6"/>
  <c r="C642" i="6"/>
  <c r="D642" i="6"/>
  <c r="E642" i="6"/>
  <c r="F642" i="6"/>
  <c r="G642" i="6"/>
  <c r="I642" i="6"/>
  <c r="J642" i="6"/>
  <c r="K642" i="6"/>
  <c r="A643" i="6"/>
  <c r="C643" i="6"/>
  <c r="D643" i="6"/>
  <c r="E643" i="6"/>
  <c r="F643" i="6"/>
  <c r="G643" i="6"/>
  <c r="I643" i="6"/>
  <c r="J643" i="6"/>
  <c r="K643" i="6"/>
  <c r="A644" i="6"/>
  <c r="C644" i="6"/>
  <c r="D644" i="6"/>
  <c r="E644" i="6"/>
  <c r="F644" i="6"/>
  <c r="G644" i="6"/>
  <c r="I644" i="6"/>
  <c r="J644" i="6"/>
  <c r="K644" i="6"/>
  <c r="A645" i="6"/>
  <c r="C645" i="6"/>
  <c r="D645" i="6"/>
  <c r="E645" i="6"/>
  <c r="F645" i="6"/>
  <c r="G645" i="6"/>
  <c r="I645" i="6"/>
  <c r="J645" i="6"/>
  <c r="K645" i="6"/>
  <c r="A646" i="6"/>
  <c r="C646" i="6"/>
  <c r="D646" i="6"/>
  <c r="E646" i="6"/>
  <c r="F646" i="6"/>
  <c r="G646" i="6"/>
  <c r="I646" i="6"/>
  <c r="J646" i="6"/>
  <c r="K646" i="6"/>
  <c r="A647" i="6"/>
  <c r="C647" i="6"/>
  <c r="D647" i="6"/>
  <c r="E647" i="6"/>
  <c r="F647" i="6"/>
  <c r="G647" i="6"/>
  <c r="I647" i="6"/>
  <c r="J647" i="6"/>
  <c r="K647" i="6"/>
  <c r="A648" i="6"/>
  <c r="C648" i="6"/>
  <c r="D648" i="6"/>
  <c r="E648" i="6"/>
  <c r="F648" i="6"/>
  <c r="G648" i="6"/>
  <c r="I648" i="6"/>
  <c r="J648" i="6"/>
  <c r="K648" i="6"/>
  <c r="A550" i="6"/>
  <c r="C550" i="6"/>
  <c r="D550" i="6"/>
  <c r="E550" i="6"/>
  <c r="F550" i="6"/>
  <c r="G550" i="6"/>
  <c r="I550" i="6"/>
  <c r="J550" i="6"/>
  <c r="K550" i="6"/>
  <c r="A551" i="6"/>
  <c r="C551" i="6"/>
  <c r="D551" i="6"/>
  <c r="E551" i="6"/>
  <c r="F551" i="6"/>
  <c r="G551" i="6"/>
  <c r="I551" i="6"/>
  <c r="J551" i="6"/>
  <c r="K551" i="6"/>
  <c r="A552" i="6"/>
  <c r="C552" i="6"/>
  <c r="D552" i="6"/>
  <c r="E552" i="6"/>
  <c r="F552" i="6"/>
  <c r="G552" i="6"/>
  <c r="I552" i="6"/>
  <c r="J552" i="6"/>
  <c r="K552" i="6"/>
  <c r="A553" i="6"/>
  <c r="C553" i="6"/>
  <c r="D553" i="6"/>
  <c r="E553" i="6"/>
  <c r="F553" i="6"/>
  <c r="G553" i="6"/>
  <c r="I553" i="6"/>
  <c r="J553" i="6"/>
  <c r="K553" i="6"/>
  <c r="A554" i="6"/>
  <c r="C554" i="6"/>
  <c r="D554" i="6"/>
  <c r="E554" i="6"/>
  <c r="F554" i="6"/>
  <c r="G554" i="6"/>
  <c r="I554" i="6"/>
  <c r="J554" i="6"/>
  <c r="K554" i="6"/>
  <c r="A555" i="6"/>
  <c r="C555" i="6"/>
  <c r="D555" i="6"/>
  <c r="E555" i="6"/>
  <c r="F555" i="6"/>
  <c r="G555" i="6"/>
  <c r="I555" i="6"/>
  <c r="J555" i="6"/>
  <c r="K555" i="6"/>
  <c r="A556" i="6"/>
  <c r="C556" i="6"/>
  <c r="D556" i="6"/>
  <c r="E556" i="6"/>
  <c r="F556" i="6"/>
  <c r="G556" i="6"/>
  <c r="I556" i="6"/>
  <c r="J556" i="6"/>
  <c r="K556" i="6"/>
  <c r="A557" i="6"/>
  <c r="C557" i="6"/>
  <c r="D557" i="6"/>
  <c r="E557" i="6"/>
  <c r="F557" i="6"/>
  <c r="G557" i="6"/>
  <c r="I557" i="6"/>
  <c r="J557" i="6"/>
  <c r="K557" i="6"/>
  <c r="A558" i="6"/>
  <c r="C558" i="6"/>
  <c r="D558" i="6"/>
  <c r="E558" i="6"/>
  <c r="F558" i="6"/>
  <c r="G558" i="6"/>
  <c r="I558" i="6"/>
  <c r="J558" i="6"/>
  <c r="K558" i="6"/>
  <c r="A559" i="6"/>
  <c r="C559" i="6"/>
  <c r="D559" i="6"/>
  <c r="E559" i="6"/>
  <c r="F559" i="6"/>
  <c r="G559" i="6"/>
  <c r="I559" i="6"/>
  <c r="J559" i="6"/>
  <c r="K559" i="6"/>
  <c r="A560" i="6"/>
  <c r="C560" i="6"/>
  <c r="D560" i="6"/>
  <c r="E560" i="6"/>
  <c r="F560" i="6"/>
  <c r="G560" i="6"/>
  <c r="I560" i="6"/>
  <c r="J560" i="6"/>
  <c r="K560" i="6"/>
  <c r="A561" i="6"/>
  <c r="C561" i="6"/>
  <c r="D561" i="6"/>
  <c r="E561" i="6"/>
  <c r="F561" i="6"/>
  <c r="G561" i="6"/>
  <c r="I561" i="6"/>
  <c r="J561" i="6"/>
  <c r="K561" i="6"/>
  <c r="A562" i="6"/>
  <c r="C562" i="6"/>
  <c r="D562" i="6"/>
  <c r="E562" i="6"/>
  <c r="F562" i="6"/>
  <c r="G562" i="6"/>
  <c r="I562" i="6"/>
  <c r="J562" i="6"/>
  <c r="K562" i="6"/>
  <c r="A563" i="6"/>
  <c r="C563" i="6"/>
  <c r="D563" i="6"/>
  <c r="E563" i="6"/>
  <c r="F563" i="6"/>
  <c r="G563" i="6"/>
  <c r="I563" i="6"/>
  <c r="J563" i="6"/>
  <c r="K563" i="6"/>
  <c r="A564" i="6"/>
  <c r="C564" i="6"/>
  <c r="D564" i="6"/>
  <c r="E564" i="6"/>
  <c r="F564" i="6"/>
  <c r="G564" i="6"/>
  <c r="I564" i="6"/>
  <c r="J564" i="6"/>
  <c r="K564" i="6"/>
  <c r="A565" i="6"/>
  <c r="C565" i="6"/>
  <c r="D565" i="6"/>
  <c r="E565" i="6"/>
  <c r="F565" i="6"/>
  <c r="G565" i="6"/>
  <c r="I565" i="6"/>
  <c r="J565" i="6"/>
  <c r="K565" i="6"/>
  <c r="A566" i="6"/>
  <c r="C566" i="6"/>
  <c r="D566" i="6"/>
  <c r="E566" i="6"/>
  <c r="F566" i="6"/>
  <c r="G566" i="6"/>
  <c r="I566" i="6"/>
  <c r="J566" i="6"/>
  <c r="K566" i="6"/>
  <c r="A567" i="6"/>
  <c r="C567" i="6"/>
  <c r="D567" i="6"/>
  <c r="E567" i="6"/>
  <c r="F567" i="6"/>
  <c r="G567" i="6"/>
  <c r="I567" i="6"/>
  <c r="J567" i="6"/>
  <c r="K567" i="6"/>
  <c r="A568" i="6"/>
  <c r="C568" i="6"/>
  <c r="D568" i="6"/>
  <c r="E568" i="6"/>
  <c r="F568" i="6"/>
  <c r="G568" i="6"/>
  <c r="I568" i="6"/>
  <c r="J568" i="6"/>
  <c r="K568" i="6"/>
  <c r="A569" i="6"/>
  <c r="C569" i="6"/>
  <c r="D569" i="6"/>
  <c r="E569" i="6"/>
  <c r="F569" i="6"/>
  <c r="G569" i="6"/>
  <c r="I569" i="6"/>
  <c r="J569" i="6"/>
  <c r="K569" i="6"/>
  <c r="A570" i="6"/>
  <c r="C570" i="6"/>
  <c r="D570" i="6"/>
  <c r="E570" i="6"/>
  <c r="F570" i="6"/>
  <c r="G570" i="6"/>
  <c r="I570" i="6"/>
  <c r="J570" i="6"/>
  <c r="K570" i="6"/>
  <c r="A571" i="6"/>
  <c r="C571" i="6"/>
  <c r="D571" i="6"/>
  <c r="E571" i="6"/>
  <c r="F571" i="6"/>
  <c r="G571" i="6"/>
  <c r="I571" i="6"/>
  <c r="J571" i="6"/>
  <c r="K571" i="6"/>
  <c r="A572" i="6"/>
  <c r="C572" i="6"/>
  <c r="D572" i="6"/>
  <c r="E572" i="6"/>
  <c r="F572" i="6"/>
  <c r="G572" i="6"/>
  <c r="I572" i="6"/>
  <c r="J572" i="6"/>
  <c r="K572" i="6"/>
  <c r="A573" i="6"/>
  <c r="C573" i="6"/>
  <c r="D573" i="6"/>
  <c r="E573" i="6"/>
  <c r="F573" i="6"/>
  <c r="G573" i="6"/>
  <c r="I573" i="6"/>
  <c r="J573" i="6"/>
  <c r="K573" i="6"/>
  <c r="A574" i="6"/>
  <c r="C574" i="6"/>
  <c r="D574" i="6"/>
  <c r="E574" i="6"/>
  <c r="F574" i="6"/>
  <c r="G574" i="6"/>
  <c r="I574" i="6"/>
  <c r="J574" i="6"/>
  <c r="K574" i="6"/>
  <c r="A575" i="6"/>
  <c r="C575" i="6"/>
  <c r="D575" i="6"/>
  <c r="E575" i="6"/>
  <c r="F575" i="6"/>
  <c r="G575" i="6"/>
  <c r="I575" i="6"/>
  <c r="J575" i="6"/>
  <c r="K575" i="6"/>
  <c r="A576" i="6"/>
  <c r="C576" i="6"/>
  <c r="D576" i="6"/>
  <c r="E576" i="6"/>
  <c r="F576" i="6"/>
  <c r="G576" i="6"/>
  <c r="I576" i="6"/>
  <c r="J576" i="6"/>
  <c r="K576" i="6"/>
  <c r="A577" i="6"/>
  <c r="C577" i="6"/>
  <c r="D577" i="6"/>
  <c r="E577" i="6"/>
  <c r="F577" i="6"/>
  <c r="G577" i="6"/>
  <c r="I577" i="6"/>
  <c r="J577" i="6"/>
  <c r="K577" i="6"/>
  <c r="A578" i="6"/>
  <c r="C578" i="6"/>
  <c r="D578" i="6"/>
  <c r="E578" i="6"/>
  <c r="F578" i="6"/>
  <c r="G578" i="6"/>
  <c r="I578" i="6"/>
  <c r="J578" i="6"/>
  <c r="K578" i="6"/>
  <c r="A579" i="6"/>
  <c r="C579" i="6"/>
  <c r="D579" i="6"/>
  <c r="E579" i="6"/>
  <c r="F579" i="6"/>
  <c r="G579" i="6"/>
  <c r="I579" i="6"/>
  <c r="J579" i="6"/>
  <c r="K579" i="6"/>
  <c r="A580" i="6"/>
  <c r="C580" i="6"/>
  <c r="D580" i="6"/>
  <c r="E580" i="6"/>
  <c r="F580" i="6"/>
  <c r="G580" i="6"/>
  <c r="I580" i="6"/>
  <c r="J580" i="6"/>
  <c r="K580" i="6"/>
  <c r="A581" i="6"/>
  <c r="C581" i="6"/>
  <c r="D581" i="6"/>
  <c r="E581" i="6"/>
  <c r="F581" i="6"/>
  <c r="G581" i="6"/>
  <c r="I581" i="6"/>
  <c r="J581" i="6"/>
  <c r="K581" i="6"/>
  <c r="A582" i="6"/>
  <c r="C582" i="6"/>
  <c r="D582" i="6"/>
  <c r="E582" i="6"/>
  <c r="F582" i="6"/>
  <c r="G582" i="6"/>
  <c r="I582" i="6"/>
  <c r="J582" i="6"/>
  <c r="K582" i="6"/>
  <c r="A583" i="6"/>
  <c r="C583" i="6"/>
  <c r="D583" i="6"/>
  <c r="E583" i="6"/>
  <c r="F583" i="6"/>
  <c r="G583" i="6"/>
  <c r="I583" i="6"/>
  <c r="J583" i="6"/>
  <c r="K583" i="6"/>
  <c r="A584" i="6"/>
  <c r="C584" i="6"/>
  <c r="D584" i="6"/>
  <c r="E584" i="6"/>
  <c r="F584" i="6"/>
  <c r="G584" i="6"/>
  <c r="I584" i="6"/>
  <c r="J584" i="6"/>
  <c r="K584" i="6"/>
  <c r="A585" i="6"/>
  <c r="C585" i="6"/>
  <c r="D585" i="6"/>
  <c r="E585" i="6"/>
  <c r="F585" i="6"/>
  <c r="G585" i="6"/>
  <c r="I585" i="6"/>
  <c r="J585" i="6"/>
  <c r="K585" i="6"/>
  <c r="A586" i="6"/>
  <c r="C586" i="6"/>
  <c r="D586" i="6"/>
  <c r="E586" i="6"/>
  <c r="F586" i="6"/>
  <c r="G586" i="6"/>
  <c r="I586" i="6"/>
  <c r="J586" i="6"/>
  <c r="K586" i="6"/>
  <c r="A587" i="6"/>
  <c r="C587" i="6"/>
  <c r="D587" i="6"/>
  <c r="E587" i="6"/>
  <c r="F587" i="6"/>
  <c r="G587" i="6"/>
  <c r="I587" i="6"/>
  <c r="J587" i="6"/>
  <c r="K587" i="6"/>
  <c r="A588" i="6"/>
  <c r="C588" i="6"/>
  <c r="D588" i="6"/>
  <c r="E588" i="6"/>
  <c r="F588" i="6"/>
  <c r="G588" i="6"/>
  <c r="I588" i="6"/>
  <c r="J588" i="6"/>
  <c r="K588" i="6"/>
  <c r="A589" i="6"/>
  <c r="C589" i="6"/>
  <c r="D589" i="6"/>
  <c r="E589" i="6"/>
  <c r="F589" i="6"/>
  <c r="G589" i="6"/>
  <c r="I589" i="6"/>
  <c r="J589" i="6"/>
  <c r="K589" i="6"/>
  <c r="A590" i="6"/>
  <c r="C590" i="6"/>
  <c r="D590" i="6"/>
  <c r="E590" i="6"/>
  <c r="F590" i="6"/>
  <c r="G590" i="6"/>
  <c r="I590" i="6"/>
  <c r="J590" i="6"/>
  <c r="K590" i="6"/>
  <c r="A591" i="6"/>
  <c r="C591" i="6"/>
  <c r="D591" i="6"/>
  <c r="E591" i="6"/>
  <c r="F591" i="6"/>
  <c r="G591" i="6"/>
  <c r="I591" i="6"/>
  <c r="J591" i="6"/>
  <c r="K591" i="6"/>
  <c r="A592" i="6"/>
  <c r="C592" i="6"/>
  <c r="D592" i="6"/>
  <c r="E592" i="6"/>
  <c r="F592" i="6"/>
  <c r="G592" i="6"/>
  <c r="I592" i="6"/>
  <c r="J592" i="6"/>
  <c r="K592" i="6"/>
  <c r="A593" i="6"/>
  <c r="C593" i="6"/>
  <c r="D593" i="6"/>
  <c r="E593" i="6"/>
  <c r="F593" i="6"/>
  <c r="G593" i="6"/>
  <c r="I593" i="6"/>
  <c r="J593" i="6"/>
  <c r="K593" i="6"/>
  <c r="A594" i="6"/>
  <c r="C594" i="6"/>
  <c r="D594" i="6"/>
  <c r="E594" i="6"/>
  <c r="F594" i="6"/>
  <c r="G594" i="6"/>
  <c r="I594" i="6"/>
  <c r="J594" i="6"/>
  <c r="K594" i="6"/>
  <c r="A595" i="6"/>
  <c r="C595" i="6"/>
  <c r="D595" i="6"/>
  <c r="E595" i="6"/>
  <c r="F595" i="6"/>
  <c r="G595" i="6"/>
  <c r="I595" i="6"/>
  <c r="J595" i="6"/>
  <c r="K595" i="6"/>
  <c r="A596" i="6"/>
  <c r="C596" i="6"/>
  <c r="D596" i="6"/>
  <c r="E596" i="6"/>
  <c r="F596" i="6"/>
  <c r="G596" i="6"/>
  <c r="I596" i="6"/>
  <c r="J596" i="6"/>
  <c r="K596" i="6"/>
  <c r="A597" i="6"/>
  <c r="C597" i="6"/>
  <c r="D597" i="6"/>
  <c r="E597" i="6"/>
  <c r="F597" i="6"/>
  <c r="G597" i="6"/>
  <c r="I597" i="6"/>
  <c r="J597" i="6"/>
  <c r="K597" i="6"/>
  <c r="A598" i="6"/>
  <c r="C598" i="6"/>
  <c r="D598" i="6"/>
  <c r="E598" i="6"/>
  <c r="F598" i="6"/>
  <c r="G598" i="6"/>
  <c r="I598" i="6"/>
  <c r="J598" i="6"/>
  <c r="K598" i="6"/>
  <c r="A599" i="6"/>
  <c r="C599" i="6"/>
  <c r="D599" i="6"/>
  <c r="E599" i="6"/>
  <c r="F599" i="6"/>
  <c r="G599" i="6"/>
  <c r="I599" i="6"/>
  <c r="J599" i="6"/>
  <c r="K599" i="6"/>
  <c r="A600" i="6"/>
  <c r="C600" i="6"/>
  <c r="D600" i="6"/>
  <c r="E600" i="6"/>
  <c r="F600" i="6"/>
  <c r="G600" i="6"/>
  <c r="I600" i="6"/>
  <c r="J600" i="6"/>
  <c r="K600" i="6"/>
  <c r="A601" i="6"/>
  <c r="C601" i="6"/>
  <c r="D601" i="6"/>
  <c r="E601" i="6"/>
  <c r="F601" i="6"/>
  <c r="G601" i="6"/>
  <c r="I601" i="6"/>
  <c r="J601" i="6"/>
  <c r="K601" i="6"/>
  <c r="A602" i="6"/>
  <c r="C602" i="6"/>
  <c r="D602" i="6"/>
  <c r="E602" i="6"/>
  <c r="F602" i="6"/>
  <c r="G602" i="6"/>
  <c r="I602" i="6"/>
  <c r="J602" i="6"/>
  <c r="K602" i="6"/>
  <c r="A603" i="6"/>
  <c r="C603" i="6"/>
  <c r="D603" i="6"/>
  <c r="E603" i="6"/>
  <c r="F603" i="6"/>
  <c r="G603" i="6"/>
  <c r="I603" i="6"/>
  <c r="J603" i="6"/>
  <c r="K603" i="6"/>
  <c r="A604" i="6"/>
  <c r="C604" i="6"/>
  <c r="D604" i="6"/>
  <c r="E604" i="6"/>
  <c r="F604" i="6"/>
  <c r="G604" i="6"/>
  <c r="I604" i="6"/>
  <c r="J604" i="6"/>
  <c r="K604" i="6"/>
  <c r="A605" i="6"/>
  <c r="C605" i="6"/>
  <c r="D605" i="6"/>
  <c r="E605" i="6"/>
  <c r="F605" i="6"/>
  <c r="G605" i="6"/>
  <c r="I605" i="6"/>
  <c r="J605" i="6"/>
  <c r="K605" i="6"/>
  <c r="A606" i="6"/>
  <c r="C606" i="6"/>
  <c r="D606" i="6"/>
  <c r="E606" i="6"/>
  <c r="F606" i="6"/>
  <c r="G606" i="6"/>
  <c r="I606" i="6"/>
  <c r="J606" i="6"/>
  <c r="K606" i="6"/>
  <c r="A607" i="6"/>
  <c r="C607" i="6"/>
  <c r="D607" i="6"/>
  <c r="E607" i="6"/>
  <c r="F607" i="6"/>
  <c r="G607" i="6"/>
  <c r="I607" i="6"/>
  <c r="J607" i="6"/>
  <c r="K607" i="6"/>
  <c r="A608" i="6"/>
  <c r="C608" i="6"/>
  <c r="D608" i="6"/>
  <c r="E608" i="6"/>
  <c r="F608" i="6"/>
  <c r="G608" i="6"/>
  <c r="I608" i="6"/>
  <c r="J608" i="6"/>
  <c r="K608" i="6"/>
  <c r="A609" i="6"/>
  <c r="C609" i="6"/>
  <c r="D609" i="6"/>
  <c r="E609" i="6"/>
  <c r="F609" i="6"/>
  <c r="G609" i="6"/>
  <c r="I609" i="6"/>
  <c r="J609" i="6"/>
  <c r="K609" i="6"/>
  <c r="A610" i="6"/>
  <c r="C610" i="6"/>
  <c r="D610" i="6"/>
  <c r="E610" i="6"/>
  <c r="F610" i="6"/>
  <c r="G610" i="6"/>
  <c r="I610" i="6"/>
  <c r="J610" i="6"/>
  <c r="K610" i="6"/>
  <c r="A611" i="6"/>
  <c r="C611" i="6"/>
  <c r="D611" i="6"/>
  <c r="E611" i="6"/>
  <c r="F611" i="6"/>
  <c r="G611" i="6"/>
  <c r="I611" i="6"/>
  <c r="J611" i="6"/>
  <c r="K611" i="6"/>
  <c r="A612" i="6"/>
  <c r="C612" i="6"/>
  <c r="D612" i="6"/>
  <c r="E612" i="6"/>
  <c r="F612" i="6"/>
  <c r="G612" i="6"/>
  <c r="I612" i="6"/>
  <c r="J612" i="6"/>
  <c r="K612" i="6"/>
  <c r="A613" i="6"/>
  <c r="C613" i="6"/>
  <c r="D613" i="6"/>
  <c r="E613" i="6"/>
  <c r="F613" i="6"/>
  <c r="G613" i="6"/>
  <c r="I613" i="6"/>
  <c r="J613" i="6"/>
  <c r="K613" i="6"/>
  <c r="A614" i="6"/>
  <c r="C614" i="6"/>
  <c r="D614" i="6"/>
  <c r="E614" i="6"/>
  <c r="F614" i="6"/>
  <c r="G614" i="6"/>
  <c r="I614" i="6"/>
  <c r="J614" i="6"/>
  <c r="K614" i="6"/>
  <c r="A615" i="6"/>
  <c r="C615" i="6"/>
  <c r="D615" i="6"/>
  <c r="E615" i="6"/>
  <c r="F615" i="6"/>
  <c r="G615" i="6"/>
  <c r="I615" i="6"/>
  <c r="J615" i="6"/>
  <c r="K615" i="6"/>
  <c r="A616" i="6"/>
  <c r="C616" i="6"/>
  <c r="D616" i="6"/>
  <c r="E616" i="6"/>
  <c r="F616" i="6"/>
  <c r="G616" i="6"/>
  <c r="I616" i="6"/>
  <c r="J616" i="6"/>
  <c r="K616" i="6"/>
  <c r="A617" i="6"/>
  <c r="C617" i="6"/>
  <c r="D617" i="6"/>
  <c r="E617" i="6"/>
  <c r="F617" i="6"/>
  <c r="G617" i="6"/>
  <c r="I617" i="6"/>
  <c r="J617" i="6"/>
  <c r="K617" i="6"/>
  <c r="A618" i="6"/>
  <c r="C618" i="6"/>
  <c r="D618" i="6"/>
  <c r="E618" i="6"/>
  <c r="F618" i="6"/>
  <c r="G618" i="6"/>
  <c r="I618" i="6"/>
  <c r="J618" i="6"/>
  <c r="K618" i="6"/>
  <c r="A619" i="6"/>
  <c r="C619" i="6"/>
  <c r="D619" i="6"/>
  <c r="E619" i="6"/>
  <c r="F619" i="6"/>
  <c r="G619" i="6"/>
  <c r="I619" i="6"/>
  <c r="J619" i="6"/>
  <c r="K619" i="6"/>
  <c r="A620" i="6"/>
  <c r="C620" i="6"/>
  <c r="D620" i="6"/>
  <c r="E620" i="6"/>
  <c r="F620" i="6"/>
  <c r="G620" i="6"/>
  <c r="I620" i="6"/>
  <c r="J620" i="6"/>
  <c r="K620" i="6"/>
  <c r="A621" i="6"/>
  <c r="C621" i="6"/>
  <c r="D621" i="6"/>
  <c r="E621" i="6"/>
  <c r="F621" i="6"/>
  <c r="G621" i="6"/>
  <c r="I621" i="6"/>
  <c r="J621" i="6"/>
  <c r="K621" i="6"/>
  <c r="A2" i="12" l="1"/>
  <c r="C2" i="12"/>
  <c r="D2" i="12"/>
  <c r="E2" i="12"/>
  <c r="F2" i="12"/>
  <c r="G2" i="12"/>
  <c r="I2" i="12"/>
  <c r="J2" i="12"/>
  <c r="K2" i="12"/>
  <c r="A3" i="12"/>
  <c r="C3" i="12"/>
  <c r="D3" i="12"/>
  <c r="E3" i="12"/>
  <c r="F3" i="12"/>
  <c r="G3" i="12"/>
  <c r="I3" i="12"/>
  <c r="J3" i="12"/>
  <c r="K3" i="12"/>
  <c r="A4" i="12"/>
  <c r="C4" i="12"/>
  <c r="D4" i="12"/>
  <c r="E4" i="12"/>
  <c r="F4" i="12"/>
  <c r="G4" i="12"/>
  <c r="I4" i="12"/>
  <c r="J4" i="12"/>
  <c r="K4" i="12"/>
  <c r="A5" i="12"/>
  <c r="C5" i="12"/>
  <c r="D5" i="12"/>
  <c r="E5" i="12"/>
  <c r="F5" i="12"/>
  <c r="G5" i="12"/>
  <c r="I5" i="12"/>
  <c r="J5" i="12"/>
  <c r="K5" i="12"/>
  <c r="A6" i="12"/>
  <c r="C6" i="12"/>
  <c r="D6" i="12"/>
  <c r="E6" i="12"/>
  <c r="F6" i="12"/>
  <c r="G6" i="12"/>
  <c r="I6" i="12"/>
  <c r="J6" i="12"/>
  <c r="K6" i="12"/>
  <c r="A7" i="12"/>
  <c r="C7" i="12"/>
  <c r="D7" i="12"/>
  <c r="E7" i="12"/>
  <c r="F7" i="12"/>
  <c r="G7" i="12"/>
  <c r="I7" i="12"/>
  <c r="J7" i="12"/>
  <c r="K7" i="12"/>
  <c r="A8" i="12"/>
  <c r="C8" i="12"/>
  <c r="D8" i="12"/>
  <c r="E8" i="12"/>
  <c r="F8" i="12"/>
  <c r="G8" i="12"/>
  <c r="I8" i="12"/>
  <c r="J8" i="12"/>
  <c r="K8" i="12"/>
  <c r="A9" i="12"/>
  <c r="C9" i="12"/>
  <c r="D9" i="12"/>
  <c r="E9" i="12"/>
  <c r="F9" i="12"/>
  <c r="G9" i="12"/>
  <c r="I9" i="12"/>
  <c r="J9" i="12"/>
  <c r="K9" i="12"/>
  <c r="A10" i="12"/>
  <c r="C10" i="12"/>
  <c r="D10" i="12"/>
  <c r="E10" i="12"/>
  <c r="F10" i="12"/>
  <c r="G10" i="12"/>
  <c r="I10" i="12"/>
  <c r="J10" i="12"/>
  <c r="K10" i="12"/>
  <c r="A11" i="12"/>
  <c r="C11" i="12"/>
  <c r="D11" i="12"/>
  <c r="E11" i="12"/>
  <c r="F11" i="12"/>
  <c r="G11" i="12"/>
  <c r="I11" i="12"/>
  <c r="J11" i="12"/>
  <c r="K11" i="12"/>
  <c r="A12" i="12"/>
  <c r="C12" i="12"/>
  <c r="D12" i="12"/>
  <c r="E12" i="12"/>
  <c r="F12" i="12"/>
  <c r="G12" i="12"/>
  <c r="I12" i="12"/>
  <c r="J12" i="12"/>
  <c r="K12" i="12"/>
  <c r="A13" i="12"/>
  <c r="C13" i="12"/>
  <c r="D13" i="12"/>
  <c r="E13" i="12"/>
  <c r="F13" i="12"/>
  <c r="G13" i="12"/>
  <c r="I13" i="12"/>
  <c r="J13" i="12"/>
  <c r="K13" i="12"/>
  <c r="A14" i="12"/>
  <c r="C14" i="12"/>
  <c r="D14" i="12"/>
  <c r="E14" i="12"/>
  <c r="F14" i="12"/>
  <c r="G14" i="12"/>
  <c r="I14" i="12"/>
  <c r="J14" i="12"/>
  <c r="K14" i="12"/>
  <c r="A15" i="12"/>
  <c r="C15" i="12"/>
  <c r="D15" i="12"/>
  <c r="E15" i="12"/>
  <c r="F15" i="12"/>
  <c r="G15" i="12"/>
  <c r="I15" i="12"/>
  <c r="J15" i="12"/>
  <c r="K15" i="12"/>
  <c r="A16" i="12"/>
  <c r="C16" i="12"/>
  <c r="D16" i="12"/>
  <c r="E16" i="12"/>
  <c r="F16" i="12"/>
  <c r="G16" i="12"/>
  <c r="I16" i="12"/>
  <c r="J16" i="12"/>
  <c r="K16" i="12"/>
  <c r="A17" i="12"/>
  <c r="C17" i="12"/>
  <c r="D17" i="12"/>
  <c r="E17" i="12"/>
  <c r="F17" i="12"/>
  <c r="G17" i="12"/>
  <c r="I17" i="12"/>
  <c r="J17" i="12"/>
  <c r="K17" i="12"/>
  <c r="A18" i="12"/>
  <c r="C18" i="12"/>
  <c r="D18" i="12"/>
  <c r="E18" i="12"/>
  <c r="F18" i="12"/>
  <c r="G18" i="12"/>
  <c r="I18" i="12"/>
  <c r="J18" i="12"/>
  <c r="K18" i="12"/>
  <c r="A19" i="12"/>
  <c r="C19" i="12"/>
  <c r="D19" i="12"/>
  <c r="E19" i="12"/>
  <c r="F19" i="12"/>
  <c r="G19" i="12"/>
  <c r="I19" i="12"/>
  <c r="J19" i="12"/>
  <c r="K19" i="12"/>
  <c r="A20" i="12"/>
  <c r="C20" i="12"/>
  <c r="D20" i="12"/>
  <c r="E20" i="12"/>
  <c r="F20" i="12"/>
  <c r="G20" i="12"/>
  <c r="I20" i="12"/>
  <c r="J20" i="12"/>
  <c r="K20" i="12"/>
  <c r="A21" i="12"/>
  <c r="C21" i="12"/>
  <c r="D21" i="12"/>
  <c r="E21" i="12"/>
  <c r="F21" i="12"/>
  <c r="G21" i="12"/>
  <c r="I21" i="12"/>
  <c r="J21" i="12"/>
  <c r="K21" i="12"/>
  <c r="A22" i="12"/>
  <c r="C22" i="12"/>
  <c r="D22" i="12"/>
  <c r="E22" i="12"/>
  <c r="F22" i="12"/>
  <c r="G22" i="12"/>
  <c r="I22" i="12"/>
  <c r="J22" i="12"/>
  <c r="K22" i="12"/>
  <c r="A23" i="12"/>
  <c r="C23" i="12"/>
  <c r="D23" i="12"/>
  <c r="E23" i="12"/>
  <c r="F23" i="12"/>
  <c r="G23" i="12"/>
  <c r="I23" i="12"/>
  <c r="J23" i="12"/>
  <c r="K23" i="12"/>
  <c r="A24" i="12"/>
  <c r="C24" i="12"/>
  <c r="D24" i="12"/>
  <c r="E24" i="12"/>
  <c r="F24" i="12"/>
  <c r="G24" i="12"/>
  <c r="I24" i="12"/>
  <c r="J24" i="12"/>
  <c r="K24" i="12"/>
  <c r="A25" i="12"/>
  <c r="C25" i="12"/>
  <c r="D25" i="12"/>
  <c r="E25" i="12"/>
  <c r="F25" i="12"/>
  <c r="G25" i="12"/>
  <c r="I25" i="12"/>
  <c r="J25" i="12"/>
  <c r="K25" i="12"/>
  <c r="A26" i="12"/>
  <c r="C26" i="12"/>
  <c r="D26" i="12"/>
  <c r="E26" i="12"/>
  <c r="F26" i="12"/>
  <c r="G26" i="12"/>
  <c r="I26" i="12"/>
  <c r="J26" i="12"/>
  <c r="K26" i="12"/>
  <c r="A27" i="12"/>
  <c r="C27" i="12"/>
  <c r="D27" i="12"/>
  <c r="E27" i="12"/>
  <c r="F27" i="12"/>
  <c r="G27" i="12"/>
  <c r="I27" i="12"/>
  <c r="J27" i="12"/>
  <c r="K27" i="12"/>
  <c r="A28" i="12"/>
  <c r="C28" i="12"/>
  <c r="D28" i="12"/>
  <c r="E28" i="12"/>
  <c r="F28" i="12"/>
  <c r="G28" i="12"/>
  <c r="I28" i="12"/>
  <c r="J28" i="12"/>
  <c r="K28" i="12"/>
  <c r="A29" i="12"/>
  <c r="C29" i="12"/>
  <c r="D29" i="12"/>
  <c r="E29" i="12"/>
  <c r="F29" i="12"/>
  <c r="G29" i="12"/>
  <c r="I29" i="12"/>
  <c r="J29" i="12"/>
  <c r="K29" i="12"/>
  <c r="A30" i="12"/>
  <c r="C30" i="12"/>
  <c r="D30" i="12"/>
  <c r="E30" i="12"/>
  <c r="F30" i="12"/>
  <c r="G30" i="12"/>
  <c r="I30" i="12"/>
  <c r="J30" i="12"/>
  <c r="K30" i="12"/>
  <c r="A31" i="12"/>
  <c r="C31" i="12"/>
  <c r="D31" i="12"/>
  <c r="E31" i="12"/>
  <c r="F31" i="12"/>
  <c r="G31" i="12"/>
  <c r="I31" i="12"/>
  <c r="J31" i="12"/>
  <c r="K31" i="12"/>
  <c r="A32" i="12"/>
  <c r="C32" i="12"/>
  <c r="D32" i="12"/>
  <c r="E32" i="12"/>
  <c r="F32" i="12"/>
  <c r="G32" i="12"/>
  <c r="I32" i="12"/>
  <c r="J32" i="12"/>
  <c r="K32" i="12"/>
  <c r="A33" i="12"/>
  <c r="C33" i="12"/>
  <c r="D33" i="12"/>
  <c r="E33" i="12"/>
  <c r="F33" i="12"/>
  <c r="G33" i="12"/>
  <c r="I33" i="12"/>
  <c r="J33" i="12"/>
  <c r="K33" i="12"/>
  <c r="A34" i="12"/>
  <c r="C34" i="12"/>
  <c r="D34" i="12"/>
  <c r="E34" i="12"/>
  <c r="F34" i="12"/>
  <c r="G34" i="12"/>
  <c r="I34" i="12"/>
  <c r="J34" i="12"/>
  <c r="K34" i="12"/>
  <c r="A35" i="12"/>
  <c r="C35" i="12"/>
  <c r="D35" i="12"/>
  <c r="E35" i="12"/>
  <c r="F35" i="12"/>
  <c r="G35" i="12"/>
  <c r="I35" i="12"/>
  <c r="J35" i="12"/>
  <c r="K35" i="12"/>
  <c r="A36" i="12"/>
  <c r="C36" i="12"/>
  <c r="D36" i="12"/>
  <c r="E36" i="12"/>
  <c r="F36" i="12"/>
  <c r="G36" i="12"/>
  <c r="I36" i="12"/>
  <c r="J36" i="12"/>
  <c r="K36" i="12"/>
  <c r="A37" i="12"/>
  <c r="C37" i="12"/>
  <c r="D37" i="12"/>
  <c r="E37" i="12"/>
  <c r="F37" i="12"/>
  <c r="G37" i="12"/>
  <c r="I37" i="12"/>
  <c r="J37" i="12"/>
  <c r="K37" i="12"/>
  <c r="A38" i="12"/>
  <c r="C38" i="12"/>
  <c r="D38" i="12"/>
  <c r="E38" i="12"/>
  <c r="F38" i="12"/>
  <c r="G38" i="12"/>
  <c r="I38" i="12"/>
  <c r="J38" i="12"/>
  <c r="K38" i="12"/>
  <c r="A39" i="12"/>
  <c r="C39" i="12"/>
  <c r="D39" i="12"/>
  <c r="E39" i="12"/>
  <c r="F39" i="12"/>
  <c r="G39" i="12"/>
  <c r="I39" i="12"/>
  <c r="J39" i="12"/>
  <c r="K39" i="12"/>
  <c r="A40" i="12"/>
  <c r="C40" i="12"/>
  <c r="D40" i="12"/>
  <c r="E40" i="12"/>
  <c r="F40" i="12"/>
  <c r="G40" i="12"/>
  <c r="I40" i="12"/>
  <c r="J40" i="12"/>
  <c r="K40" i="12"/>
  <c r="A41" i="12"/>
  <c r="C41" i="12"/>
  <c r="D41" i="12"/>
  <c r="E41" i="12"/>
  <c r="F41" i="12"/>
  <c r="G41" i="12"/>
  <c r="I41" i="12"/>
  <c r="J41" i="12"/>
  <c r="K41" i="12"/>
  <c r="A42" i="12"/>
  <c r="C42" i="12"/>
  <c r="D42" i="12"/>
  <c r="E42" i="12"/>
  <c r="F42" i="12"/>
  <c r="G42" i="12"/>
  <c r="I42" i="12"/>
  <c r="J42" i="12"/>
  <c r="K42" i="12"/>
  <c r="A43" i="12"/>
  <c r="C43" i="12"/>
  <c r="D43" i="12"/>
  <c r="E43" i="12"/>
  <c r="F43" i="12"/>
  <c r="G43" i="12"/>
  <c r="I43" i="12"/>
  <c r="J43" i="12"/>
  <c r="K43" i="12"/>
  <c r="A44" i="12"/>
  <c r="C44" i="12"/>
  <c r="D44" i="12"/>
  <c r="E44" i="12"/>
  <c r="F44" i="12"/>
  <c r="G44" i="12"/>
  <c r="I44" i="12"/>
  <c r="J44" i="12"/>
  <c r="K44" i="12"/>
  <c r="A45" i="12"/>
  <c r="C45" i="12"/>
  <c r="D45" i="12"/>
  <c r="E45" i="12"/>
  <c r="F45" i="12"/>
  <c r="G45" i="12"/>
  <c r="I45" i="12"/>
  <c r="J45" i="12"/>
  <c r="K45" i="12"/>
  <c r="A46" i="12"/>
  <c r="C46" i="12"/>
  <c r="D46" i="12"/>
  <c r="E46" i="12"/>
  <c r="F46" i="12"/>
  <c r="G46" i="12"/>
  <c r="I46" i="12"/>
  <c r="J46" i="12"/>
  <c r="K46" i="12"/>
  <c r="A47" i="12"/>
  <c r="C47" i="12"/>
  <c r="D47" i="12"/>
  <c r="E47" i="12"/>
  <c r="F47" i="12"/>
  <c r="G47" i="12"/>
  <c r="I47" i="12"/>
  <c r="J47" i="12"/>
  <c r="K47" i="12"/>
  <c r="A48" i="12"/>
  <c r="C48" i="12"/>
  <c r="D48" i="12"/>
  <c r="E48" i="12"/>
  <c r="F48" i="12"/>
  <c r="G48" i="12"/>
  <c r="I48" i="12"/>
  <c r="J48" i="12"/>
  <c r="K48" i="12"/>
  <c r="A49" i="12"/>
  <c r="C49" i="12"/>
  <c r="D49" i="12"/>
  <c r="E49" i="12"/>
  <c r="F49" i="12"/>
  <c r="G49" i="12"/>
  <c r="I49" i="12"/>
  <c r="J49" i="12"/>
  <c r="K49" i="12"/>
  <c r="A50" i="12"/>
  <c r="C50" i="12"/>
  <c r="D50" i="12"/>
  <c r="E50" i="12"/>
  <c r="F50" i="12"/>
  <c r="G50" i="12"/>
  <c r="I50" i="12"/>
  <c r="J50" i="12"/>
  <c r="K50" i="12"/>
  <c r="A51" i="12"/>
  <c r="C51" i="12"/>
  <c r="D51" i="12"/>
  <c r="E51" i="12"/>
  <c r="F51" i="12"/>
  <c r="G51" i="12"/>
  <c r="I51" i="12"/>
  <c r="J51" i="12"/>
  <c r="K51" i="12"/>
  <c r="A52" i="12"/>
  <c r="C52" i="12"/>
  <c r="D52" i="12"/>
  <c r="E52" i="12"/>
  <c r="F52" i="12"/>
  <c r="G52" i="12"/>
  <c r="I52" i="12"/>
  <c r="J52" i="12"/>
  <c r="K52" i="12"/>
  <c r="A53" i="12"/>
  <c r="C53" i="12"/>
  <c r="D53" i="12"/>
  <c r="E53" i="12"/>
  <c r="F53" i="12"/>
  <c r="G53" i="12"/>
  <c r="I53" i="12"/>
  <c r="J53" i="12"/>
  <c r="K53" i="12"/>
  <c r="A54" i="12"/>
  <c r="C54" i="12"/>
  <c r="D54" i="12"/>
  <c r="E54" i="12"/>
  <c r="F54" i="12"/>
  <c r="G54" i="12"/>
  <c r="I54" i="12"/>
  <c r="J54" i="12"/>
  <c r="K54" i="12"/>
  <c r="A55" i="12"/>
  <c r="C55" i="12"/>
  <c r="D55" i="12"/>
  <c r="E55" i="12"/>
  <c r="F55" i="12"/>
  <c r="G55" i="12"/>
  <c r="I55" i="12"/>
  <c r="J55" i="12"/>
  <c r="K55" i="12"/>
  <c r="A56" i="12"/>
  <c r="C56" i="12"/>
  <c r="D56" i="12"/>
  <c r="E56" i="12"/>
  <c r="F56" i="12"/>
  <c r="G56" i="12"/>
  <c r="I56" i="12"/>
  <c r="J56" i="12"/>
  <c r="K56" i="12"/>
  <c r="A57" i="12"/>
  <c r="C57" i="12"/>
  <c r="D57" i="12"/>
  <c r="E57" i="12"/>
  <c r="F57" i="12"/>
  <c r="G57" i="12"/>
  <c r="I57" i="12"/>
  <c r="J57" i="12"/>
  <c r="K57" i="12"/>
  <c r="A58" i="12"/>
  <c r="C58" i="12"/>
  <c r="D58" i="12"/>
  <c r="E58" i="12"/>
  <c r="F58" i="12"/>
  <c r="G58" i="12"/>
  <c r="I58" i="12"/>
  <c r="J58" i="12"/>
  <c r="K58" i="12"/>
  <c r="A59" i="12"/>
  <c r="C59" i="12"/>
  <c r="D59" i="12"/>
  <c r="E59" i="12"/>
  <c r="F59" i="12"/>
  <c r="G59" i="12"/>
  <c r="I59" i="12"/>
  <c r="J59" i="12"/>
  <c r="K59" i="12"/>
  <c r="A60" i="12"/>
  <c r="C60" i="12"/>
  <c r="D60" i="12"/>
  <c r="E60" i="12"/>
  <c r="F60" i="12"/>
  <c r="G60" i="12"/>
  <c r="I60" i="12"/>
  <c r="J60" i="12"/>
  <c r="K60" i="12"/>
  <c r="A61" i="12"/>
  <c r="C61" i="12"/>
  <c r="D61" i="12"/>
  <c r="E61" i="12"/>
  <c r="F61" i="12"/>
  <c r="G61" i="12"/>
  <c r="I61" i="12"/>
  <c r="J61" i="12"/>
  <c r="K61" i="12"/>
  <c r="A62" i="12"/>
  <c r="C62" i="12"/>
  <c r="D62" i="12"/>
  <c r="E62" i="12"/>
  <c r="F62" i="12"/>
  <c r="G62" i="12"/>
  <c r="I62" i="12"/>
  <c r="J62" i="12"/>
  <c r="K62" i="12"/>
  <c r="A63" i="12"/>
  <c r="C63" i="12"/>
  <c r="D63" i="12"/>
  <c r="E63" i="12"/>
  <c r="F63" i="12"/>
  <c r="G63" i="12"/>
  <c r="I63" i="12"/>
  <c r="J63" i="12"/>
  <c r="K63" i="12"/>
  <c r="A64" i="12"/>
  <c r="C64" i="12"/>
  <c r="D64" i="12"/>
  <c r="E64" i="12"/>
  <c r="F64" i="12"/>
  <c r="G64" i="12"/>
  <c r="I64" i="12"/>
  <c r="J64" i="12"/>
  <c r="K64" i="12"/>
  <c r="A65" i="12"/>
  <c r="C65" i="12"/>
  <c r="D65" i="12"/>
  <c r="E65" i="12"/>
  <c r="F65" i="12"/>
  <c r="G65" i="12"/>
  <c r="I65" i="12"/>
  <c r="J65" i="12"/>
  <c r="K65" i="12"/>
  <c r="A66" i="12"/>
  <c r="C66" i="12"/>
  <c r="D66" i="12"/>
  <c r="E66" i="12"/>
  <c r="F66" i="12"/>
  <c r="G66" i="12"/>
  <c r="I66" i="12"/>
  <c r="J66" i="12"/>
  <c r="K66" i="12"/>
  <c r="A67" i="12"/>
  <c r="C67" i="12"/>
  <c r="D67" i="12"/>
  <c r="E67" i="12"/>
  <c r="F67" i="12"/>
  <c r="G67" i="12"/>
  <c r="I67" i="12"/>
  <c r="J67" i="12"/>
  <c r="K67" i="12"/>
  <c r="A68" i="12"/>
  <c r="C68" i="12"/>
  <c r="D68" i="12"/>
  <c r="E68" i="12"/>
  <c r="F68" i="12"/>
  <c r="G68" i="12"/>
  <c r="I68" i="12"/>
  <c r="J68" i="12"/>
  <c r="K68" i="12"/>
  <c r="A69" i="12"/>
  <c r="C69" i="12"/>
  <c r="D69" i="12"/>
  <c r="E69" i="12"/>
  <c r="F69" i="12"/>
  <c r="G69" i="12"/>
  <c r="I69" i="12"/>
  <c r="J69" i="12"/>
  <c r="K69" i="12"/>
  <c r="A70" i="12"/>
  <c r="C70" i="12"/>
  <c r="D70" i="12"/>
  <c r="E70" i="12"/>
  <c r="F70" i="12"/>
  <c r="G70" i="12"/>
  <c r="I70" i="12"/>
  <c r="J70" i="12"/>
  <c r="K70" i="12"/>
  <c r="A71" i="12"/>
  <c r="C71" i="12"/>
  <c r="D71" i="12"/>
  <c r="E71" i="12"/>
  <c r="F71" i="12"/>
  <c r="G71" i="12"/>
  <c r="I71" i="12"/>
  <c r="J71" i="12"/>
  <c r="K71" i="12"/>
  <c r="A72" i="12"/>
  <c r="C72" i="12"/>
  <c r="D72" i="12"/>
  <c r="E72" i="12"/>
  <c r="F72" i="12"/>
  <c r="G72" i="12"/>
  <c r="I72" i="12"/>
  <c r="J72" i="12"/>
  <c r="K72" i="12"/>
  <c r="A73" i="12"/>
  <c r="C73" i="12"/>
  <c r="D73" i="12"/>
  <c r="E73" i="12"/>
  <c r="F73" i="12"/>
  <c r="G73" i="12"/>
  <c r="I73" i="12"/>
  <c r="J73" i="12"/>
  <c r="K73" i="12"/>
  <c r="A74" i="12"/>
  <c r="C74" i="12"/>
  <c r="D74" i="12"/>
  <c r="E74" i="12"/>
  <c r="F74" i="12"/>
  <c r="G74" i="12"/>
  <c r="I74" i="12"/>
  <c r="J74" i="12"/>
  <c r="K74" i="12"/>
  <c r="A75" i="12"/>
  <c r="C75" i="12"/>
  <c r="D75" i="12"/>
  <c r="E75" i="12"/>
  <c r="F75" i="12"/>
  <c r="G75" i="12"/>
  <c r="I75" i="12"/>
  <c r="J75" i="12"/>
  <c r="K75" i="12"/>
  <c r="A76" i="12"/>
  <c r="C76" i="12"/>
  <c r="D76" i="12"/>
  <c r="E76" i="12"/>
  <c r="F76" i="12"/>
  <c r="G76" i="12"/>
  <c r="I76" i="12"/>
  <c r="J76" i="12"/>
  <c r="K76" i="12"/>
  <c r="A77" i="12"/>
  <c r="C77" i="12"/>
  <c r="D77" i="12"/>
  <c r="E77" i="12"/>
  <c r="F77" i="12"/>
  <c r="G77" i="12"/>
  <c r="I77" i="12"/>
  <c r="J77" i="12"/>
  <c r="K77" i="12"/>
  <c r="A78" i="12"/>
  <c r="C78" i="12"/>
  <c r="D78" i="12"/>
  <c r="E78" i="12"/>
  <c r="F78" i="12"/>
  <c r="G78" i="12"/>
  <c r="I78" i="12"/>
  <c r="J78" i="12"/>
  <c r="K78" i="12"/>
  <c r="A79" i="12"/>
  <c r="C79" i="12"/>
  <c r="D79" i="12"/>
  <c r="E79" i="12"/>
  <c r="F79" i="12"/>
  <c r="G79" i="12"/>
  <c r="I79" i="12"/>
  <c r="J79" i="12"/>
  <c r="K79" i="12"/>
  <c r="A80" i="12"/>
  <c r="C80" i="12"/>
  <c r="D80" i="12"/>
  <c r="E80" i="12"/>
  <c r="F80" i="12"/>
  <c r="G80" i="12"/>
  <c r="I80" i="12"/>
  <c r="J80" i="12"/>
  <c r="K80" i="12"/>
  <c r="A81" i="12"/>
  <c r="C81" i="12"/>
  <c r="D81" i="12"/>
  <c r="E81" i="12"/>
  <c r="F81" i="12"/>
  <c r="G81" i="12"/>
  <c r="I81" i="12"/>
  <c r="J81" i="12"/>
  <c r="K81" i="12"/>
  <c r="A82" i="12"/>
  <c r="C82" i="12"/>
  <c r="D82" i="12"/>
  <c r="E82" i="12"/>
  <c r="F82" i="12"/>
  <c r="G82" i="12"/>
  <c r="I82" i="12"/>
  <c r="J82" i="12"/>
  <c r="K82" i="12"/>
  <c r="A83" i="12"/>
  <c r="C83" i="12"/>
  <c r="D83" i="12"/>
  <c r="E83" i="12"/>
  <c r="F83" i="12"/>
  <c r="G83" i="12"/>
  <c r="I83" i="12"/>
  <c r="J83" i="12"/>
  <c r="K83" i="12"/>
  <c r="A84" i="12"/>
  <c r="C84" i="12"/>
  <c r="D84" i="12"/>
  <c r="E84" i="12"/>
  <c r="F84" i="12"/>
  <c r="G84" i="12"/>
  <c r="I84" i="12"/>
  <c r="J84" i="12"/>
  <c r="K84" i="12"/>
  <c r="A85" i="12"/>
  <c r="C85" i="12"/>
  <c r="D85" i="12"/>
  <c r="E85" i="12"/>
  <c r="F85" i="12"/>
  <c r="G85" i="12"/>
  <c r="I85" i="12"/>
  <c r="J85" i="12"/>
  <c r="K85" i="12"/>
  <c r="A86" i="12"/>
  <c r="C86" i="12"/>
  <c r="D86" i="12"/>
  <c r="E86" i="12"/>
  <c r="F86" i="12"/>
  <c r="G86" i="12"/>
  <c r="I86" i="12"/>
  <c r="J86" i="12"/>
  <c r="K86" i="12"/>
  <c r="A87" i="12"/>
  <c r="C87" i="12"/>
  <c r="D87" i="12"/>
  <c r="E87" i="12"/>
  <c r="F87" i="12"/>
  <c r="G87" i="12"/>
  <c r="I87" i="12"/>
  <c r="J87" i="12"/>
  <c r="K87" i="12"/>
  <c r="A88" i="12"/>
  <c r="C88" i="12"/>
  <c r="D88" i="12"/>
  <c r="E88" i="12"/>
  <c r="F88" i="12"/>
  <c r="G88" i="12"/>
  <c r="I88" i="12"/>
  <c r="J88" i="12"/>
  <c r="K88" i="12"/>
  <c r="A89" i="12"/>
  <c r="C89" i="12"/>
  <c r="D89" i="12"/>
  <c r="E89" i="12"/>
  <c r="F89" i="12"/>
  <c r="G89" i="12"/>
  <c r="I89" i="12"/>
  <c r="J89" i="12"/>
  <c r="K89" i="12"/>
  <c r="A90" i="12"/>
  <c r="C90" i="12"/>
  <c r="D90" i="12"/>
  <c r="E90" i="12"/>
  <c r="F90" i="12"/>
  <c r="G90" i="12"/>
  <c r="I90" i="12"/>
  <c r="J90" i="12"/>
  <c r="K90" i="12"/>
  <c r="A91" i="12"/>
  <c r="C91" i="12"/>
  <c r="D91" i="12"/>
  <c r="E91" i="12"/>
  <c r="F91" i="12"/>
  <c r="G91" i="12"/>
  <c r="I91" i="12"/>
  <c r="J91" i="12"/>
  <c r="K91" i="12"/>
  <c r="A92" i="12"/>
  <c r="C92" i="12"/>
  <c r="D92" i="12"/>
  <c r="E92" i="12"/>
  <c r="F92" i="12"/>
  <c r="G92" i="12"/>
  <c r="I92" i="12"/>
  <c r="J92" i="12"/>
  <c r="K92" i="12"/>
  <c r="A93" i="12"/>
  <c r="C93" i="12"/>
  <c r="D93" i="12"/>
  <c r="E93" i="12"/>
  <c r="F93" i="12"/>
  <c r="G93" i="12"/>
  <c r="I93" i="12"/>
  <c r="J93" i="12"/>
  <c r="K93" i="12"/>
  <c r="A94" i="12"/>
  <c r="C94" i="12"/>
  <c r="D94" i="12"/>
  <c r="E94" i="12"/>
  <c r="F94" i="12"/>
  <c r="G94" i="12"/>
  <c r="I94" i="12"/>
  <c r="J94" i="12"/>
  <c r="K94" i="12"/>
  <c r="A95" i="12"/>
  <c r="C95" i="12"/>
  <c r="D95" i="12"/>
  <c r="E95" i="12"/>
  <c r="F95" i="12"/>
  <c r="G95" i="12"/>
  <c r="I95" i="12"/>
  <c r="J95" i="12"/>
  <c r="K95" i="12"/>
  <c r="A96" i="12"/>
  <c r="C96" i="12"/>
  <c r="D96" i="12"/>
  <c r="E96" i="12"/>
  <c r="F96" i="12"/>
  <c r="G96" i="12"/>
  <c r="I96" i="12"/>
  <c r="J96" i="12"/>
  <c r="K96" i="12"/>
  <c r="A97" i="12"/>
  <c r="C97" i="12"/>
  <c r="D97" i="12"/>
  <c r="E97" i="12"/>
  <c r="F97" i="12"/>
  <c r="G97" i="12"/>
  <c r="I97" i="12"/>
  <c r="J97" i="12"/>
  <c r="K97" i="12"/>
  <c r="A98" i="12"/>
  <c r="C98" i="12"/>
  <c r="D98" i="12"/>
  <c r="E98" i="12"/>
  <c r="F98" i="12"/>
  <c r="G98" i="12"/>
  <c r="I98" i="12"/>
  <c r="J98" i="12"/>
  <c r="K98" i="12"/>
  <c r="A99" i="12"/>
  <c r="C99" i="12"/>
  <c r="D99" i="12"/>
  <c r="E99" i="12"/>
  <c r="F99" i="12"/>
  <c r="G99" i="12"/>
  <c r="I99" i="12"/>
  <c r="J99" i="12"/>
  <c r="K99" i="12"/>
  <c r="A100" i="12"/>
  <c r="C100" i="12"/>
  <c r="D100" i="12"/>
  <c r="E100" i="12"/>
  <c r="F100" i="12"/>
  <c r="G100" i="12"/>
  <c r="I100" i="12"/>
  <c r="J100" i="12"/>
  <c r="K100" i="12"/>
  <c r="A101" i="12"/>
  <c r="C101" i="12"/>
  <c r="D101" i="12"/>
  <c r="E101" i="12"/>
  <c r="F101" i="12"/>
  <c r="G101" i="12"/>
  <c r="I101" i="12"/>
  <c r="J101" i="12"/>
  <c r="K101" i="12"/>
  <c r="A102" i="12"/>
  <c r="C102" i="12"/>
  <c r="D102" i="12"/>
  <c r="E102" i="12"/>
  <c r="F102" i="12"/>
  <c r="G102" i="12"/>
  <c r="I102" i="12"/>
  <c r="J102" i="12"/>
  <c r="K102" i="12"/>
  <c r="A103" i="12"/>
  <c r="C103" i="12"/>
  <c r="D103" i="12"/>
  <c r="E103" i="12"/>
  <c r="F103" i="12"/>
  <c r="G103" i="12"/>
  <c r="I103" i="12"/>
  <c r="J103" i="12"/>
  <c r="K103" i="12"/>
  <c r="A104" i="12"/>
  <c r="C104" i="12"/>
  <c r="D104" i="12"/>
  <c r="E104" i="12"/>
  <c r="F104" i="12"/>
  <c r="G104" i="12"/>
  <c r="I104" i="12"/>
  <c r="J104" i="12"/>
  <c r="K104" i="12"/>
  <c r="A105" i="12"/>
  <c r="C105" i="12"/>
  <c r="D105" i="12"/>
  <c r="E105" i="12"/>
  <c r="F105" i="12"/>
  <c r="G105" i="12"/>
  <c r="I105" i="12"/>
  <c r="J105" i="12"/>
  <c r="K105" i="12"/>
  <c r="A106" i="12"/>
  <c r="C106" i="12"/>
  <c r="D106" i="12"/>
  <c r="E106" i="12"/>
  <c r="F106" i="12"/>
  <c r="G106" i="12"/>
  <c r="I106" i="12"/>
  <c r="J106" i="12"/>
  <c r="K106" i="12"/>
  <c r="A107" i="12"/>
  <c r="C107" i="12"/>
  <c r="D107" i="12"/>
  <c r="E107" i="12"/>
  <c r="F107" i="12"/>
  <c r="G107" i="12"/>
  <c r="I107" i="12"/>
  <c r="J107" i="12"/>
  <c r="K107" i="12"/>
  <c r="A108" i="12"/>
  <c r="C108" i="12"/>
  <c r="D108" i="12"/>
  <c r="E108" i="12"/>
  <c r="F108" i="12"/>
  <c r="G108" i="12"/>
  <c r="I108" i="12"/>
  <c r="J108" i="12"/>
  <c r="K108" i="12"/>
  <c r="A109" i="12"/>
  <c r="C109" i="12"/>
  <c r="D109" i="12"/>
  <c r="E109" i="12"/>
  <c r="F109" i="12"/>
  <c r="G109" i="12"/>
  <c r="I109" i="12"/>
  <c r="J109" i="12"/>
  <c r="K109" i="12"/>
  <c r="A110" i="12"/>
  <c r="C110" i="12"/>
  <c r="D110" i="12"/>
  <c r="E110" i="12"/>
  <c r="F110" i="12"/>
  <c r="G110" i="12"/>
  <c r="I110" i="12"/>
  <c r="J110" i="12"/>
  <c r="K110" i="12"/>
  <c r="A111" i="12"/>
  <c r="C111" i="12"/>
  <c r="D111" i="12"/>
  <c r="E111" i="12"/>
  <c r="F111" i="12"/>
  <c r="G111" i="12"/>
  <c r="I111" i="12"/>
  <c r="J111" i="12"/>
  <c r="K111" i="12"/>
  <c r="A112" i="12"/>
  <c r="C112" i="12"/>
  <c r="D112" i="12"/>
  <c r="E112" i="12"/>
  <c r="F112" i="12"/>
  <c r="G112" i="12"/>
  <c r="I112" i="12"/>
  <c r="J112" i="12"/>
  <c r="K112" i="12"/>
  <c r="A113" i="12"/>
  <c r="C113" i="12"/>
  <c r="D113" i="12"/>
  <c r="E113" i="12"/>
  <c r="F113" i="12"/>
  <c r="G113" i="12"/>
  <c r="I113" i="12"/>
  <c r="J113" i="12"/>
  <c r="K113" i="12"/>
  <c r="A114" i="12"/>
  <c r="C114" i="12"/>
  <c r="D114" i="12"/>
  <c r="E114" i="12"/>
  <c r="F114" i="12"/>
  <c r="G114" i="12"/>
  <c r="I114" i="12"/>
  <c r="J114" i="12"/>
  <c r="K114" i="12"/>
  <c r="A115" i="12"/>
  <c r="C115" i="12"/>
  <c r="D115" i="12"/>
  <c r="E115" i="12"/>
  <c r="F115" i="12"/>
  <c r="G115" i="12"/>
  <c r="I115" i="12"/>
  <c r="J115" i="12"/>
  <c r="K115" i="12"/>
  <c r="A116" i="12"/>
  <c r="C116" i="12"/>
  <c r="D116" i="12"/>
  <c r="E116" i="12"/>
  <c r="F116" i="12"/>
  <c r="G116" i="12"/>
  <c r="I116" i="12"/>
  <c r="J116" i="12"/>
  <c r="K116" i="12"/>
  <c r="A117" i="12"/>
  <c r="C117" i="12"/>
  <c r="D117" i="12"/>
  <c r="E117" i="12"/>
  <c r="F117" i="12"/>
  <c r="G117" i="12"/>
  <c r="I117" i="12"/>
  <c r="J117" i="12"/>
  <c r="K117" i="12"/>
  <c r="A118" i="12"/>
  <c r="C118" i="12"/>
  <c r="D118" i="12"/>
  <c r="E118" i="12"/>
  <c r="F118" i="12"/>
  <c r="G118" i="12"/>
  <c r="I118" i="12"/>
  <c r="J118" i="12"/>
  <c r="K118" i="12"/>
  <c r="A119" i="12"/>
  <c r="C119" i="12"/>
  <c r="D119" i="12"/>
  <c r="E119" i="12"/>
  <c r="F119" i="12"/>
  <c r="G119" i="12"/>
  <c r="I119" i="12"/>
  <c r="J119" i="12"/>
  <c r="K119" i="12"/>
  <c r="A120" i="12"/>
  <c r="C120" i="12"/>
  <c r="D120" i="12"/>
  <c r="E120" i="12"/>
  <c r="F120" i="12"/>
  <c r="G120" i="12"/>
  <c r="I120" i="12"/>
  <c r="J120" i="12"/>
  <c r="K120" i="12"/>
  <c r="A121" i="12"/>
  <c r="C121" i="12"/>
  <c r="D121" i="12"/>
  <c r="E121" i="12"/>
  <c r="F121" i="12"/>
  <c r="G121" i="12"/>
  <c r="I121" i="12"/>
  <c r="J121" i="12"/>
  <c r="K121" i="12"/>
  <c r="A122" i="12"/>
  <c r="C122" i="12"/>
  <c r="D122" i="12"/>
  <c r="E122" i="12"/>
  <c r="F122" i="12"/>
  <c r="G122" i="12"/>
  <c r="I122" i="12"/>
  <c r="J122" i="12"/>
  <c r="K122" i="12"/>
  <c r="A123" i="12"/>
  <c r="C123" i="12"/>
  <c r="D123" i="12"/>
  <c r="E123" i="12"/>
  <c r="F123" i="12"/>
  <c r="G123" i="12"/>
  <c r="I123" i="12"/>
  <c r="J123" i="12"/>
  <c r="K123" i="12"/>
  <c r="A124" i="12"/>
  <c r="C124" i="12"/>
  <c r="D124" i="12"/>
  <c r="E124" i="12"/>
  <c r="F124" i="12"/>
  <c r="G124" i="12"/>
  <c r="I124" i="12"/>
  <c r="J124" i="12"/>
  <c r="K124" i="12"/>
  <c r="A125" i="12"/>
  <c r="C125" i="12"/>
  <c r="D125" i="12"/>
  <c r="E125" i="12"/>
  <c r="F125" i="12"/>
  <c r="G125" i="12"/>
  <c r="I125" i="12"/>
  <c r="J125" i="12"/>
  <c r="K125" i="12"/>
  <c r="A126" i="12"/>
  <c r="C126" i="12"/>
  <c r="D126" i="12"/>
  <c r="E126" i="12"/>
  <c r="F126" i="12"/>
  <c r="G126" i="12"/>
  <c r="I126" i="12"/>
  <c r="J126" i="12"/>
  <c r="K126" i="12"/>
  <c r="A127" i="12"/>
  <c r="C127" i="12"/>
  <c r="D127" i="12"/>
  <c r="E127" i="12"/>
  <c r="F127" i="12"/>
  <c r="G127" i="12"/>
  <c r="I127" i="12"/>
  <c r="J127" i="12"/>
  <c r="K127" i="12"/>
  <c r="A128" i="12"/>
  <c r="C128" i="12"/>
  <c r="D128" i="12"/>
  <c r="E128" i="12"/>
  <c r="F128" i="12"/>
  <c r="G128" i="12"/>
  <c r="I128" i="12"/>
  <c r="J128" i="12"/>
  <c r="K128" i="12"/>
  <c r="A129" i="12"/>
  <c r="C129" i="12"/>
  <c r="D129" i="12"/>
  <c r="E129" i="12"/>
  <c r="F129" i="12"/>
  <c r="G129" i="12"/>
  <c r="I129" i="12"/>
  <c r="J129" i="12"/>
  <c r="K129" i="12"/>
  <c r="A130" i="12"/>
  <c r="C130" i="12"/>
  <c r="D130" i="12"/>
  <c r="E130" i="12"/>
  <c r="F130" i="12"/>
  <c r="G130" i="12"/>
  <c r="I130" i="12"/>
  <c r="J130" i="12"/>
  <c r="K130" i="12"/>
  <c r="A131" i="12"/>
  <c r="C131" i="12"/>
  <c r="D131" i="12"/>
  <c r="E131" i="12"/>
  <c r="F131" i="12"/>
  <c r="G131" i="12"/>
  <c r="I131" i="12"/>
  <c r="J131" i="12"/>
  <c r="K131" i="12"/>
  <c r="A132" i="12"/>
  <c r="C132" i="12"/>
  <c r="D132" i="12"/>
  <c r="E132" i="12"/>
  <c r="F132" i="12"/>
  <c r="G132" i="12"/>
  <c r="I132" i="12"/>
  <c r="J132" i="12"/>
  <c r="K132" i="12"/>
  <c r="A133" i="12"/>
  <c r="C133" i="12"/>
  <c r="D133" i="12"/>
  <c r="E133" i="12"/>
  <c r="F133" i="12"/>
  <c r="G133" i="12"/>
  <c r="I133" i="12"/>
  <c r="J133" i="12"/>
  <c r="K133" i="12"/>
  <c r="A134" i="12"/>
  <c r="C134" i="12"/>
  <c r="D134" i="12"/>
  <c r="E134" i="12"/>
  <c r="F134" i="12"/>
  <c r="G134" i="12"/>
  <c r="I134" i="12"/>
  <c r="J134" i="12"/>
  <c r="K134" i="12"/>
  <c r="A135" i="12"/>
  <c r="C135" i="12"/>
  <c r="D135" i="12"/>
  <c r="E135" i="12"/>
  <c r="F135" i="12"/>
  <c r="G135" i="12"/>
  <c r="I135" i="12"/>
  <c r="J135" i="12"/>
  <c r="K135" i="12"/>
  <c r="A136" i="12"/>
  <c r="C136" i="12"/>
  <c r="D136" i="12"/>
  <c r="E136" i="12"/>
  <c r="F136" i="12"/>
  <c r="G136" i="12"/>
  <c r="I136" i="12"/>
  <c r="J136" i="12"/>
  <c r="K136" i="12"/>
  <c r="A137" i="12"/>
  <c r="C137" i="12"/>
  <c r="D137" i="12"/>
  <c r="E137" i="12"/>
  <c r="F137" i="12"/>
  <c r="G137" i="12"/>
  <c r="I137" i="12"/>
  <c r="J137" i="12"/>
  <c r="K137" i="12"/>
  <c r="A138" i="12"/>
  <c r="C138" i="12"/>
  <c r="D138" i="12"/>
  <c r="E138" i="12"/>
  <c r="F138" i="12"/>
  <c r="G138" i="12"/>
  <c r="I138" i="12"/>
  <c r="J138" i="12"/>
  <c r="K138" i="12"/>
  <c r="A139" i="12"/>
  <c r="C139" i="12"/>
  <c r="D139" i="12"/>
  <c r="E139" i="12"/>
  <c r="F139" i="12"/>
  <c r="G139" i="12"/>
  <c r="I139" i="12"/>
  <c r="J139" i="12"/>
  <c r="K139" i="12"/>
  <c r="A140" i="12"/>
  <c r="C140" i="12"/>
  <c r="D140" i="12"/>
  <c r="E140" i="12"/>
  <c r="F140" i="12"/>
  <c r="G140" i="12"/>
  <c r="I140" i="12"/>
  <c r="J140" i="12"/>
  <c r="K140" i="12"/>
  <c r="A141" i="12"/>
  <c r="C141" i="12"/>
  <c r="D141" i="12"/>
  <c r="E141" i="12"/>
  <c r="F141" i="12"/>
  <c r="G141" i="12"/>
  <c r="I141" i="12"/>
  <c r="J141" i="12"/>
  <c r="K141" i="12"/>
  <c r="A142" i="12"/>
  <c r="C142" i="12"/>
  <c r="D142" i="12"/>
  <c r="E142" i="12"/>
  <c r="F142" i="12"/>
  <c r="G142" i="12"/>
  <c r="I142" i="12"/>
  <c r="J142" i="12"/>
  <c r="K142" i="12"/>
  <c r="A143" i="12"/>
  <c r="C143" i="12"/>
  <c r="D143" i="12"/>
  <c r="E143" i="12"/>
  <c r="F143" i="12"/>
  <c r="G143" i="12"/>
  <c r="I143" i="12"/>
  <c r="J143" i="12"/>
  <c r="K143" i="12"/>
  <c r="A144" i="12"/>
  <c r="C144" i="12"/>
  <c r="D144" i="12"/>
  <c r="E144" i="12"/>
  <c r="F144" i="12"/>
  <c r="G144" i="12"/>
  <c r="I144" i="12"/>
  <c r="J144" i="12"/>
  <c r="K144" i="12"/>
  <c r="A145" i="12"/>
  <c r="C145" i="12"/>
  <c r="D145" i="12"/>
  <c r="E145" i="12"/>
  <c r="F145" i="12"/>
  <c r="G145" i="12"/>
  <c r="I145" i="12"/>
  <c r="J145" i="12"/>
  <c r="K145" i="12"/>
  <c r="A146" i="12"/>
  <c r="C146" i="12"/>
  <c r="D146" i="12"/>
  <c r="E146" i="12"/>
  <c r="F146" i="12"/>
  <c r="G146" i="12"/>
  <c r="I146" i="12"/>
  <c r="J146" i="12"/>
  <c r="K146" i="12"/>
  <c r="A147" i="12"/>
  <c r="C147" i="12"/>
  <c r="D147" i="12"/>
  <c r="E147" i="12"/>
  <c r="F147" i="12"/>
  <c r="G147" i="12"/>
  <c r="I147" i="12"/>
  <c r="J147" i="12"/>
  <c r="K147" i="12"/>
  <c r="A148" i="12"/>
  <c r="C148" i="12"/>
  <c r="D148" i="12"/>
  <c r="E148" i="12"/>
  <c r="F148" i="12"/>
  <c r="G148" i="12"/>
  <c r="I148" i="12"/>
  <c r="J148" i="12"/>
  <c r="K148" i="12"/>
  <c r="A149" i="12"/>
  <c r="C149" i="12"/>
  <c r="D149" i="12"/>
  <c r="E149" i="12"/>
  <c r="F149" i="12"/>
  <c r="G149" i="12"/>
  <c r="I149" i="12"/>
  <c r="J149" i="12"/>
  <c r="K149" i="12"/>
  <c r="A150" i="12"/>
  <c r="C150" i="12"/>
  <c r="D150" i="12"/>
  <c r="E150" i="12"/>
  <c r="F150" i="12"/>
  <c r="G150" i="12"/>
  <c r="I150" i="12"/>
  <c r="J150" i="12"/>
  <c r="K150" i="12"/>
  <c r="A151" i="12"/>
  <c r="C151" i="12"/>
  <c r="D151" i="12"/>
  <c r="E151" i="12"/>
  <c r="F151" i="12"/>
  <c r="G151" i="12"/>
  <c r="I151" i="12"/>
  <c r="J151" i="12"/>
  <c r="K151" i="12"/>
  <c r="A152" i="12"/>
  <c r="C152" i="12"/>
  <c r="D152" i="12"/>
  <c r="E152" i="12"/>
  <c r="F152" i="12"/>
  <c r="G152" i="12"/>
  <c r="I152" i="12"/>
  <c r="J152" i="12"/>
  <c r="K152" i="12"/>
  <c r="A153" i="12"/>
  <c r="C153" i="12"/>
  <c r="D153" i="12"/>
  <c r="E153" i="12"/>
  <c r="F153" i="12"/>
  <c r="G153" i="12"/>
  <c r="I153" i="12"/>
  <c r="J153" i="12"/>
  <c r="K153" i="12"/>
  <c r="A154" i="12"/>
  <c r="C154" i="12"/>
  <c r="D154" i="12"/>
  <c r="E154" i="12"/>
  <c r="F154" i="12"/>
  <c r="G154" i="12"/>
  <c r="I154" i="12"/>
  <c r="J154" i="12"/>
  <c r="K154" i="12"/>
  <c r="A155" i="12"/>
  <c r="C155" i="12"/>
  <c r="D155" i="12"/>
  <c r="E155" i="12"/>
  <c r="F155" i="12"/>
  <c r="G155" i="12"/>
  <c r="I155" i="12"/>
  <c r="J155" i="12"/>
  <c r="K155" i="12"/>
  <c r="A156" i="12"/>
  <c r="C156" i="12"/>
  <c r="D156" i="12"/>
  <c r="E156" i="12"/>
  <c r="F156" i="12"/>
  <c r="G156" i="12"/>
  <c r="I156" i="12"/>
  <c r="J156" i="12"/>
  <c r="K156" i="12"/>
  <c r="A157" i="12"/>
  <c r="C157" i="12"/>
  <c r="D157" i="12"/>
  <c r="E157" i="12"/>
  <c r="F157" i="12"/>
  <c r="G157" i="12"/>
  <c r="I157" i="12"/>
  <c r="J157" i="12"/>
  <c r="K157" i="12"/>
  <c r="A158" i="12"/>
  <c r="C158" i="12"/>
  <c r="D158" i="12"/>
  <c r="E158" i="12"/>
  <c r="F158" i="12"/>
  <c r="G158" i="12"/>
  <c r="I158" i="12"/>
  <c r="J158" i="12"/>
  <c r="K158" i="12"/>
  <c r="A159" i="12"/>
  <c r="C159" i="12"/>
  <c r="D159" i="12"/>
  <c r="E159" i="12"/>
  <c r="F159" i="12"/>
  <c r="G159" i="12"/>
  <c r="I159" i="12"/>
  <c r="J159" i="12"/>
  <c r="K159" i="12"/>
  <c r="A160" i="12"/>
  <c r="C160" i="12"/>
  <c r="D160" i="12"/>
  <c r="E160" i="12"/>
  <c r="F160" i="12"/>
  <c r="G160" i="12"/>
  <c r="I160" i="12"/>
  <c r="J160" i="12"/>
  <c r="K160" i="12"/>
  <c r="A161" i="12"/>
  <c r="C161" i="12"/>
  <c r="D161" i="12"/>
  <c r="E161" i="12"/>
  <c r="F161" i="12"/>
  <c r="G161" i="12"/>
  <c r="I161" i="12"/>
  <c r="J161" i="12"/>
  <c r="K161" i="12"/>
  <c r="A162" i="12"/>
  <c r="C162" i="12"/>
  <c r="D162" i="12"/>
  <c r="E162" i="12"/>
  <c r="F162" i="12"/>
  <c r="G162" i="12"/>
  <c r="I162" i="12"/>
  <c r="J162" i="12"/>
  <c r="K162" i="12"/>
  <c r="A163" i="12"/>
  <c r="C163" i="12"/>
  <c r="D163" i="12"/>
  <c r="E163" i="12"/>
  <c r="F163" i="12"/>
  <c r="G163" i="12"/>
  <c r="I163" i="12"/>
  <c r="J163" i="12"/>
  <c r="K163" i="12"/>
  <c r="A164" i="12"/>
  <c r="C164" i="12"/>
  <c r="D164" i="12"/>
  <c r="E164" i="12"/>
  <c r="F164" i="12"/>
  <c r="G164" i="12"/>
  <c r="I164" i="12"/>
  <c r="J164" i="12"/>
  <c r="K164" i="12"/>
  <c r="A165" i="12"/>
  <c r="C165" i="12"/>
  <c r="D165" i="12"/>
  <c r="E165" i="12"/>
  <c r="F165" i="12"/>
  <c r="G165" i="12"/>
  <c r="I165" i="12"/>
  <c r="J165" i="12"/>
  <c r="K165" i="12"/>
  <c r="A166" i="12"/>
  <c r="C166" i="12"/>
  <c r="D166" i="12"/>
  <c r="E166" i="12"/>
  <c r="F166" i="12"/>
  <c r="G166" i="12"/>
  <c r="I166" i="12"/>
  <c r="J166" i="12"/>
  <c r="K166" i="12"/>
  <c r="A167" i="12"/>
  <c r="C167" i="12"/>
  <c r="D167" i="12"/>
  <c r="E167" i="12"/>
  <c r="F167" i="12"/>
  <c r="G167" i="12"/>
  <c r="I167" i="12"/>
  <c r="J167" i="12"/>
  <c r="K167" i="12"/>
  <c r="A168" i="12"/>
  <c r="C168" i="12"/>
  <c r="D168" i="12"/>
  <c r="E168" i="12"/>
  <c r="F168" i="12"/>
  <c r="G168" i="12"/>
  <c r="I168" i="12"/>
  <c r="J168" i="12"/>
  <c r="K168" i="12"/>
  <c r="A169" i="12"/>
  <c r="C169" i="12"/>
  <c r="D169" i="12"/>
  <c r="E169" i="12"/>
  <c r="F169" i="12"/>
  <c r="G169" i="12"/>
  <c r="I169" i="12"/>
  <c r="J169" i="12"/>
  <c r="K169" i="12"/>
  <c r="A170" i="12"/>
  <c r="C170" i="12"/>
  <c r="D170" i="12"/>
  <c r="E170" i="12"/>
  <c r="F170" i="12"/>
  <c r="G170" i="12"/>
  <c r="I170" i="12"/>
  <c r="J170" i="12"/>
  <c r="K170" i="12"/>
  <c r="A171" i="12"/>
  <c r="C171" i="12"/>
  <c r="D171" i="12"/>
  <c r="E171" i="12"/>
  <c r="F171" i="12"/>
  <c r="G171" i="12"/>
  <c r="I171" i="12"/>
  <c r="J171" i="12"/>
  <c r="K171" i="12"/>
  <c r="A172" i="12"/>
  <c r="C172" i="12"/>
  <c r="D172" i="12"/>
  <c r="E172" i="12"/>
  <c r="F172" i="12"/>
  <c r="G172" i="12"/>
  <c r="I172" i="12"/>
  <c r="J172" i="12"/>
  <c r="K172" i="12"/>
  <c r="A173" i="12"/>
  <c r="C173" i="12"/>
  <c r="D173" i="12"/>
  <c r="E173" i="12"/>
  <c r="F173" i="12"/>
  <c r="G173" i="12"/>
  <c r="I173" i="12"/>
  <c r="J173" i="12"/>
  <c r="K173" i="12"/>
  <c r="A174" i="12"/>
  <c r="C174" i="12"/>
  <c r="D174" i="12"/>
  <c r="E174" i="12"/>
  <c r="F174" i="12"/>
  <c r="G174" i="12"/>
  <c r="I174" i="12"/>
  <c r="J174" i="12"/>
  <c r="K174" i="12"/>
  <c r="A175" i="12"/>
  <c r="C175" i="12"/>
  <c r="D175" i="12"/>
  <c r="E175" i="12"/>
  <c r="F175" i="12"/>
  <c r="G175" i="12"/>
  <c r="I175" i="12"/>
  <c r="J175" i="12"/>
  <c r="K175" i="12"/>
  <c r="A176" i="12"/>
  <c r="C176" i="12"/>
  <c r="D176" i="12"/>
  <c r="E176" i="12"/>
  <c r="F176" i="12"/>
  <c r="G176" i="12"/>
  <c r="I176" i="12"/>
  <c r="J176" i="12"/>
  <c r="K176" i="12"/>
  <c r="A177" i="12"/>
  <c r="C177" i="12"/>
  <c r="D177" i="12"/>
  <c r="E177" i="12"/>
  <c r="F177" i="12"/>
  <c r="G177" i="12"/>
  <c r="I177" i="12"/>
  <c r="J177" i="12"/>
  <c r="K177" i="12"/>
  <c r="A178" i="12"/>
  <c r="C178" i="12"/>
  <c r="D178" i="12"/>
  <c r="E178" i="12"/>
  <c r="F178" i="12"/>
  <c r="G178" i="12"/>
  <c r="I178" i="12"/>
  <c r="J178" i="12"/>
  <c r="K178" i="12"/>
  <c r="A179" i="12"/>
  <c r="C179" i="12"/>
  <c r="D179" i="12"/>
  <c r="E179" i="12"/>
  <c r="F179" i="12"/>
  <c r="G179" i="12"/>
  <c r="I179" i="12"/>
  <c r="J179" i="12"/>
  <c r="K179" i="12"/>
  <c r="A180" i="12"/>
  <c r="C180" i="12"/>
  <c r="D180" i="12"/>
  <c r="E180" i="12"/>
  <c r="F180" i="12"/>
  <c r="G180" i="12"/>
  <c r="I180" i="12"/>
  <c r="J180" i="12"/>
  <c r="K180" i="12"/>
  <c r="A181" i="12"/>
  <c r="C181" i="12"/>
  <c r="D181" i="12"/>
  <c r="E181" i="12"/>
  <c r="F181" i="12"/>
  <c r="G181" i="12"/>
  <c r="I181" i="12"/>
  <c r="J181" i="12"/>
  <c r="K181" i="12"/>
  <c r="A182" i="12"/>
  <c r="C182" i="12"/>
  <c r="D182" i="12"/>
  <c r="E182" i="12"/>
  <c r="F182" i="12"/>
  <c r="G182" i="12"/>
  <c r="I182" i="12"/>
  <c r="J182" i="12"/>
  <c r="K182" i="12"/>
  <c r="A183" i="12"/>
  <c r="C183" i="12"/>
  <c r="D183" i="12"/>
  <c r="E183" i="12"/>
  <c r="F183" i="12"/>
  <c r="G183" i="12"/>
  <c r="I183" i="12"/>
  <c r="J183" i="12"/>
  <c r="K183" i="12"/>
  <c r="A184" i="12"/>
  <c r="C184" i="12"/>
  <c r="D184" i="12"/>
  <c r="E184" i="12"/>
  <c r="F184" i="12"/>
  <c r="G184" i="12"/>
  <c r="I184" i="12"/>
  <c r="J184" i="12"/>
  <c r="K184" i="12"/>
  <c r="A2" i="11"/>
  <c r="C2" i="11"/>
  <c r="D2" i="11"/>
  <c r="E2" i="11"/>
  <c r="F2" i="11"/>
  <c r="G2" i="11"/>
  <c r="I2" i="11"/>
  <c r="J2" i="11"/>
  <c r="K2" i="11"/>
  <c r="A3" i="11"/>
  <c r="C3" i="11"/>
  <c r="D3" i="11"/>
  <c r="E3" i="11"/>
  <c r="F3" i="11"/>
  <c r="G3" i="11"/>
  <c r="I3" i="11"/>
  <c r="J3" i="11"/>
  <c r="K3" i="11"/>
  <c r="A4" i="11"/>
  <c r="C4" i="11"/>
  <c r="D4" i="11"/>
  <c r="E4" i="11"/>
  <c r="F4" i="11"/>
  <c r="G4" i="11"/>
  <c r="I4" i="11"/>
  <c r="J4" i="11"/>
  <c r="K4" i="11"/>
  <c r="A5" i="11"/>
  <c r="C5" i="11"/>
  <c r="D5" i="11"/>
  <c r="E5" i="11"/>
  <c r="F5" i="11"/>
  <c r="G5" i="11"/>
  <c r="I5" i="11"/>
  <c r="J5" i="11"/>
  <c r="K5" i="11"/>
  <c r="A6" i="11"/>
  <c r="C6" i="11"/>
  <c r="D6" i="11"/>
  <c r="E6" i="11"/>
  <c r="F6" i="11"/>
  <c r="G6" i="11"/>
  <c r="I6" i="11"/>
  <c r="J6" i="11"/>
  <c r="K6" i="11"/>
  <c r="A7" i="11"/>
  <c r="C7" i="11"/>
  <c r="D7" i="11"/>
  <c r="E7" i="11"/>
  <c r="F7" i="11"/>
  <c r="G7" i="11"/>
  <c r="I7" i="11"/>
  <c r="J7" i="11"/>
  <c r="K7" i="11"/>
  <c r="A8" i="11"/>
  <c r="C8" i="11"/>
  <c r="D8" i="11"/>
  <c r="E8" i="11"/>
  <c r="F8" i="11"/>
  <c r="G8" i="11"/>
  <c r="I8" i="11"/>
  <c r="J8" i="11"/>
  <c r="K8" i="11"/>
  <c r="A9" i="11"/>
  <c r="C9" i="11"/>
  <c r="D9" i="11"/>
  <c r="E9" i="11"/>
  <c r="F9" i="11"/>
  <c r="G9" i="11"/>
  <c r="I9" i="11"/>
  <c r="J9" i="11"/>
  <c r="K9" i="11"/>
  <c r="A10" i="11"/>
  <c r="C10" i="11"/>
  <c r="D10" i="11"/>
  <c r="E10" i="11"/>
  <c r="F10" i="11"/>
  <c r="G10" i="11"/>
  <c r="I10" i="11"/>
  <c r="J10" i="11"/>
  <c r="K10" i="11"/>
  <c r="A11" i="11"/>
  <c r="C11" i="11"/>
  <c r="D11" i="11"/>
  <c r="E11" i="11"/>
  <c r="F11" i="11"/>
  <c r="G11" i="11"/>
  <c r="I11" i="11"/>
  <c r="J11" i="11"/>
  <c r="K11" i="11"/>
  <c r="A12" i="11"/>
  <c r="C12" i="11"/>
  <c r="D12" i="11"/>
  <c r="E12" i="11"/>
  <c r="F12" i="11"/>
  <c r="G12" i="11"/>
  <c r="I12" i="11"/>
  <c r="J12" i="11"/>
  <c r="K12" i="11"/>
  <c r="A13" i="11"/>
  <c r="C13" i="11"/>
  <c r="D13" i="11"/>
  <c r="E13" i="11"/>
  <c r="F13" i="11"/>
  <c r="G13" i="11"/>
  <c r="I13" i="11"/>
  <c r="J13" i="11"/>
  <c r="K13" i="11"/>
  <c r="A14" i="11"/>
  <c r="C14" i="11"/>
  <c r="D14" i="11"/>
  <c r="E14" i="11"/>
  <c r="F14" i="11"/>
  <c r="G14" i="11"/>
  <c r="I14" i="11"/>
  <c r="J14" i="11"/>
  <c r="K14" i="11"/>
  <c r="A15" i="11"/>
  <c r="C15" i="11"/>
  <c r="D15" i="11"/>
  <c r="E15" i="11"/>
  <c r="F15" i="11"/>
  <c r="G15" i="11"/>
  <c r="I15" i="11"/>
  <c r="J15" i="11"/>
  <c r="K15" i="11"/>
  <c r="A16" i="11"/>
  <c r="C16" i="11"/>
  <c r="D16" i="11"/>
  <c r="E16" i="11"/>
  <c r="F16" i="11"/>
  <c r="G16" i="11"/>
  <c r="I16" i="11"/>
  <c r="J16" i="11"/>
  <c r="K16" i="11"/>
  <c r="A17" i="11"/>
  <c r="C17" i="11"/>
  <c r="D17" i="11"/>
  <c r="E17" i="11"/>
  <c r="F17" i="11"/>
  <c r="G17" i="11"/>
  <c r="I17" i="11"/>
  <c r="J17" i="11"/>
  <c r="K17" i="11"/>
  <c r="A18" i="11"/>
  <c r="C18" i="11"/>
  <c r="D18" i="11"/>
  <c r="E18" i="11"/>
  <c r="F18" i="11"/>
  <c r="G18" i="11"/>
  <c r="I18" i="11"/>
  <c r="J18" i="11"/>
  <c r="K18" i="11"/>
  <c r="A19" i="11"/>
  <c r="C19" i="11"/>
  <c r="D19" i="11"/>
  <c r="E19" i="11"/>
  <c r="F19" i="11"/>
  <c r="G19" i="11"/>
  <c r="I19" i="11"/>
  <c r="J19" i="11"/>
  <c r="K19" i="11"/>
  <c r="A20" i="11"/>
  <c r="C20" i="11"/>
  <c r="D20" i="11"/>
  <c r="E20" i="11"/>
  <c r="F20" i="11"/>
  <c r="G20" i="11"/>
  <c r="I20" i="11"/>
  <c r="J20" i="11"/>
  <c r="K20" i="11"/>
  <c r="A21" i="11"/>
  <c r="C21" i="11"/>
  <c r="D21" i="11"/>
  <c r="E21" i="11"/>
  <c r="F21" i="11"/>
  <c r="G21" i="11"/>
  <c r="I21" i="11"/>
  <c r="J21" i="11"/>
  <c r="K21" i="11"/>
  <c r="A22" i="11"/>
  <c r="C22" i="11"/>
  <c r="D22" i="11"/>
  <c r="E22" i="11"/>
  <c r="F22" i="11"/>
  <c r="G22" i="11"/>
  <c r="I22" i="11"/>
  <c r="J22" i="11"/>
  <c r="K22" i="11"/>
  <c r="A23" i="11"/>
  <c r="C23" i="11"/>
  <c r="D23" i="11"/>
  <c r="E23" i="11"/>
  <c r="F23" i="11"/>
  <c r="G23" i="11"/>
  <c r="I23" i="11"/>
  <c r="J23" i="11"/>
  <c r="K23" i="11"/>
  <c r="A24" i="11"/>
  <c r="C24" i="11"/>
  <c r="D24" i="11"/>
  <c r="E24" i="11"/>
  <c r="F24" i="11"/>
  <c r="G24" i="11"/>
  <c r="I24" i="11"/>
  <c r="J24" i="11"/>
  <c r="K24" i="11"/>
  <c r="A25" i="11"/>
  <c r="C25" i="11"/>
  <c r="D25" i="11"/>
  <c r="E25" i="11"/>
  <c r="F25" i="11"/>
  <c r="G25" i="11"/>
  <c r="I25" i="11"/>
  <c r="J25" i="11"/>
  <c r="K25" i="11"/>
  <c r="A26" i="11"/>
  <c r="C26" i="11"/>
  <c r="D26" i="11"/>
  <c r="E26" i="11"/>
  <c r="F26" i="11"/>
  <c r="G26" i="11"/>
  <c r="I26" i="11"/>
  <c r="J26" i="11"/>
  <c r="K26" i="11"/>
  <c r="A27" i="11"/>
  <c r="C27" i="11"/>
  <c r="D27" i="11"/>
  <c r="E27" i="11"/>
  <c r="F27" i="11"/>
  <c r="G27" i="11"/>
  <c r="I27" i="11"/>
  <c r="J27" i="11"/>
  <c r="K27" i="11"/>
  <c r="A28" i="11"/>
  <c r="C28" i="11"/>
  <c r="D28" i="11"/>
  <c r="E28" i="11"/>
  <c r="F28" i="11"/>
  <c r="G28" i="11"/>
  <c r="I28" i="11"/>
  <c r="J28" i="11"/>
  <c r="K28" i="11"/>
  <c r="A29" i="11"/>
  <c r="C29" i="11"/>
  <c r="D29" i="11"/>
  <c r="E29" i="11"/>
  <c r="F29" i="11"/>
  <c r="G29" i="11"/>
  <c r="I29" i="11"/>
  <c r="J29" i="11"/>
  <c r="K29" i="11"/>
  <c r="A30" i="11"/>
  <c r="C30" i="11"/>
  <c r="D30" i="11"/>
  <c r="E30" i="11"/>
  <c r="F30" i="11"/>
  <c r="G30" i="11"/>
  <c r="I30" i="11"/>
  <c r="J30" i="11"/>
  <c r="K30" i="11"/>
  <c r="A31" i="11"/>
  <c r="C31" i="11"/>
  <c r="D31" i="11"/>
  <c r="E31" i="11"/>
  <c r="F31" i="11"/>
  <c r="G31" i="11"/>
  <c r="I31" i="11"/>
  <c r="J31" i="11"/>
  <c r="K31" i="11"/>
  <c r="A32" i="11"/>
  <c r="C32" i="11"/>
  <c r="D32" i="11"/>
  <c r="E32" i="11"/>
  <c r="F32" i="11"/>
  <c r="G32" i="11"/>
  <c r="I32" i="11"/>
  <c r="J32" i="11"/>
  <c r="K32" i="11"/>
  <c r="A33" i="11"/>
  <c r="C33" i="11"/>
  <c r="D33" i="11"/>
  <c r="E33" i="11"/>
  <c r="F33" i="11"/>
  <c r="G33" i="11"/>
  <c r="I33" i="11"/>
  <c r="J33" i="11"/>
  <c r="K33" i="11"/>
  <c r="A34" i="11"/>
  <c r="C34" i="11"/>
  <c r="D34" i="11"/>
  <c r="E34" i="11"/>
  <c r="F34" i="11"/>
  <c r="G34" i="11"/>
  <c r="I34" i="11"/>
  <c r="J34" i="11"/>
  <c r="K34" i="11"/>
  <c r="A35" i="11"/>
  <c r="C35" i="11"/>
  <c r="D35" i="11"/>
  <c r="E35" i="11"/>
  <c r="F35" i="11"/>
  <c r="G35" i="11"/>
  <c r="I35" i="11"/>
  <c r="J35" i="11"/>
  <c r="K35" i="11"/>
  <c r="A36" i="11"/>
  <c r="C36" i="11"/>
  <c r="D36" i="11"/>
  <c r="E36" i="11"/>
  <c r="F36" i="11"/>
  <c r="G36" i="11"/>
  <c r="I36" i="11"/>
  <c r="J36" i="11"/>
  <c r="K36" i="11"/>
  <c r="A37" i="11"/>
  <c r="C37" i="11"/>
  <c r="D37" i="11"/>
  <c r="E37" i="11"/>
  <c r="F37" i="11"/>
  <c r="G37" i="11"/>
  <c r="I37" i="11"/>
  <c r="J37" i="11"/>
  <c r="K37" i="11"/>
  <c r="A38" i="11"/>
  <c r="C38" i="11"/>
  <c r="D38" i="11"/>
  <c r="E38" i="11"/>
  <c r="F38" i="11"/>
  <c r="G38" i="11"/>
  <c r="I38" i="11"/>
  <c r="J38" i="11"/>
  <c r="K38" i="11"/>
  <c r="A39" i="11"/>
  <c r="C39" i="11"/>
  <c r="D39" i="11"/>
  <c r="E39" i="11"/>
  <c r="F39" i="11"/>
  <c r="G39" i="11"/>
  <c r="I39" i="11"/>
  <c r="J39" i="11"/>
  <c r="K39" i="11"/>
  <c r="A40" i="11"/>
  <c r="C40" i="11"/>
  <c r="D40" i="11"/>
  <c r="E40" i="11"/>
  <c r="F40" i="11"/>
  <c r="G40" i="11"/>
  <c r="I40" i="11"/>
  <c r="J40" i="11"/>
  <c r="K40" i="11"/>
  <c r="A41" i="11"/>
  <c r="C41" i="11"/>
  <c r="D41" i="11"/>
  <c r="E41" i="11"/>
  <c r="F41" i="11"/>
  <c r="G41" i="11"/>
  <c r="I41" i="11"/>
  <c r="J41" i="11"/>
  <c r="K41" i="11"/>
  <c r="A42" i="11"/>
  <c r="C42" i="11"/>
  <c r="D42" i="11"/>
  <c r="E42" i="11"/>
  <c r="F42" i="11"/>
  <c r="G42" i="11"/>
  <c r="I42" i="11"/>
  <c r="J42" i="11"/>
  <c r="K42" i="11"/>
  <c r="A43" i="11"/>
  <c r="C43" i="11"/>
  <c r="D43" i="11"/>
  <c r="E43" i="11"/>
  <c r="F43" i="11"/>
  <c r="G43" i="11"/>
  <c r="I43" i="11"/>
  <c r="J43" i="11"/>
  <c r="K43" i="11"/>
  <c r="A44" i="11"/>
  <c r="C44" i="11"/>
  <c r="D44" i="11"/>
  <c r="E44" i="11"/>
  <c r="F44" i="11"/>
  <c r="G44" i="11"/>
  <c r="I44" i="11"/>
  <c r="J44" i="11"/>
  <c r="K44" i="11"/>
  <c r="A45" i="11"/>
  <c r="C45" i="11"/>
  <c r="D45" i="11"/>
  <c r="E45" i="11"/>
  <c r="F45" i="11"/>
  <c r="G45" i="11"/>
  <c r="I45" i="11"/>
  <c r="J45" i="11"/>
  <c r="K45" i="11"/>
  <c r="A46" i="11"/>
  <c r="C46" i="11"/>
  <c r="D46" i="11"/>
  <c r="E46" i="11"/>
  <c r="F46" i="11"/>
  <c r="G46" i="11"/>
  <c r="I46" i="11"/>
  <c r="J46" i="11"/>
  <c r="K46" i="11"/>
  <c r="A47" i="11"/>
  <c r="C47" i="11"/>
  <c r="D47" i="11"/>
  <c r="E47" i="11"/>
  <c r="F47" i="11"/>
  <c r="G47" i="11"/>
  <c r="I47" i="11"/>
  <c r="J47" i="11"/>
  <c r="K47" i="11"/>
  <c r="A48" i="11"/>
  <c r="C48" i="11"/>
  <c r="D48" i="11"/>
  <c r="E48" i="11"/>
  <c r="F48" i="11"/>
  <c r="G48" i="11"/>
  <c r="I48" i="11"/>
  <c r="J48" i="11"/>
  <c r="K48" i="11"/>
  <c r="A49" i="11"/>
  <c r="C49" i="11"/>
  <c r="D49" i="11"/>
  <c r="E49" i="11"/>
  <c r="F49" i="11"/>
  <c r="G49" i="11"/>
  <c r="I49" i="11"/>
  <c r="J49" i="11"/>
  <c r="K49" i="11"/>
  <c r="A50" i="11"/>
  <c r="C50" i="11"/>
  <c r="D50" i="11"/>
  <c r="E50" i="11"/>
  <c r="F50" i="11"/>
  <c r="G50" i="11"/>
  <c r="I50" i="11"/>
  <c r="J50" i="11"/>
  <c r="K50" i="11"/>
  <c r="A51" i="11"/>
  <c r="C51" i="11"/>
  <c r="D51" i="11"/>
  <c r="E51" i="11"/>
  <c r="F51" i="11"/>
  <c r="G51" i="11"/>
  <c r="I51" i="11"/>
  <c r="J51" i="11"/>
  <c r="K51" i="11"/>
  <c r="A52" i="11"/>
  <c r="C52" i="11"/>
  <c r="D52" i="11"/>
  <c r="E52" i="11"/>
  <c r="F52" i="11"/>
  <c r="G52" i="11"/>
  <c r="I52" i="11"/>
  <c r="J52" i="11"/>
  <c r="K52" i="11"/>
  <c r="A53" i="11"/>
  <c r="C53" i="11"/>
  <c r="D53" i="11"/>
  <c r="E53" i="11"/>
  <c r="F53" i="11"/>
  <c r="G53" i="11"/>
  <c r="I53" i="11"/>
  <c r="J53" i="11"/>
  <c r="K53" i="11"/>
  <c r="A54" i="11"/>
  <c r="C54" i="11"/>
  <c r="D54" i="11"/>
  <c r="E54" i="11"/>
  <c r="F54" i="11"/>
  <c r="G54" i="11"/>
  <c r="I54" i="11"/>
  <c r="J54" i="11"/>
  <c r="K54" i="11"/>
  <c r="A55" i="11"/>
  <c r="C55" i="11"/>
  <c r="D55" i="11"/>
  <c r="E55" i="11"/>
  <c r="F55" i="11"/>
  <c r="G55" i="11"/>
  <c r="I55" i="11"/>
  <c r="J55" i="11"/>
  <c r="K55" i="11"/>
  <c r="A56" i="11"/>
  <c r="C56" i="11"/>
  <c r="D56" i="11"/>
  <c r="E56" i="11"/>
  <c r="F56" i="11"/>
  <c r="G56" i="11"/>
  <c r="I56" i="11"/>
  <c r="J56" i="11"/>
  <c r="K56" i="11"/>
  <c r="A57" i="11"/>
  <c r="C57" i="11"/>
  <c r="D57" i="11"/>
  <c r="E57" i="11"/>
  <c r="F57" i="11"/>
  <c r="G57" i="11"/>
  <c r="I57" i="11"/>
  <c r="J57" i="11"/>
  <c r="K57" i="11"/>
  <c r="A58" i="11"/>
  <c r="C58" i="11"/>
  <c r="D58" i="11"/>
  <c r="E58" i="11"/>
  <c r="F58" i="11"/>
  <c r="G58" i="11"/>
  <c r="I58" i="11"/>
  <c r="J58" i="11"/>
  <c r="K58" i="11"/>
  <c r="A59" i="11"/>
  <c r="C59" i="11"/>
  <c r="D59" i="11"/>
  <c r="E59" i="11"/>
  <c r="F59" i="11"/>
  <c r="G59" i="11"/>
  <c r="I59" i="11"/>
  <c r="J59" i="11"/>
  <c r="K59" i="11"/>
  <c r="A60" i="11"/>
  <c r="C60" i="11"/>
  <c r="D60" i="11"/>
  <c r="E60" i="11"/>
  <c r="F60" i="11"/>
  <c r="G60" i="11"/>
  <c r="I60" i="11"/>
  <c r="J60" i="11"/>
  <c r="K60" i="11"/>
  <c r="A61" i="11"/>
  <c r="C61" i="11"/>
  <c r="D61" i="11"/>
  <c r="E61" i="11"/>
  <c r="F61" i="11"/>
  <c r="G61" i="11"/>
  <c r="I61" i="11"/>
  <c r="J61" i="11"/>
  <c r="K61" i="11"/>
  <c r="A62" i="11"/>
  <c r="C62" i="11"/>
  <c r="D62" i="11"/>
  <c r="E62" i="11"/>
  <c r="F62" i="11"/>
  <c r="G62" i="11"/>
  <c r="I62" i="11"/>
  <c r="J62" i="11"/>
  <c r="K62" i="11"/>
  <c r="A63" i="11"/>
  <c r="C63" i="11"/>
  <c r="D63" i="11"/>
  <c r="E63" i="11"/>
  <c r="F63" i="11"/>
  <c r="G63" i="11"/>
  <c r="I63" i="11"/>
  <c r="J63" i="11"/>
  <c r="K63" i="11"/>
  <c r="A64" i="11"/>
  <c r="C64" i="11"/>
  <c r="D64" i="11"/>
  <c r="E64" i="11"/>
  <c r="F64" i="11"/>
  <c r="G64" i="11"/>
  <c r="I64" i="11"/>
  <c r="J64" i="11"/>
  <c r="K64" i="11"/>
  <c r="A65" i="11"/>
  <c r="C65" i="11"/>
  <c r="D65" i="11"/>
  <c r="E65" i="11"/>
  <c r="F65" i="11"/>
  <c r="G65" i="11"/>
  <c r="I65" i="11"/>
  <c r="J65" i="11"/>
  <c r="K65" i="11"/>
  <c r="A66" i="11"/>
  <c r="C66" i="11"/>
  <c r="D66" i="11"/>
  <c r="E66" i="11"/>
  <c r="F66" i="11"/>
  <c r="G66" i="11"/>
  <c r="I66" i="11"/>
  <c r="J66" i="11"/>
  <c r="K66" i="11"/>
  <c r="A67" i="11"/>
  <c r="C67" i="11"/>
  <c r="D67" i="11"/>
  <c r="E67" i="11"/>
  <c r="F67" i="11"/>
  <c r="G67" i="11"/>
  <c r="I67" i="11"/>
  <c r="J67" i="11"/>
  <c r="K67" i="11"/>
  <c r="A68" i="11"/>
  <c r="C68" i="11"/>
  <c r="D68" i="11"/>
  <c r="E68" i="11"/>
  <c r="F68" i="11"/>
  <c r="G68" i="11"/>
  <c r="I68" i="11"/>
  <c r="J68" i="11"/>
  <c r="K68" i="11"/>
  <c r="A69" i="11"/>
  <c r="C69" i="11"/>
  <c r="D69" i="11"/>
  <c r="E69" i="11"/>
  <c r="F69" i="11"/>
  <c r="G69" i="11"/>
  <c r="I69" i="11"/>
  <c r="J69" i="11"/>
  <c r="K69" i="11"/>
  <c r="A70" i="11"/>
  <c r="C70" i="11"/>
  <c r="D70" i="11"/>
  <c r="E70" i="11"/>
  <c r="F70" i="11"/>
  <c r="G70" i="11"/>
  <c r="I70" i="11"/>
  <c r="J70" i="11"/>
  <c r="K70" i="11"/>
  <c r="A71" i="11"/>
  <c r="C71" i="11"/>
  <c r="D71" i="11"/>
  <c r="E71" i="11"/>
  <c r="F71" i="11"/>
  <c r="G71" i="11"/>
  <c r="I71" i="11"/>
  <c r="J71" i="11"/>
  <c r="K71" i="11"/>
  <c r="A72" i="11"/>
  <c r="C72" i="11"/>
  <c r="D72" i="11"/>
  <c r="E72" i="11"/>
  <c r="F72" i="11"/>
  <c r="G72" i="11"/>
  <c r="I72" i="11"/>
  <c r="J72" i="11"/>
  <c r="K72" i="11"/>
  <c r="A73" i="11"/>
  <c r="C73" i="11"/>
  <c r="D73" i="11"/>
  <c r="E73" i="11"/>
  <c r="F73" i="11"/>
  <c r="G73" i="11"/>
  <c r="I73" i="11"/>
  <c r="J73" i="11"/>
  <c r="K73" i="11"/>
  <c r="A74" i="11"/>
  <c r="C74" i="11"/>
  <c r="D74" i="11"/>
  <c r="E74" i="11"/>
  <c r="F74" i="11"/>
  <c r="G74" i="11"/>
  <c r="I74" i="11"/>
  <c r="J74" i="11"/>
  <c r="K74" i="11"/>
  <c r="A75" i="11"/>
  <c r="C75" i="11"/>
  <c r="D75" i="11"/>
  <c r="E75" i="11"/>
  <c r="F75" i="11"/>
  <c r="G75" i="11"/>
  <c r="I75" i="11"/>
  <c r="J75" i="11"/>
  <c r="K75" i="11"/>
  <c r="A76" i="11"/>
  <c r="C76" i="11"/>
  <c r="D76" i="11"/>
  <c r="E76" i="11"/>
  <c r="F76" i="11"/>
  <c r="G76" i="11"/>
  <c r="I76" i="11"/>
  <c r="J76" i="11"/>
  <c r="K76" i="11"/>
  <c r="A77" i="11"/>
  <c r="C77" i="11"/>
  <c r="D77" i="11"/>
  <c r="E77" i="11"/>
  <c r="F77" i="11"/>
  <c r="G77" i="11"/>
  <c r="I77" i="11"/>
  <c r="J77" i="11"/>
  <c r="K77" i="11"/>
  <c r="A78" i="11"/>
  <c r="C78" i="11"/>
  <c r="D78" i="11"/>
  <c r="E78" i="11"/>
  <c r="F78" i="11"/>
  <c r="G78" i="11"/>
  <c r="I78" i="11"/>
  <c r="J78" i="11"/>
  <c r="K78" i="11"/>
  <c r="A79" i="11"/>
  <c r="C79" i="11"/>
  <c r="D79" i="11"/>
  <c r="E79" i="11"/>
  <c r="F79" i="11"/>
  <c r="G79" i="11"/>
  <c r="I79" i="11"/>
  <c r="J79" i="11"/>
  <c r="K79" i="11"/>
  <c r="A80" i="11"/>
  <c r="C80" i="11"/>
  <c r="D80" i="11"/>
  <c r="E80" i="11"/>
  <c r="F80" i="11"/>
  <c r="G80" i="11"/>
  <c r="I80" i="11"/>
  <c r="J80" i="11"/>
  <c r="K80" i="11"/>
  <c r="A81" i="11"/>
  <c r="C81" i="11"/>
  <c r="D81" i="11"/>
  <c r="E81" i="11"/>
  <c r="F81" i="11"/>
  <c r="G81" i="11"/>
  <c r="I81" i="11"/>
  <c r="J81" i="11"/>
  <c r="K81" i="11"/>
  <c r="A82" i="11"/>
  <c r="C82" i="11"/>
  <c r="D82" i="11"/>
  <c r="E82" i="11"/>
  <c r="F82" i="11"/>
  <c r="G82" i="11"/>
  <c r="I82" i="11"/>
  <c r="J82" i="11"/>
  <c r="K82" i="11"/>
  <c r="A83" i="11"/>
  <c r="C83" i="11"/>
  <c r="D83" i="11"/>
  <c r="E83" i="11"/>
  <c r="F83" i="11"/>
  <c r="G83" i="11"/>
  <c r="I83" i="11"/>
  <c r="J83" i="11"/>
  <c r="K83" i="11"/>
  <c r="A84" i="11"/>
  <c r="C84" i="11"/>
  <c r="D84" i="11"/>
  <c r="E84" i="11"/>
  <c r="F84" i="11"/>
  <c r="G84" i="11"/>
  <c r="I84" i="11"/>
  <c r="J84" i="11"/>
  <c r="K84" i="11"/>
  <c r="A85" i="11"/>
  <c r="C85" i="11"/>
  <c r="D85" i="11"/>
  <c r="E85" i="11"/>
  <c r="F85" i="11"/>
  <c r="G85" i="11"/>
  <c r="I85" i="11"/>
  <c r="J85" i="11"/>
  <c r="K85" i="11"/>
  <c r="A86" i="11"/>
  <c r="C86" i="11"/>
  <c r="D86" i="11"/>
  <c r="E86" i="11"/>
  <c r="F86" i="11"/>
  <c r="G86" i="11"/>
  <c r="I86" i="11"/>
  <c r="J86" i="11"/>
  <c r="K86" i="11"/>
  <c r="A87" i="11"/>
  <c r="C87" i="11"/>
  <c r="D87" i="11"/>
  <c r="E87" i="11"/>
  <c r="F87" i="11"/>
  <c r="G87" i="11"/>
  <c r="I87" i="11"/>
  <c r="J87" i="11"/>
  <c r="K87" i="11"/>
  <c r="A88" i="11"/>
  <c r="C88" i="11"/>
  <c r="D88" i="11"/>
  <c r="E88" i="11"/>
  <c r="F88" i="11"/>
  <c r="G88" i="11"/>
  <c r="I88" i="11"/>
  <c r="J88" i="11"/>
  <c r="K88" i="11"/>
  <c r="A89" i="11"/>
  <c r="C89" i="11"/>
  <c r="D89" i="11"/>
  <c r="E89" i="11"/>
  <c r="F89" i="11"/>
  <c r="G89" i="11"/>
  <c r="I89" i="11"/>
  <c r="J89" i="11"/>
  <c r="K89" i="11"/>
  <c r="A90" i="11"/>
  <c r="C90" i="11"/>
  <c r="D90" i="11"/>
  <c r="E90" i="11"/>
  <c r="F90" i="11"/>
  <c r="G90" i="11"/>
  <c r="I90" i="11"/>
  <c r="J90" i="11"/>
  <c r="K90" i="11"/>
  <c r="A91" i="11"/>
  <c r="C91" i="11"/>
  <c r="D91" i="11"/>
  <c r="E91" i="11"/>
  <c r="F91" i="11"/>
  <c r="G91" i="11"/>
  <c r="I91" i="11"/>
  <c r="J91" i="11"/>
  <c r="K91" i="11"/>
  <c r="A92" i="11"/>
  <c r="C92" i="11"/>
  <c r="D92" i="11"/>
  <c r="E92" i="11"/>
  <c r="F92" i="11"/>
  <c r="G92" i="11"/>
  <c r="I92" i="11"/>
  <c r="J92" i="11"/>
  <c r="K92" i="11"/>
  <c r="A93" i="11"/>
  <c r="C93" i="11"/>
  <c r="D93" i="11"/>
  <c r="E93" i="11"/>
  <c r="F93" i="11"/>
  <c r="G93" i="11"/>
  <c r="I93" i="11"/>
  <c r="J93" i="11"/>
  <c r="K93" i="11"/>
  <c r="A94" i="11"/>
  <c r="C94" i="11"/>
  <c r="D94" i="11"/>
  <c r="E94" i="11"/>
  <c r="F94" i="11"/>
  <c r="G94" i="11"/>
  <c r="I94" i="11"/>
  <c r="J94" i="11"/>
  <c r="K94" i="11"/>
  <c r="A95" i="11"/>
  <c r="C95" i="11"/>
  <c r="D95" i="11"/>
  <c r="E95" i="11"/>
  <c r="F95" i="11"/>
  <c r="G95" i="11"/>
  <c r="I95" i="11"/>
  <c r="J95" i="11"/>
  <c r="K95" i="11"/>
  <c r="A96" i="11"/>
  <c r="C96" i="11"/>
  <c r="D96" i="11"/>
  <c r="E96" i="11"/>
  <c r="F96" i="11"/>
  <c r="G96" i="11"/>
  <c r="I96" i="11"/>
  <c r="J96" i="11"/>
  <c r="K96" i="11"/>
  <c r="A97" i="11"/>
  <c r="C97" i="11"/>
  <c r="D97" i="11"/>
  <c r="E97" i="11"/>
  <c r="F97" i="11"/>
  <c r="G97" i="11"/>
  <c r="I97" i="11"/>
  <c r="J97" i="11"/>
  <c r="K97" i="11"/>
  <c r="A98" i="11"/>
  <c r="C98" i="11"/>
  <c r="D98" i="11"/>
  <c r="E98" i="11"/>
  <c r="F98" i="11"/>
  <c r="G98" i="11"/>
  <c r="I98" i="11"/>
  <c r="J98" i="11"/>
  <c r="K98" i="11"/>
  <c r="A99" i="11"/>
  <c r="C99" i="11"/>
  <c r="D99" i="11"/>
  <c r="E99" i="11"/>
  <c r="F99" i="11"/>
  <c r="G99" i="11"/>
  <c r="I99" i="11"/>
  <c r="J99" i="11"/>
  <c r="K99" i="11"/>
  <c r="A100" i="11"/>
  <c r="C100" i="11"/>
  <c r="D100" i="11"/>
  <c r="E100" i="11"/>
  <c r="F100" i="11"/>
  <c r="G100" i="11"/>
  <c r="I100" i="11"/>
  <c r="J100" i="11"/>
  <c r="K100" i="11"/>
  <c r="A101" i="11"/>
  <c r="C101" i="11"/>
  <c r="D101" i="11"/>
  <c r="E101" i="11"/>
  <c r="F101" i="11"/>
  <c r="G101" i="11"/>
  <c r="I101" i="11"/>
  <c r="J101" i="11"/>
  <c r="K101" i="11"/>
  <c r="A102" i="11"/>
  <c r="C102" i="11"/>
  <c r="D102" i="11"/>
  <c r="E102" i="11"/>
  <c r="F102" i="11"/>
  <c r="G102" i="11"/>
  <c r="I102" i="11"/>
  <c r="J102" i="11"/>
  <c r="K102" i="11"/>
  <c r="A103" i="11"/>
  <c r="C103" i="11"/>
  <c r="D103" i="11"/>
  <c r="E103" i="11"/>
  <c r="F103" i="11"/>
  <c r="G103" i="11"/>
  <c r="I103" i="11"/>
  <c r="J103" i="11"/>
  <c r="K103" i="11"/>
  <c r="A104" i="11"/>
  <c r="C104" i="11"/>
  <c r="D104" i="11"/>
  <c r="E104" i="11"/>
  <c r="F104" i="11"/>
  <c r="G104" i="11"/>
  <c r="I104" i="11"/>
  <c r="J104" i="11"/>
  <c r="K104" i="11"/>
  <c r="A105" i="11"/>
  <c r="C105" i="11"/>
  <c r="D105" i="11"/>
  <c r="E105" i="11"/>
  <c r="F105" i="11"/>
  <c r="G105" i="11"/>
  <c r="I105" i="11"/>
  <c r="J105" i="11"/>
  <c r="K105" i="11"/>
  <c r="A106" i="11"/>
  <c r="C106" i="11"/>
  <c r="D106" i="11"/>
  <c r="E106" i="11"/>
  <c r="F106" i="11"/>
  <c r="G106" i="11"/>
  <c r="I106" i="11"/>
  <c r="J106" i="11"/>
  <c r="K106" i="11"/>
  <c r="A107" i="11"/>
  <c r="C107" i="11"/>
  <c r="D107" i="11"/>
  <c r="E107" i="11"/>
  <c r="F107" i="11"/>
  <c r="G107" i="11"/>
  <c r="I107" i="11"/>
  <c r="J107" i="11"/>
  <c r="K107" i="11"/>
  <c r="A108" i="11"/>
  <c r="C108" i="11"/>
  <c r="D108" i="11"/>
  <c r="E108" i="11"/>
  <c r="F108" i="11"/>
  <c r="G108" i="11"/>
  <c r="I108" i="11"/>
  <c r="J108" i="11"/>
  <c r="K108" i="11"/>
  <c r="A109" i="11"/>
  <c r="C109" i="11"/>
  <c r="D109" i="11"/>
  <c r="E109" i="11"/>
  <c r="F109" i="11"/>
  <c r="G109" i="11"/>
  <c r="I109" i="11"/>
  <c r="J109" i="11"/>
  <c r="K109" i="11"/>
  <c r="A110" i="11"/>
  <c r="C110" i="11"/>
  <c r="D110" i="11"/>
  <c r="E110" i="11"/>
  <c r="F110" i="11"/>
  <c r="G110" i="11"/>
  <c r="I110" i="11"/>
  <c r="J110" i="11"/>
  <c r="K110" i="11"/>
  <c r="A111" i="11"/>
  <c r="C111" i="11"/>
  <c r="D111" i="11"/>
  <c r="E111" i="11"/>
  <c r="F111" i="11"/>
  <c r="G111" i="11"/>
  <c r="I111" i="11"/>
  <c r="J111" i="11"/>
  <c r="K111" i="11"/>
  <c r="A112" i="11"/>
  <c r="C112" i="11"/>
  <c r="D112" i="11"/>
  <c r="E112" i="11"/>
  <c r="F112" i="11"/>
  <c r="G112" i="11"/>
  <c r="I112" i="11"/>
  <c r="J112" i="11"/>
  <c r="K112" i="11"/>
  <c r="A113" i="11"/>
  <c r="C113" i="11"/>
  <c r="D113" i="11"/>
  <c r="E113" i="11"/>
  <c r="F113" i="11"/>
  <c r="G113" i="11"/>
  <c r="I113" i="11"/>
  <c r="J113" i="11"/>
  <c r="K113" i="11"/>
  <c r="A114" i="11"/>
  <c r="C114" i="11"/>
  <c r="D114" i="11"/>
  <c r="E114" i="11"/>
  <c r="F114" i="11"/>
  <c r="G114" i="11"/>
  <c r="I114" i="11"/>
  <c r="J114" i="11"/>
  <c r="K114" i="11"/>
  <c r="A115" i="11"/>
  <c r="C115" i="11"/>
  <c r="D115" i="11"/>
  <c r="E115" i="11"/>
  <c r="F115" i="11"/>
  <c r="G115" i="11"/>
  <c r="I115" i="11"/>
  <c r="J115" i="11"/>
  <c r="K115" i="11"/>
  <c r="A116" i="11"/>
  <c r="C116" i="11"/>
  <c r="D116" i="11"/>
  <c r="E116" i="11"/>
  <c r="F116" i="11"/>
  <c r="G116" i="11"/>
  <c r="I116" i="11"/>
  <c r="J116" i="11"/>
  <c r="K116" i="11"/>
  <c r="A117" i="11"/>
  <c r="C117" i="11"/>
  <c r="D117" i="11"/>
  <c r="E117" i="11"/>
  <c r="F117" i="11"/>
  <c r="G117" i="11"/>
  <c r="I117" i="11"/>
  <c r="J117" i="11"/>
  <c r="K117" i="11"/>
  <c r="A118" i="11"/>
  <c r="C118" i="11"/>
  <c r="D118" i="11"/>
  <c r="E118" i="11"/>
  <c r="F118" i="11"/>
  <c r="G118" i="11"/>
  <c r="I118" i="11"/>
  <c r="J118" i="11"/>
  <c r="K118" i="11"/>
  <c r="A119" i="11"/>
  <c r="C119" i="11"/>
  <c r="D119" i="11"/>
  <c r="E119" i="11"/>
  <c r="F119" i="11"/>
  <c r="G119" i="11"/>
  <c r="I119" i="11"/>
  <c r="J119" i="11"/>
  <c r="K119" i="11"/>
  <c r="A120" i="11"/>
  <c r="C120" i="11"/>
  <c r="D120" i="11"/>
  <c r="E120" i="11"/>
  <c r="F120" i="11"/>
  <c r="G120" i="11"/>
  <c r="I120" i="11"/>
  <c r="J120" i="11"/>
  <c r="K120" i="11"/>
  <c r="A121" i="11"/>
  <c r="C121" i="11"/>
  <c r="D121" i="11"/>
  <c r="E121" i="11"/>
  <c r="F121" i="11"/>
  <c r="G121" i="11"/>
  <c r="I121" i="11"/>
  <c r="J121" i="11"/>
  <c r="K121" i="11"/>
  <c r="A122" i="11"/>
  <c r="C122" i="11"/>
  <c r="D122" i="11"/>
  <c r="E122" i="11"/>
  <c r="F122" i="11"/>
  <c r="G122" i="11"/>
  <c r="I122" i="11"/>
  <c r="J122" i="11"/>
  <c r="K122" i="11"/>
  <c r="A123" i="11"/>
  <c r="C123" i="11"/>
  <c r="D123" i="11"/>
  <c r="E123" i="11"/>
  <c r="F123" i="11"/>
  <c r="G123" i="11"/>
  <c r="I123" i="11"/>
  <c r="J123" i="11"/>
  <c r="K123" i="11"/>
  <c r="A124" i="11"/>
  <c r="C124" i="11"/>
  <c r="D124" i="11"/>
  <c r="E124" i="11"/>
  <c r="F124" i="11"/>
  <c r="G124" i="11"/>
  <c r="I124" i="11"/>
  <c r="J124" i="11"/>
  <c r="K124" i="11"/>
  <c r="A125" i="11"/>
  <c r="C125" i="11"/>
  <c r="D125" i="11"/>
  <c r="E125" i="11"/>
  <c r="F125" i="11"/>
  <c r="G125" i="11"/>
  <c r="I125" i="11"/>
  <c r="J125" i="11"/>
  <c r="K125" i="11"/>
  <c r="A126" i="11"/>
  <c r="C126" i="11"/>
  <c r="D126" i="11"/>
  <c r="E126" i="11"/>
  <c r="F126" i="11"/>
  <c r="G126" i="11"/>
  <c r="I126" i="11"/>
  <c r="J126" i="11"/>
  <c r="K126" i="11"/>
  <c r="A127" i="11"/>
  <c r="C127" i="11"/>
  <c r="D127" i="11"/>
  <c r="E127" i="11"/>
  <c r="F127" i="11"/>
  <c r="G127" i="11"/>
  <c r="I127" i="11"/>
  <c r="J127" i="11"/>
  <c r="K127" i="11"/>
  <c r="A128" i="11"/>
  <c r="C128" i="11"/>
  <c r="D128" i="11"/>
  <c r="E128" i="11"/>
  <c r="F128" i="11"/>
  <c r="G128" i="11"/>
  <c r="I128" i="11"/>
  <c r="J128" i="11"/>
  <c r="K128" i="11"/>
  <c r="A129" i="11"/>
  <c r="C129" i="11"/>
  <c r="D129" i="11"/>
  <c r="E129" i="11"/>
  <c r="F129" i="11"/>
  <c r="G129" i="11"/>
  <c r="I129" i="11"/>
  <c r="J129" i="11"/>
  <c r="K129" i="11"/>
  <c r="A130" i="11"/>
  <c r="C130" i="11"/>
  <c r="D130" i="11"/>
  <c r="E130" i="11"/>
  <c r="F130" i="11"/>
  <c r="G130" i="11"/>
  <c r="I130" i="11"/>
  <c r="J130" i="11"/>
  <c r="K130" i="11"/>
  <c r="A131" i="11"/>
  <c r="C131" i="11"/>
  <c r="D131" i="11"/>
  <c r="E131" i="11"/>
  <c r="F131" i="11"/>
  <c r="G131" i="11"/>
  <c r="I131" i="11"/>
  <c r="J131" i="11"/>
  <c r="K131" i="11"/>
  <c r="A132" i="11"/>
  <c r="C132" i="11"/>
  <c r="D132" i="11"/>
  <c r="E132" i="11"/>
  <c r="F132" i="11"/>
  <c r="G132" i="11"/>
  <c r="I132" i="11"/>
  <c r="J132" i="11"/>
  <c r="K132" i="11"/>
  <c r="A133" i="11"/>
  <c r="C133" i="11"/>
  <c r="D133" i="11"/>
  <c r="E133" i="11"/>
  <c r="F133" i="11"/>
  <c r="G133" i="11"/>
  <c r="I133" i="11"/>
  <c r="J133" i="11"/>
  <c r="K133" i="11"/>
  <c r="A134" i="11"/>
  <c r="C134" i="11"/>
  <c r="D134" i="11"/>
  <c r="E134" i="11"/>
  <c r="F134" i="11"/>
  <c r="G134" i="11"/>
  <c r="I134" i="11"/>
  <c r="J134" i="11"/>
  <c r="K134" i="11"/>
  <c r="A135" i="11"/>
  <c r="C135" i="11"/>
  <c r="D135" i="11"/>
  <c r="E135" i="11"/>
  <c r="F135" i="11"/>
  <c r="G135" i="11"/>
  <c r="I135" i="11"/>
  <c r="J135" i="11"/>
  <c r="K135" i="11"/>
  <c r="A136" i="11"/>
  <c r="C136" i="11"/>
  <c r="D136" i="11"/>
  <c r="E136" i="11"/>
  <c r="F136" i="11"/>
  <c r="G136" i="11"/>
  <c r="I136" i="11"/>
  <c r="J136" i="11"/>
  <c r="K136" i="11"/>
  <c r="A137" i="11"/>
  <c r="C137" i="11"/>
  <c r="D137" i="11"/>
  <c r="E137" i="11"/>
  <c r="F137" i="11"/>
  <c r="G137" i="11"/>
  <c r="I137" i="11"/>
  <c r="J137" i="11"/>
  <c r="K137" i="11"/>
  <c r="A138" i="11"/>
  <c r="C138" i="11"/>
  <c r="D138" i="11"/>
  <c r="E138" i="11"/>
  <c r="F138" i="11"/>
  <c r="G138" i="11"/>
  <c r="I138" i="11"/>
  <c r="J138" i="11"/>
  <c r="K138" i="11"/>
  <c r="A139" i="11"/>
  <c r="C139" i="11"/>
  <c r="D139" i="11"/>
  <c r="E139" i="11"/>
  <c r="F139" i="11"/>
  <c r="G139" i="11"/>
  <c r="I139" i="11"/>
  <c r="J139" i="11"/>
  <c r="K139" i="11"/>
  <c r="A140" i="11"/>
  <c r="C140" i="11"/>
  <c r="D140" i="11"/>
  <c r="E140" i="11"/>
  <c r="F140" i="11"/>
  <c r="G140" i="11"/>
  <c r="I140" i="11"/>
  <c r="J140" i="11"/>
  <c r="K140" i="11"/>
  <c r="A141" i="11"/>
  <c r="C141" i="11"/>
  <c r="D141" i="11"/>
  <c r="E141" i="11"/>
  <c r="F141" i="11"/>
  <c r="G141" i="11"/>
  <c r="I141" i="11"/>
  <c r="J141" i="11"/>
  <c r="K141" i="11"/>
  <c r="A142" i="11"/>
  <c r="C142" i="11"/>
  <c r="D142" i="11"/>
  <c r="E142" i="11"/>
  <c r="F142" i="11"/>
  <c r="G142" i="11"/>
  <c r="I142" i="11"/>
  <c r="J142" i="11"/>
  <c r="K142" i="11"/>
  <c r="A143" i="11"/>
  <c r="C143" i="11"/>
  <c r="D143" i="11"/>
  <c r="E143" i="11"/>
  <c r="F143" i="11"/>
  <c r="G143" i="11"/>
  <c r="I143" i="11"/>
  <c r="J143" i="11"/>
  <c r="K143" i="11"/>
  <c r="A144" i="11"/>
  <c r="C144" i="11"/>
  <c r="D144" i="11"/>
  <c r="E144" i="11"/>
  <c r="F144" i="11"/>
  <c r="G144" i="11"/>
  <c r="I144" i="11"/>
  <c r="J144" i="11"/>
  <c r="K144" i="11"/>
  <c r="A145" i="11"/>
  <c r="C145" i="11"/>
  <c r="D145" i="11"/>
  <c r="E145" i="11"/>
  <c r="F145" i="11"/>
  <c r="G145" i="11"/>
  <c r="I145" i="11"/>
  <c r="J145" i="11"/>
  <c r="K145" i="11"/>
  <c r="A146" i="11"/>
  <c r="C146" i="11"/>
  <c r="D146" i="11"/>
  <c r="E146" i="11"/>
  <c r="F146" i="11"/>
  <c r="G146" i="11"/>
  <c r="I146" i="11"/>
  <c r="J146" i="11"/>
  <c r="K146" i="11"/>
  <c r="A147" i="11"/>
  <c r="C147" i="11"/>
  <c r="D147" i="11"/>
  <c r="E147" i="11"/>
  <c r="F147" i="11"/>
  <c r="G147" i="11"/>
  <c r="I147" i="11"/>
  <c r="J147" i="11"/>
  <c r="K147" i="11"/>
  <c r="A148" i="11"/>
  <c r="C148" i="11"/>
  <c r="D148" i="11"/>
  <c r="E148" i="11"/>
  <c r="F148" i="11"/>
  <c r="G148" i="11"/>
  <c r="I148" i="11"/>
  <c r="J148" i="11"/>
  <c r="K148" i="11"/>
  <c r="A149" i="11"/>
  <c r="C149" i="11"/>
  <c r="D149" i="11"/>
  <c r="E149" i="11"/>
  <c r="F149" i="11"/>
  <c r="G149" i="11"/>
  <c r="I149" i="11"/>
  <c r="J149" i="11"/>
  <c r="K149" i="11"/>
  <c r="A150" i="11"/>
  <c r="C150" i="11"/>
  <c r="D150" i="11"/>
  <c r="E150" i="11"/>
  <c r="F150" i="11"/>
  <c r="G150" i="11"/>
  <c r="I150" i="11"/>
  <c r="J150" i="11"/>
  <c r="K150" i="11"/>
  <c r="A151" i="11"/>
  <c r="C151" i="11"/>
  <c r="D151" i="11"/>
  <c r="E151" i="11"/>
  <c r="F151" i="11"/>
  <c r="G151" i="11"/>
  <c r="I151" i="11"/>
  <c r="J151" i="11"/>
  <c r="K151" i="11"/>
  <c r="A152" i="11"/>
  <c r="C152" i="11"/>
  <c r="D152" i="11"/>
  <c r="E152" i="11"/>
  <c r="F152" i="11"/>
  <c r="G152" i="11"/>
  <c r="I152" i="11"/>
  <c r="J152" i="11"/>
  <c r="K152" i="11"/>
  <c r="A153" i="11"/>
  <c r="C153" i="11"/>
  <c r="D153" i="11"/>
  <c r="E153" i="11"/>
  <c r="F153" i="11"/>
  <c r="G153" i="11"/>
  <c r="I153" i="11"/>
  <c r="J153" i="11"/>
  <c r="K153" i="11"/>
  <c r="A154" i="11"/>
  <c r="C154" i="11"/>
  <c r="D154" i="11"/>
  <c r="E154" i="11"/>
  <c r="F154" i="11"/>
  <c r="G154" i="11"/>
  <c r="I154" i="11"/>
  <c r="J154" i="11"/>
  <c r="K154" i="11"/>
  <c r="A155" i="11"/>
  <c r="C155" i="11"/>
  <c r="D155" i="11"/>
  <c r="E155" i="11"/>
  <c r="F155" i="11"/>
  <c r="G155" i="11"/>
  <c r="I155" i="11"/>
  <c r="J155" i="11"/>
  <c r="K155" i="11"/>
  <c r="A156" i="11"/>
  <c r="C156" i="11"/>
  <c r="D156" i="11"/>
  <c r="E156" i="11"/>
  <c r="F156" i="11"/>
  <c r="G156" i="11"/>
  <c r="I156" i="11"/>
  <c r="J156" i="11"/>
  <c r="K156" i="11"/>
  <c r="A157" i="11"/>
  <c r="C157" i="11"/>
  <c r="D157" i="11"/>
  <c r="E157" i="11"/>
  <c r="F157" i="11"/>
  <c r="G157" i="11"/>
  <c r="I157" i="11"/>
  <c r="J157" i="11"/>
  <c r="K157" i="11"/>
  <c r="A158" i="11"/>
  <c r="C158" i="11"/>
  <c r="D158" i="11"/>
  <c r="E158" i="11"/>
  <c r="F158" i="11"/>
  <c r="G158" i="11"/>
  <c r="I158" i="11"/>
  <c r="J158" i="11"/>
  <c r="K158" i="11"/>
  <c r="A159" i="11"/>
  <c r="C159" i="11"/>
  <c r="D159" i="11"/>
  <c r="E159" i="11"/>
  <c r="F159" i="11"/>
  <c r="G159" i="11"/>
  <c r="I159" i="11"/>
  <c r="J159" i="11"/>
  <c r="K159" i="11"/>
  <c r="A160" i="11"/>
  <c r="C160" i="11"/>
  <c r="D160" i="11"/>
  <c r="E160" i="11"/>
  <c r="F160" i="11"/>
  <c r="G160" i="11"/>
  <c r="I160" i="11"/>
  <c r="J160" i="11"/>
  <c r="K160" i="11"/>
  <c r="A161" i="11"/>
  <c r="C161" i="11"/>
  <c r="D161" i="11"/>
  <c r="E161" i="11"/>
  <c r="F161" i="11"/>
  <c r="G161" i="11"/>
  <c r="I161" i="11"/>
  <c r="J161" i="11"/>
  <c r="K161" i="11"/>
  <c r="A162" i="11"/>
  <c r="C162" i="11"/>
  <c r="D162" i="11"/>
  <c r="E162" i="11"/>
  <c r="F162" i="11"/>
  <c r="G162" i="11"/>
  <c r="I162" i="11"/>
  <c r="J162" i="11"/>
  <c r="K162" i="11"/>
  <c r="A163" i="11"/>
  <c r="C163" i="11"/>
  <c r="D163" i="11"/>
  <c r="E163" i="11"/>
  <c r="F163" i="11"/>
  <c r="G163" i="11"/>
  <c r="I163" i="11"/>
  <c r="J163" i="11"/>
  <c r="K163" i="11"/>
  <c r="A164" i="11"/>
  <c r="C164" i="11"/>
  <c r="D164" i="11"/>
  <c r="E164" i="11"/>
  <c r="F164" i="11"/>
  <c r="G164" i="11"/>
  <c r="I164" i="11"/>
  <c r="J164" i="11"/>
  <c r="K164" i="11"/>
  <c r="A165" i="11"/>
  <c r="C165" i="11"/>
  <c r="D165" i="11"/>
  <c r="E165" i="11"/>
  <c r="F165" i="11"/>
  <c r="G165" i="11"/>
  <c r="I165" i="11"/>
  <c r="J165" i="11"/>
  <c r="K165" i="11"/>
  <c r="A166" i="11"/>
  <c r="C166" i="11"/>
  <c r="D166" i="11"/>
  <c r="E166" i="11"/>
  <c r="F166" i="11"/>
  <c r="G166" i="11"/>
  <c r="I166" i="11"/>
  <c r="J166" i="11"/>
  <c r="K166" i="11"/>
  <c r="A167" i="11"/>
  <c r="C167" i="11"/>
  <c r="D167" i="11"/>
  <c r="E167" i="11"/>
  <c r="F167" i="11"/>
  <c r="G167" i="11"/>
  <c r="I167" i="11"/>
  <c r="J167" i="11"/>
  <c r="K167" i="11"/>
  <c r="A168" i="11"/>
  <c r="C168" i="11"/>
  <c r="D168" i="11"/>
  <c r="E168" i="11"/>
  <c r="F168" i="11"/>
  <c r="G168" i="11"/>
  <c r="I168" i="11"/>
  <c r="J168" i="11"/>
  <c r="K168" i="11"/>
  <c r="A169" i="11"/>
  <c r="C169" i="11"/>
  <c r="D169" i="11"/>
  <c r="E169" i="11"/>
  <c r="F169" i="11"/>
  <c r="G169" i="11"/>
  <c r="I169" i="11"/>
  <c r="J169" i="11"/>
  <c r="K169" i="11"/>
  <c r="A170" i="11"/>
  <c r="C170" i="11"/>
  <c r="D170" i="11"/>
  <c r="E170" i="11"/>
  <c r="F170" i="11"/>
  <c r="G170" i="11"/>
  <c r="I170" i="11"/>
  <c r="J170" i="11"/>
  <c r="K170" i="11"/>
  <c r="A171" i="11"/>
  <c r="C171" i="11"/>
  <c r="D171" i="11"/>
  <c r="E171" i="11"/>
  <c r="F171" i="11"/>
  <c r="G171" i="11"/>
  <c r="I171" i="11"/>
  <c r="J171" i="11"/>
  <c r="K171" i="11"/>
  <c r="A172" i="11"/>
  <c r="C172" i="11"/>
  <c r="D172" i="11"/>
  <c r="E172" i="11"/>
  <c r="F172" i="11"/>
  <c r="G172" i="11"/>
  <c r="I172" i="11"/>
  <c r="J172" i="11"/>
  <c r="K172" i="11"/>
  <c r="A173" i="11"/>
  <c r="C173" i="11"/>
  <c r="D173" i="11"/>
  <c r="E173" i="11"/>
  <c r="F173" i="11"/>
  <c r="G173" i="11"/>
  <c r="I173" i="11"/>
  <c r="J173" i="11"/>
  <c r="K173" i="11"/>
  <c r="A174" i="11"/>
  <c r="C174" i="11"/>
  <c r="D174" i="11"/>
  <c r="E174" i="11"/>
  <c r="F174" i="11"/>
  <c r="G174" i="11"/>
  <c r="I174" i="11"/>
  <c r="J174" i="11"/>
  <c r="K174" i="11"/>
  <c r="A175" i="11"/>
  <c r="C175" i="11"/>
  <c r="D175" i="11"/>
  <c r="E175" i="11"/>
  <c r="F175" i="11"/>
  <c r="G175" i="11"/>
  <c r="I175" i="11"/>
  <c r="J175" i="11"/>
  <c r="K175" i="11"/>
  <c r="A176" i="11"/>
  <c r="C176" i="11"/>
  <c r="D176" i="11"/>
  <c r="E176" i="11"/>
  <c r="F176" i="11"/>
  <c r="G176" i="11"/>
  <c r="I176" i="11"/>
  <c r="J176" i="11"/>
  <c r="K176" i="11"/>
  <c r="A177" i="11"/>
  <c r="C177" i="11"/>
  <c r="D177" i="11"/>
  <c r="E177" i="11"/>
  <c r="F177" i="11"/>
  <c r="G177" i="11"/>
  <c r="I177" i="11"/>
  <c r="J177" i="11"/>
  <c r="K177" i="11"/>
  <c r="A178" i="11"/>
  <c r="C178" i="11"/>
  <c r="D178" i="11"/>
  <c r="E178" i="11"/>
  <c r="F178" i="11"/>
  <c r="G178" i="11"/>
  <c r="I178" i="11"/>
  <c r="J178" i="11"/>
  <c r="K178" i="11"/>
  <c r="A179" i="11"/>
  <c r="C179" i="11"/>
  <c r="D179" i="11"/>
  <c r="E179" i="11"/>
  <c r="F179" i="11"/>
  <c r="G179" i="11"/>
  <c r="I179" i="11"/>
  <c r="J179" i="11"/>
  <c r="K179" i="11"/>
  <c r="A180" i="11"/>
  <c r="C180" i="11"/>
  <c r="D180" i="11"/>
  <c r="E180" i="11"/>
  <c r="F180" i="11"/>
  <c r="G180" i="11"/>
  <c r="I180" i="11"/>
  <c r="J180" i="11"/>
  <c r="K180" i="11"/>
  <c r="A181" i="11"/>
  <c r="C181" i="11"/>
  <c r="D181" i="11"/>
  <c r="E181" i="11"/>
  <c r="F181" i="11"/>
  <c r="G181" i="11"/>
  <c r="I181" i="11"/>
  <c r="J181" i="11"/>
  <c r="K181" i="11"/>
  <c r="A182" i="11"/>
  <c r="C182" i="11"/>
  <c r="D182" i="11"/>
  <c r="E182" i="11"/>
  <c r="F182" i="11"/>
  <c r="G182" i="11"/>
  <c r="I182" i="11"/>
  <c r="J182" i="11"/>
  <c r="K182" i="11"/>
  <c r="A183" i="11"/>
  <c r="C183" i="11"/>
  <c r="D183" i="11"/>
  <c r="E183" i="11"/>
  <c r="F183" i="11"/>
  <c r="G183" i="11"/>
  <c r="I183" i="11"/>
  <c r="J183" i="11"/>
  <c r="K183" i="11"/>
  <c r="A184" i="11"/>
  <c r="C184" i="11"/>
  <c r="D184" i="11"/>
  <c r="E184" i="11"/>
  <c r="F184" i="11"/>
  <c r="G184" i="11"/>
  <c r="I184" i="11"/>
  <c r="J184" i="11"/>
  <c r="K184" i="11"/>
  <c r="A185" i="11"/>
  <c r="C185" i="11"/>
  <c r="D185" i="11"/>
  <c r="E185" i="11"/>
  <c r="F185" i="11"/>
  <c r="G185" i="11"/>
  <c r="I185" i="11"/>
  <c r="J185" i="11"/>
  <c r="K185" i="11"/>
  <c r="A186" i="11"/>
  <c r="C186" i="11"/>
  <c r="D186" i="11"/>
  <c r="E186" i="11"/>
  <c r="F186" i="11"/>
  <c r="G186" i="11"/>
  <c r="I186" i="11"/>
  <c r="J186" i="11"/>
  <c r="K186" i="11"/>
  <c r="A187" i="11"/>
  <c r="C187" i="11"/>
  <c r="D187" i="11"/>
  <c r="E187" i="11"/>
  <c r="F187" i="11"/>
  <c r="G187" i="11"/>
  <c r="I187" i="11"/>
  <c r="J187" i="11"/>
  <c r="K187" i="11"/>
  <c r="A188" i="11"/>
  <c r="C188" i="11"/>
  <c r="D188" i="11"/>
  <c r="E188" i="11"/>
  <c r="F188" i="11"/>
  <c r="G188" i="11"/>
  <c r="I188" i="11"/>
  <c r="J188" i="11"/>
  <c r="K188" i="11"/>
  <c r="A189" i="11"/>
  <c r="C189" i="11"/>
  <c r="D189" i="11"/>
  <c r="E189" i="11"/>
  <c r="F189" i="11"/>
  <c r="G189" i="11"/>
  <c r="I189" i="11"/>
  <c r="J189" i="11"/>
  <c r="K189" i="11"/>
  <c r="A190" i="11"/>
  <c r="C190" i="11"/>
  <c r="D190" i="11"/>
  <c r="E190" i="11"/>
  <c r="F190" i="11"/>
  <c r="G190" i="11"/>
  <c r="I190" i="11"/>
  <c r="J190" i="11"/>
  <c r="K190" i="11"/>
  <c r="A191" i="11"/>
  <c r="C191" i="11"/>
  <c r="D191" i="11"/>
  <c r="E191" i="11"/>
  <c r="F191" i="11"/>
  <c r="G191" i="11"/>
  <c r="I191" i="11"/>
  <c r="J191" i="11"/>
  <c r="K191" i="11"/>
  <c r="A192" i="11"/>
  <c r="C192" i="11"/>
  <c r="D192" i="11"/>
  <c r="E192" i="11"/>
  <c r="F192" i="11"/>
  <c r="G192" i="11"/>
  <c r="I192" i="11"/>
  <c r="J192" i="11"/>
  <c r="K192" i="11"/>
  <c r="A193" i="11"/>
  <c r="C193" i="11"/>
  <c r="D193" i="11"/>
  <c r="E193" i="11"/>
  <c r="F193" i="11"/>
  <c r="G193" i="11"/>
  <c r="I193" i="11"/>
  <c r="J193" i="11"/>
  <c r="K193" i="11"/>
  <c r="A194" i="11"/>
  <c r="C194" i="11"/>
  <c r="D194" i="11"/>
  <c r="E194" i="11"/>
  <c r="F194" i="11"/>
  <c r="G194" i="11"/>
  <c r="I194" i="11"/>
  <c r="J194" i="11"/>
  <c r="K194" i="11"/>
  <c r="A195" i="11"/>
  <c r="C195" i="11"/>
  <c r="D195" i="11"/>
  <c r="E195" i="11"/>
  <c r="F195" i="11"/>
  <c r="G195" i="11"/>
  <c r="I195" i="11"/>
  <c r="J195" i="11"/>
  <c r="K195" i="11"/>
  <c r="A196" i="11"/>
  <c r="C196" i="11"/>
  <c r="D196" i="11"/>
  <c r="E196" i="11"/>
  <c r="F196" i="11"/>
  <c r="G196" i="11"/>
  <c r="I196" i="11"/>
  <c r="J196" i="11"/>
  <c r="K196" i="11"/>
  <c r="A197" i="11"/>
  <c r="C197" i="11"/>
  <c r="D197" i="11"/>
  <c r="E197" i="11"/>
  <c r="F197" i="11"/>
  <c r="G197" i="11"/>
  <c r="I197" i="11"/>
  <c r="J197" i="11"/>
  <c r="K197" i="11"/>
  <c r="A198" i="11"/>
  <c r="C198" i="11"/>
  <c r="D198" i="11"/>
  <c r="E198" i="11"/>
  <c r="F198" i="11"/>
  <c r="G198" i="11"/>
  <c r="I198" i="11"/>
  <c r="J198" i="11"/>
  <c r="K198" i="11"/>
  <c r="A199" i="11"/>
  <c r="C199" i="11"/>
  <c r="D199" i="11"/>
  <c r="E199" i="11"/>
  <c r="F199" i="11"/>
  <c r="G199" i="11"/>
  <c r="I199" i="11"/>
  <c r="J199" i="11"/>
  <c r="K199" i="11"/>
  <c r="A200" i="11"/>
  <c r="C200" i="11"/>
  <c r="D200" i="11"/>
  <c r="E200" i="11"/>
  <c r="F200" i="11"/>
  <c r="G200" i="11"/>
  <c r="I200" i="11"/>
  <c r="J200" i="11"/>
  <c r="K200" i="11"/>
  <c r="A201" i="11"/>
  <c r="C201" i="11"/>
  <c r="D201" i="11"/>
  <c r="E201" i="11"/>
  <c r="F201" i="11"/>
  <c r="G201" i="11"/>
  <c r="I201" i="11"/>
  <c r="J201" i="11"/>
  <c r="K201" i="11"/>
  <c r="A202" i="11"/>
  <c r="C202" i="11"/>
  <c r="D202" i="11"/>
  <c r="E202" i="11"/>
  <c r="F202" i="11"/>
  <c r="G202" i="11"/>
  <c r="I202" i="11"/>
  <c r="J202" i="11"/>
  <c r="K202" i="11"/>
  <c r="A203" i="11"/>
  <c r="C203" i="11"/>
  <c r="D203" i="11"/>
  <c r="E203" i="11"/>
  <c r="F203" i="11"/>
  <c r="G203" i="11"/>
  <c r="I203" i="11"/>
  <c r="J203" i="11"/>
  <c r="K203" i="11"/>
  <c r="A204" i="11"/>
  <c r="C204" i="11"/>
  <c r="D204" i="11"/>
  <c r="E204" i="11"/>
  <c r="F204" i="11"/>
  <c r="G204" i="11"/>
  <c r="I204" i="11"/>
  <c r="J204" i="11"/>
  <c r="K204" i="11"/>
  <c r="A205" i="11"/>
  <c r="C205" i="11"/>
  <c r="D205" i="11"/>
  <c r="E205" i="11"/>
  <c r="F205" i="11"/>
  <c r="G205" i="11"/>
  <c r="I205" i="11"/>
  <c r="J205" i="11"/>
  <c r="K205" i="11"/>
  <c r="A206" i="11"/>
  <c r="C206" i="11"/>
  <c r="D206" i="11"/>
  <c r="E206" i="11"/>
  <c r="F206" i="11"/>
  <c r="G206" i="11"/>
  <c r="I206" i="11"/>
  <c r="J206" i="11"/>
  <c r="K206" i="11"/>
  <c r="A207" i="11"/>
  <c r="C207" i="11"/>
  <c r="D207" i="11"/>
  <c r="E207" i="11"/>
  <c r="F207" i="11"/>
  <c r="G207" i="11"/>
  <c r="I207" i="11"/>
  <c r="J207" i="11"/>
  <c r="K207" i="11"/>
  <c r="A208" i="11"/>
  <c r="C208" i="11"/>
  <c r="D208" i="11"/>
  <c r="E208" i="11"/>
  <c r="F208" i="11"/>
  <c r="G208" i="11"/>
  <c r="I208" i="11"/>
  <c r="J208" i="11"/>
  <c r="K208" i="11"/>
  <c r="A209" i="11"/>
  <c r="C209" i="11"/>
  <c r="D209" i="11"/>
  <c r="E209" i="11"/>
  <c r="F209" i="11"/>
  <c r="G209" i="11"/>
  <c r="I209" i="11"/>
  <c r="J209" i="11"/>
  <c r="K209" i="11"/>
  <c r="A210" i="11"/>
  <c r="C210" i="11"/>
  <c r="D210" i="11"/>
  <c r="E210" i="11"/>
  <c r="F210" i="11"/>
  <c r="G210" i="11"/>
  <c r="I210" i="11"/>
  <c r="J210" i="11"/>
  <c r="K210" i="11"/>
  <c r="A211" i="11"/>
  <c r="C211" i="11"/>
  <c r="D211" i="11"/>
  <c r="E211" i="11"/>
  <c r="F211" i="11"/>
  <c r="G211" i="11"/>
  <c r="I211" i="11"/>
  <c r="J211" i="11"/>
  <c r="K211" i="11"/>
  <c r="A212" i="11"/>
  <c r="C212" i="11"/>
  <c r="D212" i="11"/>
  <c r="E212" i="11"/>
  <c r="F212" i="11"/>
  <c r="G212" i="11"/>
  <c r="I212" i="11"/>
  <c r="J212" i="11"/>
  <c r="K212" i="11"/>
  <c r="A213" i="11"/>
  <c r="C213" i="11"/>
  <c r="D213" i="11"/>
  <c r="E213" i="11"/>
  <c r="F213" i="11"/>
  <c r="G213" i="11"/>
  <c r="I213" i="11"/>
  <c r="J213" i="11"/>
  <c r="K213" i="11"/>
  <c r="A214" i="11"/>
  <c r="C214" i="11"/>
  <c r="D214" i="11"/>
  <c r="E214" i="11"/>
  <c r="F214" i="11"/>
  <c r="G214" i="11"/>
  <c r="I214" i="11"/>
  <c r="J214" i="11"/>
  <c r="K214" i="11"/>
  <c r="A215" i="11"/>
  <c r="C215" i="11"/>
  <c r="D215" i="11"/>
  <c r="E215" i="11"/>
  <c r="F215" i="11"/>
  <c r="G215" i="11"/>
  <c r="I215" i="11"/>
  <c r="J215" i="11"/>
  <c r="K215" i="11"/>
  <c r="A216" i="11"/>
  <c r="C216" i="11"/>
  <c r="D216" i="11"/>
  <c r="E216" i="11"/>
  <c r="F216" i="11"/>
  <c r="G216" i="11"/>
  <c r="I216" i="11"/>
  <c r="J216" i="11"/>
  <c r="K216" i="11"/>
  <c r="A217" i="11"/>
  <c r="C217" i="11"/>
  <c r="D217" i="11"/>
  <c r="E217" i="11"/>
  <c r="F217" i="11"/>
  <c r="G217" i="11"/>
  <c r="I217" i="11"/>
  <c r="J217" i="11"/>
  <c r="K217" i="11"/>
  <c r="A218" i="11"/>
  <c r="C218" i="11"/>
  <c r="D218" i="11"/>
  <c r="E218" i="11"/>
  <c r="F218" i="11"/>
  <c r="G218" i="11"/>
  <c r="I218" i="11"/>
  <c r="J218" i="11"/>
  <c r="K218" i="11"/>
  <c r="A219" i="11"/>
  <c r="C219" i="11"/>
  <c r="D219" i="11"/>
  <c r="E219" i="11"/>
  <c r="F219" i="11"/>
  <c r="G219" i="11"/>
  <c r="I219" i="11"/>
  <c r="J219" i="11"/>
  <c r="K219" i="11"/>
  <c r="A220" i="11"/>
  <c r="C220" i="11"/>
  <c r="D220" i="11"/>
  <c r="E220" i="11"/>
  <c r="F220" i="11"/>
  <c r="G220" i="11"/>
  <c r="I220" i="11"/>
  <c r="J220" i="11"/>
  <c r="K220" i="11"/>
  <c r="A221" i="11"/>
  <c r="C221" i="11"/>
  <c r="D221" i="11"/>
  <c r="E221" i="11"/>
  <c r="F221" i="11"/>
  <c r="G221" i="11"/>
  <c r="I221" i="11"/>
  <c r="J221" i="11"/>
  <c r="K221" i="11"/>
  <c r="A222" i="11"/>
  <c r="C222" i="11"/>
  <c r="D222" i="11"/>
  <c r="E222" i="11"/>
  <c r="F222" i="11"/>
  <c r="G222" i="11"/>
  <c r="I222" i="11"/>
  <c r="J222" i="11"/>
  <c r="K222" i="11"/>
  <c r="A223" i="11"/>
  <c r="C223" i="11"/>
  <c r="D223" i="11"/>
  <c r="E223" i="11"/>
  <c r="F223" i="11"/>
  <c r="G223" i="11"/>
  <c r="I223" i="11"/>
  <c r="J223" i="11"/>
  <c r="K223" i="11"/>
  <c r="A224" i="11"/>
  <c r="C224" i="11"/>
  <c r="D224" i="11"/>
  <c r="E224" i="11"/>
  <c r="F224" i="11"/>
  <c r="G224" i="11"/>
  <c r="I224" i="11"/>
  <c r="J224" i="11"/>
  <c r="K224" i="11"/>
  <c r="A225" i="11"/>
  <c r="C225" i="11"/>
  <c r="D225" i="11"/>
  <c r="E225" i="11"/>
  <c r="F225" i="11"/>
  <c r="G225" i="11"/>
  <c r="I225" i="11"/>
  <c r="J225" i="11"/>
  <c r="K225" i="11"/>
  <c r="A226" i="11"/>
  <c r="C226" i="11"/>
  <c r="D226" i="11"/>
  <c r="E226" i="11"/>
  <c r="F226" i="11"/>
  <c r="G226" i="11"/>
  <c r="I226" i="11"/>
  <c r="J226" i="11"/>
  <c r="K226" i="11"/>
  <c r="A227" i="11"/>
  <c r="C227" i="11"/>
  <c r="D227" i="11"/>
  <c r="E227" i="11"/>
  <c r="F227" i="11"/>
  <c r="G227" i="11"/>
  <c r="I227" i="11"/>
  <c r="J227" i="11"/>
  <c r="K227" i="11"/>
  <c r="A228" i="11"/>
  <c r="C228" i="11"/>
  <c r="D228" i="11"/>
  <c r="E228" i="11"/>
  <c r="F228" i="11"/>
  <c r="G228" i="11"/>
  <c r="I228" i="11"/>
  <c r="J228" i="11"/>
  <c r="K228" i="11"/>
  <c r="A229" i="11"/>
  <c r="C229" i="11"/>
  <c r="D229" i="11"/>
  <c r="E229" i="11"/>
  <c r="F229" i="11"/>
  <c r="G229" i="11"/>
  <c r="I229" i="11"/>
  <c r="J229" i="11"/>
  <c r="K229" i="11"/>
  <c r="A230" i="11"/>
  <c r="C230" i="11"/>
  <c r="D230" i="11"/>
  <c r="E230" i="11"/>
  <c r="F230" i="11"/>
  <c r="G230" i="11"/>
  <c r="I230" i="11"/>
  <c r="J230" i="11"/>
  <c r="K230" i="11"/>
  <c r="A231" i="11"/>
  <c r="C231" i="11"/>
  <c r="D231" i="11"/>
  <c r="E231" i="11"/>
  <c r="F231" i="11"/>
  <c r="G231" i="11"/>
  <c r="I231" i="11"/>
  <c r="J231" i="11"/>
  <c r="K231" i="11"/>
  <c r="A232" i="11"/>
  <c r="C232" i="11"/>
  <c r="D232" i="11"/>
  <c r="E232" i="11"/>
  <c r="F232" i="11"/>
  <c r="G232" i="11"/>
  <c r="I232" i="11"/>
  <c r="J232" i="11"/>
  <c r="K232" i="11"/>
  <c r="A233" i="11"/>
  <c r="C233" i="11"/>
  <c r="D233" i="11"/>
  <c r="E233" i="11"/>
  <c r="F233" i="11"/>
  <c r="G233" i="11"/>
  <c r="I233" i="11"/>
  <c r="J233" i="11"/>
  <c r="K233" i="11"/>
  <c r="A234" i="11"/>
  <c r="C234" i="11"/>
  <c r="D234" i="11"/>
  <c r="E234" i="11"/>
  <c r="F234" i="11"/>
  <c r="G234" i="11"/>
  <c r="I234" i="11"/>
  <c r="J234" i="11"/>
  <c r="K234" i="11"/>
  <c r="A235" i="11"/>
  <c r="C235" i="11"/>
  <c r="D235" i="11"/>
  <c r="E235" i="11"/>
  <c r="F235" i="11"/>
  <c r="G235" i="11"/>
  <c r="I235" i="11"/>
  <c r="J235" i="11"/>
  <c r="K235" i="11"/>
  <c r="A236" i="11"/>
  <c r="C236" i="11"/>
  <c r="D236" i="11"/>
  <c r="E236" i="11"/>
  <c r="F236" i="11"/>
  <c r="G236" i="11"/>
  <c r="I236" i="11"/>
  <c r="J236" i="11"/>
  <c r="K236" i="11"/>
  <c r="A237" i="11"/>
  <c r="C237" i="11"/>
  <c r="D237" i="11"/>
  <c r="E237" i="11"/>
  <c r="F237" i="11"/>
  <c r="G237" i="11"/>
  <c r="I237" i="11"/>
  <c r="J237" i="11"/>
  <c r="K237" i="11"/>
  <c r="A238" i="11"/>
  <c r="C238" i="11"/>
  <c r="D238" i="11"/>
  <c r="E238" i="11"/>
  <c r="F238" i="11"/>
  <c r="G238" i="11"/>
  <c r="I238" i="11"/>
  <c r="J238" i="11"/>
  <c r="K238" i="11"/>
  <c r="A239" i="11"/>
  <c r="C239" i="11"/>
  <c r="D239" i="11"/>
  <c r="E239" i="11"/>
  <c r="F239" i="11"/>
  <c r="G239" i="11"/>
  <c r="I239" i="11"/>
  <c r="J239" i="11"/>
  <c r="K239" i="11"/>
  <c r="A240" i="11"/>
  <c r="C240" i="11"/>
  <c r="D240" i="11"/>
  <c r="E240" i="11"/>
  <c r="F240" i="11"/>
  <c r="G240" i="11"/>
  <c r="I240" i="11"/>
  <c r="J240" i="11"/>
  <c r="K240" i="11"/>
  <c r="A241" i="11"/>
  <c r="C241" i="11"/>
  <c r="D241" i="11"/>
  <c r="E241" i="11"/>
  <c r="F241" i="11"/>
  <c r="G241" i="11"/>
  <c r="I241" i="11"/>
  <c r="J241" i="11"/>
  <c r="K241" i="11"/>
  <c r="A242" i="11"/>
  <c r="C242" i="11"/>
  <c r="D242" i="11"/>
  <c r="E242" i="11"/>
  <c r="F242" i="11"/>
  <c r="G242" i="11"/>
  <c r="I242" i="11"/>
  <c r="J242" i="11"/>
  <c r="K242" i="11"/>
  <c r="A243" i="11"/>
  <c r="C243" i="11"/>
  <c r="D243" i="11"/>
  <c r="E243" i="11"/>
  <c r="F243" i="11"/>
  <c r="G243" i="11"/>
  <c r="I243" i="11"/>
  <c r="J243" i="11"/>
  <c r="K243" i="11"/>
  <c r="A244" i="11"/>
  <c r="C244" i="11"/>
  <c r="D244" i="11"/>
  <c r="E244" i="11"/>
  <c r="F244" i="11"/>
  <c r="G244" i="11"/>
  <c r="I244" i="11"/>
  <c r="J244" i="11"/>
  <c r="K244" i="11"/>
  <c r="A245" i="11"/>
  <c r="C245" i="11"/>
  <c r="D245" i="11"/>
  <c r="E245" i="11"/>
  <c r="F245" i="11"/>
  <c r="G245" i="11"/>
  <c r="I245" i="11"/>
  <c r="J245" i="11"/>
  <c r="K245" i="11"/>
  <c r="A246" i="11"/>
  <c r="C246" i="11"/>
  <c r="D246" i="11"/>
  <c r="E246" i="11"/>
  <c r="F246" i="11"/>
  <c r="G246" i="11"/>
  <c r="I246" i="11"/>
  <c r="J246" i="11"/>
  <c r="K246" i="11"/>
  <c r="A247" i="11"/>
  <c r="C247" i="11"/>
  <c r="D247" i="11"/>
  <c r="E247" i="11"/>
  <c r="F247" i="11"/>
  <c r="G247" i="11"/>
  <c r="I247" i="11"/>
  <c r="J247" i="11"/>
  <c r="K247" i="11"/>
  <c r="A248" i="11"/>
  <c r="C248" i="11"/>
  <c r="D248" i="11"/>
  <c r="E248" i="11"/>
  <c r="F248" i="11"/>
  <c r="G248" i="11"/>
  <c r="I248" i="11"/>
  <c r="J248" i="11"/>
  <c r="K248" i="11"/>
  <c r="A249" i="11"/>
  <c r="C249" i="11"/>
  <c r="D249" i="11"/>
  <c r="E249" i="11"/>
  <c r="F249" i="11"/>
  <c r="G249" i="11"/>
  <c r="I249" i="11"/>
  <c r="J249" i="11"/>
  <c r="K249" i="11"/>
  <c r="A250" i="11"/>
  <c r="C250" i="11"/>
  <c r="D250" i="11"/>
  <c r="E250" i="11"/>
  <c r="F250" i="11"/>
  <c r="G250" i="11"/>
  <c r="I250" i="11"/>
  <c r="J250" i="11"/>
  <c r="K250" i="11"/>
  <c r="A251" i="11"/>
  <c r="C251" i="11"/>
  <c r="D251" i="11"/>
  <c r="E251" i="11"/>
  <c r="F251" i="11"/>
  <c r="G251" i="11"/>
  <c r="I251" i="11"/>
  <c r="J251" i="11"/>
  <c r="K251" i="11"/>
  <c r="A252" i="11"/>
  <c r="C252" i="11"/>
  <c r="D252" i="11"/>
  <c r="E252" i="11"/>
  <c r="F252" i="11"/>
  <c r="G252" i="11"/>
  <c r="I252" i="11"/>
  <c r="J252" i="11"/>
  <c r="K252" i="11"/>
  <c r="A253" i="11"/>
  <c r="C253" i="11"/>
  <c r="D253" i="11"/>
  <c r="E253" i="11"/>
  <c r="F253" i="11"/>
  <c r="G253" i="11"/>
  <c r="I253" i="11"/>
  <c r="J253" i="11"/>
  <c r="K253" i="11"/>
  <c r="A254" i="11"/>
  <c r="C254" i="11"/>
  <c r="D254" i="11"/>
  <c r="E254" i="11"/>
  <c r="F254" i="11"/>
  <c r="G254" i="11"/>
  <c r="I254" i="11"/>
  <c r="J254" i="11"/>
  <c r="K254" i="11"/>
  <c r="A255" i="11"/>
  <c r="C255" i="11"/>
  <c r="D255" i="11"/>
  <c r="E255" i="11"/>
  <c r="F255" i="11"/>
  <c r="G255" i="11"/>
  <c r="I255" i="11"/>
  <c r="J255" i="11"/>
  <c r="K255" i="11"/>
  <c r="A256" i="11"/>
  <c r="C256" i="11"/>
  <c r="D256" i="11"/>
  <c r="E256" i="11"/>
  <c r="F256" i="11"/>
  <c r="G256" i="11"/>
  <c r="I256" i="11"/>
  <c r="J256" i="11"/>
  <c r="K256" i="11"/>
  <c r="A257" i="11"/>
  <c r="C257" i="11"/>
  <c r="D257" i="11"/>
  <c r="E257" i="11"/>
  <c r="F257" i="11"/>
  <c r="G257" i="11"/>
  <c r="I257" i="11"/>
  <c r="J257" i="11"/>
  <c r="K257" i="11"/>
  <c r="A258" i="11"/>
  <c r="C258" i="11"/>
  <c r="D258" i="11"/>
  <c r="E258" i="11"/>
  <c r="F258" i="11"/>
  <c r="G258" i="11"/>
  <c r="I258" i="11"/>
  <c r="J258" i="11"/>
  <c r="K258" i="11"/>
  <c r="A259" i="11"/>
  <c r="C259" i="11"/>
  <c r="D259" i="11"/>
  <c r="E259" i="11"/>
  <c r="F259" i="11"/>
  <c r="G259" i="11"/>
  <c r="I259" i="11"/>
  <c r="J259" i="11"/>
  <c r="K259" i="11"/>
  <c r="A260" i="11"/>
  <c r="C260" i="11"/>
  <c r="D260" i="11"/>
  <c r="E260" i="11"/>
  <c r="F260" i="11"/>
  <c r="G260" i="11"/>
  <c r="I260" i="11"/>
  <c r="J260" i="11"/>
  <c r="K260" i="11"/>
  <c r="A261" i="11"/>
  <c r="C261" i="11"/>
  <c r="D261" i="11"/>
  <c r="E261" i="11"/>
  <c r="F261" i="11"/>
  <c r="G261" i="11"/>
  <c r="I261" i="11"/>
  <c r="J261" i="11"/>
  <c r="K261" i="11"/>
  <c r="A262" i="11"/>
  <c r="C262" i="11"/>
  <c r="D262" i="11"/>
  <c r="E262" i="11"/>
  <c r="F262" i="11"/>
  <c r="G262" i="11"/>
  <c r="I262" i="11"/>
  <c r="J262" i="11"/>
  <c r="K262" i="11"/>
  <c r="A263" i="11"/>
  <c r="C263" i="11"/>
  <c r="D263" i="11"/>
  <c r="E263" i="11"/>
  <c r="F263" i="11"/>
  <c r="G263" i="11"/>
  <c r="I263" i="11"/>
  <c r="J263" i="11"/>
  <c r="K263" i="11"/>
  <c r="A264" i="11"/>
  <c r="C264" i="11"/>
  <c r="D264" i="11"/>
  <c r="E264" i="11"/>
  <c r="F264" i="11"/>
  <c r="G264" i="11"/>
  <c r="I264" i="11"/>
  <c r="J264" i="11"/>
  <c r="K264" i="11"/>
  <c r="A265" i="11"/>
  <c r="C265" i="11"/>
  <c r="D265" i="11"/>
  <c r="E265" i="11"/>
  <c r="F265" i="11"/>
  <c r="G265" i="11"/>
  <c r="I265" i="11"/>
  <c r="J265" i="11"/>
  <c r="K265" i="11"/>
  <c r="A266" i="11"/>
  <c r="C266" i="11"/>
  <c r="D266" i="11"/>
  <c r="E266" i="11"/>
  <c r="F266" i="11"/>
  <c r="G266" i="11"/>
  <c r="I266" i="11"/>
  <c r="J266" i="11"/>
  <c r="K266" i="11"/>
  <c r="A267" i="11"/>
  <c r="C267" i="11"/>
  <c r="D267" i="11"/>
  <c r="E267" i="11"/>
  <c r="F267" i="11"/>
  <c r="G267" i="11"/>
  <c r="I267" i="11"/>
  <c r="J267" i="11"/>
  <c r="K267" i="11"/>
  <c r="A268" i="11"/>
  <c r="C268" i="11"/>
  <c r="D268" i="11"/>
  <c r="E268" i="11"/>
  <c r="F268" i="11"/>
  <c r="G268" i="11"/>
  <c r="I268" i="11"/>
  <c r="J268" i="11"/>
  <c r="K268" i="11"/>
  <c r="A269" i="11"/>
  <c r="C269" i="11"/>
  <c r="D269" i="11"/>
  <c r="E269" i="11"/>
  <c r="F269" i="11"/>
  <c r="G269" i="11"/>
  <c r="I269" i="11"/>
  <c r="J269" i="11"/>
  <c r="K269" i="11"/>
  <c r="A270" i="11"/>
  <c r="C270" i="11"/>
  <c r="D270" i="11"/>
  <c r="E270" i="11"/>
  <c r="F270" i="11"/>
  <c r="G270" i="11"/>
  <c r="I270" i="11"/>
  <c r="J270" i="11"/>
  <c r="K270" i="11"/>
  <c r="A271" i="11"/>
  <c r="C271" i="11"/>
  <c r="D271" i="11"/>
  <c r="E271" i="11"/>
  <c r="F271" i="11"/>
  <c r="G271" i="11"/>
  <c r="I271" i="11"/>
  <c r="J271" i="11"/>
  <c r="K271" i="11"/>
  <c r="A272" i="11"/>
  <c r="C272" i="11"/>
  <c r="D272" i="11"/>
  <c r="E272" i="11"/>
  <c r="F272" i="11"/>
  <c r="G272" i="11"/>
  <c r="I272" i="11"/>
  <c r="J272" i="11"/>
  <c r="K272" i="11"/>
  <c r="A273" i="11"/>
  <c r="C273" i="11"/>
  <c r="D273" i="11"/>
  <c r="E273" i="11"/>
  <c r="F273" i="11"/>
  <c r="G273" i="11"/>
  <c r="I273" i="11"/>
  <c r="J273" i="11"/>
  <c r="K273" i="11"/>
  <c r="A274" i="11"/>
  <c r="C274" i="11"/>
  <c r="D274" i="11"/>
  <c r="E274" i="11"/>
  <c r="F274" i="11"/>
  <c r="G274" i="11"/>
  <c r="I274" i="11"/>
  <c r="J274" i="11"/>
  <c r="K274" i="11"/>
  <c r="A275" i="11"/>
  <c r="C275" i="11"/>
  <c r="D275" i="11"/>
  <c r="E275" i="11"/>
  <c r="F275" i="11"/>
  <c r="G275" i="11"/>
  <c r="I275" i="11"/>
  <c r="J275" i="11"/>
  <c r="K275" i="11"/>
  <c r="A276" i="11"/>
  <c r="C276" i="11"/>
  <c r="D276" i="11"/>
  <c r="E276" i="11"/>
  <c r="F276" i="11"/>
  <c r="G276" i="11"/>
  <c r="I276" i="11"/>
  <c r="J276" i="11"/>
  <c r="K276" i="11"/>
  <c r="A277" i="11"/>
  <c r="C277" i="11"/>
  <c r="D277" i="11"/>
  <c r="E277" i="11"/>
  <c r="F277" i="11"/>
  <c r="G277" i="11"/>
  <c r="I277" i="11"/>
  <c r="J277" i="11"/>
  <c r="K277" i="11"/>
  <c r="A278" i="11"/>
  <c r="C278" i="11"/>
  <c r="D278" i="11"/>
  <c r="E278" i="11"/>
  <c r="F278" i="11"/>
  <c r="G278" i="11"/>
  <c r="I278" i="11"/>
  <c r="J278" i="11"/>
  <c r="K278" i="11"/>
  <c r="A279" i="11"/>
  <c r="C279" i="11"/>
  <c r="D279" i="11"/>
  <c r="E279" i="11"/>
  <c r="F279" i="11"/>
  <c r="G279" i="11"/>
  <c r="I279" i="11"/>
  <c r="J279" i="11"/>
  <c r="K279" i="11"/>
  <c r="A280" i="11"/>
  <c r="C280" i="11"/>
  <c r="D280" i="11"/>
  <c r="E280" i="11"/>
  <c r="F280" i="11"/>
  <c r="G280" i="11"/>
  <c r="I280" i="11"/>
  <c r="J280" i="11"/>
  <c r="K280" i="11"/>
  <c r="A281" i="11"/>
  <c r="C281" i="11"/>
  <c r="D281" i="11"/>
  <c r="E281" i="11"/>
  <c r="F281" i="11"/>
  <c r="G281" i="11"/>
  <c r="I281" i="11"/>
  <c r="J281" i="11"/>
  <c r="K281" i="11"/>
  <c r="A282" i="11"/>
  <c r="C282" i="11"/>
  <c r="D282" i="11"/>
  <c r="E282" i="11"/>
  <c r="F282" i="11"/>
  <c r="G282" i="11"/>
  <c r="I282" i="11"/>
  <c r="J282" i="11"/>
  <c r="K282" i="11"/>
  <c r="A283" i="11"/>
  <c r="C283" i="11"/>
  <c r="D283" i="11"/>
  <c r="E283" i="11"/>
  <c r="F283" i="11"/>
  <c r="G283" i="11"/>
  <c r="I283" i="11"/>
  <c r="J283" i="11"/>
  <c r="K283" i="11"/>
  <c r="A284" i="11"/>
  <c r="C284" i="11"/>
  <c r="D284" i="11"/>
  <c r="E284" i="11"/>
  <c r="F284" i="11"/>
  <c r="G284" i="11"/>
  <c r="I284" i="11"/>
  <c r="J284" i="11"/>
  <c r="K284" i="11"/>
  <c r="A285" i="11"/>
  <c r="C285" i="11"/>
  <c r="D285" i="11"/>
  <c r="E285" i="11"/>
  <c r="F285" i="11"/>
  <c r="G285" i="11"/>
  <c r="I285" i="11"/>
  <c r="J285" i="11"/>
  <c r="K285" i="11"/>
  <c r="A286" i="11"/>
  <c r="C286" i="11"/>
  <c r="D286" i="11"/>
  <c r="E286" i="11"/>
  <c r="F286" i="11"/>
  <c r="G286" i="11"/>
  <c r="I286" i="11"/>
  <c r="J286" i="11"/>
  <c r="K286" i="11"/>
  <c r="A287" i="11"/>
  <c r="C287" i="11"/>
  <c r="D287" i="11"/>
  <c r="E287" i="11"/>
  <c r="F287" i="11"/>
  <c r="G287" i="11"/>
  <c r="I287" i="11"/>
  <c r="J287" i="11"/>
  <c r="K287" i="11"/>
  <c r="A288" i="11"/>
  <c r="C288" i="11"/>
  <c r="D288" i="11"/>
  <c r="E288" i="11"/>
  <c r="F288" i="11"/>
  <c r="G288" i="11"/>
  <c r="I288" i="11"/>
  <c r="J288" i="11"/>
  <c r="K288" i="11"/>
  <c r="A289" i="11"/>
  <c r="C289" i="11"/>
  <c r="D289" i="11"/>
  <c r="E289" i="11"/>
  <c r="F289" i="11"/>
  <c r="G289" i="11"/>
  <c r="I289" i="11"/>
  <c r="J289" i="11"/>
  <c r="K289" i="11"/>
  <c r="A290" i="11"/>
  <c r="C290" i="11"/>
  <c r="D290" i="11"/>
  <c r="E290" i="11"/>
  <c r="F290" i="11"/>
  <c r="G290" i="11"/>
  <c r="I290" i="11"/>
  <c r="J290" i="11"/>
  <c r="K290" i="11"/>
  <c r="A291" i="11"/>
  <c r="C291" i="11"/>
  <c r="D291" i="11"/>
  <c r="E291" i="11"/>
  <c r="F291" i="11"/>
  <c r="G291" i="11"/>
  <c r="I291" i="11"/>
  <c r="J291" i="11"/>
  <c r="K291" i="11"/>
  <c r="A292" i="11"/>
  <c r="C292" i="11"/>
  <c r="D292" i="11"/>
  <c r="E292" i="11"/>
  <c r="F292" i="11"/>
  <c r="G292" i="11"/>
  <c r="I292" i="11"/>
  <c r="J292" i="11"/>
  <c r="K292" i="11"/>
  <c r="A293" i="11"/>
  <c r="C293" i="11"/>
  <c r="D293" i="11"/>
  <c r="E293" i="11"/>
  <c r="F293" i="11"/>
  <c r="G293" i="11"/>
  <c r="I293" i="11"/>
  <c r="J293" i="11"/>
  <c r="K293" i="11"/>
  <c r="A294" i="11"/>
  <c r="C294" i="11"/>
  <c r="D294" i="11"/>
  <c r="E294" i="11"/>
  <c r="F294" i="11"/>
  <c r="G294" i="11"/>
  <c r="I294" i="11"/>
  <c r="J294" i="11"/>
  <c r="K294" i="11"/>
  <c r="A295" i="11"/>
  <c r="C295" i="11"/>
  <c r="D295" i="11"/>
  <c r="E295" i="11"/>
  <c r="F295" i="11"/>
  <c r="G295" i="11"/>
  <c r="I295" i="11"/>
  <c r="J295" i="11"/>
  <c r="K295" i="11"/>
  <c r="A296" i="11"/>
  <c r="C296" i="11"/>
  <c r="D296" i="11"/>
  <c r="E296" i="11"/>
  <c r="F296" i="11"/>
  <c r="G296" i="11"/>
  <c r="I296" i="11"/>
  <c r="J296" i="11"/>
  <c r="K296" i="11"/>
  <c r="A297" i="11"/>
  <c r="C297" i="11"/>
  <c r="D297" i="11"/>
  <c r="E297" i="11"/>
  <c r="F297" i="11"/>
  <c r="G297" i="11"/>
  <c r="I297" i="11"/>
  <c r="J297" i="11"/>
  <c r="K297" i="11"/>
  <c r="A298" i="11"/>
  <c r="C298" i="11"/>
  <c r="D298" i="11"/>
  <c r="E298" i="11"/>
  <c r="F298" i="11"/>
  <c r="G298" i="11"/>
  <c r="I298" i="11"/>
  <c r="J298" i="11"/>
  <c r="K298" i="11"/>
  <c r="A299" i="11"/>
  <c r="C299" i="11"/>
  <c r="D299" i="11"/>
  <c r="E299" i="11"/>
  <c r="F299" i="11"/>
  <c r="G299" i="11"/>
  <c r="I299" i="11"/>
  <c r="J299" i="11"/>
  <c r="K299" i="11"/>
  <c r="A300" i="11"/>
  <c r="C300" i="11"/>
  <c r="D300" i="11"/>
  <c r="E300" i="11"/>
  <c r="F300" i="11"/>
  <c r="G300" i="11"/>
  <c r="I300" i="11"/>
  <c r="J300" i="11"/>
  <c r="K300" i="11"/>
  <c r="A301" i="11"/>
  <c r="C301" i="11"/>
  <c r="D301" i="11"/>
  <c r="E301" i="11"/>
  <c r="F301" i="11"/>
  <c r="G301" i="11"/>
  <c r="I301" i="11"/>
  <c r="J301" i="11"/>
  <c r="K301" i="11"/>
  <c r="A302" i="11"/>
  <c r="C302" i="11"/>
  <c r="D302" i="11"/>
  <c r="E302" i="11"/>
  <c r="F302" i="11"/>
  <c r="G302" i="11"/>
  <c r="I302" i="11"/>
  <c r="J302" i="11"/>
  <c r="K302" i="11"/>
  <c r="A303" i="11"/>
  <c r="C303" i="11"/>
  <c r="D303" i="11"/>
  <c r="E303" i="11"/>
  <c r="F303" i="11"/>
  <c r="G303" i="11"/>
  <c r="I303" i="11"/>
  <c r="J303" i="11"/>
  <c r="K303" i="11"/>
  <c r="A304" i="11"/>
  <c r="C304" i="11"/>
  <c r="D304" i="11"/>
  <c r="E304" i="11"/>
  <c r="F304" i="11"/>
  <c r="G304" i="11"/>
  <c r="I304" i="11"/>
  <c r="J304" i="11"/>
  <c r="K304" i="11"/>
  <c r="A305" i="11"/>
  <c r="C305" i="11"/>
  <c r="D305" i="11"/>
  <c r="E305" i="11"/>
  <c r="F305" i="11"/>
  <c r="G305" i="11"/>
  <c r="I305" i="11"/>
  <c r="J305" i="11"/>
  <c r="K305" i="11"/>
  <c r="A306" i="11"/>
  <c r="C306" i="11"/>
  <c r="D306" i="11"/>
  <c r="E306" i="11"/>
  <c r="F306" i="11"/>
  <c r="G306" i="11"/>
  <c r="I306" i="11"/>
  <c r="J306" i="11"/>
  <c r="K306" i="11"/>
  <c r="A307" i="11"/>
  <c r="C307" i="11"/>
  <c r="D307" i="11"/>
  <c r="E307" i="11"/>
  <c r="F307" i="11"/>
  <c r="G307" i="11"/>
  <c r="I307" i="11"/>
  <c r="J307" i="11"/>
  <c r="K307" i="11"/>
  <c r="A308" i="11"/>
  <c r="C308" i="11"/>
  <c r="D308" i="11"/>
  <c r="E308" i="11"/>
  <c r="F308" i="11"/>
  <c r="G308" i="11"/>
  <c r="I308" i="11"/>
  <c r="J308" i="11"/>
  <c r="K308" i="11"/>
  <c r="A309" i="11"/>
  <c r="C309" i="11"/>
  <c r="D309" i="11"/>
  <c r="E309" i="11"/>
  <c r="F309" i="11"/>
  <c r="G309" i="11"/>
  <c r="I309" i="11"/>
  <c r="J309" i="11"/>
  <c r="K309" i="11"/>
  <c r="A310" i="11"/>
  <c r="C310" i="11"/>
  <c r="D310" i="11"/>
  <c r="E310" i="11"/>
  <c r="F310" i="11"/>
  <c r="G310" i="11"/>
  <c r="I310" i="11"/>
  <c r="J310" i="11"/>
  <c r="K310" i="11"/>
  <c r="A311" i="11"/>
  <c r="C311" i="11"/>
  <c r="D311" i="11"/>
  <c r="E311" i="11"/>
  <c r="F311" i="11"/>
  <c r="G311" i="11"/>
  <c r="I311" i="11"/>
  <c r="J311" i="11"/>
  <c r="K311" i="11"/>
  <c r="A312" i="11"/>
  <c r="C312" i="11"/>
  <c r="D312" i="11"/>
  <c r="E312" i="11"/>
  <c r="F312" i="11"/>
  <c r="G312" i="11"/>
  <c r="I312" i="11"/>
  <c r="J312" i="11"/>
  <c r="K312" i="11"/>
  <c r="A313" i="11"/>
  <c r="C313" i="11"/>
  <c r="D313" i="11"/>
  <c r="E313" i="11"/>
  <c r="F313" i="11"/>
  <c r="G313" i="11"/>
  <c r="I313" i="11"/>
  <c r="J313" i="11"/>
  <c r="K313" i="11"/>
  <c r="A314" i="11"/>
  <c r="C314" i="11"/>
  <c r="D314" i="11"/>
  <c r="E314" i="11"/>
  <c r="F314" i="11"/>
  <c r="G314" i="11"/>
  <c r="I314" i="11"/>
  <c r="J314" i="11"/>
  <c r="K314" i="11"/>
  <c r="A315" i="11"/>
  <c r="C315" i="11"/>
  <c r="D315" i="11"/>
  <c r="E315" i="11"/>
  <c r="F315" i="11"/>
  <c r="G315" i="11"/>
  <c r="I315" i="11"/>
  <c r="J315" i="11"/>
  <c r="K315" i="11"/>
  <c r="A316" i="11"/>
  <c r="C316" i="11"/>
  <c r="D316" i="11"/>
  <c r="E316" i="11"/>
  <c r="F316" i="11"/>
  <c r="G316" i="11"/>
  <c r="I316" i="11"/>
  <c r="J316" i="11"/>
  <c r="K316" i="11"/>
  <c r="A317" i="11"/>
  <c r="C317" i="11"/>
  <c r="D317" i="11"/>
  <c r="E317" i="11"/>
  <c r="F317" i="11"/>
  <c r="G317" i="11"/>
  <c r="I317" i="11"/>
  <c r="J317" i="11"/>
  <c r="K317" i="11"/>
  <c r="A318" i="11"/>
  <c r="C318" i="11"/>
  <c r="D318" i="11"/>
  <c r="E318" i="11"/>
  <c r="F318" i="11"/>
  <c r="G318" i="11"/>
  <c r="I318" i="11"/>
  <c r="J318" i="11"/>
  <c r="K318" i="11"/>
  <c r="A319" i="11"/>
  <c r="C319" i="11"/>
  <c r="D319" i="11"/>
  <c r="E319" i="11"/>
  <c r="F319" i="11"/>
  <c r="G319" i="11"/>
  <c r="I319" i="11"/>
  <c r="J319" i="11"/>
  <c r="K319" i="11"/>
  <c r="A320" i="11"/>
  <c r="C320" i="11"/>
  <c r="D320" i="11"/>
  <c r="E320" i="11"/>
  <c r="F320" i="11"/>
  <c r="G320" i="11"/>
  <c r="I320" i="11"/>
  <c r="J320" i="11"/>
  <c r="K320" i="11"/>
  <c r="A321" i="11"/>
  <c r="C321" i="11"/>
  <c r="D321" i="11"/>
  <c r="E321" i="11"/>
  <c r="F321" i="11"/>
  <c r="G321" i="11"/>
  <c r="I321" i="11"/>
  <c r="J321" i="11"/>
  <c r="K321" i="11"/>
  <c r="A322" i="11"/>
  <c r="C322" i="11"/>
  <c r="D322" i="11"/>
  <c r="E322" i="11"/>
  <c r="F322" i="11"/>
  <c r="G322" i="11"/>
  <c r="I322" i="11"/>
  <c r="J322" i="11"/>
  <c r="K322" i="11"/>
  <c r="A323" i="11"/>
  <c r="C323" i="11"/>
  <c r="D323" i="11"/>
  <c r="E323" i="11"/>
  <c r="F323" i="11"/>
  <c r="G323" i="11"/>
  <c r="I323" i="11"/>
  <c r="J323" i="11"/>
  <c r="K323" i="11"/>
  <c r="A324" i="11"/>
  <c r="C324" i="11"/>
  <c r="D324" i="11"/>
  <c r="E324" i="11"/>
  <c r="F324" i="11"/>
  <c r="G324" i="11"/>
  <c r="I324" i="11"/>
  <c r="J324" i="11"/>
  <c r="K324" i="11"/>
  <c r="A325" i="11"/>
  <c r="C325" i="11"/>
  <c r="D325" i="11"/>
  <c r="E325" i="11"/>
  <c r="F325" i="11"/>
  <c r="G325" i="11"/>
  <c r="I325" i="11"/>
  <c r="J325" i="11"/>
  <c r="K325" i="11"/>
  <c r="A326" i="11"/>
  <c r="C326" i="11"/>
  <c r="D326" i="11"/>
  <c r="E326" i="11"/>
  <c r="F326" i="11"/>
  <c r="G326" i="11"/>
  <c r="I326" i="11"/>
  <c r="J326" i="11"/>
  <c r="K326" i="11"/>
  <c r="A327" i="11"/>
  <c r="C327" i="11"/>
  <c r="D327" i="11"/>
  <c r="E327" i="11"/>
  <c r="F327" i="11"/>
  <c r="G327" i="11"/>
  <c r="I327" i="11"/>
  <c r="J327" i="11"/>
  <c r="K327" i="11"/>
  <c r="A328" i="11"/>
  <c r="C328" i="11"/>
  <c r="D328" i="11"/>
  <c r="E328" i="11"/>
  <c r="F328" i="11"/>
  <c r="G328" i="11"/>
  <c r="I328" i="11"/>
  <c r="J328" i="11"/>
  <c r="K328" i="11"/>
  <c r="A329" i="11"/>
  <c r="C329" i="11"/>
  <c r="D329" i="11"/>
  <c r="E329" i="11"/>
  <c r="F329" i="11"/>
  <c r="G329" i="11"/>
  <c r="I329" i="11"/>
  <c r="J329" i="11"/>
  <c r="K329" i="11"/>
  <c r="A330" i="11"/>
  <c r="C330" i="11"/>
  <c r="D330" i="11"/>
  <c r="E330" i="11"/>
  <c r="F330" i="11"/>
  <c r="G330" i="11"/>
  <c r="I330" i="11"/>
  <c r="J330" i="11"/>
  <c r="K330" i="11"/>
  <c r="A331" i="11"/>
  <c r="C331" i="11"/>
  <c r="D331" i="11"/>
  <c r="E331" i="11"/>
  <c r="F331" i="11"/>
  <c r="G331" i="11"/>
  <c r="I331" i="11"/>
  <c r="J331" i="11"/>
  <c r="K331" i="11"/>
  <c r="A332" i="11"/>
  <c r="C332" i="11"/>
  <c r="D332" i="11"/>
  <c r="E332" i="11"/>
  <c r="F332" i="11"/>
  <c r="G332" i="11"/>
  <c r="I332" i="11"/>
  <c r="J332" i="11"/>
  <c r="K332" i="11"/>
  <c r="A333" i="11"/>
  <c r="C333" i="11"/>
  <c r="D333" i="11"/>
  <c r="E333" i="11"/>
  <c r="F333" i="11"/>
  <c r="G333" i="11"/>
  <c r="I333" i="11"/>
  <c r="J333" i="11"/>
  <c r="K333" i="11"/>
  <c r="A334" i="11"/>
  <c r="C334" i="11"/>
  <c r="D334" i="11"/>
  <c r="E334" i="11"/>
  <c r="F334" i="11"/>
  <c r="G334" i="11"/>
  <c r="I334" i="11"/>
  <c r="J334" i="11"/>
  <c r="K334" i="11"/>
  <c r="A335" i="11"/>
  <c r="C335" i="11"/>
  <c r="D335" i="11"/>
  <c r="E335" i="11"/>
  <c r="F335" i="11"/>
  <c r="G335" i="11"/>
  <c r="I335" i="11"/>
  <c r="J335" i="11"/>
  <c r="K335" i="11"/>
  <c r="A336" i="11"/>
  <c r="C336" i="11"/>
  <c r="D336" i="11"/>
  <c r="E336" i="11"/>
  <c r="F336" i="11"/>
  <c r="G336" i="11"/>
  <c r="I336" i="11"/>
  <c r="J336" i="11"/>
  <c r="K336" i="11"/>
  <c r="A337" i="11"/>
  <c r="C337" i="11"/>
  <c r="D337" i="11"/>
  <c r="E337" i="11"/>
  <c r="F337" i="11"/>
  <c r="G337" i="11"/>
  <c r="I337" i="11"/>
  <c r="J337" i="11"/>
  <c r="K337" i="11"/>
  <c r="A338" i="11"/>
  <c r="C338" i="11"/>
  <c r="D338" i="11"/>
  <c r="E338" i="11"/>
  <c r="F338" i="11"/>
  <c r="G338" i="11"/>
  <c r="I338" i="11"/>
  <c r="J338" i="11"/>
  <c r="K338" i="11"/>
  <c r="A339" i="11"/>
  <c r="C339" i="11"/>
  <c r="D339" i="11"/>
  <c r="E339" i="11"/>
  <c r="F339" i="11"/>
  <c r="G339" i="11"/>
  <c r="I339" i="11"/>
  <c r="J339" i="11"/>
  <c r="K339" i="11"/>
  <c r="A340" i="11"/>
  <c r="C340" i="11"/>
  <c r="D340" i="11"/>
  <c r="E340" i="11"/>
  <c r="F340" i="11"/>
  <c r="G340" i="11"/>
  <c r="I340" i="11"/>
  <c r="J340" i="11"/>
  <c r="K340" i="11"/>
  <c r="A341" i="11"/>
  <c r="C341" i="11"/>
  <c r="D341" i="11"/>
  <c r="E341" i="11"/>
  <c r="F341" i="11"/>
  <c r="G341" i="11"/>
  <c r="I341" i="11"/>
  <c r="J341" i="11"/>
  <c r="K341" i="11"/>
  <c r="A342" i="11"/>
  <c r="C342" i="11"/>
  <c r="D342" i="11"/>
  <c r="E342" i="11"/>
  <c r="F342" i="11"/>
  <c r="G342" i="11"/>
  <c r="I342" i="11"/>
  <c r="J342" i="11"/>
  <c r="K342" i="11"/>
  <c r="A343" i="11"/>
  <c r="C343" i="11"/>
  <c r="D343" i="11"/>
  <c r="E343" i="11"/>
  <c r="F343" i="11"/>
  <c r="G343" i="11"/>
  <c r="I343" i="11"/>
  <c r="J343" i="11"/>
  <c r="K343" i="11"/>
  <c r="A344" i="11"/>
  <c r="C344" i="11"/>
  <c r="D344" i="11"/>
  <c r="E344" i="11"/>
  <c r="F344" i="11"/>
  <c r="G344" i="11"/>
  <c r="I344" i="11"/>
  <c r="J344" i="11"/>
  <c r="K344" i="11"/>
  <c r="A345" i="11"/>
  <c r="C345" i="11"/>
  <c r="D345" i="11"/>
  <c r="E345" i="11"/>
  <c r="F345" i="11"/>
  <c r="G345" i="11"/>
  <c r="I345" i="11"/>
  <c r="J345" i="11"/>
  <c r="K345" i="11"/>
  <c r="A346" i="11"/>
  <c r="C346" i="11"/>
  <c r="D346" i="11"/>
  <c r="E346" i="11"/>
  <c r="F346" i="11"/>
  <c r="G346" i="11"/>
  <c r="I346" i="11"/>
  <c r="J346" i="11"/>
  <c r="K346" i="11"/>
  <c r="A347" i="11"/>
  <c r="C347" i="11"/>
  <c r="D347" i="11"/>
  <c r="E347" i="11"/>
  <c r="F347" i="11"/>
  <c r="G347" i="11"/>
  <c r="I347" i="11"/>
  <c r="J347" i="11"/>
  <c r="K347" i="11"/>
  <c r="A348" i="11"/>
  <c r="C348" i="11"/>
  <c r="D348" i="11"/>
  <c r="E348" i="11"/>
  <c r="F348" i="11"/>
  <c r="G348" i="11"/>
  <c r="I348" i="11"/>
  <c r="J348" i="11"/>
  <c r="K348" i="11"/>
  <c r="A349" i="11"/>
  <c r="C349" i="11"/>
  <c r="D349" i="11"/>
  <c r="E349" i="11"/>
  <c r="F349" i="11"/>
  <c r="G349" i="11"/>
  <c r="I349" i="11"/>
  <c r="J349" i="11"/>
  <c r="K349" i="11"/>
  <c r="A350" i="11"/>
  <c r="C350" i="11"/>
  <c r="D350" i="11"/>
  <c r="E350" i="11"/>
  <c r="F350" i="11"/>
  <c r="G350" i="11"/>
  <c r="I350" i="11"/>
  <c r="J350" i="11"/>
  <c r="K350" i="11"/>
  <c r="A351" i="11"/>
  <c r="C351" i="11"/>
  <c r="D351" i="11"/>
  <c r="E351" i="11"/>
  <c r="F351" i="11"/>
  <c r="G351" i="11"/>
  <c r="I351" i="11"/>
  <c r="J351" i="11"/>
  <c r="K351" i="11"/>
  <c r="A352" i="11"/>
  <c r="C352" i="11"/>
  <c r="D352" i="11"/>
  <c r="E352" i="11"/>
  <c r="F352" i="11"/>
  <c r="G352" i="11"/>
  <c r="I352" i="11"/>
  <c r="J352" i="11"/>
  <c r="K352" i="11"/>
  <c r="A353" i="11"/>
  <c r="C353" i="11"/>
  <c r="D353" i="11"/>
  <c r="E353" i="11"/>
  <c r="F353" i="11"/>
  <c r="G353" i="11"/>
  <c r="I353" i="11"/>
  <c r="J353" i="11"/>
  <c r="K353" i="11"/>
  <c r="A354" i="11"/>
  <c r="C354" i="11"/>
  <c r="D354" i="11"/>
  <c r="E354" i="11"/>
  <c r="F354" i="11"/>
  <c r="G354" i="11"/>
  <c r="I354" i="11"/>
  <c r="J354" i="11"/>
  <c r="K354" i="11"/>
  <c r="A355" i="11"/>
  <c r="C355" i="11"/>
  <c r="D355" i="11"/>
  <c r="E355" i="11"/>
  <c r="F355" i="11"/>
  <c r="G355" i="11"/>
  <c r="I355" i="11"/>
  <c r="J355" i="11"/>
  <c r="K355" i="11"/>
  <c r="A356" i="11"/>
  <c r="C356" i="11"/>
  <c r="D356" i="11"/>
  <c r="E356" i="11"/>
  <c r="F356" i="11"/>
  <c r="G356" i="11"/>
  <c r="I356" i="11"/>
  <c r="J356" i="11"/>
  <c r="K356" i="11"/>
  <c r="A357" i="11"/>
  <c r="C357" i="11"/>
  <c r="D357" i="11"/>
  <c r="E357" i="11"/>
  <c r="F357" i="11"/>
  <c r="G357" i="11"/>
  <c r="I357" i="11"/>
  <c r="J357" i="11"/>
  <c r="K357" i="11"/>
  <c r="A358" i="11"/>
  <c r="C358" i="11"/>
  <c r="D358" i="11"/>
  <c r="E358" i="11"/>
  <c r="F358" i="11"/>
  <c r="G358" i="11"/>
  <c r="I358" i="11"/>
  <c r="J358" i="11"/>
  <c r="K358" i="11"/>
  <c r="A359" i="11"/>
  <c r="C359" i="11"/>
  <c r="D359" i="11"/>
  <c r="E359" i="11"/>
  <c r="F359" i="11"/>
  <c r="G359" i="11"/>
  <c r="I359" i="11"/>
  <c r="J359" i="11"/>
  <c r="K359" i="11"/>
  <c r="A360" i="11"/>
  <c r="C360" i="11"/>
  <c r="D360" i="11"/>
  <c r="E360" i="11"/>
  <c r="F360" i="11"/>
  <c r="G360" i="11"/>
  <c r="I360" i="11"/>
  <c r="J360" i="11"/>
  <c r="K360" i="11"/>
  <c r="A361" i="11"/>
  <c r="C361" i="11"/>
  <c r="D361" i="11"/>
  <c r="E361" i="11"/>
  <c r="F361" i="11"/>
  <c r="G361" i="11"/>
  <c r="I361" i="11"/>
  <c r="J361" i="11"/>
  <c r="K361" i="11"/>
  <c r="A362" i="11"/>
  <c r="C362" i="11"/>
  <c r="D362" i="11"/>
  <c r="E362" i="11"/>
  <c r="F362" i="11"/>
  <c r="G362" i="11"/>
  <c r="I362" i="11"/>
  <c r="J362" i="11"/>
  <c r="K362" i="11"/>
  <c r="A363" i="11"/>
  <c r="C363" i="11"/>
  <c r="D363" i="11"/>
  <c r="E363" i="11"/>
  <c r="F363" i="11"/>
  <c r="G363" i="11"/>
  <c r="I363" i="11"/>
  <c r="J363" i="11"/>
  <c r="K363" i="11"/>
  <c r="A364" i="11"/>
  <c r="C364" i="11"/>
  <c r="D364" i="11"/>
  <c r="E364" i="11"/>
  <c r="F364" i="11"/>
  <c r="G364" i="11"/>
  <c r="I364" i="11"/>
  <c r="J364" i="11"/>
  <c r="K364" i="11"/>
  <c r="A365" i="11"/>
  <c r="C365" i="11"/>
  <c r="D365" i="11"/>
  <c r="E365" i="11"/>
  <c r="F365" i="11"/>
  <c r="G365" i="11"/>
  <c r="I365" i="11"/>
  <c r="J365" i="11"/>
  <c r="K365" i="11"/>
  <c r="A366" i="11"/>
  <c r="C366" i="11"/>
  <c r="D366" i="11"/>
  <c r="E366" i="11"/>
  <c r="F366" i="11"/>
  <c r="G366" i="11"/>
  <c r="I366" i="11"/>
  <c r="J366" i="11"/>
  <c r="K366" i="11"/>
  <c r="A367" i="11"/>
  <c r="C367" i="11"/>
  <c r="D367" i="11"/>
  <c r="E367" i="11"/>
  <c r="F367" i="11"/>
  <c r="G367" i="11"/>
  <c r="I367" i="11"/>
  <c r="J367" i="11"/>
  <c r="K367" i="11"/>
  <c r="A368" i="11"/>
  <c r="C368" i="11"/>
  <c r="D368" i="11"/>
  <c r="E368" i="11"/>
  <c r="F368" i="11"/>
  <c r="G368" i="11"/>
  <c r="I368" i="11"/>
  <c r="J368" i="11"/>
  <c r="K368" i="11"/>
  <c r="A369" i="11"/>
  <c r="C369" i="11"/>
  <c r="D369" i="11"/>
  <c r="E369" i="11"/>
  <c r="F369" i="11"/>
  <c r="G369" i="11"/>
  <c r="I369" i="11"/>
  <c r="J369" i="11"/>
  <c r="K369" i="11"/>
  <c r="A370" i="11"/>
  <c r="C370" i="11"/>
  <c r="D370" i="11"/>
  <c r="E370" i="11"/>
  <c r="F370" i="11"/>
  <c r="G370" i="11"/>
  <c r="I370" i="11"/>
  <c r="J370" i="11"/>
  <c r="K370" i="11"/>
  <c r="A371" i="11"/>
  <c r="C371" i="11"/>
  <c r="D371" i="11"/>
  <c r="E371" i="11"/>
  <c r="F371" i="11"/>
  <c r="G371" i="11"/>
  <c r="I371" i="11"/>
  <c r="J371" i="11"/>
  <c r="K371" i="11"/>
  <c r="A372" i="11"/>
  <c r="C372" i="11"/>
  <c r="D372" i="11"/>
  <c r="E372" i="11"/>
  <c r="F372" i="11"/>
  <c r="G372" i="11"/>
  <c r="I372" i="11"/>
  <c r="J372" i="11"/>
  <c r="K372" i="11"/>
  <c r="A373" i="11"/>
  <c r="C373" i="11"/>
  <c r="D373" i="11"/>
  <c r="E373" i="11"/>
  <c r="F373" i="11"/>
  <c r="G373" i="11"/>
  <c r="I373" i="11"/>
  <c r="J373" i="11"/>
  <c r="K373" i="11"/>
  <c r="A374" i="11"/>
  <c r="C374" i="11"/>
  <c r="D374" i="11"/>
  <c r="E374" i="11"/>
  <c r="F374" i="11"/>
  <c r="G374" i="11"/>
  <c r="I374" i="11"/>
  <c r="J374" i="11"/>
  <c r="K374" i="11"/>
  <c r="A375" i="11"/>
  <c r="C375" i="11"/>
  <c r="D375" i="11"/>
  <c r="E375" i="11"/>
  <c r="F375" i="11"/>
  <c r="G375" i="11"/>
  <c r="I375" i="11"/>
  <c r="J375" i="11"/>
  <c r="K375" i="11"/>
  <c r="A376" i="11"/>
  <c r="C376" i="11"/>
  <c r="D376" i="11"/>
  <c r="E376" i="11"/>
  <c r="F376" i="11"/>
  <c r="G376" i="11"/>
  <c r="I376" i="11"/>
  <c r="J376" i="11"/>
  <c r="K376" i="11"/>
  <c r="A377" i="11"/>
  <c r="C377" i="11"/>
  <c r="D377" i="11"/>
  <c r="E377" i="11"/>
  <c r="F377" i="11"/>
  <c r="G377" i="11"/>
  <c r="I377" i="11"/>
  <c r="J377" i="11"/>
  <c r="K377" i="11"/>
  <c r="A378" i="11"/>
  <c r="C378" i="11"/>
  <c r="D378" i="11"/>
  <c r="E378" i="11"/>
  <c r="F378" i="11"/>
  <c r="G378" i="11"/>
  <c r="I378" i="11"/>
  <c r="J378" i="11"/>
  <c r="K378" i="11"/>
  <c r="A379" i="11"/>
  <c r="C379" i="11"/>
  <c r="D379" i="11"/>
  <c r="E379" i="11"/>
  <c r="F379" i="11"/>
  <c r="G379" i="11"/>
  <c r="I379" i="11"/>
  <c r="J379" i="11"/>
  <c r="K379" i="11"/>
  <c r="A380" i="11"/>
  <c r="C380" i="11"/>
  <c r="D380" i="11"/>
  <c r="E380" i="11"/>
  <c r="F380" i="11"/>
  <c r="G380" i="11"/>
  <c r="I380" i="11"/>
  <c r="J380" i="11"/>
  <c r="K380" i="11"/>
  <c r="A381" i="11"/>
  <c r="C381" i="11"/>
  <c r="D381" i="11"/>
  <c r="E381" i="11"/>
  <c r="F381" i="11"/>
  <c r="G381" i="11"/>
  <c r="I381" i="11"/>
  <c r="J381" i="11"/>
  <c r="K381" i="11"/>
  <c r="A382" i="11"/>
  <c r="C382" i="11"/>
  <c r="D382" i="11"/>
  <c r="E382" i="11"/>
  <c r="F382" i="11"/>
  <c r="G382" i="11"/>
  <c r="I382" i="11"/>
  <c r="J382" i="11"/>
  <c r="K382" i="11"/>
  <c r="A383" i="11"/>
  <c r="C383" i="11"/>
  <c r="D383" i="11"/>
  <c r="E383" i="11"/>
  <c r="F383" i="11"/>
  <c r="G383" i="11"/>
  <c r="I383" i="11"/>
  <c r="J383" i="11"/>
  <c r="K383" i="11"/>
  <c r="A384" i="11"/>
  <c r="C384" i="11"/>
  <c r="D384" i="11"/>
  <c r="E384" i="11"/>
  <c r="F384" i="11"/>
  <c r="G384" i="11"/>
  <c r="I384" i="11"/>
  <c r="J384" i="11"/>
  <c r="K384" i="11"/>
  <c r="A385" i="11"/>
  <c r="C385" i="11"/>
  <c r="D385" i="11"/>
  <c r="E385" i="11"/>
  <c r="F385" i="11"/>
  <c r="G385" i="11"/>
  <c r="I385" i="11"/>
  <c r="J385" i="11"/>
  <c r="K385" i="11"/>
  <c r="A386" i="11"/>
  <c r="C386" i="11"/>
  <c r="D386" i="11"/>
  <c r="E386" i="11"/>
  <c r="F386" i="11"/>
  <c r="G386" i="11"/>
  <c r="I386" i="11"/>
  <c r="J386" i="11"/>
  <c r="K386" i="11"/>
  <c r="A387" i="11"/>
  <c r="C387" i="11"/>
  <c r="D387" i="11"/>
  <c r="E387" i="11"/>
  <c r="F387" i="11"/>
  <c r="G387" i="11"/>
  <c r="I387" i="11"/>
  <c r="J387" i="11"/>
  <c r="K387" i="11"/>
  <c r="A388" i="11"/>
  <c r="C388" i="11"/>
  <c r="D388" i="11"/>
  <c r="E388" i="11"/>
  <c r="F388" i="11"/>
  <c r="G388" i="11"/>
  <c r="I388" i="11"/>
  <c r="J388" i="11"/>
  <c r="K388" i="11"/>
  <c r="A389" i="11"/>
  <c r="C389" i="11"/>
  <c r="D389" i="11"/>
  <c r="E389" i="11"/>
  <c r="F389" i="11"/>
  <c r="G389" i="11"/>
  <c r="I389" i="11"/>
  <c r="J389" i="11"/>
  <c r="K389" i="11"/>
  <c r="A390" i="11"/>
  <c r="C390" i="11"/>
  <c r="D390" i="11"/>
  <c r="E390" i="11"/>
  <c r="F390" i="11"/>
  <c r="G390" i="11"/>
  <c r="I390" i="11"/>
  <c r="J390" i="11"/>
  <c r="K390" i="11"/>
  <c r="A391" i="11"/>
  <c r="C391" i="11"/>
  <c r="D391" i="11"/>
  <c r="E391" i="11"/>
  <c r="F391" i="11"/>
  <c r="G391" i="11"/>
  <c r="I391" i="11"/>
  <c r="J391" i="11"/>
  <c r="K391" i="11"/>
  <c r="A392" i="11"/>
  <c r="C392" i="11"/>
  <c r="D392" i="11"/>
  <c r="E392" i="11"/>
  <c r="F392" i="11"/>
  <c r="G392" i="11"/>
  <c r="I392" i="11"/>
  <c r="J392" i="11"/>
  <c r="K392" i="11"/>
  <c r="A393" i="11"/>
  <c r="C393" i="11"/>
  <c r="D393" i="11"/>
  <c r="E393" i="11"/>
  <c r="F393" i="11"/>
  <c r="G393" i="11"/>
  <c r="I393" i="11"/>
  <c r="J393" i="11"/>
  <c r="K393" i="11"/>
  <c r="A394" i="11"/>
  <c r="C394" i="11"/>
  <c r="D394" i="11"/>
  <c r="E394" i="11"/>
  <c r="F394" i="11"/>
  <c r="G394" i="11"/>
  <c r="I394" i="11"/>
  <c r="J394" i="11"/>
  <c r="K394" i="11"/>
  <c r="A395" i="11"/>
  <c r="C395" i="11"/>
  <c r="D395" i="11"/>
  <c r="E395" i="11"/>
  <c r="F395" i="11"/>
  <c r="G395" i="11"/>
  <c r="I395" i="11"/>
  <c r="J395" i="11"/>
  <c r="K395" i="11"/>
  <c r="A396" i="11"/>
  <c r="C396" i="11"/>
  <c r="D396" i="11"/>
  <c r="E396" i="11"/>
  <c r="F396" i="11"/>
  <c r="G396" i="11"/>
  <c r="I396" i="11"/>
  <c r="J396" i="11"/>
  <c r="K396" i="11"/>
  <c r="A397" i="11"/>
  <c r="C397" i="11"/>
  <c r="D397" i="11"/>
  <c r="E397" i="11"/>
  <c r="F397" i="11"/>
  <c r="G397" i="11"/>
  <c r="I397" i="11"/>
  <c r="J397" i="11"/>
  <c r="K397" i="11"/>
  <c r="A398" i="11"/>
  <c r="C398" i="11"/>
  <c r="D398" i="11"/>
  <c r="E398" i="11"/>
  <c r="F398" i="11"/>
  <c r="G398" i="11"/>
  <c r="I398" i="11"/>
  <c r="J398" i="11"/>
  <c r="K398" i="11"/>
  <c r="A399" i="11"/>
  <c r="C399" i="11"/>
  <c r="D399" i="11"/>
  <c r="E399" i="11"/>
  <c r="F399" i="11"/>
  <c r="G399" i="11"/>
  <c r="I399" i="11"/>
  <c r="J399" i="11"/>
  <c r="K399" i="11"/>
  <c r="A400" i="11"/>
  <c r="C400" i="11"/>
  <c r="D400" i="11"/>
  <c r="E400" i="11"/>
  <c r="F400" i="11"/>
  <c r="G400" i="11"/>
  <c r="I400" i="11"/>
  <c r="J400" i="11"/>
  <c r="K400" i="11"/>
  <c r="A401" i="11"/>
  <c r="C401" i="11"/>
  <c r="D401" i="11"/>
  <c r="E401" i="11"/>
  <c r="F401" i="11"/>
  <c r="G401" i="11"/>
  <c r="I401" i="11"/>
  <c r="J401" i="11"/>
  <c r="K401" i="11"/>
  <c r="A402" i="11"/>
  <c r="C402" i="11"/>
  <c r="D402" i="11"/>
  <c r="E402" i="11"/>
  <c r="F402" i="11"/>
  <c r="G402" i="11"/>
  <c r="I402" i="11"/>
  <c r="J402" i="11"/>
  <c r="K402" i="11"/>
  <c r="A403" i="11"/>
  <c r="C403" i="11"/>
  <c r="D403" i="11"/>
  <c r="E403" i="11"/>
  <c r="F403" i="11"/>
  <c r="G403" i="11"/>
  <c r="I403" i="11"/>
  <c r="J403" i="11"/>
  <c r="K403" i="11"/>
  <c r="A404" i="11"/>
  <c r="C404" i="11"/>
  <c r="D404" i="11"/>
  <c r="E404" i="11"/>
  <c r="F404" i="11"/>
  <c r="G404" i="11"/>
  <c r="I404" i="11"/>
  <c r="J404" i="11"/>
  <c r="K404" i="11"/>
  <c r="A405" i="11"/>
  <c r="C405" i="11"/>
  <c r="D405" i="11"/>
  <c r="E405" i="11"/>
  <c r="F405" i="11"/>
  <c r="G405" i="11"/>
  <c r="I405" i="11"/>
  <c r="J405" i="11"/>
  <c r="K405" i="11"/>
  <c r="A406" i="11"/>
  <c r="C406" i="11"/>
  <c r="D406" i="11"/>
  <c r="E406" i="11"/>
  <c r="F406" i="11"/>
  <c r="G406" i="11"/>
  <c r="I406" i="11"/>
  <c r="J406" i="11"/>
  <c r="K406" i="11"/>
  <c r="A407" i="11"/>
  <c r="C407" i="11"/>
  <c r="D407" i="11"/>
  <c r="E407" i="11"/>
  <c r="F407" i="11"/>
  <c r="G407" i="11"/>
  <c r="I407" i="11"/>
  <c r="J407" i="11"/>
  <c r="K407" i="11"/>
  <c r="A408" i="11"/>
  <c r="C408" i="11"/>
  <c r="D408" i="11"/>
  <c r="E408" i="11"/>
  <c r="F408" i="11"/>
  <c r="G408" i="11"/>
  <c r="I408" i="11"/>
  <c r="J408" i="11"/>
  <c r="K408" i="11"/>
  <c r="A409" i="11"/>
  <c r="C409" i="11"/>
  <c r="D409" i="11"/>
  <c r="E409" i="11"/>
  <c r="F409" i="11"/>
  <c r="G409" i="11"/>
  <c r="I409" i="11"/>
  <c r="J409" i="11"/>
  <c r="K409" i="11"/>
  <c r="A410" i="11"/>
  <c r="C410" i="11"/>
  <c r="D410" i="11"/>
  <c r="E410" i="11"/>
  <c r="F410" i="11"/>
  <c r="G410" i="11"/>
  <c r="I410" i="11"/>
  <c r="J410" i="11"/>
  <c r="K410" i="11"/>
  <c r="A411" i="11"/>
  <c r="C411" i="11"/>
  <c r="D411" i="11"/>
  <c r="E411" i="11"/>
  <c r="F411" i="11"/>
  <c r="G411" i="11"/>
  <c r="I411" i="11"/>
  <c r="J411" i="11"/>
  <c r="K411" i="11"/>
  <c r="A412" i="11"/>
  <c r="C412" i="11"/>
  <c r="D412" i="11"/>
  <c r="E412" i="11"/>
  <c r="F412" i="11"/>
  <c r="G412" i="11"/>
  <c r="I412" i="11"/>
  <c r="J412" i="11"/>
  <c r="K412" i="11"/>
  <c r="A413" i="11"/>
  <c r="C413" i="11"/>
  <c r="D413" i="11"/>
  <c r="E413" i="11"/>
  <c r="F413" i="11"/>
  <c r="G413" i="11"/>
  <c r="I413" i="11"/>
  <c r="J413" i="11"/>
  <c r="K413" i="11"/>
  <c r="A414" i="11"/>
  <c r="C414" i="11"/>
  <c r="D414" i="11"/>
  <c r="E414" i="11"/>
  <c r="F414" i="11"/>
  <c r="G414" i="11"/>
  <c r="I414" i="11"/>
  <c r="J414" i="11"/>
  <c r="K414" i="11"/>
  <c r="A415" i="11"/>
  <c r="C415" i="11"/>
  <c r="D415" i="11"/>
  <c r="E415" i="11"/>
  <c r="F415" i="11"/>
  <c r="G415" i="11"/>
  <c r="I415" i="11"/>
  <c r="J415" i="11"/>
  <c r="K415" i="11"/>
  <c r="A416" i="11"/>
  <c r="C416" i="11"/>
  <c r="D416" i="11"/>
  <c r="E416" i="11"/>
  <c r="F416" i="11"/>
  <c r="G416" i="11"/>
  <c r="I416" i="11"/>
  <c r="J416" i="11"/>
  <c r="K416" i="11"/>
  <c r="A417" i="11"/>
  <c r="C417" i="11"/>
  <c r="D417" i="11"/>
  <c r="E417" i="11"/>
  <c r="F417" i="11"/>
  <c r="G417" i="11"/>
  <c r="I417" i="11"/>
  <c r="J417" i="11"/>
  <c r="K417" i="11"/>
  <c r="A418" i="11"/>
  <c r="C418" i="11"/>
  <c r="D418" i="11"/>
  <c r="E418" i="11"/>
  <c r="F418" i="11"/>
  <c r="G418" i="11"/>
  <c r="I418" i="11"/>
  <c r="J418" i="11"/>
  <c r="K418" i="11"/>
  <c r="A419" i="11"/>
  <c r="C419" i="11"/>
  <c r="D419" i="11"/>
  <c r="E419" i="11"/>
  <c r="F419" i="11"/>
  <c r="G419" i="11"/>
  <c r="I419" i="11"/>
  <c r="J419" i="11"/>
  <c r="K419" i="11"/>
  <c r="A420" i="11"/>
  <c r="C420" i="11"/>
  <c r="D420" i="11"/>
  <c r="E420" i="11"/>
  <c r="F420" i="11"/>
  <c r="G420" i="11"/>
  <c r="I420" i="11"/>
  <c r="J420" i="11"/>
  <c r="K420" i="11"/>
  <c r="A421" i="11"/>
  <c r="C421" i="11"/>
  <c r="D421" i="11"/>
  <c r="E421" i="11"/>
  <c r="F421" i="11"/>
  <c r="G421" i="11"/>
  <c r="I421" i="11"/>
  <c r="J421" i="11"/>
  <c r="K421" i="11"/>
  <c r="A422" i="11"/>
  <c r="C422" i="11"/>
  <c r="D422" i="11"/>
  <c r="E422" i="11"/>
  <c r="F422" i="11"/>
  <c r="G422" i="11"/>
  <c r="I422" i="11"/>
  <c r="J422" i="11"/>
  <c r="K422" i="11"/>
  <c r="A423" i="11"/>
  <c r="C423" i="11"/>
  <c r="D423" i="11"/>
  <c r="E423" i="11"/>
  <c r="F423" i="11"/>
  <c r="G423" i="11"/>
  <c r="I423" i="11"/>
  <c r="J423" i="11"/>
  <c r="K423" i="11"/>
  <c r="A424" i="11"/>
  <c r="C424" i="11"/>
  <c r="D424" i="11"/>
  <c r="E424" i="11"/>
  <c r="F424" i="11"/>
  <c r="G424" i="11"/>
  <c r="I424" i="11"/>
  <c r="J424" i="11"/>
  <c r="K424" i="11"/>
  <c r="A425" i="11"/>
  <c r="C425" i="11"/>
  <c r="D425" i="11"/>
  <c r="E425" i="11"/>
  <c r="F425" i="11"/>
  <c r="G425" i="11"/>
  <c r="I425" i="11"/>
  <c r="J425" i="11"/>
  <c r="K425" i="11"/>
  <c r="A426" i="11"/>
  <c r="C426" i="11"/>
  <c r="D426" i="11"/>
  <c r="E426" i="11"/>
  <c r="F426" i="11"/>
  <c r="G426" i="11"/>
  <c r="I426" i="11"/>
  <c r="J426" i="11"/>
  <c r="K426" i="11"/>
  <c r="A427" i="11"/>
  <c r="C427" i="11"/>
  <c r="D427" i="11"/>
  <c r="E427" i="11"/>
  <c r="F427" i="11"/>
  <c r="G427" i="11"/>
  <c r="I427" i="11"/>
  <c r="J427" i="11"/>
  <c r="K427" i="11"/>
  <c r="A428" i="11"/>
  <c r="C428" i="11"/>
  <c r="D428" i="11"/>
  <c r="E428" i="11"/>
  <c r="F428" i="11"/>
  <c r="G428" i="11"/>
  <c r="I428" i="11"/>
  <c r="J428" i="11"/>
  <c r="K428" i="11"/>
  <c r="A429" i="11"/>
  <c r="C429" i="11"/>
  <c r="D429" i="11"/>
  <c r="E429" i="11"/>
  <c r="F429" i="11"/>
  <c r="G429" i="11"/>
  <c r="I429" i="11"/>
  <c r="J429" i="11"/>
  <c r="K429" i="11"/>
  <c r="A430" i="11"/>
  <c r="C430" i="11"/>
  <c r="D430" i="11"/>
  <c r="E430" i="11"/>
  <c r="F430" i="11"/>
  <c r="G430" i="11"/>
  <c r="I430" i="11"/>
  <c r="J430" i="11"/>
  <c r="K430" i="11"/>
  <c r="A431" i="11"/>
  <c r="C431" i="11"/>
  <c r="D431" i="11"/>
  <c r="E431" i="11"/>
  <c r="F431" i="11"/>
  <c r="G431" i="11"/>
  <c r="I431" i="11"/>
  <c r="J431" i="11"/>
  <c r="K431" i="11"/>
  <c r="A432" i="11"/>
  <c r="C432" i="11"/>
  <c r="D432" i="11"/>
  <c r="E432" i="11"/>
  <c r="F432" i="11"/>
  <c r="G432" i="11"/>
  <c r="I432" i="11"/>
  <c r="J432" i="11"/>
  <c r="K432" i="11"/>
  <c r="A433" i="11"/>
  <c r="C433" i="11"/>
  <c r="D433" i="11"/>
  <c r="E433" i="11"/>
  <c r="F433" i="11"/>
  <c r="G433" i="11"/>
  <c r="I433" i="11"/>
  <c r="J433" i="11"/>
  <c r="K433" i="11"/>
  <c r="A434" i="11"/>
  <c r="C434" i="11"/>
  <c r="D434" i="11"/>
  <c r="E434" i="11"/>
  <c r="F434" i="11"/>
  <c r="G434" i="11"/>
  <c r="I434" i="11"/>
  <c r="J434" i="11"/>
  <c r="K434" i="11"/>
  <c r="A435" i="11"/>
  <c r="C435" i="11"/>
  <c r="D435" i="11"/>
  <c r="E435" i="11"/>
  <c r="F435" i="11"/>
  <c r="G435" i="11"/>
  <c r="I435" i="11"/>
  <c r="J435" i="11"/>
  <c r="K435" i="11"/>
  <c r="A436" i="11"/>
  <c r="C436" i="11"/>
  <c r="D436" i="11"/>
  <c r="E436" i="11"/>
  <c r="F436" i="11"/>
  <c r="G436" i="11"/>
  <c r="I436" i="11"/>
  <c r="J436" i="11"/>
  <c r="K436" i="11"/>
  <c r="A437" i="11"/>
  <c r="C437" i="11"/>
  <c r="D437" i="11"/>
  <c r="E437" i="11"/>
  <c r="F437" i="11"/>
  <c r="G437" i="11"/>
  <c r="I437" i="11"/>
  <c r="J437" i="11"/>
  <c r="K437" i="11"/>
  <c r="A438" i="11"/>
  <c r="C438" i="11"/>
  <c r="D438" i="11"/>
  <c r="E438" i="11"/>
  <c r="F438" i="11"/>
  <c r="G438" i="11"/>
  <c r="I438" i="11"/>
  <c r="J438" i="11"/>
  <c r="K438" i="11"/>
  <c r="A439" i="11"/>
  <c r="C439" i="11"/>
  <c r="D439" i="11"/>
  <c r="E439" i="11"/>
  <c r="F439" i="11"/>
  <c r="G439" i="11"/>
  <c r="I439" i="11"/>
  <c r="J439" i="11"/>
  <c r="K439" i="11"/>
  <c r="A440" i="11"/>
  <c r="C440" i="11"/>
  <c r="D440" i="11"/>
  <c r="E440" i="11"/>
  <c r="F440" i="11"/>
  <c r="G440" i="11"/>
  <c r="I440" i="11"/>
  <c r="J440" i="11"/>
  <c r="K440" i="11"/>
  <c r="A441" i="11"/>
  <c r="C441" i="11"/>
  <c r="D441" i="11"/>
  <c r="E441" i="11"/>
  <c r="F441" i="11"/>
  <c r="G441" i="11"/>
  <c r="I441" i="11"/>
  <c r="J441" i="11"/>
  <c r="K441" i="11"/>
  <c r="A442" i="11"/>
  <c r="C442" i="11"/>
  <c r="D442" i="11"/>
  <c r="E442" i="11"/>
  <c r="F442" i="11"/>
  <c r="G442" i="11"/>
  <c r="I442" i="11"/>
  <c r="J442" i="11"/>
  <c r="K442" i="11"/>
  <c r="A443" i="11"/>
  <c r="C443" i="11"/>
  <c r="D443" i="11"/>
  <c r="E443" i="11"/>
  <c r="F443" i="11"/>
  <c r="G443" i="11"/>
  <c r="I443" i="11"/>
  <c r="J443" i="11"/>
  <c r="K443" i="11"/>
  <c r="A444" i="11"/>
  <c r="C444" i="11"/>
  <c r="D444" i="11"/>
  <c r="E444" i="11"/>
  <c r="F444" i="11"/>
  <c r="G444" i="11"/>
  <c r="I444" i="11"/>
  <c r="J444" i="11"/>
  <c r="K444" i="11"/>
  <c r="A445" i="11"/>
  <c r="C445" i="11"/>
  <c r="D445" i="11"/>
  <c r="E445" i="11"/>
  <c r="F445" i="11"/>
  <c r="G445" i="11"/>
  <c r="I445" i="11"/>
  <c r="J445" i="11"/>
  <c r="K445" i="11"/>
  <c r="A446" i="11"/>
  <c r="C446" i="11"/>
  <c r="D446" i="11"/>
  <c r="E446" i="11"/>
  <c r="F446" i="11"/>
  <c r="G446" i="11"/>
  <c r="I446" i="11"/>
  <c r="J446" i="11"/>
  <c r="K446" i="11"/>
  <c r="A447" i="11"/>
  <c r="C447" i="11"/>
  <c r="D447" i="11"/>
  <c r="E447" i="11"/>
  <c r="F447" i="11"/>
  <c r="G447" i="11"/>
  <c r="I447" i="11"/>
  <c r="J447" i="11"/>
  <c r="K447" i="11"/>
  <c r="A448" i="11"/>
  <c r="C448" i="11"/>
  <c r="D448" i="11"/>
  <c r="E448" i="11"/>
  <c r="F448" i="11"/>
  <c r="G448" i="11"/>
  <c r="I448" i="11"/>
  <c r="J448" i="11"/>
  <c r="K448" i="11"/>
  <c r="A449" i="11"/>
  <c r="C449" i="11"/>
  <c r="D449" i="11"/>
  <c r="E449" i="11"/>
  <c r="F449" i="11"/>
  <c r="G449" i="11"/>
  <c r="I449" i="11"/>
  <c r="J449" i="11"/>
  <c r="K449" i="11"/>
  <c r="A450" i="11"/>
  <c r="C450" i="11"/>
  <c r="D450" i="11"/>
  <c r="E450" i="11"/>
  <c r="F450" i="11"/>
  <c r="G450" i="11"/>
  <c r="I450" i="11"/>
  <c r="J450" i="11"/>
  <c r="K450" i="11"/>
  <c r="A451" i="11"/>
  <c r="C451" i="11"/>
  <c r="D451" i="11"/>
  <c r="E451" i="11"/>
  <c r="F451" i="11"/>
  <c r="G451" i="11"/>
  <c r="I451" i="11"/>
  <c r="J451" i="11"/>
  <c r="K451" i="11"/>
  <c r="A452" i="11"/>
  <c r="C452" i="11"/>
  <c r="D452" i="11"/>
  <c r="E452" i="11"/>
  <c r="F452" i="11"/>
  <c r="G452" i="11"/>
  <c r="I452" i="11"/>
  <c r="J452" i="11"/>
  <c r="K452" i="11"/>
  <c r="A453" i="11"/>
  <c r="C453" i="11"/>
  <c r="D453" i="11"/>
  <c r="E453" i="11"/>
  <c r="F453" i="11"/>
  <c r="G453" i="11"/>
  <c r="I453" i="11"/>
  <c r="J453" i="11"/>
  <c r="K453" i="11"/>
  <c r="A454" i="11"/>
  <c r="C454" i="11"/>
  <c r="D454" i="11"/>
  <c r="E454" i="11"/>
  <c r="F454" i="11"/>
  <c r="G454" i="11"/>
  <c r="I454" i="11"/>
  <c r="J454" i="11"/>
  <c r="K454" i="11"/>
  <c r="A455" i="11"/>
  <c r="C455" i="11"/>
  <c r="D455" i="11"/>
  <c r="E455" i="11"/>
  <c r="F455" i="11"/>
  <c r="G455" i="11"/>
  <c r="I455" i="11"/>
  <c r="J455" i="11"/>
  <c r="K455" i="11"/>
  <c r="A456" i="11"/>
  <c r="C456" i="11"/>
  <c r="D456" i="11"/>
  <c r="E456" i="11"/>
  <c r="F456" i="11"/>
  <c r="G456" i="11"/>
  <c r="I456" i="11"/>
  <c r="J456" i="11"/>
  <c r="K456" i="11"/>
  <c r="A457" i="11"/>
  <c r="C457" i="11"/>
  <c r="D457" i="11"/>
  <c r="E457" i="11"/>
  <c r="F457" i="11"/>
  <c r="G457" i="11"/>
  <c r="I457" i="11"/>
  <c r="J457" i="11"/>
  <c r="K457" i="11"/>
  <c r="A458" i="11"/>
  <c r="C458" i="11"/>
  <c r="D458" i="11"/>
  <c r="E458" i="11"/>
  <c r="F458" i="11"/>
  <c r="G458" i="11"/>
  <c r="I458" i="11"/>
  <c r="J458" i="11"/>
  <c r="K458" i="11"/>
  <c r="A459" i="11"/>
  <c r="C459" i="11"/>
  <c r="D459" i="11"/>
  <c r="E459" i="11"/>
  <c r="F459" i="11"/>
  <c r="G459" i="11"/>
  <c r="I459" i="11"/>
  <c r="J459" i="11"/>
  <c r="K459" i="11"/>
  <c r="A460" i="11"/>
  <c r="C460" i="11"/>
  <c r="D460" i="11"/>
  <c r="E460" i="11"/>
  <c r="F460" i="11"/>
  <c r="G460" i="11"/>
  <c r="I460" i="11"/>
  <c r="J460" i="11"/>
  <c r="K460" i="11"/>
  <c r="A461" i="11"/>
  <c r="C461" i="11"/>
  <c r="D461" i="11"/>
  <c r="E461" i="11"/>
  <c r="F461" i="11"/>
  <c r="G461" i="11"/>
  <c r="I461" i="11"/>
  <c r="J461" i="11"/>
  <c r="K461" i="11"/>
  <c r="A462" i="11"/>
  <c r="C462" i="11"/>
  <c r="D462" i="11"/>
  <c r="E462" i="11"/>
  <c r="F462" i="11"/>
  <c r="G462" i="11"/>
  <c r="I462" i="11"/>
  <c r="J462" i="11"/>
  <c r="K462" i="11"/>
  <c r="A463" i="11"/>
  <c r="C463" i="11"/>
  <c r="D463" i="11"/>
  <c r="E463" i="11"/>
  <c r="F463" i="11"/>
  <c r="G463" i="11"/>
  <c r="I463" i="11"/>
  <c r="J463" i="11"/>
  <c r="K463" i="11"/>
  <c r="A464" i="11"/>
  <c r="C464" i="11"/>
  <c r="D464" i="11"/>
  <c r="E464" i="11"/>
  <c r="F464" i="11"/>
  <c r="G464" i="11"/>
  <c r="I464" i="11"/>
  <c r="J464" i="11"/>
  <c r="K464" i="11"/>
  <c r="A465" i="11"/>
  <c r="C465" i="11"/>
  <c r="D465" i="11"/>
  <c r="E465" i="11"/>
  <c r="F465" i="11"/>
  <c r="G465" i="11"/>
  <c r="I465" i="11"/>
  <c r="J465" i="11"/>
  <c r="K465" i="11"/>
  <c r="A466" i="11"/>
  <c r="C466" i="11"/>
  <c r="D466" i="11"/>
  <c r="E466" i="11"/>
  <c r="F466" i="11"/>
  <c r="G466" i="11"/>
  <c r="I466" i="11"/>
  <c r="J466" i="11"/>
  <c r="K466" i="11"/>
  <c r="A467" i="11"/>
  <c r="C467" i="11"/>
  <c r="D467" i="11"/>
  <c r="E467" i="11"/>
  <c r="F467" i="11"/>
  <c r="G467" i="11"/>
  <c r="I467" i="11"/>
  <c r="J467" i="11"/>
  <c r="K467" i="11"/>
  <c r="A468" i="11"/>
  <c r="C468" i="11"/>
  <c r="D468" i="11"/>
  <c r="E468" i="11"/>
  <c r="F468" i="11"/>
  <c r="G468" i="11"/>
  <c r="I468" i="11"/>
  <c r="J468" i="11"/>
  <c r="K468" i="11"/>
  <c r="A469" i="11"/>
  <c r="C469" i="11"/>
  <c r="D469" i="11"/>
  <c r="E469" i="11"/>
  <c r="F469" i="11"/>
  <c r="G469" i="11"/>
  <c r="I469" i="11"/>
  <c r="J469" i="11"/>
  <c r="K469" i="11"/>
  <c r="A470" i="11"/>
  <c r="C470" i="11"/>
  <c r="D470" i="11"/>
  <c r="E470" i="11"/>
  <c r="F470" i="11"/>
  <c r="G470" i="11"/>
  <c r="I470" i="11"/>
  <c r="J470" i="11"/>
  <c r="K470" i="11"/>
  <c r="A471" i="11"/>
  <c r="C471" i="11"/>
  <c r="D471" i="11"/>
  <c r="E471" i="11"/>
  <c r="F471" i="11"/>
  <c r="G471" i="11"/>
  <c r="I471" i="11"/>
  <c r="J471" i="11"/>
  <c r="K471" i="11"/>
  <c r="A472" i="11"/>
  <c r="C472" i="11"/>
  <c r="D472" i="11"/>
  <c r="E472" i="11"/>
  <c r="F472" i="11"/>
  <c r="G472" i="11"/>
  <c r="I472" i="11"/>
  <c r="J472" i="11"/>
  <c r="K472" i="11"/>
  <c r="A473" i="11"/>
  <c r="C473" i="11"/>
  <c r="D473" i="11"/>
  <c r="E473" i="11"/>
  <c r="F473" i="11"/>
  <c r="G473" i="11"/>
  <c r="I473" i="11"/>
  <c r="J473" i="11"/>
  <c r="K473" i="11"/>
  <c r="A474" i="11"/>
  <c r="C474" i="11"/>
  <c r="D474" i="11"/>
  <c r="E474" i="11"/>
  <c r="F474" i="11"/>
  <c r="G474" i="11"/>
  <c r="I474" i="11"/>
  <c r="J474" i="11"/>
  <c r="K474" i="11"/>
  <c r="A475" i="11"/>
  <c r="C475" i="11"/>
  <c r="D475" i="11"/>
  <c r="E475" i="11"/>
  <c r="F475" i="11"/>
  <c r="G475" i="11"/>
  <c r="I475" i="11"/>
  <c r="J475" i="11"/>
  <c r="K475" i="11"/>
  <c r="A476" i="11"/>
  <c r="C476" i="11"/>
  <c r="D476" i="11"/>
  <c r="E476" i="11"/>
  <c r="F476" i="11"/>
  <c r="G476" i="11"/>
  <c r="I476" i="11"/>
  <c r="J476" i="11"/>
  <c r="K476" i="11"/>
  <c r="A477" i="11"/>
  <c r="C477" i="11"/>
  <c r="D477" i="11"/>
  <c r="E477" i="11"/>
  <c r="F477" i="11"/>
  <c r="G477" i="11"/>
  <c r="I477" i="11"/>
  <c r="J477" i="11"/>
  <c r="K477" i="11"/>
  <c r="A478" i="11"/>
  <c r="C478" i="11"/>
  <c r="D478" i="11"/>
  <c r="E478" i="11"/>
  <c r="F478" i="11"/>
  <c r="G478" i="11"/>
  <c r="I478" i="11"/>
  <c r="J478" i="11"/>
  <c r="K478" i="11"/>
  <c r="A479" i="11"/>
  <c r="C479" i="11"/>
  <c r="D479" i="11"/>
  <c r="E479" i="11"/>
  <c r="F479" i="11"/>
  <c r="G479" i="11"/>
  <c r="I479" i="11"/>
  <c r="J479" i="11"/>
  <c r="K479" i="11"/>
  <c r="A480" i="11"/>
  <c r="C480" i="11"/>
  <c r="D480" i="11"/>
  <c r="E480" i="11"/>
  <c r="F480" i="11"/>
  <c r="G480" i="11"/>
  <c r="I480" i="11"/>
  <c r="J480" i="11"/>
  <c r="K480" i="11"/>
  <c r="A481" i="11"/>
  <c r="C481" i="11"/>
  <c r="D481" i="11"/>
  <c r="E481" i="11"/>
  <c r="F481" i="11"/>
  <c r="G481" i="11"/>
  <c r="I481" i="11"/>
  <c r="J481" i="11"/>
  <c r="K481" i="11"/>
  <c r="A482" i="11"/>
  <c r="C482" i="11"/>
  <c r="D482" i="11"/>
  <c r="E482" i="11"/>
  <c r="F482" i="11"/>
  <c r="G482" i="11"/>
  <c r="I482" i="11"/>
  <c r="J482" i="11"/>
  <c r="K482" i="11"/>
  <c r="A483" i="11"/>
  <c r="C483" i="11"/>
  <c r="D483" i="11"/>
  <c r="E483" i="11"/>
  <c r="F483" i="11"/>
  <c r="G483" i="11"/>
  <c r="I483" i="11"/>
  <c r="J483" i="11"/>
  <c r="K483" i="11"/>
  <c r="A484" i="11"/>
  <c r="C484" i="11"/>
  <c r="D484" i="11"/>
  <c r="E484" i="11"/>
  <c r="F484" i="11"/>
  <c r="G484" i="11"/>
  <c r="I484" i="11"/>
  <c r="J484" i="11"/>
  <c r="K484" i="11"/>
  <c r="A485" i="11"/>
  <c r="C485" i="11"/>
  <c r="D485" i="11"/>
  <c r="E485" i="11"/>
  <c r="F485" i="11"/>
  <c r="G485" i="11"/>
  <c r="I485" i="11"/>
  <c r="J485" i="11"/>
  <c r="K485" i="11"/>
  <c r="A486" i="11"/>
  <c r="C486" i="11"/>
  <c r="D486" i="11"/>
  <c r="E486" i="11"/>
  <c r="F486" i="11"/>
  <c r="G486" i="11"/>
  <c r="I486" i="11"/>
  <c r="J486" i="11"/>
  <c r="K486" i="11"/>
  <c r="A487" i="11"/>
  <c r="C487" i="11"/>
  <c r="D487" i="11"/>
  <c r="E487" i="11"/>
  <c r="F487" i="11"/>
  <c r="G487" i="11"/>
  <c r="I487" i="11"/>
  <c r="J487" i="11"/>
  <c r="K487" i="11"/>
  <c r="A488" i="11"/>
  <c r="C488" i="11"/>
  <c r="D488" i="11"/>
  <c r="E488" i="11"/>
  <c r="F488" i="11"/>
  <c r="G488" i="11"/>
  <c r="I488" i="11"/>
  <c r="J488" i="11"/>
  <c r="K488" i="11"/>
  <c r="A489" i="11"/>
  <c r="C489" i="11"/>
  <c r="D489" i="11"/>
  <c r="E489" i="11"/>
  <c r="F489" i="11"/>
  <c r="G489" i="11"/>
  <c r="I489" i="11"/>
  <c r="J489" i="11"/>
  <c r="K489" i="11"/>
  <c r="A490" i="11"/>
  <c r="C490" i="11"/>
  <c r="D490" i="11"/>
  <c r="E490" i="11"/>
  <c r="F490" i="11"/>
  <c r="G490" i="11"/>
  <c r="I490" i="11"/>
  <c r="J490" i="11"/>
  <c r="K490" i="11"/>
  <c r="A491" i="11"/>
  <c r="C491" i="11"/>
  <c r="D491" i="11"/>
  <c r="E491" i="11"/>
  <c r="F491" i="11"/>
  <c r="G491" i="11"/>
  <c r="I491" i="11"/>
  <c r="J491" i="11"/>
  <c r="K491" i="11"/>
  <c r="A492" i="11"/>
  <c r="C492" i="11"/>
  <c r="D492" i="11"/>
  <c r="E492" i="11"/>
  <c r="F492" i="11"/>
  <c r="G492" i="11"/>
  <c r="I492" i="11"/>
  <c r="J492" i="11"/>
  <c r="K492" i="11"/>
  <c r="A493" i="11"/>
  <c r="C493" i="11"/>
  <c r="D493" i="11"/>
  <c r="E493" i="11"/>
  <c r="F493" i="11"/>
  <c r="G493" i="11"/>
  <c r="I493" i="11"/>
  <c r="J493" i="11"/>
  <c r="K493" i="11"/>
  <c r="A494" i="11"/>
  <c r="C494" i="11"/>
  <c r="D494" i="11"/>
  <c r="E494" i="11"/>
  <c r="F494" i="11"/>
  <c r="G494" i="11"/>
  <c r="I494" i="11"/>
  <c r="J494" i="11"/>
  <c r="K494" i="11"/>
  <c r="A495" i="11"/>
  <c r="C495" i="11"/>
  <c r="D495" i="11"/>
  <c r="E495" i="11"/>
  <c r="F495" i="11"/>
  <c r="G495" i="11"/>
  <c r="I495" i="11"/>
  <c r="J495" i="11"/>
  <c r="K495" i="11"/>
  <c r="A496" i="11"/>
  <c r="C496" i="11"/>
  <c r="D496" i="11"/>
  <c r="E496" i="11"/>
  <c r="F496" i="11"/>
  <c r="G496" i="11"/>
  <c r="I496" i="11"/>
  <c r="J496" i="11"/>
  <c r="K496" i="11"/>
  <c r="A497" i="11"/>
  <c r="C497" i="11"/>
  <c r="D497" i="11"/>
  <c r="E497" i="11"/>
  <c r="F497" i="11"/>
  <c r="G497" i="11"/>
  <c r="I497" i="11"/>
  <c r="J497" i="11"/>
  <c r="K497" i="11"/>
  <c r="A498" i="11"/>
  <c r="C498" i="11"/>
  <c r="D498" i="11"/>
  <c r="E498" i="11"/>
  <c r="F498" i="11"/>
  <c r="G498" i="11"/>
  <c r="I498" i="11"/>
  <c r="J498" i="11"/>
  <c r="K498" i="11"/>
  <c r="A499" i="11"/>
  <c r="C499" i="11"/>
  <c r="D499" i="11"/>
  <c r="E499" i="11"/>
  <c r="F499" i="11"/>
  <c r="G499" i="11"/>
  <c r="I499" i="11"/>
  <c r="J499" i="11"/>
  <c r="K499" i="11"/>
  <c r="A500" i="11"/>
  <c r="C500" i="11"/>
  <c r="D500" i="11"/>
  <c r="E500" i="11"/>
  <c r="F500" i="11"/>
  <c r="G500" i="11"/>
  <c r="I500" i="11"/>
  <c r="J500" i="11"/>
  <c r="K500" i="11"/>
  <c r="A501" i="11"/>
  <c r="C501" i="11"/>
  <c r="D501" i="11"/>
  <c r="E501" i="11"/>
  <c r="F501" i="11"/>
  <c r="G501" i="11"/>
  <c r="I501" i="11"/>
  <c r="J501" i="11"/>
  <c r="K501" i="11"/>
  <c r="A502" i="11"/>
  <c r="C502" i="11"/>
  <c r="D502" i="11"/>
  <c r="E502" i="11"/>
  <c r="F502" i="11"/>
  <c r="G502" i="11"/>
  <c r="I502" i="11"/>
  <c r="J502" i="11"/>
  <c r="K502" i="11"/>
  <c r="A503" i="11"/>
  <c r="C503" i="11"/>
  <c r="D503" i="11"/>
  <c r="E503" i="11"/>
  <c r="F503" i="11"/>
  <c r="G503" i="11"/>
  <c r="I503" i="11"/>
  <c r="J503" i="11"/>
  <c r="K503" i="11"/>
  <c r="A504" i="11"/>
  <c r="C504" i="11"/>
  <c r="D504" i="11"/>
  <c r="E504" i="11"/>
  <c r="F504" i="11"/>
  <c r="G504" i="11"/>
  <c r="I504" i="11"/>
  <c r="J504" i="11"/>
  <c r="K504" i="11"/>
  <c r="A505" i="11"/>
  <c r="C505" i="11"/>
  <c r="D505" i="11"/>
  <c r="E505" i="11"/>
  <c r="F505" i="11"/>
  <c r="G505" i="11"/>
  <c r="I505" i="11"/>
  <c r="J505" i="11"/>
  <c r="K505" i="11"/>
  <c r="A506" i="11"/>
  <c r="C506" i="11"/>
  <c r="D506" i="11"/>
  <c r="E506" i="11"/>
  <c r="F506" i="11"/>
  <c r="G506" i="11"/>
  <c r="I506" i="11"/>
  <c r="J506" i="11"/>
  <c r="K506" i="11"/>
  <c r="A507" i="11"/>
  <c r="C507" i="11"/>
  <c r="D507" i="11"/>
  <c r="E507" i="11"/>
  <c r="F507" i="11"/>
  <c r="G507" i="11"/>
  <c r="I507" i="11"/>
  <c r="J507" i="11"/>
  <c r="K507" i="11"/>
  <c r="A508" i="11"/>
  <c r="C508" i="11"/>
  <c r="D508" i="11"/>
  <c r="E508" i="11"/>
  <c r="F508" i="11"/>
  <c r="G508" i="11"/>
  <c r="I508" i="11"/>
  <c r="J508" i="11"/>
  <c r="K508" i="11"/>
  <c r="A509" i="11"/>
  <c r="C509" i="11"/>
  <c r="D509" i="11"/>
  <c r="E509" i="11"/>
  <c r="F509" i="11"/>
  <c r="G509" i="11"/>
  <c r="I509" i="11"/>
  <c r="J509" i="11"/>
  <c r="K509" i="11"/>
  <c r="A510" i="11"/>
  <c r="C510" i="11"/>
  <c r="D510" i="11"/>
  <c r="E510" i="11"/>
  <c r="F510" i="11"/>
  <c r="G510" i="11"/>
  <c r="I510" i="11"/>
  <c r="J510" i="11"/>
  <c r="K510" i="11"/>
  <c r="A511" i="11"/>
  <c r="C511" i="11"/>
  <c r="D511" i="11"/>
  <c r="E511" i="11"/>
  <c r="F511" i="11"/>
  <c r="G511" i="11"/>
  <c r="I511" i="11"/>
  <c r="J511" i="11"/>
  <c r="K511" i="11"/>
  <c r="A512" i="11"/>
  <c r="C512" i="11"/>
  <c r="D512" i="11"/>
  <c r="E512" i="11"/>
  <c r="F512" i="11"/>
  <c r="G512" i="11"/>
  <c r="I512" i="11"/>
  <c r="J512" i="11"/>
  <c r="K512" i="11"/>
  <c r="A513" i="11"/>
  <c r="C513" i="11"/>
  <c r="D513" i="11"/>
  <c r="E513" i="11"/>
  <c r="F513" i="11"/>
  <c r="G513" i="11"/>
  <c r="I513" i="11"/>
  <c r="J513" i="11"/>
  <c r="K513" i="11"/>
  <c r="A514" i="11"/>
  <c r="C514" i="11"/>
  <c r="D514" i="11"/>
  <c r="E514" i="11"/>
  <c r="F514" i="11"/>
  <c r="G514" i="11"/>
  <c r="I514" i="11"/>
  <c r="J514" i="11"/>
  <c r="K514" i="11"/>
  <c r="A515" i="11"/>
  <c r="C515" i="11"/>
  <c r="D515" i="11"/>
  <c r="E515" i="11"/>
  <c r="F515" i="11"/>
  <c r="G515" i="11"/>
  <c r="I515" i="11"/>
  <c r="J515" i="11"/>
  <c r="K515" i="11"/>
  <c r="A516" i="11"/>
  <c r="C516" i="11"/>
  <c r="D516" i="11"/>
  <c r="E516" i="11"/>
  <c r="F516" i="11"/>
  <c r="G516" i="11"/>
  <c r="I516" i="11"/>
  <c r="J516" i="11"/>
  <c r="K516" i="11"/>
  <c r="A517" i="11"/>
  <c r="C517" i="11"/>
  <c r="D517" i="11"/>
  <c r="E517" i="11"/>
  <c r="F517" i="11"/>
  <c r="G517" i="11"/>
  <c r="I517" i="11"/>
  <c r="J517" i="11"/>
  <c r="K517" i="11"/>
  <c r="A518" i="11"/>
  <c r="C518" i="11"/>
  <c r="D518" i="11"/>
  <c r="E518" i="11"/>
  <c r="F518" i="11"/>
  <c r="G518" i="11"/>
  <c r="I518" i="11"/>
  <c r="J518" i="11"/>
  <c r="K518" i="11"/>
  <c r="A519" i="11"/>
  <c r="C519" i="11"/>
  <c r="D519" i="11"/>
  <c r="E519" i="11"/>
  <c r="F519" i="11"/>
  <c r="G519" i="11"/>
  <c r="I519" i="11"/>
  <c r="J519" i="11"/>
  <c r="K519" i="11"/>
  <c r="A520" i="11"/>
  <c r="C520" i="11"/>
  <c r="D520" i="11"/>
  <c r="E520" i="11"/>
  <c r="F520" i="11"/>
  <c r="G520" i="11"/>
  <c r="I520" i="11"/>
  <c r="J520" i="11"/>
  <c r="K520" i="11"/>
  <c r="A521" i="11"/>
  <c r="C521" i="11"/>
  <c r="D521" i="11"/>
  <c r="E521" i="11"/>
  <c r="F521" i="11"/>
  <c r="G521" i="11"/>
  <c r="I521" i="11"/>
  <c r="J521" i="11"/>
  <c r="K521" i="11"/>
  <c r="A522" i="11"/>
  <c r="C522" i="11"/>
  <c r="D522" i="11"/>
  <c r="E522" i="11"/>
  <c r="F522" i="11"/>
  <c r="G522" i="11"/>
  <c r="I522" i="11"/>
  <c r="J522" i="11"/>
  <c r="K522" i="11"/>
  <c r="A523" i="11"/>
  <c r="C523" i="11"/>
  <c r="D523" i="11"/>
  <c r="E523" i="11"/>
  <c r="F523" i="11"/>
  <c r="G523" i="11"/>
  <c r="I523" i="11"/>
  <c r="J523" i="11"/>
  <c r="K523" i="11"/>
  <c r="A524" i="11"/>
  <c r="C524" i="11"/>
  <c r="D524" i="11"/>
  <c r="E524" i="11"/>
  <c r="F524" i="11"/>
  <c r="G524" i="11"/>
  <c r="I524" i="11"/>
  <c r="J524" i="11"/>
  <c r="K524" i="11"/>
  <c r="A525" i="11"/>
  <c r="C525" i="11"/>
  <c r="D525" i="11"/>
  <c r="E525" i="11"/>
  <c r="F525" i="11"/>
  <c r="G525" i="11"/>
  <c r="I525" i="11"/>
  <c r="J525" i="11"/>
  <c r="K525" i="11"/>
  <c r="A526" i="11"/>
  <c r="C526" i="11"/>
  <c r="D526" i="11"/>
  <c r="E526" i="11"/>
  <c r="F526" i="11"/>
  <c r="G526" i="11"/>
  <c r="I526" i="11"/>
  <c r="J526" i="11"/>
  <c r="K526" i="11"/>
  <c r="A527" i="11"/>
  <c r="C527" i="11"/>
  <c r="D527" i="11"/>
  <c r="E527" i="11"/>
  <c r="F527" i="11"/>
  <c r="G527" i="11"/>
  <c r="I527" i="11"/>
  <c r="J527" i="11"/>
  <c r="K527" i="11"/>
  <c r="A528" i="11"/>
  <c r="C528" i="11"/>
  <c r="D528" i="11"/>
  <c r="E528" i="11"/>
  <c r="F528" i="11"/>
  <c r="G528" i="11"/>
  <c r="I528" i="11"/>
  <c r="J528" i="11"/>
  <c r="K528" i="11"/>
  <c r="A529" i="11"/>
  <c r="C529" i="11"/>
  <c r="D529" i="11"/>
  <c r="E529" i="11"/>
  <c r="F529" i="11"/>
  <c r="G529" i="11"/>
  <c r="I529" i="11"/>
  <c r="J529" i="11"/>
  <c r="K529" i="11"/>
  <c r="A530" i="11"/>
  <c r="C530" i="11"/>
  <c r="D530" i="11"/>
  <c r="E530" i="11"/>
  <c r="F530" i="11"/>
  <c r="G530" i="11"/>
  <c r="I530" i="11"/>
  <c r="J530" i="11"/>
  <c r="K530" i="11"/>
  <c r="A531" i="11"/>
  <c r="C531" i="11"/>
  <c r="D531" i="11"/>
  <c r="E531" i="11"/>
  <c r="F531" i="11"/>
  <c r="G531" i="11"/>
  <c r="I531" i="11"/>
  <c r="J531" i="11"/>
  <c r="K531" i="11"/>
  <c r="A532" i="11"/>
  <c r="C532" i="11"/>
  <c r="D532" i="11"/>
  <c r="E532" i="11"/>
  <c r="F532" i="11"/>
  <c r="G532" i="11"/>
  <c r="I532" i="11"/>
  <c r="J532" i="11"/>
  <c r="K532" i="11"/>
  <c r="A533" i="11"/>
  <c r="C533" i="11"/>
  <c r="D533" i="11"/>
  <c r="E533" i="11"/>
  <c r="F533" i="11"/>
  <c r="G533" i="11"/>
  <c r="I533" i="11"/>
  <c r="J533" i="11"/>
  <c r="K533" i="11"/>
  <c r="A534" i="11"/>
  <c r="C534" i="11"/>
  <c r="D534" i="11"/>
  <c r="E534" i="11"/>
  <c r="F534" i="11"/>
  <c r="G534" i="11"/>
  <c r="I534" i="11"/>
  <c r="J534" i="11"/>
  <c r="K534" i="11"/>
  <c r="A535" i="11"/>
  <c r="C535" i="11"/>
  <c r="D535" i="11"/>
  <c r="E535" i="11"/>
  <c r="F535" i="11"/>
  <c r="G535" i="11"/>
  <c r="I535" i="11"/>
  <c r="J535" i="11"/>
  <c r="K535" i="11"/>
  <c r="A536" i="11"/>
  <c r="C536" i="11"/>
  <c r="D536" i="11"/>
  <c r="E536" i="11"/>
  <c r="F536" i="11"/>
  <c r="G536" i="11"/>
  <c r="I536" i="11"/>
  <c r="J536" i="11"/>
  <c r="K536" i="11"/>
  <c r="A537" i="11"/>
  <c r="C537" i="11"/>
  <c r="D537" i="11"/>
  <c r="E537" i="11"/>
  <c r="F537" i="11"/>
  <c r="G537" i="11"/>
  <c r="I537" i="11"/>
  <c r="J537" i="11"/>
  <c r="K537" i="11"/>
  <c r="A538" i="11"/>
  <c r="C538" i="11"/>
  <c r="D538" i="11"/>
  <c r="E538" i="11"/>
  <c r="F538" i="11"/>
  <c r="G538" i="11"/>
  <c r="I538" i="11"/>
  <c r="J538" i="11"/>
  <c r="K538" i="11"/>
  <c r="A539" i="11"/>
  <c r="C539" i="11"/>
  <c r="D539" i="11"/>
  <c r="E539" i="11"/>
  <c r="F539" i="11"/>
  <c r="G539" i="11"/>
  <c r="I539" i="11"/>
  <c r="J539" i="11"/>
  <c r="K539" i="11"/>
  <c r="A540" i="11"/>
  <c r="C540" i="11"/>
  <c r="D540" i="11"/>
  <c r="E540" i="11"/>
  <c r="F540" i="11"/>
  <c r="G540" i="11"/>
  <c r="I540" i="11"/>
  <c r="J540" i="11"/>
  <c r="K540" i="11"/>
  <c r="A541" i="11"/>
  <c r="C541" i="11"/>
  <c r="D541" i="11"/>
  <c r="E541" i="11"/>
  <c r="F541" i="11"/>
  <c r="G541" i="11"/>
  <c r="I541" i="11"/>
  <c r="J541" i="11"/>
  <c r="K541" i="11"/>
  <c r="A542" i="11"/>
  <c r="C542" i="11"/>
  <c r="D542" i="11"/>
  <c r="E542" i="11"/>
  <c r="F542" i="11"/>
  <c r="G542" i="11"/>
  <c r="I542" i="11"/>
  <c r="J542" i="11"/>
  <c r="K542" i="11"/>
  <c r="A543" i="11"/>
  <c r="C543" i="11"/>
  <c r="D543" i="11"/>
  <c r="E543" i="11"/>
  <c r="F543" i="11"/>
  <c r="G543" i="11"/>
  <c r="I543" i="11"/>
  <c r="J543" i="11"/>
  <c r="K543" i="11"/>
  <c r="A544" i="11"/>
  <c r="C544" i="11"/>
  <c r="D544" i="11"/>
  <c r="E544" i="11"/>
  <c r="F544" i="11"/>
  <c r="G544" i="11"/>
  <c r="I544" i="11"/>
  <c r="J544" i="11"/>
  <c r="K544" i="11"/>
  <c r="A545" i="11"/>
  <c r="C545" i="11"/>
  <c r="D545" i="11"/>
  <c r="E545" i="11"/>
  <c r="F545" i="11"/>
  <c r="G545" i="11"/>
  <c r="I545" i="11"/>
  <c r="J545" i="11"/>
  <c r="K545" i="11"/>
  <c r="A546" i="11"/>
  <c r="C546" i="11"/>
  <c r="D546" i="11"/>
  <c r="E546" i="11"/>
  <c r="F546" i="11"/>
  <c r="G546" i="11"/>
  <c r="I546" i="11"/>
  <c r="J546" i="11"/>
  <c r="K546" i="11"/>
  <c r="A547" i="11"/>
  <c r="C547" i="11"/>
  <c r="D547" i="11"/>
  <c r="E547" i="11"/>
  <c r="F547" i="11"/>
  <c r="G547" i="11"/>
  <c r="I547" i="11"/>
  <c r="J547" i="11"/>
  <c r="K547" i="11"/>
  <c r="A548" i="11"/>
  <c r="C548" i="11"/>
  <c r="D548" i="11"/>
  <c r="E548" i="11"/>
  <c r="F548" i="11"/>
  <c r="G548" i="11"/>
  <c r="I548" i="11"/>
  <c r="J548" i="11"/>
  <c r="K548" i="11"/>
  <c r="A549" i="11"/>
  <c r="C549" i="11"/>
  <c r="D549" i="11"/>
  <c r="E549" i="11"/>
  <c r="F549" i="11"/>
  <c r="G549" i="11"/>
  <c r="I549" i="11"/>
  <c r="J549" i="11"/>
  <c r="K549" i="11"/>
  <c r="A550" i="11"/>
  <c r="C550" i="11"/>
  <c r="D550" i="11"/>
  <c r="E550" i="11"/>
  <c r="F550" i="11"/>
  <c r="G550" i="11"/>
  <c r="I550" i="11"/>
  <c r="J550" i="11"/>
  <c r="K550" i="11"/>
  <c r="A551" i="11"/>
  <c r="C551" i="11"/>
  <c r="D551" i="11"/>
  <c r="E551" i="11"/>
  <c r="F551" i="11"/>
  <c r="G551" i="11"/>
  <c r="I551" i="11"/>
  <c r="J551" i="11"/>
  <c r="K551" i="11"/>
  <c r="A552" i="11"/>
  <c r="C552" i="11"/>
  <c r="D552" i="11"/>
  <c r="E552" i="11"/>
  <c r="F552" i="11"/>
  <c r="G552" i="11"/>
  <c r="I552" i="11"/>
  <c r="J552" i="11"/>
  <c r="K552" i="11"/>
  <c r="A553" i="11"/>
  <c r="C553" i="11"/>
  <c r="D553" i="11"/>
  <c r="E553" i="11"/>
  <c r="F553" i="11"/>
  <c r="G553" i="11"/>
  <c r="I553" i="11"/>
  <c r="J553" i="11"/>
  <c r="K553" i="11"/>
  <c r="A554" i="11"/>
  <c r="C554" i="11"/>
  <c r="D554" i="11"/>
  <c r="E554" i="11"/>
  <c r="F554" i="11"/>
  <c r="G554" i="11"/>
  <c r="I554" i="11"/>
  <c r="J554" i="11"/>
  <c r="K554" i="11"/>
  <c r="A555" i="11"/>
  <c r="C555" i="11"/>
  <c r="D555" i="11"/>
  <c r="E555" i="11"/>
  <c r="F555" i="11"/>
  <c r="G555" i="11"/>
  <c r="I555" i="11"/>
  <c r="J555" i="11"/>
  <c r="K555" i="11"/>
  <c r="A556" i="11"/>
  <c r="C556" i="11"/>
  <c r="D556" i="11"/>
  <c r="E556" i="11"/>
  <c r="F556" i="11"/>
  <c r="G556" i="11"/>
  <c r="I556" i="11"/>
  <c r="J556" i="11"/>
  <c r="K556" i="11"/>
  <c r="A557" i="11"/>
  <c r="C557" i="11"/>
  <c r="D557" i="11"/>
  <c r="E557" i="11"/>
  <c r="F557" i="11"/>
  <c r="G557" i="11"/>
  <c r="I557" i="11"/>
  <c r="J557" i="11"/>
  <c r="K557" i="11"/>
  <c r="A558" i="11"/>
  <c r="C558" i="11"/>
  <c r="D558" i="11"/>
  <c r="E558" i="11"/>
  <c r="F558" i="11"/>
  <c r="G558" i="11"/>
  <c r="I558" i="11"/>
  <c r="J558" i="11"/>
  <c r="K558" i="11"/>
  <c r="A559" i="11"/>
  <c r="C559" i="11"/>
  <c r="D559" i="11"/>
  <c r="E559" i="11"/>
  <c r="F559" i="11"/>
  <c r="G559" i="11"/>
  <c r="I559" i="11"/>
  <c r="J559" i="11"/>
  <c r="K559" i="11"/>
  <c r="A560" i="11"/>
  <c r="C560" i="11"/>
  <c r="D560" i="11"/>
  <c r="E560" i="11"/>
  <c r="F560" i="11"/>
  <c r="G560" i="11"/>
  <c r="I560" i="11"/>
  <c r="J560" i="11"/>
  <c r="K560" i="11"/>
  <c r="A561" i="11"/>
  <c r="C561" i="11"/>
  <c r="D561" i="11"/>
  <c r="E561" i="11"/>
  <c r="F561" i="11"/>
  <c r="G561" i="11"/>
  <c r="I561" i="11"/>
  <c r="J561" i="11"/>
  <c r="K561" i="11"/>
  <c r="A562" i="11"/>
  <c r="C562" i="11"/>
  <c r="D562" i="11"/>
  <c r="E562" i="11"/>
  <c r="F562" i="11"/>
  <c r="G562" i="11"/>
  <c r="I562" i="11"/>
  <c r="J562" i="11"/>
  <c r="K562" i="11"/>
  <c r="A563" i="11"/>
  <c r="C563" i="11"/>
  <c r="D563" i="11"/>
  <c r="E563" i="11"/>
  <c r="F563" i="11"/>
  <c r="G563" i="11"/>
  <c r="I563" i="11"/>
  <c r="J563" i="11"/>
  <c r="K563" i="11"/>
  <c r="A564" i="11"/>
  <c r="C564" i="11"/>
  <c r="D564" i="11"/>
  <c r="E564" i="11"/>
  <c r="F564" i="11"/>
  <c r="G564" i="11"/>
  <c r="I564" i="11"/>
  <c r="J564" i="11"/>
  <c r="K564" i="11"/>
  <c r="A565" i="11"/>
  <c r="C565" i="11"/>
  <c r="D565" i="11"/>
  <c r="E565" i="11"/>
  <c r="F565" i="11"/>
  <c r="G565" i="11"/>
  <c r="I565" i="11"/>
  <c r="J565" i="11"/>
  <c r="K565" i="11"/>
  <c r="A566" i="11"/>
  <c r="C566" i="11"/>
  <c r="D566" i="11"/>
  <c r="E566" i="11"/>
  <c r="F566" i="11"/>
  <c r="G566" i="11"/>
  <c r="I566" i="11"/>
  <c r="J566" i="11"/>
  <c r="K566" i="11"/>
  <c r="A567" i="11"/>
  <c r="C567" i="11"/>
  <c r="D567" i="11"/>
  <c r="E567" i="11"/>
  <c r="F567" i="11"/>
  <c r="G567" i="11"/>
  <c r="I567" i="11"/>
  <c r="J567" i="11"/>
  <c r="K567" i="11"/>
  <c r="A568" i="11"/>
  <c r="C568" i="11"/>
  <c r="D568" i="11"/>
  <c r="E568" i="11"/>
  <c r="F568" i="11"/>
  <c r="G568" i="11"/>
  <c r="I568" i="11"/>
  <c r="J568" i="11"/>
  <c r="K568" i="11"/>
  <c r="A569" i="11"/>
  <c r="C569" i="11"/>
  <c r="D569" i="11"/>
  <c r="E569" i="11"/>
  <c r="F569" i="11"/>
  <c r="G569" i="11"/>
  <c r="I569" i="11"/>
  <c r="J569" i="11"/>
  <c r="K569" i="11"/>
  <c r="A570" i="11"/>
  <c r="C570" i="11"/>
  <c r="D570" i="11"/>
  <c r="E570" i="11"/>
  <c r="F570" i="11"/>
  <c r="G570" i="11"/>
  <c r="I570" i="11"/>
  <c r="J570" i="11"/>
  <c r="K570" i="11"/>
  <c r="A571" i="11"/>
  <c r="C571" i="11"/>
  <c r="D571" i="11"/>
  <c r="E571" i="11"/>
  <c r="F571" i="11"/>
  <c r="G571" i="11"/>
  <c r="I571" i="11"/>
  <c r="J571" i="11"/>
  <c r="K571" i="11"/>
  <c r="A572" i="11"/>
  <c r="C572" i="11"/>
  <c r="D572" i="11"/>
  <c r="E572" i="11"/>
  <c r="F572" i="11"/>
  <c r="G572" i="11"/>
  <c r="I572" i="11"/>
  <c r="J572" i="11"/>
  <c r="K572" i="11"/>
  <c r="A573" i="11"/>
  <c r="C573" i="11"/>
  <c r="D573" i="11"/>
  <c r="E573" i="11"/>
  <c r="F573" i="11"/>
  <c r="G573" i="11"/>
  <c r="I573" i="11"/>
  <c r="J573" i="11"/>
  <c r="K573" i="11"/>
  <c r="A574" i="11"/>
  <c r="C574" i="11"/>
  <c r="D574" i="11"/>
  <c r="E574" i="11"/>
  <c r="F574" i="11"/>
  <c r="G574" i="11"/>
  <c r="I574" i="11"/>
  <c r="J574" i="11"/>
  <c r="K574" i="11"/>
  <c r="A575" i="11"/>
  <c r="C575" i="11"/>
  <c r="D575" i="11"/>
  <c r="E575" i="11"/>
  <c r="F575" i="11"/>
  <c r="G575" i="11"/>
  <c r="I575" i="11"/>
  <c r="J575" i="11"/>
  <c r="K575" i="11"/>
  <c r="A576" i="11"/>
  <c r="C576" i="11"/>
  <c r="D576" i="11"/>
  <c r="E576" i="11"/>
  <c r="F576" i="11"/>
  <c r="G576" i="11"/>
  <c r="I576" i="11"/>
  <c r="J576" i="11"/>
  <c r="K576" i="11"/>
  <c r="A577" i="11"/>
  <c r="C577" i="11"/>
  <c r="D577" i="11"/>
  <c r="E577" i="11"/>
  <c r="F577" i="11"/>
  <c r="G577" i="11"/>
  <c r="I577" i="11"/>
  <c r="J577" i="11"/>
  <c r="K577" i="11"/>
  <c r="A578" i="11"/>
  <c r="C578" i="11"/>
  <c r="D578" i="11"/>
  <c r="E578" i="11"/>
  <c r="F578" i="11"/>
  <c r="G578" i="11"/>
  <c r="I578" i="11"/>
  <c r="J578" i="11"/>
  <c r="K578" i="11"/>
  <c r="A579" i="11"/>
  <c r="C579" i="11"/>
  <c r="D579" i="11"/>
  <c r="E579" i="11"/>
  <c r="F579" i="11"/>
  <c r="G579" i="11"/>
  <c r="I579" i="11"/>
  <c r="J579" i="11"/>
  <c r="K579" i="11"/>
  <c r="A580" i="11"/>
  <c r="C580" i="11"/>
  <c r="D580" i="11"/>
  <c r="E580" i="11"/>
  <c r="F580" i="11"/>
  <c r="G580" i="11"/>
  <c r="I580" i="11"/>
  <c r="J580" i="11"/>
  <c r="K580" i="11"/>
  <c r="A581" i="11"/>
  <c r="C581" i="11"/>
  <c r="D581" i="11"/>
  <c r="E581" i="11"/>
  <c r="F581" i="11"/>
  <c r="G581" i="11"/>
  <c r="I581" i="11"/>
  <c r="J581" i="11"/>
  <c r="K581" i="11"/>
  <c r="A582" i="11"/>
  <c r="C582" i="11"/>
  <c r="D582" i="11"/>
  <c r="E582" i="11"/>
  <c r="F582" i="11"/>
  <c r="G582" i="11"/>
  <c r="I582" i="11"/>
  <c r="J582" i="11"/>
  <c r="K582" i="11"/>
  <c r="A583" i="11"/>
  <c r="C583" i="11"/>
  <c r="D583" i="11"/>
  <c r="E583" i="11"/>
  <c r="F583" i="11"/>
  <c r="G583" i="11"/>
  <c r="I583" i="11"/>
  <c r="J583" i="11"/>
  <c r="K583" i="11"/>
  <c r="A584" i="11"/>
  <c r="C584" i="11"/>
  <c r="D584" i="11"/>
  <c r="E584" i="11"/>
  <c r="F584" i="11"/>
  <c r="G584" i="11"/>
  <c r="I584" i="11"/>
  <c r="J584" i="11"/>
  <c r="K584" i="11"/>
  <c r="A585" i="11"/>
  <c r="C585" i="11"/>
  <c r="D585" i="11"/>
  <c r="E585" i="11"/>
  <c r="F585" i="11"/>
  <c r="G585" i="11"/>
  <c r="I585" i="11"/>
  <c r="J585" i="11"/>
  <c r="K585" i="11"/>
  <c r="A586" i="11"/>
  <c r="C586" i="11"/>
  <c r="D586" i="11"/>
  <c r="E586" i="11"/>
  <c r="F586" i="11"/>
  <c r="G586" i="11"/>
  <c r="I586" i="11"/>
  <c r="J586" i="11"/>
  <c r="K586" i="11"/>
  <c r="A587" i="11"/>
  <c r="C587" i="11"/>
  <c r="D587" i="11"/>
  <c r="E587" i="11"/>
  <c r="F587" i="11"/>
  <c r="G587" i="11"/>
  <c r="I587" i="11"/>
  <c r="J587" i="11"/>
  <c r="K587" i="11"/>
  <c r="A588" i="11"/>
  <c r="C588" i="11"/>
  <c r="D588" i="11"/>
  <c r="E588" i="11"/>
  <c r="F588" i="11"/>
  <c r="G588" i="11"/>
  <c r="I588" i="11"/>
  <c r="J588" i="11"/>
  <c r="K588" i="11"/>
  <c r="A589" i="11"/>
  <c r="C589" i="11"/>
  <c r="D589" i="11"/>
  <c r="E589" i="11"/>
  <c r="F589" i="11"/>
  <c r="G589" i="11"/>
  <c r="I589" i="11"/>
  <c r="J589" i="11"/>
  <c r="K589" i="11"/>
  <c r="A590" i="11"/>
  <c r="C590" i="11"/>
  <c r="D590" i="11"/>
  <c r="E590" i="11"/>
  <c r="F590" i="11"/>
  <c r="G590" i="11"/>
  <c r="I590" i="11"/>
  <c r="J590" i="11"/>
  <c r="K590" i="11"/>
  <c r="A591" i="11"/>
  <c r="C591" i="11"/>
  <c r="D591" i="11"/>
  <c r="E591" i="11"/>
  <c r="F591" i="11"/>
  <c r="G591" i="11"/>
  <c r="I591" i="11"/>
  <c r="J591" i="11"/>
  <c r="K591" i="11"/>
  <c r="A592" i="11"/>
  <c r="C592" i="11"/>
  <c r="D592" i="11"/>
  <c r="E592" i="11"/>
  <c r="F592" i="11"/>
  <c r="G592" i="11"/>
  <c r="I592" i="11"/>
  <c r="J592" i="11"/>
  <c r="K592" i="11"/>
  <c r="A593" i="11"/>
  <c r="C593" i="11"/>
  <c r="D593" i="11"/>
  <c r="E593" i="11"/>
  <c r="F593" i="11"/>
  <c r="G593" i="11"/>
  <c r="I593" i="11"/>
  <c r="J593" i="11"/>
  <c r="K593" i="11"/>
  <c r="A594" i="11"/>
  <c r="C594" i="11"/>
  <c r="D594" i="11"/>
  <c r="E594" i="11"/>
  <c r="F594" i="11"/>
  <c r="G594" i="11"/>
  <c r="I594" i="11"/>
  <c r="J594" i="11"/>
  <c r="K594" i="11"/>
  <c r="A595" i="11"/>
  <c r="C595" i="11"/>
  <c r="D595" i="11"/>
  <c r="E595" i="11"/>
  <c r="F595" i="11"/>
  <c r="G595" i="11"/>
  <c r="I595" i="11"/>
  <c r="J595" i="11"/>
  <c r="K595" i="11"/>
  <c r="A596" i="11"/>
  <c r="C596" i="11"/>
  <c r="D596" i="11"/>
  <c r="E596" i="11"/>
  <c r="F596" i="11"/>
  <c r="G596" i="11"/>
  <c r="I596" i="11"/>
  <c r="J596" i="11"/>
  <c r="K596" i="11"/>
  <c r="A597" i="11"/>
  <c r="C597" i="11"/>
  <c r="D597" i="11"/>
  <c r="E597" i="11"/>
  <c r="F597" i="11"/>
  <c r="G597" i="11"/>
  <c r="I597" i="11"/>
  <c r="J597" i="11"/>
  <c r="K597" i="11"/>
  <c r="A598" i="11"/>
  <c r="C598" i="11"/>
  <c r="D598" i="11"/>
  <c r="E598" i="11"/>
  <c r="F598" i="11"/>
  <c r="G598" i="11"/>
  <c r="I598" i="11"/>
  <c r="J598" i="11"/>
  <c r="K598" i="11"/>
  <c r="A599" i="11"/>
  <c r="C599" i="11"/>
  <c r="D599" i="11"/>
  <c r="E599" i="11"/>
  <c r="F599" i="11"/>
  <c r="G599" i="11"/>
  <c r="I599" i="11"/>
  <c r="J599" i="11"/>
  <c r="K599" i="11"/>
  <c r="A600" i="11"/>
  <c r="C600" i="11"/>
  <c r="D600" i="11"/>
  <c r="E600" i="11"/>
  <c r="F600" i="11"/>
  <c r="G600" i="11"/>
  <c r="I600" i="11"/>
  <c r="J600" i="11"/>
  <c r="K600" i="11"/>
  <c r="A601" i="11"/>
  <c r="C601" i="11"/>
  <c r="D601" i="11"/>
  <c r="E601" i="11"/>
  <c r="F601" i="11"/>
  <c r="G601" i="11"/>
  <c r="I601" i="11"/>
  <c r="J601" i="11"/>
  <c r="K601" i="11"/>
  <c r="A602" i="11"/>
  <c r="C602" i="11"/>
  <c r="D602" i="11"/>
  <c r="E602" i="11"/>
  <c r="F602" i="11"/>
  <c r="G602" i="11"/>
  <c r="I602" i="11"/>
  <c r="J602" i="11"/>
  <c r="K602" i="11"/>
  <c r="A603" i="11"/>
  <c r="C603" i="11"/>
  <c r="D603" i="11"/>
  <c r="E603" i="11"/>
  <c r="F603" i="11"/>
  <c r="G603" i="11"/>
  <c r="I603" i="11"/>
  <c r="J603" i="11"/>
  <c r="K603" i="11"/>
  <c r="A604" i="11"/>
  <c r="C604" i="11"/>
  <c r="D604" i="11"/>
  <c r="E604" i="11"/>
  <c r="F604" i="11"/>
  <c r="G604" i="11"/>
  <c r="I604" i="11"/>
  <c r="J604" i="11"/>
  <c r="K604" i="11"/>
  <c r="A605" i="11"/>
  <c r="C605" i="11"/>
  <c r="D605" i="11"/>
  <c r="E605" i="11"/>
  <c r="F605" i="11"/>
  <c r="G605" i="11"/>
  <c r="I605" i="11"/>
  <c r="J605" i="11"/>
  <c r="K605" i="11"/>
  <c r="A606" i="11"/>
  <c r="C606" i="11"/>
  <c r="D606" i="11"/>
  <c r="E606" i="11"/>
  <c r="F606" i="11"/>
  <c r="G606" i="11"/>
  <c r="I606" i="11"/>
  <c r="J606" i="11"/>
  <c r="K606" i="11"/>
  <c r="A607" i="11"/>
  <c r="C607" i="11"/>
  <c r="D607" i="11"/>
  <c r="E607" i="11"/>
  <c r="F607" i="11"/>
  <c r="G607" i="11"/>
  <c r="I607" i="11"/>
  <c r="J607" i="11"/>
  <c r="K607" i="11"/>
  <c r="A608" i="11"/>
  <c r="C608" i="11"/>
  <c r="D608" i="11"/>
  <c r="E608" i="11"/>
  <c r="F608" i="11"/>
  <c r="G608" i="11"/>
  <c r="I608" i="11"/>
  <c r="J608" i="11"/>
  <c r="K608" i="11"/>
  <c r="A609" i="11"/>
  <c r="C609" i="11"/>
  <c r="D609" i="11"/>
  <c r="E609" i="11"/>
  <c r="F609" i="11"/>
  <c r="G609" i="11"/>
  <c r="I609" i="11"/>
  <c r="J609" i="11"/>
  <c r="K609" i="11"/>
  <c r="A610" i="11"/>
  <c r="C610" i="11"/>
  <c r="D610" i="11"/>
  <c r="E610" i="11"/>
  <c r="F610" i="11"/>
  <c r="G610" i="11"/>
  <c r="I610" i="11"/>
  <c r="J610" i="11"/>
  <c r="K610" i="11"/>
  <c r="A611" i="11"/>
  <c r="C611" i="11"/>
  <c r="D611" i="11"/>
  <c r="E611" i="11"/>
  <c r="F611" i="11"/>
  <c r="G611" i="11"/>
  <c r="I611" i="11"/>
  <c r="J611" i="11"/>
  <c r="K611" i="11"/>
  <c r="A612" i="11"/>
  <c r="C612" i="11"/>
  <c r="D612" i="11"/>
  <c r="E612" i="11"/>
  <c r="F612" i="11"/>
  <c r="G612" i="11"/>
  <c r="I612" i="11"/>
  <c r="J612" i="11"/>
  <c r="K612" i="11"/>
  <c r="A613" i="11"/>
  <c r="C613" i="11"/>
  <c r="D613" i="11"/>
  <c r="E613" i="11"/>
  <c r="F613" i="11"/>
  <c r="G613" i="11"/>
  <c r="I613" i="11"/>
  <c r="J613" i="11"/>
  <c r="K613" i="11"/>
  <c r="A614" i="11"/>
  <c r="C614" i="11"/>
  <c r="D614" i="11"/>
  <c r="E614" i="11"/>
  <c r="F614" i="11"/>
  <c r="G614" i="11"/>
  <c r="I614" i="11"/>
  <c r="J614" i="11"/>
  <c r="K614" i="11"/>
  <c r="A615" i="11"/>
  <c r="C615" i="11"/>
  <c r="D615" i="11"/>
  <c r="E615" i="11"/>
  <c r="F615" i="11"/>
  <c r="G615" i="11"/>
  <c r="I615" i="11"/>
  <c r="J615" i="11"/>
  <c r="K615" i="11"/>
  <c r="A616" i="11"/>
  <c r="C616" i="11"/>
  <c r="D616" i="11"/>
  <c r="E616" i="11"/>
  <c r="F616" i="11"/>
  <c r="G616" i="11"/>
  <c r="I616" i="11"/>
  <c r="J616" i="11"/>
  <c r="K616" i="11"/>
  <c r="A617" i="11"/>
  <c r="C617" i="11"/>
  <c r="D617" i="11"/>
  <c r="E617" i="11"/>
  <c r="F617" i="11"/>
  <c r="G617" i="11"/>
  <c r="I617" i="11"/>
  <c r="J617" i="11"/>
  <c r="K617" i="11"/>
  <c r="A618" i="11"/>
  <c r="C618" i="11"/>
  <c r="D618" i="11"/>
  <c r="E618" i="11"/>
  <c r="F618" i="11"/>
  <c r="G618" i="11"/>
  <c r="I618" i="11"/>
  <c r="J618" i="11"/>
  <c r="K618" i="11"/>
  <c r="A619" i="11"/>
  <c r="C619" i="11"/>
  <c r="D619" i="11"/>
  <c r="E619" i="11"/>
  <c r="F619" i="11"/>
  <c r="G619" i="11"/>
  <c r="I619" i="11"/>
  <c r="J619" i="11"/>
  <c r="K619" i="11"/>
  <c r="A620" i="11"/>
  <c r="C620" i="11"/>
  <c r="D620" i="11"/>
  <c r="E620" i="11"/>
  <c r="F620" i="11"/>
  <c r="G620" i="11"/>
  <c r="I620" i="11"/>
  <c r="J620" i="11"/>
  <c r="K620" i="11"/>
  <c r="A621" i="11"/>
  <c r="C621" i="11"/>
  <c r="D621" i="11"/>
  <c r="E621" i="11"/>
  <c r="F621" i="11"/>
  <c r="G621" i="11"/>
  <c r="I621" i="11"/>
  <c r="J621" i="11"/>
  <c r="K621" i="11"/>
  <c r="A622" i="11"/>
  <c r="C622" i="11"/>
  <c r="D622" i="11"/>
  <c r="E622" i="11"/>
  <c r="F622" i="11"/>
  <c r="G622" i="11"/>
  <c r="I622" i="11"/>
  <c r="J622" i="11"/>
  <c r="K622" i="11"/>
  <c r="A623" i="11"/>
  <c r="C623" i="11"/>
  <c r="D623" i="11"/>
  <c r="E623" i="11"/>
  <c r="F623" i="11"/>
  <c r="G623" i="11"/>
  <c r="I623" i="11"/>
  <c r="J623" i="11"/>
  <c r="K623" i="11"/>
  <c r="A624" i="11"/>
  <c r="C624" i="11"/>
  <c r="D624" i="11"/>
  <c r="E624" i="11"/>
  <c r="F624" i="11"/>
  <c r="G624" i="11"/>
  <c r="I624" i="11"/>
  <c r="J624" i="11"/>
  <c r="K624" i="11"/>
  <c r="A625" i="11"/>
  <c r="C625" i="11"/>
  <c r="D625" i="11"/>
  <c r="E625" i="11"/>
  <c r="F625" i="11"/>
  <c r="G625" i="11"/>
  <c r="I625" i="11"/>
  <c r="J625" i="11"/>
  <c r="K625" i="11"/>
  <c r="A626" i="11"/>
  <c r="C626" i="11"/>
  <c r="D626" i="11"/>
  <c r="E626" i="11"/>
  <c r="F626" i="11"/>
  <c r="G626" i="11"/>
  <c r="I626" i="11"/>
  <c r="J626" i="11"/>
  <c r="K626" i="11"/>
  <c r="A627" i="11"/>
  <c r="C627" i="11"/>
  <c r="D627" i="11"/>
  <c r="E627" i="11"/>
  <c r="F627" i="11"/>
  <c r="G627" i="11"/>
  <c r="I627" i="11"/>
  <c r="J627" i="11"/>
  <c r="K627" i="11"/>
  <c r="A628" i="11"/>
  <c r="C628" i="11"/>
  <c r="D628" i="11"/>
  <c r="E628" i="11"/>
  <c r="F628" i="11"/>
  <c r="G628" i="11"/>
  <c r="I628" i="11"/>
  <c r="J628" i="11"/>
  <c r="K628" i="11"/>
  <c r="A629" i="11"/>
  <c r="C629" i="11"/>
  <c r="D629" i="11"/>
  <c r="E629" i="11"/>
  <c r="F629" i="11"/>
  <c r="G629" i="11"/>
  <c r="I629" i="11"/>
  <c r="J629" i="11"/>
  <c r="K629" i="11"/>
  <c r="A630" i="11"/>
  <c r="C630" i="11"/>
  <c r="D630" i="11"/>
  <c r="E630" i="11"/>
  <c r="F630" i="11"/>
  <c r="G630" i="11"/>
  <c r="I630" i="11"/>
  <c r="J630" i="11"/>
  <c r="K630" i="11"/>
  <c r="A631" i="11"/>
  <c r="C631" i="11"/>
  <c r="D631" i="11"/>
  <c r="E631" i="11"/>
  <c r="F631" i="11"/>
  <c r="G631" i="11"/>
  <c r="I631" i="11"/>
  <c r="J631" i="11"/>
  <c r="K631" i="11"/>
  <c r="A632" i="11"/>
  <c r="C632" i="11"/>
  <c r="D632" i="11"/>
  <c r="E632" i="11"/>
  <c r="F632" i="11"/>
  <c r="G632" i="11"/>
  <c r="I632" i="11"/>
  <c r="J632" i="11"/>
  <c r="K632" i="11"/>
  <c r="A633" i="11"/>
  <c r="C633" i="11"/>
  <c r="D633" i="11"/>
  <c r="E633" i="11"/>
  <c r="F633" i="11"/>
  <c r="G633" i="11"/>
  <c r="I633" i="11"/>
  <c r="J633" i="11"/>
  <c r="K633" i="11"/>
  <c r="A634" i="11"/>
  <c r="C634" i="11"/>
  <c r="D634" i="11"/>
  <c r="E634" i="11"/>
  <c r="F634" i="11"/>
  <c r="G634" i="11"/>
  <c r="I634" i="11"/>
  <c r="J634" i="11"/>
  <c r="K634" i="11"/>
  <c r="A635" i="11"/>
  <c r="C635" i="11"/>
  <c r="D635" i="11"/>
  <c r="E635" i="11"/>
  <c r="F635" i="11"/>
  <c r="G635" i="11"/>
  <c r="I635" i="11"/>
  <c r="J635" i="11"/>
  <c r="K635" i="11"/>
  <c r="A636" i="11"/>
  <c r="C636" i="11"/>
  <c r="D636" i="11"/>
  <c r="E636" i="11"/>
  <c r="F636" i="11"/>
  <c r="G636" i="11"/>
  <c r="I636" i="11"/>
  <c r="J636" i="11"/>
  <c r="K636" i="11"/>
  <c r="A637" i="11"/>
  <c r="C637" i="11"/>
  <c r="D637" i="11"/>
  <c r="E637" i="11"/>
  <c r="F637" i="11"/>
  <c r="G637" i="11"/>
  <c r="I637" i="11"/>
  <c r="J637" i="11"/>
  <c r="K637" i="11"/>
  <c r="A638" i="11"/>
  <c r="C638" i="11"/>
  <c r="D638" i="11"/>
  <c r="E638" i="11"/>
  <c r="F638" i="11"/>
  <c r="G638" i="11"/>
  <c r="I638" i="11"/>
  <c r="J638" i="11"/>
  <c r="K638" i="11"/>
  <c r="A639" i="11"/>
  <c r="C639" i="11"/>
  <c r="D639" i="11"/>
  <c r="E639" i="11"/>
  <c r="F639" i="11"/>
  <c r="G639" i="11"/>
  <c r="I639" i="11"/>
  <c r="J639" i="11"/>
  <c r="K639" i="11"/>
  <c r="A640" i="11"/>
  <c r="C640" i="11"/>
  <c r="D640" i="11"/>
  <c r="E640" i="11"/>
  <c r="F640" i="11"/>
  <c r="G640" i="11"/>
  <c r="I640" i="11"/>
  <c r="J640" i="11"/>
  <c r="K640" i="11"/>
  <c r="A641" i="11"/>
  <c r="C641" i="11"/>
  <c r="D641" i="11"/>
  <c r="E641" i="11"/>
  <c r="F641" i="11"/>
  <c r="G641" i="11"/>
  <c r="I641" i="11"/>
  <c r="J641" i="11"/>
  <c r="K641" i="11"/>
  <c r="A642" i="11"/>
  <c r="C642" i="11"/>
  <c r="D642" i="11"/>
  <c r="E642" i="11"/>
  <c r="F642" i="11"/>
  <c r="G642" i="11"/>
  <c r="I642" i="11"/>
  <c r="J642" i="11"/>
  <c r="K642" i="11"/>
  <c r="A643" i="11"/>
  <c r="C643" i="11"/>
  <c r="D643" i="11"/>
  <c r="E643" i="11"/>
  <c r="F643" i="11"/>
  <c r="G643" i="11"/>
  <c r="I643" i="11"/>
  <c r="J643" i="11"/>
  <c r="K643" i="11"/>
  <c r="A644" i="11"/>
  <c r="C644" i="11"/>
  <c r="D644" i="11"/>
  <c r="E644" i="11"/>
  <c r="F644" i="11"/>
  <c r="G644" i="11"/>
  <c r="I644" i="11"/>
  <c r="J644" i="11"/>
  <c r="K644" i="11"/>
  <c r="A645" i="11"/>
  <c r="C645" i="11"/>
  <c r="D645" i="11"/>
  <c r="E645" i="11"/>
  <c r="F645" i="11"/>
  <c r="G645" i="11"/>
  <c r="I645" i="11"/>
  <c r="J645" i="11"/>
  <c r="K645" i="11"/>
  <c r="A646" i="11"/>
  <c r="C646" i="11"/>
  <c r="D646" i="11"/>
  <c r="E646" i="11"/>
  <c r="F646" i="11"/>
  <c r="G646" i="11"/>
  <c r="I646" i="11"/>
  <c r="J646" i="11"/>
  <c r="K646" i="11"/>
  <c r="A647" i="11"/>
  <c r="C647" i="11"/>
  <c r="D647" i="11"/>
  <c r="E647" i="11"/>
  <c r="F647" i="11"/>
  <c r="G647" i="11"/>
  <c r="I647" i="11"/>
  <c r="J647" i="11"/>
  <c r="K647" i="11"/>
  <c r="A648" i="11"/>
  <c r="C648" i="11"/>
  <c r="D648" i="11"/>
  <c r="E648" i="11"/>
  <c r="F648" i="11"/>
  <c r="G648" i="11"/>
  <c r="I648" i="11"/>
  <c r="J648" i="11"/>
  <c r="K648" i="11"/>
  <c r="A649" i="11"/>
  <c r="C649" i="11"/>
  <c r="D649" i="11"/>
  <c r="E649" i="11"/>
  <c r="F649" i="11"/>
  <c r="G649" i="11"/>
  <c r="I649" i="11"/>
  <c r="J649" i="11"/>
  <c r="K649" i="11"/>
  <c r="A650" i="11"/>
  <c r="C650" i="11"/>
  <c r="D650" i="11"/>
  <c r="E650" i="11"/>
  <c r="F650" i="11"/>
  <c r="G650" i="11"/>
  <c r="I650" i="11"/>
  <c r="J650" i="11"/>
  <c r="K650" i="11"/>
  <c r="A651" i="11"/>
  <c r="C651" i="11"/>
  <c r="D651" i="11"/>
  <c r="E651" i="11"/>
  <c r="F651" i="11"/>
  <c r="G651" i="11"/>
  <c r="I651" i="11"/>
  <c r="J651" i="11"/>
  <c r="K651" i="11"/>
  <c r="A652" i="11"/>
  <c r="C652" i="11"/>
  <c r="D652" i="11"/>
  <c r="E652" i="11"/>
  <c r="F652" i="11"/>
  <c r="G652" i="11"/>
  <c r="I652" i="11"/>
  <c r="J652" i="11"/>
  <c r="K652" i="11"/>
  <c r="A653" i="11"/>
  <c r="C653" i="11"/>
  <c r="D653" i="11"/>
  <c r="E653" i="11"/>
  <c r="F653" i="11"/>
  <c r="G653" i="11"/>
  <c r="I653" i="11"/>
  <c r="J653" i="11"/>
  <c r="K653" i="11"/>
  <c r="A654" i="11"/>
  <c r="C654" i="11"/>
  <c r="D654" i="11"/>
  <c r="E654" i="11"/>
  <c r="F654" i="11"/>
  <c r="G654" i="11"/>
  <c r="I654" i="11"/>
  <c r="J654" i="11"/>
  <c r="K654" i="11"/>
  <c r="A655" i="11"/>
  <c r="C655" i="11"/>
  <c r="D655" i="11"/>
  <c r="E655" i="11"/>
  <c r="F655" i="11"/>
  <c r="G655" i="11"/>
  <c r="I655" i="11"/>
  <c r="J655" i="11"/>
  <c r="K655" i="11"/>
  <c r="A656" i="11"/>
  <c r="C656" i="11"/>
  <c r="D656" i="11"/>
  <c r="E656" i="11"/>
  <c r="F656" i="11"/>
  <c r="G656" i="11"/>
  <c r="I656" i="11"/>
  <c r="J656" i="11"/>
  <c r="K656" i="11"/>
  <c r="A657" i="11"/>
  <c r="C657" i="11"/>
  <c r="D657" i="11"/>
  <c r="E657" i="11"/>
  <c r="F657" i="11"/>
  <c r="G657" i="11"/>
  <c r="I657" i="11"/>
  <c r="J657" i="11"/>
  <c r="K657" i="11"/>
  <c r="A658" i="11"/>
  <c r="C658" i="11"/>
  <c r="D658" i="11"/>
  <c r="E658" i="11"/>
  <c r="F658" i="11"/>
  <c r="G658" i="11"/>
  <c r="I658" i="11"/>
  <c r="J658" i="11"/>
  <c r="K658" i="11"/>
  <c r="A659" i="11"/>
  <c r="C659" i="11"/>
  <c r="D659" i="11"/>
  <c r="E659" i="11"/>
  <c r="F659" i="11"/>
  <c r="G659" i="11"/>
  <c r="I659" i="11"/>
  <c r="J659" i="11"/>
  <c r="K659" i="11"/>
  <c r="A660" i="11"/>
  <c r="C660" i="11"/>
  <c r="D660" i="11"/>
  <c r="E660" i="11"/>
  <c r="F660" i="11"/>
  <c r="G660" i="11"/>
  <c r="I660" i="11"/>
  <c r="J660" i="11"/>
  <c r="K660" i="11"/>
  <c r="A661" i="11"/>
  <c r="C661" i="11"/>
  <c r="D661" i="11"/>
  <c r="E661" i="11"/>
  <c r="F661" i="11"/>
  <c r="G661" i="11"/>
  <c r="I661" i="11"/>
  <c r="J661" i="11"/>
  <c r="K661" i="11"/>
  <c r="A662" i="11"/>
  <c r="C662" i="11"/>
  <c r="D662" i="11"/>
  <c r="E662" i="11"/>
  <c r="F662" i="11"/>
  <c r="G662" i="11"/>
  <c r="I662" i="11"/>
  <c r="J662" i="11"/>
  <c r="K662" i="11"/>
  <c r="A663" i="11"/>
  <c r="C663" i="11"/>
  <c r="D663" i="11"/>
  <c r="E663" i="11"/>
  <c r="F663" i="11"/>
  <c r="G663" i="11"/>
  <c r="I663" i="11"/>
  <c r="J663" i="11"/>
  <c r="K663" i="11"/>
  <c r="A664" i="11"/>
  <c r="C664" i="11"/>
  <c r="D664" i="11"/>
  <c r="E664" i="11"/>
  <c r="F664" i="11"/>
  <c r="G664" i="11"/>
  <c r="I664" i="11"/>
  <c r="J664" i="11"/>
  <c r="K664" i="11"/>
  <c r="A665" i="11"/>
  <c r="C665" i="11"/>
  <c r="D665" i="11"/>
  <c r="E665" i="11"/>
  <c r="F665" i="11"/>
  <c r="G665" i="11"/>
  <c r="I665" i="11"/>
  <c r="J665" i="11"/>
  <c r="K665" i="11"/>
  <c r="A666" i="11"/>
  <c r="C666" i="11"/>
  <c r="D666" i="11"/>
  <c r="E666" i="11"/>
  <c r="F666" i="11"/>
  <c r="G666" i="11"/>
  <c r="I666" i="11"/>
  <c r="J666" i="11"/>
  <c r="K666" i="11"/>
  <c r="A667" i="11"/>
  <c r="C667" i="11"/>
  <c r="D667" i="11"/>
  <c r="E667" i="11"/>
  <c r="F667" i="11"/>
  <c r="G667" i="11"/>
  <c r="I667" i="11"/>
  <c r="J667" i="11"/>
  <c r="K667" i="11"/>
  <c r="A668" i="11"/>
  <c r="C668" i="11"/>
  <c r="D668" i="11"/>
  <c r="E668" i="11"/>
  <c r="F668" i="11"/>
  <c r="G668" i="11"/>
  <c r="I668" i="11"/>
  <c r="J668" i="11"/>
  <c r="K668" i="11"/>
  <c r="A669" i="11"/>
  <c r="C669" i="11"/>
  <c r="D669" i="11"/>
  <c r="E669" i="11"/>
  <c r="F669" i="11"/>
  <c r="G669" i="11"/>
  <c r="I669" i="11"/>
  <c r="J669" i="11"/>
  <c r="K669" i="11"/>
  <c r="A670" i="11"/>
  <c r="C670" i="11"/>
  <c r="D670" i="11"/>
  <c r="E670" i="11"/>
  <c r="F670" i="11"/>
  <c r="G670" i="11"/>
  <c r="I670" i="11"/>
  <c r="J670" i="11"/>
  <c r="K670" i="11"/>
  <c r="A671" i="11"/>
  <c r="C671" i="11"/>
  <c r="D671" i="11"/>
  <c r="E671" i="11"/>
  <c r="F671" i="11"/>
  <c r="G671" i="11"/>
  <c r="I671" i="11"/>
  <c r="J671" i="11"/>
  <c r="K671" i="11"/>
  <c r="A672" i="11"/>
  <c r="C672" i="11"/>
  <c r="D672" i="11"/>
  <c r="E672" i="11"/>
  <c r="F672" i="11"/>
  <c r="G672" i="11"/>
  <c r="I672" i="11"/>
  <c r="J672" i="11"/>
  <c r="K672" i="11"/>
  <c r="A673" i="11"/>
  <c r="C673" i="11"/>
  <c r="D673" i="11"/>
  <c r="E673" i="11"/>
  <c r="F673" i="11"/>
  <c r="G673" i="11"/>
  <c r="I673" i="11"/>
  <c r="J673" i="11"/>
  <c r="K673" i="11"/>
  <c r="A674" i="11"/>
  <c r="C674" i="11"/>
  <c r="D674" i="11"/>
  <c r="E674" i="11"/>
  <c r="F674" i="11"/>
  <c r="G674" i="11"/>
  <c r="I674" i="11"/>
  <c r="J674" i="11"/>
  <c r="K674" i="11"/>
  <c r="A675" i="11"/>
  <c r="C675" i="11"/>
  <c r="D675" i="11"/>
  <c r="E675" i="11"/>
  <c r="F675" i="11"/>
  <c r="G675" i="11"/>
  <c r="I675" i="11"/>
  <c r="J675" i="11"/>
  <c r="K675" i="11"/>
  <c r="A676" i="11"/>
  <c r="C676" i="11"/>
  <c r="D676" i="11"/>
  <c r="E676" i="11"/>
  <c r="F676" i="11"/>
  <c r="G676" i="11"/>
  <c r="I676" i="11"/>
  <c r="J676" i="11"/>
  <c r="K676" i="11"/>
  <c r="A677" i="11"/>
  <c r="C677" i="11"/>
  <c r="D677" i="11"/>
  <c r="E677" i="11"/>
  <c r="F677" i="11"/>
  <c r="G677" i="11"/>
  <c r="I677" i="11"/>
  <c r="J677" i="11"/>
  <c r="K677" i="11"/>
  <c r="A678" i="11"/>
  <c r="C678" i="11"/>
  <c r="D678" i="11"/>
  <c r="E678" i="11"/>
  <c r="F678" i="11"/>
  <c r="G678" i="11"/>
  <c r="I678" i="11"/>
  <c r="J678" i="11"/>
  <c r="K678" i="11"/>
  <c r="A679" i="11"/>
  <c r="C679" i="11"/>
  <c r="D679" i="11"/>
  <c r="E679" i="11"/>
  <c r="F679" i="11"/>
  <c r="G679" i="11"/>
  <c r="I679" i="11"/>
  <c r="J679" i="11"/>
  <c r="K679" i="11"/>
  <c r="A680" i="11"/>
  <c r="C680" i="11"/>
  <c r="D680" i="11"/>
  <c r="E680" i="11"/>
  <c r="F680" i="11"/>
  <c r="G680" i="11"/>
  <c r="I680" i="11"/>
  <c r="J680" i="11"/>
  <c r="K680" i="11"/>
  <c r="A681" i="11"/>
  <c r="C681" i="11"/>
  <c r="D681" i="11"/>
  <c r="E681" i="11"/>
  <c r="F681" i="11"/>
  <c r="G681" i="11"/>
  <c r="I681" i="11"/>
  <c r="J681" i="11"/>
  <c r="K681" i="11"/>
  <c r="A682" i="11"/>
  <c r="C682" i="11"/>
  <c r="D682" i="11"/>
  <c r="E682" i="11"/>
  <c r="F682" i="11"/>
  <c r="G682" i="11"/>
  <c r="I682" i="11"/>
  <c r="J682" i="11"/>
  <c r="K682" i="11"/>
  <c r="A683" i="11"/>
  <c r="C683" i="11"/>
  <c r="D683" i="11"/>
  <c r="E683" i="11"/>
  <c r="F683" i="11"/>
  <c r="G683" i="11"/>
  <c r="I683" i="11"/>
  <c r="J683" i="11"/>
  <c r="K683" i="11"/>
  <c r="A684" i="11"/>
  <c r="C684" i="11"/>
  <c r="D684" i="11"/>
  <c r="E684" i="11"/>
  <c r="F684" i="11"/>
  <c r="G684" i="11"/>
  <c r="I684" i="11"/>
  <c r="J684" i="11"/>
  <c r="K684" i="11"/>
  <c r="A685" i="11"/>
  <c r="C685" i="11"/>
  <c r="D685" i="11"/>
  <c r="E685" i="11"/>
  <c r="F685" i="11"/>
  <c r="G685" i="11"/>
  <c r="I685" i="11"/>
  <c r="J685" i="11"/>
  <c r="K685" i="11"/>
  <c r="A686" i="11"/>
  <c r="C686" i="11"/>
  <c r="D686" i="11"/>
  <c r="E686" i="11"/>
  <c r="F686" i="11"/>
  <c r="G686" i="11"/>
  <c r="I686" i="11"/>
  <c r="J686" i="11"/>
  <c r="K686" i="11"/>
  <c r="A687" i="11"/>
  <c r="C687" i="11"/>
  <c r="D687" i="11"/>
  <c r="E687" i="11"/>
  <c r="F687" i="11"/>
  <c r="G687" i="11"/>
  <c r="I687" i="11"/>
  <c r="J687" i="11"/>
  <c r="K687" i="11"/>
  <c r="A688" i="11"/>
  <c r="C688" i="11"/>
  <c r="D688" i="11"/>
  <c r="E688" i="11"/>
  <c r="F688" i="11"/>
  <c r="G688" i="11"/>
  <c r="I688" i="11"/>
  <c r="J688" i="11"/>
  <c r="K688" i="11"/>
  <c r="A689" i="11"/>
  <c r="C689" i="11"/>
  <c r="D689" i="11"/>
  <c r="E689" i="11"/>
  <c r="F689" i="11"/>
  <c r="G689" i="11"/>
  <c r="I689" i="11"/>
  <c r="J689" i="11"/>
  <c r="K689" i="11"/>
  <c r="A690" i="11"/>
  <c r="C690" i="11"/>
  <c r="D690" i="11"/>
  <c r="E690" i="11"/>
  <c r="F690" i="11"/>
  <c r="G690" i="11"/>
  <c r="I690" i="11"/>
  <c r="J690" i="11"/>
  <c r="K690" i="11"/>
  <c r="A691" i="11"/>
  <c r="C691" i="11"/>
  <c r="D691" i="11"/>
  <c r="E691" i="11"/>
  <c r="F691" i="11"/>
  <c r="G691" i="11"/>
  <c r="I691" i="11"/>
  <c r="J691" i="11"/>
  <c r="K691" i="11"/>
  <c r="A692" i="11"/>
  <c r="C692" i="11"/>
  <c r="D692" i="11"/>
  <c r="E692" i="11"/>
  <c r="F692" i="11"/>
  <c r="G692" i="11"/>
  <c r="I692" i="11"/>
  <c r="J692" i="11"/>
  <c r="K692" i="11"/>
  <c r="A693" i="11"/>
  <c r="C693" i="11"/>
  <c r="D693" i="11"/>
  <c r="E693" i="11"/>
  <c r="F693" i="11"/>
  <c r="G693" i="11"/>
  <c r="I693" i="11"/>
  <c r="J693" i="11"/>
  <c r="K693" i="11"/>
  <c r="A694" i="11"/>
  <c r="C694" i="11"/>
  <c r="D694" i="11"/>
  <c r="E694" i="11"/>
  <c r="F694" i="11"/>
  <c r="G694" i="11"/>
  <c r="I694" i="11"/>
  <c r="J694" i="11"/>
  <c r="K694" i="11"/>
  <c r="A695" i="11"/>
  <c r="C695" i="11"/>
  <c r="D695" i="11"/>
  <c r="E695" i="11"/>
  <c r="F695" i="11"/>
  <c r="G695" i="11"/>
  <c r="I695" i="11"/>
  <c r="J695" i="11"/>
  <c r="K695" i="11"/>
  <c r="A696" i="11"/>
  <c r="C696" i="11"/>
  <c r="D696" i="11"/>
  <c r="E696" i="11"/>
  <c r="F696" i="11"/>
  <c r="G696" i="11"/>
  <c r="I696" i="11"/>
  <c r="J696" i="11"/>
  <c r="K696" i="11"/>
  <c r="A697" i="11"/>
  <c r="C697" i="11"/>
  <c r="D697" i="11"/>
  <c r="E697" i="11"/>
  <c r="F697" i="11"/>
  <c r="G697" i="11"/>
  <c r="I697" i="11"/>
  <c r="J697" i="11"/>
  <c r="K697" i="11"/>
  <c r="A698" i="11"/>
  <c r="C698" i="11"/>
  <c r="D698" i="11"/>
  <c r="E698" i="11"/>
  <c r="F698" i="11"/>
  <c r="G698" i="11"/>
  <c r="I698" i="11"/>
  <c r="J698" i="11"/>
  <c r="K698" i="11"/>
  <c r="A699" i="11"/>
  <c r="C699" i="11"/>
  <c r="D699" i="11"/>
  <c r="E699" i="11"/>
  <c r="F699" i="11"/>
  <c r="G699" i="11"/>
  <c r="I699" i="11"/>
  <c r="J699" i="11"/>
  <c r="K699" i="11"/>
  <c r="A700" i="11"/>
  <c r="C700" i="11"/>
  <c r="D700" i="11"/>
  <c r="E700" i="11"/>
  <c r="F700" i="11"/>
  <c r="G700" i="11"/>
  <c r="I700" i="11"/>
  <c r="J700" i="11"/>
  <c r="K700" i="11"/>
  <c r="A701" i="11"/>
  <c r="C701" i="11"/>
  <c r="D701" i="11"/>
  <c r="E701" i="11"/>
  <c r="F701" i="11"/>
  <c r="G701" i="11"/>
  <c r="I701" i="11"/>
  <c r="J701" i="11"/>
  <c r="K701" i="11"/>
  <c r="A702" i="11"/>
  <c r="C702" i="11"/>
  <c r="D702" i="11"/>
  <c r="E702" i="11"/>
  <c r="F702" i="11"/>
  <c r="G702" i="11"/>
  <c r="I702" i="11"/>
  <c r="J702" i="11"/>
  <c r="K702" i="11"/>
  <c r="A703" i="11"/>
  <c r="C703" i="11"/>
  <c r="D703" i="11"/>
  <c r="E703" i="11"/>
  <c r="F703" i="11"/>
  <c r="G703" i="11"/>
  <c r="I703" i="11"/>
  <c r="J703" i="11"/>
  <c r="K703" i="11"/>
  <c r="A704" i="11"/>
  <c r="C704" i="11"/>
  <c r="D704" i="11"/>
  <c r="E704" i="11"/>
  <c r="F704" i="11"/>
  <c r="G704" i="11"/>
  <c r="I704" i="11"/>
  <c r="J704" i="11"/>
  <c r="K704" i="11"/>
  <c r="A705" i="11"/>
  <c r="C705" i="11"/>
  <c r="D705" i="11"/>
  <c r="E705" i="11"/>
  <c r="F705" i="11"/>
  <c r="G705" i="11"/>
  <c r="I705" i="11"/>
  <c r="J705" i="11"/>
  <c r="K705" i="11"/>
  <c r="A706" i="11"/>
  <c r="C706" i="11"/>
  <c r="D706" i="11"/>
  <c r="E706" i="11"/>
  <c r="F706" i="11"/>
  <c r="G706" i="11"/>
  <c r="I706" i="11"/>
  <c r="J706" i="11"/>
  <c r="K706" i="11"/>
  <c r="A707" i="11"/>
  <c r="C707" i="11"/>
  <c r="D707" i="11"/>
  <c r="E707" i="11"/>
  <c r="F707" i="11"/>
  <c r="G707" i="11"/>
  <c r="I707" i="11"/>
  <c r="J707" i="11"/>
  <c r="K707" i="11"/>
  <c r="A708" i="11"/>
  <c r="C708" i="11"/>
  <c r="D708" i="11"/>
  <c r="E708" i="11"/>
  <c r="F708" i="11"/>
  <c r="G708" i="11"/>
  <c r="I708" i="11"/>
  <c r="J708" i="11"/>
  <c r="K708" i="11"/>
  <c r="A709" i="11"/>
  <c r="C709" i="11"/>
  <c r="D709" i="11"/>
  <c r="E709" i="11"/>
  <c r="F709" i="11"/>
  <c r="G709" i="11"/>
  <c r="I709" i="11"/>
  <c r="J709" i="11"/>
  <c r="K709" i="11"/>
  <c r="A710" i="11"/>
  <c r="C710" i="11"/>
  <c r="D710" i="11"/>
  <c r="E710" i="11"/>
  <c r="F710" i="11"/>
  <c r="G710" i="11"/>
  <c r="I710" i="11"/>
  <c r="J710" i="11"/>
  <c r="K710" i="11"/>
  <c r="A711" i="11"/>
  <c r="C711" i="11"/>
  <c r="D711" i="11"/>
  <c r="E711" i="11"/>
  <c r="F711" i="11"/>
  <c r="G711" i="11"/>
  <c r="I711" i="11"/>
  <c r="J711" i="11"/>
  <c r="K711" i="11"/>
  <c r="A712" i="11"/>
  <c r="C712" i="11"/>
  <c r="D712" i="11"/>
  <c r="E712" i="11"/>
  <c r="F712" i="11"/>
  <c r="G712" i="11"/>
  <c r="I712" i="11"/>
  <c r="J712" i="11"/>
  <c r="K712" i="11"/>
  <c r="A713" i="11"/>
  <c r="C713" i="11"/>
  <c r="D713" i="11"/>
  <c r="E713" i="11"/>
  <c r="F713" i="11"/>
  <c r="G713" i="11"/>
  <c r="I713" i="11"/>
  <c r="J713" i="11"/>
  <c r="K713" i="11"/>
  <c r="A714" i="11"/>
  <c r="C714" i="11"/>
  <c r="D714" i="11"/>
  <c r="E714" i="11"/>
  <c r="F714" i="11"/>
  <c r="G714" i="11"/>
  <c r="I714" i="11"/>
  <c r="J714" i="11"/>
  <c r="K714" i="11"/>
  <c r="A715" i="11"/>
  <c r="C715" i="11"/>
  <c r="D715" i="11"/>
  <c r="E715" i="11"/>
  <c r="F715" i="11"/>
  <c r="G715" i="11"/>
  <c r="I715" i="11"/>
  <c r="J715" i="11"/>
  <c r="K715" i="11"/>
  <c r="A716" i="11"/>
  <c r="C716" i="11"/>
  <c r="D716" i="11"/>
  <c r="E716" i="11"/>
  <c r="F716" i="11"/>
  <c r="G716" i="11"/>
  <c r="I716" i="11"/>
  <c r="J716" i="11"/>
  <c r="K716" i="11"/>
  <c r="A717" i="11"/>
  <c r="C717" i="11"/>
  <c r="D717" i="11"/>
  <c r="E717" i="11"/>
  <c r="F717" i="11"/>
  <c r="G717" i="11"/>
  <c r="I717" i="11"/>
  <c r="J717" i="11"/>
  <c r="K717" i="11"/>
  <c r="A718" i="11"/>
  <c r="C718" i="11"/>
  <c r="D718" i="11"/>
  <c r="E718" i="11"/>
  <c r="F718" i="11"/>
  <c r="G718" i="11"/>
  <c r="I718" i="11"/>
  <c r="J718" i="11"/>
  <c r="K718" i="11"/>
  <c r="A719" i="11"/>
  <c r="C719" i="11"/>
  <c r="D719" i="11"/>
  <c r="E719" i="11"/>
  <c r="F719" i="11"/>
  <c r="G719" i="11"/>
  <c r="I719" i="11"/>
  <c r="J719" i="11"/>
  <c r="K719" i="11"/>
  <c r="A720" i="11"/>
  <c r="C720" i="11"/>
  <c r="D720" i="11"/>
  <c r="E720" i="11"/>
  <c r="F720" i="11"/>
  <c r="G720" i="11"/>
  <c r="I720" i="11"/>
  <c r="J720" i="11"/>
  <c r="K720" i="11"/>
  <c r="A721" i="11"/>
  <c r="C721" i="11"/>
  <c r="D721" i="11"/>
  <c r="E721" i="11"/>
  <c r="F721" i="11"/>
  <c r="G721" i="11"/>
  <c r="I721" i="11"/>
  <c r="J721" i="11"/>
  <c r="K721" i="11"/>
  <c r="A722" i="11"/>
  <c r="C722" i="11"/>
  <c r="D722" i="11"/>
  <c r="E722" i="11"/>
  <c r="F722" i="11"/>
  <c r="G722" i="11"/>
  <c r="I722" i="11"/>
  <c r="J722" i="11"/>
  <c r="K722" i="11"/>
  <c r="A723" i="11"/>
  <c r="C723" i="11"/>
  <c r="D723" i="11"/>
  <c r="E723" i="11"/>
  <c r="F723" i="11"/>
  <c r="G723" i="11"/>
  <c r="I723" i="11"/>
  <c r="J723" i="11"/>
  <c r="K723" i="11"/>
  <c r="A724" i="11"/>
  <c r="C724" i="11"/>
  <c r="D724" i="11"/>
  <c r="E724" i="11"/>
  <c r="F724" i="11"/>
  <c r="G724" i="11"/>
  <c r="I724" i="11"/>
  <c r="J724" i="11"/>
  <c r="K724" i="11"/>
  <c r="A725" i="11"/>
  <c r="C725" i="11"/>
  <c r="D725" i="11"/>
  <c r="E725" i="11"/>
  <c r="F725" i="11"/>
  <c r="G725" i="11"/>
  <c r="I725" i="11"/>
  <c r="J725" i="11"/>
  <c r="K725" i="11"/>
  <c r="A726" i="11"/>
  <c r="C726" i="11"/>
  <c r="D726" i="11"/>
  <c r="E726" i="11"/>
  <c r="F726" i="11"/>
  <c r="G726" i="11"/>
  <c r="I726" i="11"/>
  <c r="J726" i="11"/>
  <c r="K726" i="11"/>
  <c r="A727" i="11"/>
  <c r="C727" i="11"/>
  <c r="D727" i="11"/>
  <c r="E727" i="11"/>
  <c r="F727" i="11"/>
  <c r="G727" i="11"/>
  <c r="I727" i="11"/>
  <c r="J727" i="11"/>
  <c r="K727" i="11"/>
  <c r="A728" i="11"/>
  <c r="C728" i="11"/>
  <c r="D728" i="11"/>
  <c r="E728" i="11"/>
  <c r="F728" i="11"/>
  <c r="G728" i="11"/>
  <c r="I728" i="11"/>
  <c r="J728" i="11"/>
  <c r="K728" i="11"/>
  <c r="A729" i="11"/>
  <c r="C729" i="11"/>
  <c r="D729" i="11"/>
  <c r="E729" i="11"/>
  <c r="F729" i="11"/>
  <c r="G729" i="11"/>
  <c r="I729" i="11"/>
  <c r="J729" i="11"/>
  <c r="K729" i="11"/>
  <c r="A730" i="11"/>
  <c r="C730" i="11"/>
  <c r="D730" i="11"/>
  <c r="E730" i="11"/>
  <c r="F730" i="11"/>
  <c r="G730" i="11"/>
  <c r="I730" i="11"/>
  <c r="J730" i="11"/>
  <c r="K730" i="11"/>
  <c r="A731" i="11"/>
  <c r="C731" i="11"/>
  <c r="D731" i="11"/>
  <c r="E731" i="11"/>
  <c r="F731" i="11"/>
  <c r="G731" i="11"/>
  <c r="I731" i="11"/>
  <c r="J731" i="11"/>
  <c r="K731" i="11"/>
  <c r="A732" i="11"/>
  <c r="C732" i="11"/>
  <c r="D732" i="11"/>
  <c r="E732" i="11"/>
  <c r="F732" i="11"/>
  <c r="G732" i="11"/>
  <c r="I732" i="11"/>
  <c r="J732" i="11"/>
  <c r="K732" i="11"/>
  <c r="A733" i="11"/>
  <c r="C733" i="11"/>
  <c r="D733" i="11"/>
  <c r="E733" i="11"/>
  <c r="F733" i="11"/>
  <c r="G733" i="11"/>
  <c r="I733" i="11"/>
  <c r="J733" i="11"/>
  <c r="K733" i="11"/>
  <c r="A734" i="11"/>
  <c r="C734" i="11"/>
  <c r="D734" i="11"/>
  <c r="E734" i="11"/>
  <c r="F734" i="11"/>
  <c r="G734" i="11"/>
  <c r="I734" i="11"/>
  <c r="J734" i="11"/>
  <c r="K734" i="11"/>
  <c r="A735" i="11"/>
  <c r="C735" i="11"/>
  <c r="D735" i="11"/>
  <c r="E735" i="11"/>
  <c r="F735" i="11"/>
  <c r="G735" i="11"/>
  <c r="I735" i="11"/>
  <c r="J735" i="11"/>
  <c r="K735" i="11"/>
  <c r="A736" i="11"/>
  <c r="C736" i="11"/>
  <c r="D736" i="11"/>
  <c r="E736" i="11"/>
  <c r="F736" i="11"/>
  <c r="G736" i="11"/>
  <c r="I736" i="11"/>
  <c r="J736" i="11"/>
  <c r="K736" i="11"/>
  <c r="A737" i="11"/>
  <c r="C737" i="11"/>
  <c r="D737" i="11"/>
  <c r="E737" i="11"/>
  <c r="F737" i="11"/>
  <c r="G737" i="11"/>
  <c r="I737" i="11"/>
  <c r="J737" i="11"/>
  <c r="K737" i="11"/>
  <c r="A738" i="11"/>
  <c r="C738" i="11"/>
  <c r="D738" i="11"/>
  <c r="E738" i="11"/>
  <c r="F738" i="11"/>
  <c r="G738" i="11"/>
  <c r="I738" i="11"/>
  <c r="J738" i="11"/>
  <c r="K738" i="11"/>
  <c r="A739" i="11"/>
  <c r="C739" i="11"/>
  <c r="D739" i="11"/>
  <c r="E739" i="11"/>
  <c r="F739" i="11"/>
  <c r="G739" i="11"/>
  <c r="I739" i="11"/>
  <c r="J739" i="11"/>
  <c r="K739" i="11"/>
  <c r="A740" i="11"/>
  <c r="C740" i="11"/>
  <c r="D740" i="11"/>
  <c r="E740" i="11"/>
  <c r="F740" i="11"/>
  <c r="G740" i="11"/>
  <c r="I740" i="11"/>
  <c r="J740" i="11"/>
  <c r="K740" i="11"/>
  <c r="A741" i="11"/>
  <c r="C741" i="11"/>
  <c r="D741" i="11"/>
  <c r="E741" i="11"/>
  <c r="F741" i="11"/>
  <c r="G741" i="11"/>
  <c r="I741" i="11"/>
  <c r="J741" i="11"/>
  <c r="K741" i="11"/>
  <c r="A742" i="11"/>
  <c r="C742" i="11"/>
  <c r="D742" i="11"/>
  <c r="E742" i="11"/>
  <c r="F742" i="11"/>
  <c r="G742" i="11"/>
  <c r="I742" i="11"/>
  <c r="J742" i="11"/>
  <c r="K742" i="11"/>
  <c r="A743" i="11"/>
  <c r="C743" i="11"/>
  <c r="D743" i="11"/>
  <c r="E743" i="11"/>
  <c r="F743" i="11"/>
  <c r="G743" i="11"/>
  <c r="I743" i="11"/>
  <c r="J743" i="11"/>
  <c r="K743" i="11"/>
  <c r="A744" i="11"/>
  <c r="C744" i="11"/>
  <c r="D744" i="11"/>
  <c r="E744" i="11"/>
  <c r="F744" i="11"/>
  <c r="G744" i="11"/>
  <c r="I744" i="11"/>
  <c r="J744" i="11"/>
  <c r="K744" i="11"/>
  <c r="A745" i="11"/>
  <c r="C745" i="11"/>
  <c r="D745" i="11"/>
  <c r="E745" i="11"/>
  <c r="F745" i="11"/>
  <c r="G745" i="11"/>
  <c r="I745" i="11"/>
  <c r="J745" i="11"/>
  <c r="K745" i="11"/>
  <c r="A746" i="11"/>
  <c r="C746" i="11"/>
  <c r="D746" i="11"/>
  <c r="E746" i="11"/>
  <c r="F746" i="11"/>
  <c r="G746" i="11"/>
  <c r="I746" i="11"/>
  <c r="J746" i="11"/>
  <c r="K746" i="11"/>
  <c r="A747" i="11"/>
  <c r="C747" i="11"/>
  <c r="D747" i="11"/>
  <c r="E747" i="11"/>
  <c r="F747" i="11"/>
  <c r="G747" i="11"/>
  <c r="I747" i="11"/>
  <c r="J747" i="11"/>
  <c r="K747" i="11"/>
  <c r="A748" i="11"/>
  <c r="C748" i="11"/>
  <c r="D748" i="11"/>
  <c r="E748" i="11"/>
  <c r="F748" i="11"/>
  <c r="G748" i="11"/>
  <c r="I748" i="11"/>
  <c r="J748" i="11"/>
  <c r="K748" i="11"/>
  <c r="A749" i="11"/>
  <c r="C749" i="11"/>
  <c r="D749" i="11"/>
  <c r="E749" i="11"/>
  <c r="F749" i="11"/>
  <c r="G749" i="11"/>
  <c r="I749" i="11"/>
  <c r="J749" i="11"/>
  <c r="K749" i="11"/>
  <c r="A750" i="11"/>
  <c r="C750" i="11"/>
  <c r="D750" i="11"/>
  <c r="E750" i="11"/>
  <c r="F750" i="11"/>
  <c r="G750" i="11"/>
  <c r="I750" i="11"/>
  <c r="J750" i="11"/>
  <c r="K750" i="11"/>
  <c r="A751" i="11"/>
  <c r="C751" i="11"/>
  <c r="D751" i="11"/>
  <c r="E751" i="11"/>
  <c r="F751" i="11"/>
  <c r="G751" i="11"/>
  <c r="I751" i="11"/>
  <c r="J751" i="11"/>
  <c r="K751" i="11"/>
  <c r="A752" i="11"/>
  <c r="C752" i="11"/>
  <c r="D752" i="11"/>
  <c r="E752" i="11"/>
  <c r="F752" i="11"/>
  <c r="G752" i="11"/>
  <c r="I752" i="11"/>
  <c r="J752" i="11"/>
  <c r="K752" i="11"/>
  <c r="A753" i="11"/>
  <c r="C753" i="11"/>
  <c r="D753" i="11"/>
  <c r="E753" i="11"/>
  <c r="F753" i="11"/>
  <c r="G753" i="11"/>
  <c r="I753" i="11"/>
  <c r="J753" i="11"/>
  <c r="K753" i="11"/>
  <c r="A754" i="11"/>
  <c r="C754" i="11"/>
  <c r="D754" i="11"/>
  <c r="E754" i="11"/>
  <c r="F754" i="11"/>
  <c r="G754" i="11"/>
  <c r="I754" i="11"/>
  <c r="J754" i="11"/>
  <c r="K754" i="11"/>
  <c r="A755" i="11"/>
  <c r="C755" i="11"/>
  <c r="D755" i="11"/>
  <c r="E755" i="11"/>
  <c r="F755" i="11"/>
  <c r="G755" i="11"/>
  <c r="I755" i="11"/>
  <c r="J755" i="11"/>
  <c r="K755" i="11"/>
  <c r="A756" i="11"/>
  <c r="C756" i="11"/>
  <c r="D756" i="11"/>
  <c r="E756" i="11"/>
  <c r="F756" i="11"/>
  <c r="G756" i="11"/>
  <c r="I756" i="11"/>
  <c r="J756" i="11"/>
  <c r="K756" i="11"/>
  <c r="A757" i="11"/>
  <c r="C757" i="11"/>
  <c r="D757" i="11"/>
  <c r="E757" i="11"/>
  <c r="F757" i="11"/>
  <c r="G757" i="11"/>
  <c r="I757" i="11"/>
  <c r="J757" i="11"/>
  <c r="K757" i="11"/>
  <c r="A758" i="11"/>
  <c r="C758" i="11"/>
  <c r="D758" i="11"/>
  <c r="E758" i="11"/>
  <c r="F758" i="11"/>
  <c r="G758" i="11"/>
  <c r="I758" i="11"/>
  <c r="J758" i="11"/>
  <c r="K758" i="11"/>
  <c r="A759" i="11"/>
  <c r="C759" i="11"/>
  <c r="D759" i="11"/>
  <c r="E759" i="11"/>
  <c r="F759" i="11"/>
  <c r="G759" i="11"/>
  <c r="I759" i="11"/>
  <c r="J759" i="11"/>
  <c r="K759" i="11"/>
  <c r="A760" i="11"/>
  <c r="C760" i="11"/>
  <c r="D760" i="11"/>
  <c r="E760" i="11"/>
  <c r="F760" i="11"/>
  <c r="G760" i="11"/>
  <c r="I760" i="11"/>
  <c r="J760" i="11"/>
  <c r="K760" i="11"/>
  <c r="A761" i="11"/>
  <c r="C761" i="11"/>
  <c r="D761" i="11"/>
  <c r="E761" i="11"/>
  <c r="F761" i="11"/>
  <c r="G761" i="11"/>
  <c r="I761" i="11"/>
  <c r="J761" i="11"/>
  <c r="K761" i="11"/>
  <c r="A762" i="11"/>
  <c r="C762" i="11"/>
  <c r="D762" i="11"/>
  <c r="E762" i="11"/>
  <c r="F762" i="11"/>
  <c r="G762" i="11"/>
  <c r="I762" i="11"/>
  <c r="J762" i="11"/>
  <c r="K762" i="11"/>
  <c r="A763" i="11"/>
  <c r="C763" i="11"/>
  <c r="D763" i="11"/>
  <c r="E763" i="11"/>
  <c r="F763" i="11"/>
  <c r="G763" i="11"/>
  <c r="I763" i="11"/>
  <c r="J763" i="11"/>
  <c r="K763" i="11"/>
  <c r="A764" i="11"/>
  <c r="C764" i="11"/>
  <c r="D764" i="11"/>
  <c r="E764" i="11"/>
  <c r="F764" i="11"/>
  <c r="G764" i="11"/>
  <c r="I764" i="11"/>
  <c r="J764" i="11"/>
  <c r="K764" i="11"/>
  <c r="A765" i="11"/>
  <c r="C765" i="11"/>
  <c r="D765" i="11"/>
  <c r="E765" i="11"/>
  <c r="F765" i="11"/>
  <c r="G765" i="11"/>
  <c r="I765" i="11"/>
  <c r="J765" i="11"/>
  <c r="K765" i="11"/>
  <c r="A766" i="11"/>
  <c r="C766" i="11"/>
  <c r="D766" i="11"/>
  <c r="E766" i="11"/>
  <c r="F766" i="11"/>
  <c r="G766" i="11"/>
  <c r="I766" i="11"/>
  <c r="J766" i="11"/>
  <c r="K766" i="11"/>
  <c r="A767" i="11"/>
  <c r="C767" i="11"/>
  <c r="D767" i="11"/>
  <c r="E767" i="11"/>
  <c r="F767" i="11"/>
  <c r="G767" i="11"/>
  <c r="I767" i="11"/>
  <c r="J767" i="11"/>
  <c r="K767" i="11"/>
  <c r="A768" i="11"/>
  <c r="C768" i="11"/>
  <c r="D768" i="11"/>
  <c r="E768" i="11"/>
  <c r="F768" i="11"/>
  <c r="G768" i="11"/>
  <c r="I768" i="11"/>
  <c r="J768" i="11"/>
  <c r="K768" i="11"/>
  <c r="A769" i="11"/>
  <c r="C769" i="11"/>
  <c r="D769" i="11"/>
  <c r="E769" i="11"/>
  <c r="F769" i="11"/>
  <c r="G769" i="11"/>
  <c r="I769" i="11"/>
  <c r="J769" i="11"/>
  <c r="K769" i="11"/>
  <c r="A770" i="11"/>
  <c r="C770" i="11"/>
  <c r="D770" i="11"/>
  <c r="E770" i="11"/>
  <c r="F770" i="11"/>
  <c r="G770" i="11"/>
  <c r="I770" i="11"/>
  <c r="J770" i="11"/>
  <c r="K770" i="11"/>
  <c r="A771" i="11"/>
  <c r="C771" i="11"/>
  <c r="D771" i="11"/>
  <c r="E771" i="11"/>
  <c r="F771" i="11"/>
  <c r="G771" i="11"/>
  <c r="I771" i="11"/>
  <c r="J771" i="11"/>
  <c r="K771" i="11"/>
  <c r="A772" i="11"/>
  <c r="C772" i="11"/>
  <c r="D772" i="11"/>
  <c r="E772" i="11"/>
  <c r="F772" i="11"/>
  <c r="G772" i="11"/>
  <c r="I772" i="11"/>
  <c r="J772" i="11"/>
  <c r="K772" i="11"/>
  <c r="A773" i="11"/>
  <c r="C773" i="11"/>
  <c r="D773" i="11"/>
  <c r="E773" i="11"/>
  <c r="F773" i="11"/>
  <c r="G773" i="11"/>
  <c r="I773" i="11"/>
  <c r="J773" i="11"/>
  <c r="K773" i="11"/>
  <c r="A774" i="11"/>
  <c r="C774" i="11"/>
  <c r="D774" i="11"/>
  <c r="E774" i="11"/>
  <c r="F774" i="11"/>
  <c r="G774" i="11"/>
  <c r="I774" i="11"/>
  <c r="J774" i="11"/>
  <c r="K774" i="11"/>
  <c r="A775" i="11"/>
  <c r="C775" i="11"/>
  <c r="D775" i="11"/>
  <c r="E775" i="11"/>
  <c r="F775" i="11"/>
  <c r="G775" i="11"/>
  <c r="I775" i="11"/>
  <c r="J775" i="11"/>
  <c r="K775" i="11"/>
  <c r="A776" i="11"/>
  <c r="C776" i="11"/>
  <c r="D776" i="11"/>
  <c r="E776" i="11"/>
  <c r="F776" i="11"/>
  <c r="G776" i="11"/>
  <c r="I776" i="11"/>
  <c r="J776" i="11"/>
  <c r="K776" i="11"/>
  <c r="A777" i="11"/>
  <c r="C777" i="11"/>
  <c r="D777" i="11"/>
  <c r="E777" i="11"/>
  <c r="F777" i="11"/>
  <c r="G777" i="11"/>
  <c r="I777" i="11"/>
  <c r="J777" i="11"/>
  <c r="K777" i="11"/>
  <c r="A778" i="11"/>
  <c r="C778" i="11"/>
  <c r="D778" i="11"/>
  <c r="E778" i="11"/>
  <c r="F778" i="11"/>
  <c r="G778" i="11"/>
  <c r="I778" i="11"/>
  <c r="J778" i="11"/>
  <c r="K778" i="11"/>
  <c r="A779" i="11"/>
  <c r="C779" i="11"/>
  <c r="D779" i="11"/>
  <c r="E779" i="11"/>
  <c r="F779" i="11"/>
  <c r="G779" i="11"/>
  <c r="I779" i="11"/>
  <c r="J779" i="11"/>
  <c r="K779" i="11"/>
  <c r="A780" i="11"/>
  <c r="C780" i="11"/>
  <c r="D780" i="11"/>
  <c r="E780" i="11"/>
  <c r="F780" i="11"/>
  <c r="G780" i="11"/>
  <c r="I780" i="11"/>
  <c r="J780" i="11"/>
  <c r="K780" i="11"/>
  <c r="A781" i="11"/>
  <c r="C781" i="11"/>
  <c r="D781" i="11"/>
  <c r="E781" i="11"/>
  <c r="F781" i="11"/>
  <c r="G781" i="11"/>
  <c r="I781" i="11"/>
  <c r="J781" i="11"/>
  <c r="K781" i="11"/>
  <c r="A782" i="11"/>
  <c r="C782" i="11"/>
  <c r="D782" i="11"/>
  <c r="E782" i="11"/>
  <c r="F782" i="11"/>
  <c r="G782" i="11"/>
  <c r="I782" i="11"/>
  <c r="J782" i="11"/>
  <c r="K782" i="11"/>
  <c r="A783" i="11"/>
  <c r="C783" i="11"/>
  <c r="D783" i="11"/>
  <c r="E783" i="11"/>
  <c r="F783" i="11"/>
  <c r="G783" i="11"/>
  <c r="I783" i="11"/>
  <c r="J783" i="11"/>
  <c r="K783" i="11"/>
  <c r="A784" i="11"/>
  <c r="C784" i="11"/>
  <c r="D784" i="11"/>
  <c r="E784" i="11"/>
  <c r="F784" i="11"/>
  <c r="G784" i="11"/>
  <c r="I784" i="11"/>
  <c r="J784" i="11"/>
  <c r="K784" i="11"/>
  <c r="A785" i="11"/>
  <c r="C785" i="11"/>
  <c r="D785" i="11"/>
  <c r="E785" i="11"/>
  <c r="F785" i="11"/>
  <c r="G785" i="11"/>
  <c r="I785" i="11"/>
  <c r="J785" i="11"/>
  <c r="K785" i="11"/>
  <c r="A786" i="11"/>
  <c r="C786" i="11"/>
  <c r="D786" i="11"/>
  <c r="E786" i="11"/>
  <c r="F786" i="11"/>
  <c r="G786" i="11"/>
  <c r="I786" i="11"/>
  <c r="J786" i="11"/>
  <c r="K786" i="11"/>
  <c r="A787" i="11"/>
  <c r="C787" i="11"/>
  <c r="D787" i="11"/>
  <c r="E787" i="11"/>
  <c r="F787" i="11"/>
  <c r="G787" i="11"/>
  <c r="I787" i="11"/>
  <c r="J787" i="11"/>
  <c r="K787" i="11"/>
  <c r="A788" i="11"/>
  <c r="C788" i="11"/>
  <c r="D788" i="11"/>
  <c r="E788" i="11"/>
  <c r="F788" i="11"/>
  <c r="G788" i="11"/>
  <c r="I788" i="11"/>
  <c r="J788" i="11"/>
  <c r="K788" i="11"/>
  <c r="A789" i="11"/>
  <c r="C789" i="11"/>
  <c r="D789" i="11"/>
  <c r="E789" i="11"/>
  <c r="F789" i="11"/>
  <c r="G789" i="11"/>
  <c r="I789" i="11"/>
  <c r="J789" i="11"/>
  <c r="K789" i="11"/>
  <c r="A790" i="11"/>
  <c r="C790" i="11"/>
  <c r="D790" i="11"/>
  <c r="E790" i="11"/>
  <c r="F790" i="11"/>
  <c r="G790" i="11"/>
  <c r="I790" i="11"/>
  <c r="J790" i="11"/>
  <c r="K790" i="11"/>
  <c r="A791" i="11"/>
  <c r="C791" i="11"/>
  <c r="D791" i="11"/>
  <c r="E791" i="11"/>
  <c r="F791" i="11"/>
  <c r="G791" i="11"/>
  <c r="I791" i="11"/>
  <c r="J791" i="11"/>
  <c r="K791" i="11"/>
  <c r="A792" i="11"/>
  <c r="C792" i="11"/>
  <c r="D792" i="11"/>
  <c r="E792" i="11"/>
  <c r="F792" i="11"/>
  <c r="G792" i="11"/>
  <c r="I792" i="11"/>
  <c r="J792" i="11"/>
  <c r="K792" i="11"/>
  <c r="A793" i="11"/>
  <c r="C793" i="11"/>
  <c r="D793" i="11"/>
  <c r="E793" i="11"/>
  <c r="F793" i="11"/>
  <c r="G793" i="11"/>
  <c r="I793" i="11"/>
  <c r="J793" i="11"/>
  <c r="K793" i="11"/>
  <c r="A794" i="11"/>
  <c r="C794" i="11"/>
  <c r="D794" i="11"/>
  <c r="E794" i="11"/>
  <c r="F794" i="11"/>
  <c r="G794" i="11"/>
  <c r="I794" i="11"/>
  <c r="J794" i="11"/>
  <c r="K794" i="11"/>
  <c r="A795" i="11"/>
  <c r="C795" i="11"/>
  <c r="D795" i="11"/>
  <c r="E795" i="11"/>
  <c r="F795" i="11"/>
  <c r="G795" i="11"/>
  <c r="I795" i="11"/>
  <c r="J795" i="11"/>
  <c r="K795" i="11"/>
  <c r="A796" i="11"/>
  <c r="C796" i="11"/>
  <c r="D796" i="11"/>
  <c r="E796" i="11"/>
  <c r="F796" i="11"/>
  <c r="G796" i="11"/>
  <c r="I796" i="11"/>
  <c r="J796" i="11"/>
  <c r="K796" i="11"/>
  <c r="A797" i="11"/>
  <c r="C797" i="11"/>
  <c r="D797" i="11"/>
  <c r="E797" i="11"/>
  <c r="F797" i="11"/>
  <c r="G797" i="11"/>
  <c r="I797" i="11"/>
  <c r="J797" i="11"/>
  <c r="K797" i="11"/>
  <c r="A798" i="11"/>
  <c r="C798" i="11"/>
  <c r="D798" i="11"/>
  <c r="E798" i="11"/>
  <c r="F798" i="11"/>
  <c r="G798" i="11"/>
  <c r="I798" i="11"/>
  <c r="J798" i="11"/>
  <c r="K798" i="11"/>
  <c r="A799" i="11"/>
  <c r="C799" i="11"/>
  <c r="D799" i="11"/>
  <c r="E799" i="11"/>
  <c r="F799" i="11"/>
  <c r="G799" i="11"/>
  <c r="I799" i="11"/>
  <c r="J799" i="11"/>
  <c r="K799" i="11"/>
  <c r="A800" i="11"/>
  <c r="C800" i="11"/>
  <c r="D800" i="11"/>
  <c r="E800" i="11"/>
  <c r="F800" i="11"/>
  <c r="G800" i="11"/>
  <c r="I800" i="11"/>
  <c r="J800" i="11"/>
  <c r="K800" i="11"/>
  <c r="A801" i="11"/>
  <c r="C801" i="11"/>
  <c r="D801" i="11"/>
  <c r="E801" i="11"/>
  <c r="F801" i="11"/>
  <c r="G801" i="11"/>
  <c r="I801" i="11"/>
  <c r="J801" i="11"/>
  <c r="K801" i="11"/>
  <c r="A802" i="11"/>
  <c r="C802" i="11"/>
  <c r="D802" i="11"/>
  <c r="E802" i="11"/>
  <c r="F802" i="11"/>
  <c r="G802" i="11"/>
  <c r="I802" i="11"/>
  <c r="J802" i="11"/>
  <c r="K802" i="11"/>
  <c r="A803" i="11"/>
  <c r="C803" i="11"/>
  <c r="D803" i="11"/>
  <c r="E803" i="11"/>
  <c r="F803" i="11"/>
  <c r="G803" i="11"/>
  <c r="I803" i="11"/>
  <c r="J803" i="11"/>
  <c r="K803" i="11"/>
  <c r="A804" i="11"/>
  <c r="C804" i="11"/>
  <c r="D804" i="11"/>
  <c r="E804" i="11"/>
  <c r="F804" i="11"/>
  <c r="G804" i="11"/>
  <c r="I804" i="11"/>
  <c r="J804" i="11"/>
  <c r="K804" i="11"/>
  <c r="A805" i="11"/>
  <c r="C805" i="11"/>
  <c r="D805" i="11"/>
  <c r="E805" i="11"/>
  <c r="F805" i="11"/>
  <c r="G805" i="11"/>
  <c r="I805" i="11"/>
  <c r="J805" i="11"/>
  <c r="K805" i="11"/>
  <c r="A806" i="11"/>
  <c r="C806" i="11"/>
  <c r="D806" i="11"/>
  <c r="E806" i="11"/>
  <c r="F806" i="11"/>
  <c r="G806" i="11"/>
  <c r="I806" i="11"/>
  <c r="J806" i="11"/>
  <c r="K806" i="11"/>
  <c r="A807" i="11"/>
  <c r="C807" i="11"/>
  <c r="D807" i="11"/>
  <c r="E807" i="11"/>
  <c r="F807" i="11"/>
  <c r="G807" i="11"/>
  <c r="I807" i="11"/>
  <c r="J807" i="11"/>
  <c r="K807" i="11"/>
  <c r="A808" i="11"/>
  <c r="C808" i="11"/>
  <c r="D808" i="11"/>
  <c r="E808" i="11"/>
  <c r="F808" i="11"/>
  <c r="G808" i="11"/>
  <c r="I808" i="11"/>
  <c r="J808" i="11"/>
  <c r="K808" i="11"/>
  <c r="A809" i="11"/>
  <c r="C809" i="11"/>
  <c r="D809" i="11"/>
  <c r="E809" i="11"/>
  <c r="F809" i="11"/>
  <c r="G809" i="11"/>
  <c r="I809" i="11"/>
  <c r="J809" i="11"/>
  <c r="K809" i="11"/>
  <c r="A810" i="11"/>
  <c r="C810" i="11"/>
  <c r="D810" i="11"/>
  <c r="E810" i="11"/>
  <c r="F810" i="11"/>
  <c r="G810" i="11"/>
  <c r="I810" i="11"/>
  <c r="J810" i="11"/>
  <c r="K810" i="11"/>
  <c r="A811" i="11"/>
  <c r="C811" i="11"/>
  <c r="D811" i="11"/>
  <c r="E811" i="11"/>
  <c r="F811" i="11"/>
  <c r="G811" i="11"/>
  <c r="I811" i="11"/>
  <c r="J811" i="11"/>
  <c r="K811" i="11"/>
  <c r="A812" i="11"/>
  <c r="C812" i="11"/>
  <c r="D812" i="11"/>
  <c r="E812" i="11"/>
  <c r="F812" i="11"/>
  <c r="G812" i="11"/>
  <c r="I812" i="11"/>
  <c r="J812" i="11"/>
  <c r="K812" i="11"/>
  <c r="A813" i="11"/>
  <c r="C813" i="11"/>
  <c r="D813" i="11"/>
  <c r="E813" i="11"/>
  <c r="F813" i="11"/>
  <c r="G813" i="11"/>
  <c r="I813" i="11"/>
  <c r="J813" i="11"/>
  <c r="K813" i="11"/>
  <c r="A814" i="11"/>
  <c r="C814" i="11"/>
  <c r="D814" i="11"/>
  <c r="E814" i="11"/>
  <c r="F814" i="11"/>
  <c r="G814" i="11"/>
  <c r="I814" i="11"/>
  <c r="J814" i="11"/>
  <c r="K814" i="11"/>
  <c r="A815" i="11"/>
  <c r="C815" i="11"/>
  <c r="D815" i="11"/>
  <c r="E815" i="11"/>
  <c r="F815" i="11"/>
  <c r="G815" i="11"/>
  <c r="I815" i="11"/>
  <c r="J815" i="11"/>
  <c r="K815" i="11"/>
  <c r="A816" i="11"/>
  <c r="C816" i="11"/>
  <c r="D816" i="11"/>
  <c r="E816" i="11"/>
  <c r="F816" i="11"/>
  <c r="G816" i="11"/>
  <c r="I816" i="11"/>
  <c r="J816" i="11"/>
  <c r="K816" i="11"/>
  <c r="A817" i="11"/>
  <c r="C817" i="11"/>
  <c r="D817" i="11"/>
  <c r="E817" i="11"/>
  <c r="F817" i="11"/>
  <c r="G817" i="11"/>
  <c r="I817" i="11"/>
  <c r="J817" i="11"/>
  <c r="K817" i="11"/>
  <c r="A818" i="11"/>
  <c r="C818" i="11"/>
  <c r="D818" i="11"/>
  <c r="E818" i="11"/>
  <c r="F818" i="11"/>
  <c r="G818" i="11"/>
  <c r="I818" i="11"/>
  <c r="J818" i="11"/>
  <c r="K818" i="11"/>
  <c r="A819" i="11"/>
  <c r="C819" i="11"/>
  <c r="D819" i="11"/>
  <c r="E819" i="11"/>
  <c r="F819" i="11"/>
  <c r="G819" i="11"/>
  <c r="I819" i="11"/>
  <c r="J819" i="11"/>
  <c r="K819" i="11"/>
  <c r="A820" i="11"/>
  <c r="C820" i="11"/>
  <c r="D820" i="11"/>
  <c r="E820" i="11"/>
  <c r="F820" i="11"/>
  <c r="G820" i="11"/>
  <c r="I820" i="11"/>
  <c r="J820" i="11"/>
  <c r="K820" i="11"/>
  <c r="A821" i="11"/>
  <c r="C821" i="11"/>
  <c r="D821" i="11"/>
  <c r="E821" i="11"/>
  <c r="F821" i="11"/>
  <c r="G821" i="11"/>
  <c r="I821" i="11"/>
  <c r="J821" i="11"/>
  <c r="K821" i="11"/>
  <c r="A822" i="11"/>
  <c r="C822" i="11"/>
  <c r="D822" i="11"/>
  <c r="E822" i="11"/>
  <c r="F822" i="11"/>
  <c r="G822" i="11"/>
  <c r="I822" i="11"/>
  <c r="J822" i="11"/>
  <c r="K822" i="11"/>
  <c r="A823" i="11"/>
  <c r="C823" i="11"/>
  <c r="D823" i="11"/>
  <c r="E823" i="11"/>
  <c r="F823" i="11"/>
  <c r="G823" i="11"/>
  <c r="I823" i="11"/>
  <c r="J823" i="11"/>
  <c r="K823" i="11"/>
  <c r="A824" i="11"/>
  <c r="C824" i="11"/>
  <c r="D824" i="11"/>
  <c r="E824" i="11"/>
  <c r="F824" i="11"/>
  <c r="G824" i="11"/>
  <c r="I824" i="11"/>
  <c r="J824" i="11"/>
  <c r="K824" i="11"/>
  <c r="A825" i="11"/>
  <c r="C825" i="11"/>
  <c r="D825" i="11"/>
  <c r="E825" i="11"/>
  <c r="F825" i="11"/>
  <c r="G825" i="11"/>
  <c r="I825" i="11"/>
  <c r="J825" i="11"/>
  <c r="K825" i="11"/>
  <c r="A826" i="11"/>
  <c r="C826" i="11"/>
  <c r="D826" i="11"/>
  <c r="E826" i="11"/>
  <c r="F826" i="11"/>
  <c r="G826" i="11"/>
  <c r="I826" i="11"/>
  <c r="J826" i="11"/>
  <c r="K826" i="11"/>
  <c r="A827" i="11"/>
  <c r="C827" i="11"/>
  <c r="D827" i="11"/>
  <c r="E827" i="11"/>
  <c r="F827" i="11"/>
  <c r="G827" i="11"/>
  <c r="I827" i="11"/>
  <c r="J827" i="11"/>
  <c r="K827" i="11"/>
  <c r="A828" i="11"/>
  <c r="C828" i="11"/>
  <c r="D828" i="11"/>
  <c r="E828" i="11"/>
  <c r="F828" i="11"/>
  <c r="G828" i="11"/>
  <c r="I828" i="11"/>
  <c r="J828" i="11"/>
  <c r="K828" i="11"/>
  <c r="A829" i="11"/>
  <c r="C829" i="11"/>
  <c r="D829" i="11"/>
  <c r="E829" i="11"/>
  <c r="F829" i="11"/>
  <c r="G829" i="11"/>
  <c r="I829" i="11"/>
  <c r="J829" i="11"/>
  <c r="K829" i="11"/>
  <c r="A830" i="11"/>
  <c r="C830" i="11"/>
  <c r="D830" i="11"/>
  <c r="E830" i="11"/>
  <c r="F830" i="11"/>
  <c r="G830" i="11"/>
  <c r="I830" i="11"/>
  <c r="J830" i="11"/>
  <c r="K830" i="11"/>
  <c r="A831" i="11"/>
  <c r="C831" i="11"/>
  <c r="D831" i="11"/>
  <c r="E831" i="11"/>
  <c r="F831" i="11"/>
  <c r="G831" i="11"/>
  <c r="I831" i="11"/>
  <c r="J831" i="11"/>
  <c r="K831" i="11"/>
  <c r="A832" i="11"/>
  <c r="C832" i="11"/>
  <c r="D832" i="11"/>
  <c r="E832" i="11"/>
  <c r="F832" i="11"/>
  <c r="G832" i="11"/>
  <c r="I832" i="11"/>
  <c r="J832" i="11"/>
  <c r="K832" i="11"/>
  <c r="A833" i="11"/>
  <c r="C833" i="11"/>
  <c r="D833" i="11"/>
  <c r="E833" i="11"/>
  <c r="F833" i="11"/>
  <c r="G833" i="11"/>
  <c r="I833" i="11"/>
  <c r="J833" i="11"/>
  <c r="K833" i="11"/>
  <c r="A834" i="11"/>
  <c r="C834" i="11"/>
  <c r="D834" i="11"/>
  <c r="E834" i="11"/>
  <c r="F834" i="11"/>
  <c r="G834" i="11"/>
  <c r="I834" i="11"/>
  <c r="J834" i="11"/>
  <c r="K834" i="11"/>
  <c r="A835" i="11"/>
  <c r="C835" i="11"/>
  <c r="D835" i="11"/>
  <c r="E835" i="11"/>
  <c r="F835" i="11"/>
  <c r="G835" i="11"/>
  <c r="I835" i="11"/>
  <c r="J835" i="11"/>
  <c r="K835" i="11"/>
  <c r="A836" i="11"/>
  <c r="C836" i="11"/>
  <c r="D836" i="11"/>
  <c r="E836" i="11"/>
  <c r="F836" i="11"/>
  <c r="G836" i="11"/>
  <c r="I836" i="11"/>
  <c r="J836" i="11"/>
  <c r="K836" i="11"/>
  <c r="A837" i="11"/>
  <c r="C837" i="11"/>
  <c r="D837" i="11"/>
  <c r="E837" i="11"/>
  <c r="F837" i="11"/>
  <c r="G837" i="11"/>
  <c r="I837" i="11"/>
  <c r="J837" i="11"/>
  <c r="K837" i="11"/>
  <c r="A838" i="11"/>
  <c r="C838" i="11"/>
  <c r="D838" i="11"/>
  <c r="E838" i="11"/>
  <c r="F838" i="11"/>
  <c r="G838" i="11"/>
  <c r="I838" i="11"/>
  <c r="J838" i="11"/>
  <c r="K838" i="11"/>
  <c r="A839" i="11"/>
  <c r="C839" i="11"/>
  <c r="D839" i="11"/>
  <c r="E839" i="11"/>
  <c r="F839" i="11"/>
  <c r="G839" i="11"/>
  <c r="I839" i="11"/>
  <c r="J839" i="11"/>
  <c r="K839" i="11"/>
  <c r="A840" i="11"/>
  <c r="C840" i="11"/>
  <c r="D840" i="11"/>
  <c r="E840" i="11"/>
  <c r="F840" i="11"/>
  <c r="G840" i="11"/>
  <c r="I840" i="11"/>
  <c r="J840" i="11"/>
  <c r="K840" i="11"/>
  <c r="A841" i="11"/>
  <c r="C841" i="11"/>
  <c r="D841" i="11"/>
  <c r="E841" i="11"/>
  <c r="F841" i="11"/>
  <c r="G841" i="11"/>
  <c r="I841" i="11"/>
  <c r="J841" i="11"/>
  <c r="K841" i="11"/>
  <c r="A842" i="11"/>
  <c r="C842" i="11"/>
  <c r="D842" i="11"/>
  <c r="E842" i="11"/>
  <c r="F842" i="11"/>
  <c r="G842" i="11"/>
  <c r="I842" i="11"/>
  <c r="J842" i="11"/>
  <c r="K842" i="11"/>
  <c r="A843" i="11"/>
  <c r="C843" i="11"/>
  <c r="D843" i="11"/>
  <c r="E843" i="11"/>
  <c r="F843" i="11"/>
  <c r="G843" i="11"/>
  <c r="I843" i="11"/>
  <c r="J843" i="11"/>
  <c r="K843" i="11"/>
  <c r="A844" i="11"/>
  <c r="C844" i="11"/>
  <c r="D844" i="11"/>
  <c r="E844" i="11"/>
  <c r="F844" i="11"/>
  <c r="G844" i="11"/>
  <c r="I844" i="11"/>
  <c r="J844" i="11"/>
  <c r="K844" i="11"/>
  <c r="A845" i="11"/>
  <c r="C845" i="11"/>
  <c r="D845" i="11"/>
  <c r="E845" i="11"/>
  <c r="F845" i="11"/>
  <c r="G845" i="11"/>
  <c r="I845" i="11"/>
  <c r="J845" i="11"/>
  <c r="K845" i="11"/>
  <c r="A846" i="11"/>
  <c r="C846" i="11"/>
  <c r="D846" i="11"/>
  <c r="E846" i="11"/>
  <c r="F846" i="11"/>
  <c r="G846" i="11"/>
  <c r="I846" i="11"/>
  <c r="J846" i="11"/>
  <c r="K846" i="11"/>
  <c r="A847" i="11"/>
  <c r="C847" i="11"/>
  <c r="D847" i="11"/>
  <c r="E847" i="11"/>
  <c r="F847" i="11"/>
  <c r="G847" i="11"/>
  <c r="I847" i="11"/>
  <c r="J847" i="11"/>
  <c r="K847" i="11"/>
  <c r="A848" i="11"/>
  <c r="C848" i="11"/>
  <c r="D848" i="11"/>
  <c r="E848" i="11"/>
  <c r="F848" i="11"/>
  <c r="G848" i="11"/>
  <c r="I848" i="11"/>
  <c r="J848" i="11"/>
  <c r="K848" i="11"/>
  <c r="A849" i="11"/>
  <c r="C849" i="11"/>
  <c r="D849" i="11"/>
  <c r="E849" i="11"/>
  <c r="F849" i="11"/>
  <c r="G849" i="11"/>
  <c r="I849" i="11"/>
  <c r="J849" i="11"/>
  <c r="K849" i="11"/>
  <c r="A850" i="11"/>
  <c r="C850" i="11"/>
  <c r="D850" i="11"/>
  <c r="E850" i="11"/>
  <c r="F850" i="11"/>
  <c r="G850" i="11"/>
  <c r="I850" i="11"/>
  <c r="J850" i="11"/>
  <c r="K850" i="11"/>
  <c r="A851" i="11"/>
  <c r="C851" i="11"/>
  <c r="D851" i="11"/>
  <c r="E851" i="11"/>
  <c r="F851" i="11"/>
  <c r="G851" i="11"/>
  <c r="I851" i="11"/>
  <c r="J851" i="11"/>
  <c r="K851" i="11"/>
  <c r="A852" i="11"/>
  <c r="C852" i="11"/>
  <c r="D852" i="11"/>
  <c r="E852" i="11"/>
  <c r="F852" i="11"/>
  <c r="G852" i="11"/>
  <c r="I852" i="11"/>
  <c r="J852" i="11"/>
  <c r="K852" i="11"/>
  <c r="A853" i="11"/>
  <c r="C853" i="11"/>
  <c r="D853" i="11"/>
  <c r="E853" i="11"/>
  <c r="F853" i="11"/>
  <c r="G853" i="11"/>
  <c r="I853" i="11"/>
  <c r="J853" i="11"/>
  <c r="K853" i="11"/>
  <c r="A854" i="11"/>
  <c r="C854" i="11"/>
  <c r="D854" i="11"/>
  <c r="E854" i="11"/>
  <c r="F854" i="11"/>
  <c r="G854" i="11"/>
  <c r="I854" i="11"/>
  <c r="J854" i="11"/>
  <c r="K854" i="11"/>
  <c r="A855" i="11"/>
  <c r="C855" i="11"/>
  <c r="D855" i="11"/>
  <c r="E855" i="11"/>
  <c r="F855" i="11"/>
  <c r="G855" i="11"/>
  <c r="I855" i="11"/>
  <c r="J855" i="11"/>
  <c r="K855" i="11"/>
  <c r="A856" i="11"/>
  <c r="C856" i="11"/>
  <c r="D856" i="11"/>
  <c r="E856" i="11"/>
  <c r="F856" i="11"/>
  <c r="G856" i="11"/>
  <c r="I856" i="11"/>
  <c r="J856" i="11"/>
  <c r="K856" i="11"/>
  <c r="A857" i="11"/>
  <c r="C857" i="11"/>
  <c r="D857" i="11"/>
  <c r="E857" i="11"/>
  <c r="F857" i="11"/>
  <c r="G857" i="11"/>
  <c r="I857" i="11"/>
  <c r="J857" i="11"/>
  <c r="K857" i="11"/>
  <c r="A858" i="11"/>
  <c r="C858" i="11"/>
  <c r="D858" i="11"/>
  <c r="E858" i="11"/>
  <c r="F858" i="11"/>
  <c r="G858" i="11"/>
  <c r="I858" i="11"/>
  <c r="J858" i="11"/>
  <c r="K858" i="11"/>
  <c r="A859" i="11"/>
  <c r="C859" i="11"/>
  <c r="D859" i="11"/>
  <c r="E859" i="11"/>
  <c r="F859" i="11"/>
  <c r="G859" i="11"/>
  <c r="I859" i="11"/>
  <c r="J859" i="11"/>
  <c r="K859" i="11"/>
  <c r="A860" i="11"/>
  <c r="C860" i="11"/>
  <c r="D860" i="11"/>
  <c r="E860" i="11"/>
  <c r="F860" i="11"/>
  <c r="G860" i="11"/>
  <c r="I860" i="11"/>
  <c r="J860" i="11"/>
  <c r="K860" i="11"/>
  <c r="A861" i="11"/>
  <c r="C861" i="11"/>
  <c r="D861" i="11"/>
  <c r="E861" i="11"/>
  <c r="F861" i="11"/>
  <c r="G861" i="11"/>
  <c r="I861" i="11"/>
  <c r="J861" i="11"/>
  <c r="K861" i="11"/>
  <c r="A862" i="11"/>
  <c r="C862" i="11"/>
  <c r="D862" i="11"/>
  <c r="E862" i="11"/>
  <c r="F862" i="11"/>
  <c r="G862" i="11"/>
  <c r="I862" i="11"/>
  <c r="J862" i="11"/>
  <c r="K862" i="11"/>
  <c r="A863" i="11"/>
  <c r="C863" i="11"/>
  <c r="D863" i="11"/>
  <c r="E863" i="11"/>
  <c r="F863" i="11"/>
  <c r="G863" i="11"/>
  <c r="I863" i="11"/>
  <c r="J863" i="11"/>
  <c r="K863" i="11"/>
  <c r="A864" i="11"/>
  <c r="C864" i="11"/>
  <c r="D864" i="11"/>
  <c r="E864" i="11"/>
  <c r="F864" i="11"/>
  <c r="G864" i="11"/>
  <c r="I864" i="11"/>
  <c r="J864" i="11"/>
  <c r="K864" i="11"/>
  <c r="A865" i="11"/>
  <c r="C865" i="11"/>
  <c r="D865" i="11"/>
  <c r="E865" i="11"/>
  <c r="F865" i="11"/>
  <c r="G865" i="11"/>
  <c r="I865" i="11"/>
  <c r="J865" i="11"/>
  <c r="K865" i="11"/>
  <c r="A866" i="11"/>
  <c r="C866" i="11"/>
  <c r="D866" i="11"/>
  <c r="E866" i="11"/>
  <c r="F866" i="11"/>
  <c r="G866" i="11"/>
  <c r="I866" i="11"/>
  <c r="J866" i="11"/>
  <c r="K866" i="11"/>
  <c r="A867" i="11"/>
  <c r="C867" i="11"/>
  <c r="D867" i="11"/>
  <c r="E867" i="11"/>
  <c r="F867" i="11"/>
  <c r="G867" i="11"/>
  <c r="I867" i="11"/>
  <c r="J867" i="11"/>
  <c r="K867" i="11"/>
  <c r="A868" i="11"/>
  <c r="C868" i="11"/>
  <c r="D868" i="11"/>
  <c r="E868" i="11"/>
  <c r="F868" i="11"/>
  <c r="G868" i="11"/>
  <c r="I868" i="11"/>
  <c r="J868" i="11"/>
  <c r="K868" i="11"/>
  <c r="A869" i="11"/>
  <c r="C869" i="11"/>
  <c r="D869" i="11"/>
  <c r="E869" i="11"/>
  <c r="F869" i="11"/>
  <c r="G869" i="11"/>
  <c r="I869" i="11"/>
  <c r="J869" i="11"/>
  <c r="K869" i="11"/>
  <c r="A870" i="11"/>
  <c r="C870" i="11"/>
  <c r="D870" i="11"/>
  <c r="E870" i="11"/>
  <c r="F870" i="11"/>
  <c r="G870" i="11"/>
  <c r="I870" i="11"/>
  <c r="J870" i="11"/>
  <c r="K870" i="11"/>
  <c r="A871" i="11"/>
  <c r="C871" i="11"/>
  <c r="D871" i="11"/>
  <c r="E871" i="11"/>
  <c r="F871" i="11"/>
  <c r="G871" i="11"/>
  <c r="I871" i="11"/>
  <c r="J871" i="11"/>
  <c r="K871" i="11"/>
  <c r="A872" i="11"/>
  <c r="C872" i="11"/>
  <c r="D872" i="11"/>
  <c r="E872" i="11"/>
  <c r="F872" i="11"/>
  <c r="G872" i="11"/>
  <c r="I872" i="11"/>
  <c r="J872" i="11"/>
  <c r="K872" i="11"/>
  <c r="A873" i="11"/>
  <c r="C873" i="11"/>
  <c r="D873" i="11"/>
  <c r="E873" i="11"/>
  <c r="F873" i="11"/>
  <c r="G873" i="11"/>
  <c r="I873" i="11"/>
  <c r="J873" i="11"/>
  <c r="K873" i="11"/>
  <c r="A874" i="11"/>
  <c r="C874" i="11"/>
  <c r="D874" i="11"/>
  <c r="E874" i="11"/>
  <c r="F874" i="11"/>
  <c r="G874" i="11"/>
  <c r="I874" i="11"/>
  <c r="J874" i="11"/>
  <c r="K874" i="11"/>
  <c r="A875" i="11"/>
  <c r="C875" i="11"/>
  <c r="D875" i="11"/>
  <c r="E875" i="11"/>
  <c r="F875" i="11"/>
  <c r="G875" i="11"/>
  <c r="I875" i="11"/>
  <c r="J875" i="11"/>
  <c r="K875" i="11"/>
  <c r="A876" i="11"/>
  <c r="C876" i="11"/>
  <c r="D876" i="11"/>
  <c r="E876" i="11"/>
  <c r="F876" i="11"/>
  <c r="G876" i="11"/>
  <c r="I876" i="11"/>
  <c r="J876" i="11"/>
  <c r="K876" i="11"/>
  <c r="A877" i="11"/>
  <c r="C877" i="11"/>
  <c r="D877" i="11"/>
  <c r="E877" i="11"/>
  <c r="F877" i="11"/>
  <c r="G877" i="11"/>
  <c r="I877" i="11"/>
  <c r="J877" i="11"/>
  <c r="K877" i="11"/>
  <c r="A878" i="11"/>
  <c r="C878" i="11"/>
  <c r="D878" i="11"/>
  <c r="E878" i="11"/>
  <c r="F878" i="11"/>
  <c r="G878" i="11"/>
  <c r="I878" i="11"/>
  <c r="J878" i="11"/>
  <c r="K878" i="11"/>
  <c r="A879" i="11"/>
  <c r="C879" i="11"/>
  <c r="D879" i="11"/>
  <c r="E879" i="11"/>
  <c r="F879" i="11"/>
  <c r="G879" i="11"/>
  <c r="I879" i="11"/>
  <c r="J879" i="11"/>
  <c r="K879" i="11"/>
  <c r="A880" i="11"/>
  <c r="C880" i="11"/>
  <c r="D880" i="11"/>
  <c r="E880" i="11"/>
  <c r="F880" i="11"/>
  <c r="G880" i="11"/>
  <c r="I880" i="11"/>
  <c r="J880" i="11"/>
  <c r="K880" i="11"/>
  <c r="A881" i="11"/>
  <c r="C881" i="11"/>
  <c r="D881" i="11"/>
  <c r="E881" i="11"/>
  <c r="F881" i="11"/>
  <c r="G881" i="11"/>
  <c r="I881" i="11"/>
  <c r="J881" i="11"/>
  <c r="K881" i="11"/>
  <c r="A882" i="11"/>
  <c r="C882" i="11"/>
  <c r="D882" i="11"/>
  <c r="E882" i="11"/>
  <c r="F882" i="11"/>
  <c r="G882" i="11"/>
  <c r="I882" i="11"/>
  <c r="J882" i="11"/>
  <c r="K882" i="11"/>
  <c r="A883" i="11"/>
  <c r="C883" i="11"/>
  <c r="D883" i="11"/>
  <c r="E883" i="11"/>
  <c r="F883" i="11"/>
  <c r="G883" i="11"/>
  <c r="I883" i="11"/>
  <c r="J883" i="11"/>
  <c r="K883" i="11"/>
  <c r="A884" i="11"/>
  <c r="C884" i="11"/>
  <c r="D884" i="11"/>
  <c r="E884" i="11"/>
  <c r="F884" i="11"/>
  <c r="G884" i="11"/>
  <c r="I884" i="11"/>
  <c r="J884" i="11"/>
  <c r="K884" i="11"/>
  <c r="A885" i="11"/>
  <c r="C885" i="11"/>
  <c r="D885" i="11"/>
  <c r="E885" i="11"/>
  <c r="F885" i="11"/>
  <c r="G885" i="11"/>
  <c r="I885" i="11"/>
  <c r="J885" i="11"/>
  <c r="K885" i="11"/>
  <c r="A886" i="11"/>
  <c r="C886" i="11"/>
  <c r="D886" i="11"/>
  <c r="E886" i="11"/>
  <c r="F886" i="11"/>
  <c r="G886" i="11"/>
  <c r="I886" i="11"/>
  <c r="J886" i="11"/>
  <c r="K886" i="11"/>
  <c r="A887" i="11"/>
  <c r="C887" i="11"/>
  <c r="D887" i="11"/>
  <c r="E887" i="11"/>
  <c r="F887" i="11"/>
  <c r="G887" i="11"/>
  <c r="I887" i="11"/>
  <c r="J887" i="11"/>
  <c r="K887" i="11"/>
  <c r="A888" i="11"/>
  <c r="C888" i="11"/>
  <c r="D888" i="11"/>
  <c r="E888" i="11"/>
  <c r="F888" i="11"/>
  <c r="G888" i="11"/>
  <c r="I888" i="11"/>
  <c r="J888" i="11"/>
  <c r="K888" i="11"/>
  <c r="A889" i="11"/>
  <c r="C889" i="11"/>
  <c r="D889" i="11"/>
  <c r="E889" i="11"/>
  <c r="F889" i="11"/>
  <c r="G889" i="11"/>
  <c r="I889" i="11"/>
  <c r="J889" i="11"/>
  <c r="K889" i="11"/>
  <c r="A890" i="11"/>
  <c r="C890" i="11"/>
  <c r="D890" i="11"/>
  <c r="E890" i="11"/>
  <c r="F890" i="11"/>
  <c r="G890" i="11"/>
  <c r="I890" i="11"/>
  <c r="J890" i="11"/>
  <c r="K890" i="11"/>
  <c r="A891" i="11"/>
  <c r="C891" i="11"/>
  <c r="D891" i="11"/>
  <c r="E891" i="11"/>
  <c r="F891" i="11"/>
  <c r="G891" i="11"/>
  <c r="I891" i="11"/>
  <c r="J891" i="11"/>
  <c r="K891" i="11"/>
  <c r="A892" i="11"/>
  <c r="C892" i="11"/>
  <c r="D892" i="11"/>
  <c r="E892" i="11"/>
  <c r="F892" i="11"/>
  <c r="G892" i="11"/>
  <c r="I892" i="11"/>
  <c r="J892" i="11"/>
  <c r="K892" i="11"/>
  <c r="A893" i="11"/>
  <c r="C893" i="11"/>
  <c r="D893" i="11"/>
  <c r="E893" i="11"/>
  <c r="F893" i="11"/>
  <c r="G893" i="11"/>
  <c r="I893" i="11"/>
  <c r="J893" i="11"/>
  <c r="K893" i="11"/>
  <c r="A894" i="11"/>
  <c r="C894" i="11"/>
  <c r="D894" i="11"/>
  <c r="E894" i="11"/>
  <c r="F894" i="11"/>
  <c r="G894" i="11"/>
  <c r="I894" i="11"/>
  <c r="J894" i="11"/>
  <c r="K894" i="11"/>
  <c r="A895" i="11"/>
  <c r="C895" i="11"/>
  <c r="D895" i="11"/>
  <c r="E895" i="11"/>
  <c r="F895" i="11"/>
  <c r="G895" i="11"/>
  <c r="I895" i="11"/>
  <c r="J895" i="11"/>
  <c r="K895" i="11"/>
  <c r="A896" i="11"/>
  <c r="C896" i="11"/>
  <c r="D896" i="11"/>
  <c r="E896" i="11"/>
  <c r="F896" i="11"/>
  <c r="G896" i="11"/>
  <c r="I896" i="11"/>
  <c r="J896" i="11"/>
  <c r="K896" i="11"/>
  <c r="A897" i="11"/>
  <c r="C897" i="11"/>
  <c r="D897" i="11"/>
  <c r="E897" i="11"/>
  <c r="F897" i="11"/>
  <c r="G897" i="11"/>
  <c r="I897" i="11"/>
  <c r="J897" i="11"/>
  <c r="K897" i="11"/>
  <c r="A898" i="11"/>
  <c r="C898" i="11"/>
  <c r="D898" i="11"/>
  <c r="E898" i="11"/>
  <c r="F898" i="11"/>
  <c r="G898" i="11"/>
  <c r="I898" i="11"/>
  <c r="J898" i="11"/>
  <c r="K898" i="11"/>
  <c r="A899" i="11"/>
  <c r="C899" i="11"/>
  <c r="D899" i="11"/>
  <c r="E899" i="11"/>
  <c r="F899" i="11"/>
  <c r="G899" i="11"/>
  <c r="I899" i="11"/>
  <c r="J899" i="11"/>
  <c r="K899" i="11"/>
  <c r="A900" i="11"/>
  <c r="C900" i="11"/>
  <c r="D900" i="11"/>
  <c r="E900" i="11"/>
  <c r="F900" i="11"/>
  <c r="G900" i="11"/>
  <c r="I900" i="11"/>
  <c r="J900" i="11"/>
  <c r="K900" i="11"/>
  <c r="A901" i="11"/>
  <c r="C901" i="11"/>
  <c r="D901" i="11"/>
  <c r="E901" i="11"/>
  <c r="F901" i="11"/>
  <c r="G901" i="11"/>
  <c r="I901" i="11"/>
  <c r="J901" i="11"/>
  <c r="K901" i="11"/>
  <c r="A902" i="11"/>
  <c r="C902" i="11"/>
  <c r="D902" i="11"/>
  <c r="E902" i="11"/>
  <c r="F902" i="11"/>
  <c r="G902" i="11"/>
  <c r="I902" i="11"/>
  <c r="J902" i="11"/>
  <c r="K902" i="11"/>
  <c r="A903" i="11"/>
  <c r="C903" i="11"/>
  <c r="D903" i="11"/>
  <c r="E903" i="11"/>
  <c r="F903" i="11"/>
  <c r="G903" i="11"/>
  <c r="I903" i="11"/>
  <c r="J903" i="11"/>
  <c r="K903" i="11"/>
  <c r="A904" i="11"/>
  <c r="C904" i="11"/>
  <c r="D904" i="11"/>
  <c r="E904" i="11"/>
  <c r="F904" i="11"/>
  <c r="G904" i="11"/>
  <c r="I904" i="11"/>
  <c r="J904" i="11"/>
  <c r="K904" i="11"/>
  <c r="A905" i="11"/>
  <c r="C905" i="11"/>
  <c r="D905" i="11"/>
  <c r="E905" i="11"/>
  <c r="F905" i="11"/>
  <c r="G905" i="11"/>
  <c r="I905" i="11"/>
  <c r="J905" i="11"/>
  <c r="K905" i="11"/>
  <c r="A906" i="11"/>
  <c r="C906" i="11"/>
  <c r="D906" i="11"/>
  <c r="E906" i="11"/>
  <c r="F906" i="11"/>
  <c r="G906" i="11"/>
  <c r="I906" i="11"/>
  <c r="J906" i="11"/>
  <c r="K906" i="11"/>
  <c r="A907" i="11"/>
  <c r="C907" i="11"/>
  <c r="D907" i="11"/>
  <c r="E907" i="11"/>
  <c r="F907" i="11"/>
  <c r="G907" i="11"/>
  <c r="I907" i="11"/>
  <c r="J907" i="11"/>
  <c r="K907" i="11"/>
  <c r="A908" i="11"/>
  <c r="C908" i="11"/>
  <c r="D908" i="11"/>
  <c r="E908" i="11"/>
  <c r="F908" i="11"/>
  <c r="G908" i="11"/>
  <c r="I908" i="11"/>
  <c r="J908" i="11"/>
  <c r="K908" i="11"/>
  <c r="A909" i="11"/>
  <c r="C909" i="11"/>
  <c r="D909" i="11"/>
  <c r="E909" i="11"/>
  <c r="F909" i="11"/>
  <c r="G909" i="11"/>
  <c r="I909" i="11"/>
  <c r="J909" i="11"/>
  <c r="K909" i="11"/>
  <c r="A910" i="11"/>
  <c r="C910" i="11"/>
  <c r="D910" i="11"/>
  <c r="E910" i="11"/>
  <c r="F910" i="11"/>
  <c r="G910" i="11"/>
  <c r="I910" i="11"/>
  <c r="J910" i="11"/>
  <c r="K910" i="11"/>
  <c r="A911" i="11"/>
  <c r="C911" i="11"/>
  <c r="D911" i="11"/>
  <c r="E911" i="11"/>
  <c r="F911" i="11"/>
  <c r="G911" i="11"/>
  <c r="I911" i="11"/>
  <c r="J911" i="11"/>
  <c r="K911" i="11"/>
  <c r="A912" i="11"/>
  <c r="C912" i="11"/>
  <c r="D912" i="11"/>
  <c r="E912" i="11"/>
  <c r="F912" i="11"/>
  <c r="G912" i="11"/>
  <c r="I912" i="11"/>
  <c r="J912" i="11"/>
  <c r="K912" i="11"/>
  <c r="A913" i="11"/>
  <c r="C913" i="11"/>
  <c r="D913" i="11"/>
  <c r="E913" i="11"/>
  <c r="F913" i="11"/>
  <c r="G913" i="11"/>
  <c r="I913" i="11"/>
  <c r="J913" i="11"/>
  <c r="K913" i="11"/>
  <c r="A914" i="11"/>
  <c r="C914" i="11"/>
  <c r="D914" i="11"/>
  <c r="E914" i="11"/>
  <c r="F914" i="11"/>
  <c r="G914" i="11"/>
  <c r="I914" i="11"/>
  <c r="J914" i="11"/>
  <c r="K914" i="11"/>
  <c r="A915" i="11"/>
  <c r="C915" i="11"/>
  <c r="D915" i="11"/>
  <c r="E915" i="11"/>
  <c r="F915" i="11"/>
  <c r="G915" i="11"/>
  <c r="I915" i="11"/>
  <c r="J915" i="11"/>
  <c r="K915" i="11"/>
  <c r="A916" i="11"/>
  <c r="C916" i="11"/>
  <c r="D916" i="11"/>
  <c r="E916" i="11"/>
  <c r="F916" i="11"/>
  <c r="G916" i="11"/>
  <c r="I916" i="11"/>
  <c r="J916" i="11"/>
  <c r="K916" i="11"/>
  <c r="A917" i="11"/>
  <c r="C917" i="11"/>
  <c r="D917" i="11"/>
  <c r="E917" i="11"/>
  <c r="F917" i="11"/>
  <c r="G917" i="11"/>
  <c r="I917" i="11"/>
  <c r="J917" i="11"/>
  <c r="K917" i="11"/>
  <c r="A918" i="11"/>
  <c r="C918" i="11"/>
  <c r="D918" i="11"/>
  <c r="E918" i="11"/>
  <c r="F918" i="11"/>
  <c r="G918" i="11"/>
  <c r="I918" i="11"/>
  <c r="J918" i="11"/>
  <c r="K918" i="11"/>
  <c r="A919" i="11"/>
  <c r="C919" i="11"/>
  <c r="D919" i="11"/>
  <c r="E919" i="11"/>
  <c r="F919" i="11"/>
  <c r="G919" i="11"/>
  <c r="I919" i="11"/>
  <c r="J919" i="11"/>
  <c r="K919" i="11"/>
  <c r="A920" i="11"/>
  <c r="C920" i="11"/>
  <c r="D920" i="11"/>
  <c r="E920" i="11"/>
  <c r="F920" i="11"/>
  <c r="G920" i="11"/>
  <c r="I920" i="11"/>
  <c r="J920" i="11"/>
  <c r="K920" i="11"/>
  <c r="A921" i="11"/>
  <c r="C921" i="11"/>
  <c r="D921" i="11"/>
  <c r="E921" i="11"/>
  <c r="F921" i="11"/>
  <c r="G921" i="11"/>
  <c r="I921" i="11"/>
  <c r="J921" i="11"/>
  <c r="K921" i="11"/>
  <c r="A922" i="11"/>
  <c r="C922" i="11"/>
  <c r="D922" i="11"/>
  <c r="E922" i="11"/>
  <c r="F922" i="11"/>
  <c r="G922" i="11"/>
  <c r="I922" i="11"/>
  <c r="J922" i="11"/>
  <c r="K922" i="11"/>
  <c r="A923" i="11"/>
  <c r="C923" i="11"/>
  <c r="D923" i="11"/>
  <c r="E923" i="11"/>
  <c r="F923" i="11"/>
  <c r="G923" i="11"/>
  <c r="I923" i="11"/>
  <c r="J923" i="11"/>
  <c r="K923" i="11"/>
  <c r="A924" i="11"/>
  <c r="C924" i="11"/>
  <c r="D924" i="11"/>
  <c r="E924" i="11"/>
  <c r="F924" i="11"/>
  <c r="G924" i="11"/>
  <c r="I924" i="11"/>
  <c r="J924" i="11"/>
  <c r="K924" i="11"/>
  <c r="A925" i="11"/>
  <c r="C925" i="11"/>
  <c r="D925" i="11"/>
  <c r="E925" i="11"/>
  <c r="F925" i="11"/>
  <c r="G925" i="11"/>
  <c r="I925" i="11"/>
  <c r="J925" i="11"/>
  <c r="K925" i="11"/>
  <c r="A926" i="11"/>
  <c r="C926" i="11"/>
  <c r="D926" i="11"/>
  <c r="E926" i="11"/>
  <c r="F926" i="11"/>
  <c r="G926" i="11"/>
  <c r="I926" i="11"/>
  <c r="J926" i="11"/>
  <c r="K926" i="11"/>
  <c r="A927" i="11"/>
  <c r="C927" i="11"/>
  <c r="D927" i="11"/>
  <c r="E927" i="11"/>
  <c r="F927" i="11"/>
  <c r="G927" i="11"/>
  <c r="I927" i="11"/>
  <c r="J927" i="11"/>
  <c r="K927" i="11"/>
  <c r="A928" i="11"/>
  <c r="C928" i="11"/>
  <c r="D928" i="11"/>
  <c r="E928" i="11"/>
  <c r="F928" i="11"/>
  <c r="G928" i="11"/>
  <c r="I928" i="11"/>
  <c r="J928" i="11"/>
  <c r="K928" i="11"/>
  <c r="A929" i="11"/>
  <c r="C929" i="11"/>
  <c r="D929" i="11"/>
  <c r="E929" i="11"/>
  <c r="F929" i="11"/>
  <c r="G929" i="11"/>
  <c r="I929" i="11"/>
  <c r="J929" i="11"/>
  <c r="K929" i="11"/>
  <c r="A930" i="11"/>
  <c r="C930" i="11"/>
  <c r="D930" i="11"/>
  <c r="E930" i="11"/>
  <c r="F930" i="11"/>
  <c r="G930" i="11"/>
  <c r="I930" i="11"/>
  <c r="J930" i="11"/>
  <c r="K930" i="11"/>
  <c r="A931" i="11"/>
  <c r="C931" i="11"/>
  <c r="D931" i="11"/>
  <c r="E931" i="11"/>
  <c r="F931" i="11"/>
  <c r="G931" i="11"/>
  <c r="I931" i="11"/>
  <c r="J931" i="11"/>
  <c r="K931" i="11"/>
  <c r="A932" i="11"/>
  <c r="C932" i="11"/>
  <c r="D932" i="11"/>
  <c r="E932" i="11"/>
  <c r="F932" i="11"/>
  <c r="G932" i="11"/>
  <c r="I932" i="11"/>
  <c r="J932" i="11"/>
  <c r="K932" i="11"/>
  <c r="A933" i="11"/>
  <c r="C933" i="11"/>
  <c r="D933" i="11"/>
  <c r="E933" i="11"/>
  <c r="F933" i="11"/>
  <c r="G933" i="11"/>
  <c r="I933" i="11"/>
  <c r="J933" i="11"/>
  <c r="K933" i="11"/>
  <c r="A934" i="11"/>
  <c r="C934" i="11"/>
  <c r="D934" i="11"/>
  <c r="E934" i="11"/>
  <c r="F934" i="11"/>
  <c r="G934" i="11"/>
  <c r="I934" i="11"/>
  <c r="J934" i="11"/>
  <c r="K934" i="11"/>
  <c r="A935" i="11"/>
  <c r="C935" i="11"/>
  <c r="D935" i="11"/>
  <c r="E935" i="11"/>
  <c r="F935" i="11"/>
  <c r="G935" i="11"/>
  <c r="I935" i="11"/>
  <c r="J935" i="11"/>
  <c r="K935" i="11"/>
  <c r="A936" i="11"/>
  <c r="C936" i="11"/>
  <c r="D936" i="11"/>
  <c r="E936" i="11"/>
  <c r="F936" i="11"/>
  <c r="G936" i="11"/>
  <c r="I936" i="11"/>
  <c r="J936" i="11"/>
  <c r="K936" i="11"/>
  <c r="A937" i="11"/>
  <c r="C937" i="11"/>
  <c r="D937" i="11"/>
  <c r="E937" i="11"/>
  <c r="F937" i="11"/>
  <c r="G937" i="11"/>
  <c r="I937" i="11"/>
  <c r="J937" i="11"/>
  <c r="K937" i="11"/>
  <c r="A938" i="11"/>
  <c r="C938" i="11"/>
  <c r="D938" i="11"/>
  <c r="E938" i="11"/>
  <c r="F938" i="11"/>
  <c r="G938" i="11"/>
  <c r="I938" i="11"/>
  <c r="J938" i="11"/>
  <c r="K938" i="11"/>
  <c r="A939" i="11"/>
  <c r="C939" i="11"/>
  <c r="D939" i="11"/>
  <c r="E939" i="11"/>
  <c r="F939" i="11"/>
  <c r="G939" i="11"/>
  <c r="I939" i="11"/>
  <c r="J939" i="11"/>
  <c r="K939" i="11"/>
  <c r="A940" i="11"/>
  <c r="C940" i="11"/>
  <c r="D940" i="11"/>
  <c r="E940" i="11"/>
  <c r="F940" i="11"/>
  <c r="G940" i="11"/>
  <c r="I940" i="11"/>
  <c r="J940" i="11"/>
  <c r="K940" i="11"/>
  <c r="A941" i="11"/>
  <c r="C941" i="11"/>
  <c r="D941" i="11"/>
  <c r="E941" i="11"/>
  <c r="F941" i="11"/>
  <c r="G941" i="11"/>
  <c r="I941" i="11"/>
  <c r="J941" i="11"/>
  <c r="K941" i="11"/>
  <c r="A942" i="11"/>
  <c r="C942" i="11"/>
  <c r="D942" i="11"/>
  <c r="E942" i="11"/>
  <c r="F942" i="11"/>
  <c r="G942" i="11"/>
  <c r="I942" i="11"/>
  <c r="J942" i="11"/>
  <c r="K942" i="11"/>
  <c r="A943" i="11"/>
  <c r="C943" i="11"/>
  <c r="D943" i="11"/>
  <c r="E943" i="11"/>
  <c r="F943" i="11"/>
  <c r="G943" i="11"/>
  <c r="I943" i="11"/>
  <c r="J943" i="11"/>
  <c r="K943" i="11"/>
  <c r="A944" i="11"/>
  <c r="C944" i="11"/>
  <c r="D944" i="11"/>
  <c r="E944" i="11"/>
  <c r="F944" i="11"/>
  <c r="G944" i="11"/>
  <c r="I944" i="11"/>
  <c r="J944" i="11"/>
  <c r="K944" i="11"/>
  <c r="A945" i="11"/>
  <c r="C945" i="11"/>
  <c r="D945" i="11"/>
  <c r="E945" i="11"/>
  <c r="F945" i="11"/>
  <c r="G945" i="11"/>
  <c r="I945" i="11"/>
  <c r="J945" i="11"/>
  <c r="K945" i="11"/>
  <c r="A946" i="11"/>
  <c r="C946" i="11"/>
  <c r="D946" i="11"/>
  <c r="E946" i="11"/>
  <c r="F946" i="11"/>
  <c r="G946" i="11"/>
  <c r="I946" i="11"/>
  <c r="J946" i="11"/>
  <c r="K946" i="11"/>
  <c r="A947" i="11"/>
  <c r="C947" i="11"/>
  <c r="D947" i="11"/>
  <c r="E947" i="11"/>
  <c r="F947" i="11"/>
  <c r="G947" i="11"/>
  <c r="I947" i="11"/>
  <c r="J947" i="11"/>
  <c r="K947" i="11"/>
  <c r="A948" i="11"/>
  <c r="C948" i="11"/>
  <c r="D948" i="11"/>
  <c r="E948" i="11"/>
  <c r="F948" i="11"/>
  <c r="G948" i="11"/>
  <c r="I948" i="11"/>
  <c r="J948" i="11"/>
  <c r="K948" i="11"/>
  <c r="A949" i="11"/>
  <c r="C949" i="11"/>
  <c r="D949" i="11"/>
  <c r="E949" i="11"/>
  <c r="F949" i="11"/>
  <c r="G949" i="11"/>
  <c r="I949" i="11"/>
  <c r="J949" i="11"/>
  <c r="K949" i="11"/>
  <c r="A950" i="11"/>
  <c r="C950" i="11"/>
  <c r="D950" i="11"/>
  <c r="E950" i="11"/>
  <c r="F950" i="11"/>
  <c r="G950" i="11"/>
  <c r="I950" i="11"/>
  <c r="J950" i="11"/>
  <c r="K950" i="11"/>
  <c r="A951" i="11"/>
  <c r="C951" i="11"/>
  <c r="D951" i="11"/>
  <c r="E951" i="11"/>
  <c r="F951" i="11"/>
  <c r="G951" i="11"/>
  <c r="I951" i="11"/>
  <c r="J951" i="11"/>
  <c r="K951" i="11"/>
  <c r="A952" i="11"/>
  <c r="C952" i="11"/>
  <c r="D952" i="11"/>
  <c r="E952" i="11"/>
  <c r="F952" i="11"/>
  <c r="G952" i="11"/>
  <c r="I952" i="11"/>
  <c r="J952" i="11"/>
  <c r="K952" i="11"/>
  <c r="A953" i="11"/>
  <c r="C953" i="11"/>
  <c r="D953" i="11"/>
  <c r="E953" i="11"/>
  <c r="F953" i="11"/>
  <c r="G953" i="11"/>
  <c r="I953" i="11"/>
  <c r="J953" i="11"/>
  <c r="K953" i="11"/>
  <c r="A954" i="11"/>
  <c r="C954" i="11"/>
  <c r="D954" i="11"/>
  <c r="E954" i="11"/>
  <c r="F954" i="11"/>
  <c r="G954" i="11"/>
  <c r="I954" i="11"/>
  <c r="J954" i="11"/>
  <c r="K954" i="11"/>
  <c r="A955" i="11"/>
  <c r="C955" i="11"/>
  <c r="D955" i="11"/>
  <c r="E955" i="11"/>
  <c r="F955" i="11"/>
  <c r="G955" i="11"/>
  <c r="I955" i="11"/>
  <c r="J955" i="11"/>
  <c r="K955" i="11"/>
  <c r="A956" i="11"/>
  <c r="C956" i="11"/>
  <c r="D956" i="11"/>
  <c r="E956" i="11"/>
  <c r="F956" i="11"/>
  <c r="G956" i="11"/>
  <c r="I956" i="11"/>
  <c r="J956" i="11"/>
  <c r="K956" i="11"/>
  <c r="A957" i="11"/>
  <c r="C957" i="11"/>
  <c r="D957" i="11"/>
  <c r="E957" i="11"/>
  <c r="F957" i="11"/>
  <c r="G957" i="11"/>
  <c r="I957" i="11"/>
  <c r="J957" i="11"/>
  <c r="K957" i="11"/>
  <c r="A958" i="11"/>
  <c r="C958" i="11"/>
  <c r="D958" i="11"/>
  <c r="E958" i="11"/>
  <c r="F958" i="11"/>
  <c r="G958" i="11"/>
  <c r="I958" i="11"/>
  <c r="J958" i="11"/>
  <c r="K958" i="11"/>
  <c r="A959" i="11"/>
  <c r="C959" i="11"/>
  <c r="D959" i="11"/>
  <c r="E959" i="11"/>
  <c r="F959" i="11"/>
  <c r="G959" i="11"/>
  <c r="I959" i="11"/>
  <c r="J959" i="11"/>
  <c r="K959" i="11"/>
  <c r="A960" i="11"/>
  <c r="C960" i="11"/>
  <c r="D960" i="11"/>
  <c r="E960" i="11"/>
  <c r="F960" i="11"/>
  <c r="G960" i="11"/>
  <c r="I960" i="11"/>
  <c r="J960" i="11"/>
  <c r="K960" i="11"/>
  <c r="A961" i="11"/>
  <c r="C961" i="11"/>
  <c r="D961" i="11"/>
  <c r="E961" i="11"/>
  <c r="F961" i="11"/>
  <c r="G961" i="11"/>
  <c r="I961" i="11"/>
  <c r="J961" i="11"/>
  <c r="K961" i="11"/>
  <c r="A962" i="11"/>
  <c r="C962" i="11"/>
  <c r="D962" i="11"/>
  <c r="E962" i="11"/>
  <c r="F962" i="11"/>
  <c r="G962" i="11"/>
  <c r="I962" i="11"/>
  <c r="J962" i="11"/>
  <c r="K962" i="11"/>
  <c r="A963" i="11"/>
  <c r="C963" i="11"/>
  <c r="D963" i="11"/>
  <c r="E963" i="11"/>
  <c r="F963" i="11"/>
  <c r="G963" i="11"/>
  <c r="I963" i="11"/>
  <c r="J963" i="11"/>
  <c r="K963" i="11"/>
  <c r="A964" i="11"/>
  <c r="C964" i="11"/>
  <c r="D964" i="11"/>
  <c r="E964" i="11"/>
  <c r="F964" i="11"/>
  <c r="G964" i="11"/>
  <c r="I964" i="11"/>
  <c r="J964" i="11"/>
  <c r="K964" i="11"/>
  <c r="A965" i="11"/>
  <c r="C965" i="11"/>
  <c r="D965" i="11"/>
  <c r="E965" i="11"/>
  <c r="F965" i="11"/>
  <c r="G965" i="11"/>
  <c r="I965" i="11"/>
  <c r="J965" i="11"/>
  <c r="K965" i="11"/>
  <c r="A966" i="11"/>
  <c r="C966" i="11"/>
  <c r="D966" i="11"/>
  <c r="E966" i="11"/>
  <c r="F966" i="11"/>
  <c r="G966" i="11"/>
  <c r="I966" i="11"/>
  <c r="J966" i="11"/>
  <c r="K966" i="11"/>
  <c r="A967" i="11"/>
  <c r="C967" i="11"/>
  <c r="D967" i="11"/>
  <c r="E967" i="11"/>
  <c r="F967" i="11"/>
  <c r="G967" i="11"/>
  <c r="I967" i="11"/>
  <c r="J967" i="11"/>
  <c r="K967" i="11"/>
  <c r="A968" i="11"/>
  <c r="C968" i="11"/>
  <c r="D968" i="11"/>
  <c r="E968" i="11"/>
  <c r="F968" i="11"/>
  <c r="G968" i="11"/>
  <c r="I968" i="11"/>
  <c r="J968" i="11"/>
  <c r="K968" i="11"/>
  <c r="A969" i="11"/>
  <c r="C969" i="11"/>
  <c r="D969" i="11"/>
  <c r="E969" i="11"/>
  <c r="F969" i="11"/>
  <c r="G969" i="11"/>
  <c r="I969" i="11"/>
  <c r="J969" i="11"/>
  <c r="K969" i="11"/>
  <c r="A970" i="11"/>
  <c r="C970" i="11"/>
  <c r="D970" i="11"/>
  <c r="E970" i="11"/>
  <c r="F970" i="11"/>
  <c r="G970" i="11"/>
  <c r="I970" i="11"/>
  <c r="J970" i="11"/>
  <c r="K970" i="11"/>
  <c r="A971" i="11"/>
  <c r="C971" i="11"/>
  <c r="D971" i="11"/>
  <c r="E971" i="11"/>
  <c r="F971" i="11"/>
  <c r="G971" i="11"/>
  <c r="I971" i="11"/>
  <c r="J971" i="11"/>
  <c r="K971" i="11"/>
  <c r="A972" i="11"/>
  <c r="C972" i="11"/>
  <c r="D972" i="11"/>
  <c r="E972" i="11"/>
  <c r="F972" i="11"/>
  <c r="G972" i="11"/>
  <c r="I972" i="11"/>
  <c r="J972" i="11"/>
  <c r="K972" i="11"/>
  <c r="A973" i="11"/>
  <c r="C973" i="11"/>
  <c r="D973" i="11"/>
  <c r="E973" i="11"/>
  <c r="F973" i="11"/>
  <c r="G973" i="11"/>
  <c r="I973" i="11"/>
  <c r="J973" i="11"/>
  <c r="K973" i="11"/>
  <c r="A974" i="11"/>
  <c r="C974" i="11"/>
  <c r="D974" i="11"/>
  <c r="E974" i="11"/>
  <c r="F974" i="11"/>
  <c r="G974" i="11"/>
  <c r="I974" i="11"/>
  <c r="J974" i="11"/>
  <c r="K974" i="11"/>
  <c r="A975" i="11"/>
  <c r="C975" i="11"/>
  <c r="D975" i="11"/>
  <c r="E975" i="11"/>
  <c r="F975" i="11"/>
  <c r="G975" i="11"/>
  <c r="I975" i="11"/>
  <c r="J975" i="11"/>
  <c r="K975" i="11"/>
  <c r="A976" i="11"/>
  <c r="C976" i="11"/>
  <c r="D976" i="11"/>
  <c r="E976" i="11"/>
  <c r="F976" i="11"/>
  <c r="G976" i="11"/>
  <c r="I976" i="11"/>
  <c r="J976" i="11"/>
  <c r="K976" i="11"/>
  <c r="A977" i="11"/>
  <c r="C977" i="11"/>
  <c r="D977" i="11"/>
  <c r="E977" i="11"/>
  <c r="F977" i="11"/>
  <c r="G977" i="11"/>
  <c r="I977" i="11"/>
  <c r="J977" i="11"/>
  <c r="K977" i="11"/>
  <c r="A978" i="11"/>
  <c r="C978" i="11"/>
  <c r="D978" i="11"/>
  <c r="E978" i="11"/>
  <c r="F978" i="11"/>
  <c r="G978" i="11"/>
  <c r="I978" i="11"/>
  <c r="J978" i="11"/>
  <c r="K978" i="11"/>
  <c r="A979" i="11"/>
  <c r="C979" i="11"/>
  <c r="D979" i="11"/>
  <c r="E979" i="11"/>
  <c r="F979" i="11"/>
  <c r="G979" i="11"/>
  <c r="I979" i="11"/>
  <c r="J979" i="11"/>
  <c r="K979" i="11"/>
  <c r="A980" i="11"/>
  <c r="C980" i="11"/>
  <c r="D980" i="11"/>
  <c r="E980" i="11"/>
  <c r="F980" i="11"/>
  <c r="G980" i="11"/>
  <c r="I980" i="11"/>
  <c r="J980" i="11"/>
  <c r="K980" i="11"/>
  <c r="A981" i="11"/>
  <c r="C981" i="11"/>
  <c r="D981" i="11"/>
  <c r="E981" i="11"/>
  <c r="F981" i="11"/>
  <c r="G981" i="11"/>
  <c r="I981" i="11"/>
  <c r="J981" i="11"/>
  <c r="K981" i="11"/>
  <c r="A982" i="11"/>
  <c r="C982" i="11"/>
  <c r="D982" i="11"/>
  <c r="E982" i="11"/>
  <c r="F982" i="11"/>
  <c r="G982" i="11"/>
  <c r="I982" i="11"/>
  <c r="J982" i="11"/>
  <c r="K982" i="11"/>
  <c r="A983" i="11"/>
  <c r="C983" i="11"/>
  <c r="D983" i="11"/>
  <c r="E983" i="11"/>
  <c r="F983" i="11"/>
  <c r="G983" i="11"/>
  <c r="I983" i="11"/>
  <c r="J983" i="11"/>
  <c r="K983" i="11"/>
  <c r="A984" i="11"/>
  <c r="C984" i="11"/>
  <c r="D984" i="11"/>
  <c r="E984" i="11"/>
  <c r="F984" i="11"/>
  <c r="G984" i="11"/>
  <c r="I984" i="11"/>
  <c r="J984" i="11"/>
  <c r="K984" i="11"/>
  <c r="A985" i="11"/>
  <c r="C985" i="11"/>
  <c r="D985" i="11"/>
  <c r="E985" i="11"/>
  <c r="F985" i="11"/>
  <c r="G985" i="11"/>
  <c r="I985" i="11"/>
  <c r="J985" i="11"/>
  <c r="K985" i="11"/>
  <c r="A986" i="11"/>
  <c r="C986" i="11"/>
  <c r="D986" i="11"/>
  <c r="E986" i="11"/>
  <c r="F986" i="11"/>
  <c r="G986" i="11"/>
  <c r="I986" i="11"/>
  <c r="J986" i="11"/>
  <c r="K986" i="11"/>
  <c r="A987" i="11"/>
  <c r="C987" i="11"/>
  <c r="D987" i="11"/>
  <c r="E987" i="11"/>
  <c r="F987" i="11"/>
  <c r="G987" i="11"/>
  <c r="I987" i="11"/>
  <c r="J987" i="11"/>
  <c r="K987" i="11"/>
  <c r="A988" i="11"/>
  <c r="C988" i="11"/>
  <c r="D988" i="11"/>
  <c r="E988" i="11"/>
  <c r="F988" i="11"/>
  <c r="G988" i="11"/>
  <c r="I988" i="11"/>
  <c r="J988" i="11"/>
  <c r="K988" i="11"/>
  <c r="A989" i="11"/>
  <c r="C989" i="11"/>
  <c r="D989" i="11"/>
  <c r="E989" i="11"/>
  <c r="F989" i="11"/>
  <c r="G989" i="11"/>
  <c r="I989" i="11"/>
  <c r="J989" i="11"/>
  <c r="K989" i="11"/>
  <c r="A990" i="11"/>
  <c r="C990" i="11"/>
  <c r="D990" i="11"/>
  <c r="E990" i="11"/>
  <c r="F990" i="11"/>
  <c r="G990" i="11"/>
  <c r="I990" i="11"/>
  <c r="J990" i="11"/>
  <c r="K990" i="11"/>
  <c r="A991" i="11"/>
  <c r="C991" i="11"/>
  <c r="D991" i="11"/>
  <c r="E991" i="11"/>
  <c r="F991" i="11"/>
  <c r="G991" i="11"/>
  <c r="I991" i="11"/>
  <c r="J991" i="11"/>
  <c r="K991" i="11"/>
  <c r="A992" i="11"/>
  <c r="C992" i="11"/>
  <c r="D992" i="11"/>
  <c r="E992" i="11"/>
  <c r="F992" i="11"/>
  <c r="G992" i="11"/>
  <c r="I992" i="11"/>
  <c r="J992" i="11"/>
  <c r="K992" i="11"/>
  <c r="A993" i="11"/>
  <c r="C993" i="11"/>
  <c r="D993" i="11"/>
  <c r="E993" i="11"/>
  <c r="F993" i="11"/>
  <c r="G993" i="11"/>
  <c r="I993" i="11"/>
  <c r="J993" i="11"/>
  <c r="K993" i="11"/>
  <c r="A994" i="11"/>
  <c r="C994" i="11"/>
  <c r="D994" i="11"/>
  <c r="E994" i="11"/>
  <c r="F994" i="11"/>
  <c r="G994" i="11"/>
  <c r="I994" i="11"/>
  <c r="J994" i="11"/>
  <c r="K994" i="11"/>
  <c r="A995" i="11"/>
  <c r="C995" i="11"/>
  <c r="D995" i="11"/>
  <c r="E995" i="11"/>
  <c r="F995" i="11"/>
  <c r="G995" i="11"/>
  <c r="I995" i="11"/>
  <c r="J995" i="11"/>
  <c r="K995" i="11"/>
  <c r="A996" i="11"/>
  <c r="C996" i="11"/>
  <c r="D996" i="11"/>
  <c r="E996" i="11"/>
  <c r="F996" i="11"/>
  <c r="G996" i="11"/>
  <c r="I996" i="11"/>
  <c r="J996" i="11"/>
  <c r="K996" i="11"/>
  <c r="A997" i="11"/>
  <c r="C997" i="11"/>
  <c r="D997" i="11"/>
  <c r="E997" i="11"/>
  <c r="F997" i="11"/>
  <c r="G997" i="11"/>
  <c r="I997" i="11"/>
  <c r="J997" i="11"/>
  <c r="K997" i="11"/>
  <c r="A998" i="11"/>
  <c r="C998" i="11"/>
  <c r="D998" i="11"/>
  <c r="E998" i="11"/>
  <c r="F998" i="11"/>
  <c r="G998" i="11"/>
  <c r="I998" i="11"/>
  <c r="J998" i="11"/>
  <c r="K998" i="11"/>
  <c r="A999" i="11"/>
  <c r="C999" i="11"/>
  <c r="D999" i="11"/>
  <c r="E999" i="11"/>
  <c r="F999" i="11"/>
  <c r="G999" i="11"/>
  <c r="I999" i="11"/>
  <c r="J999" i="11"/>
  <c r="K999" i="11"/>
  <c r="A1000" i="11"/>
  <c r="C1000" i="11"/>
  <c r="D1000" i="11"/>
  <c r="E1000" i="11"/>
  <c r="F1000" i="11"/>
  <c r="G1000" i="11"/>
  <c r="I1000" i="11"/>
  <c r="J1000" i="11"/>
  <c r="K1000" i="11"/>
  <c r="A1001" i="11"/>
  <c r="C1001" i="11"/>
  <c r="D1001" i="11"/>
  <c r="E1001" i="11"/>
  <c r="F1001" i="11"/>
  <c r="G1001" i="11"/>
  <c r="I1001" i="11"/>
  <c r="J1001" i="11"/>
  <c r="K1001" i="11"/>
  <c r="A1002" i="11"/>
  <c r="C1002" i="11"/>
  <c r="D1002" i="11"/>
  <c r="E1002" i="11"/>
  <c r="F1002" i="11"/>
  <c r="G1002" i="11"/>
  <c r="I1002" i="11"/>
  <c r="J1002" i="11"/>
  <c r="K1002" i="11"/>
  <c r="A1003" i="11"/>
  <c r="C1003" i="11"/>
  <c r="D1003" i="11"/>
  <c r="E1003" i="11"/>
  <c r="F1003" i="11"/>
  <c r="G1003" i="11"/>
  <c r="I1003" i="11"/>
  <c r="J1003" i="11"/>
  <c r="K1003" i="11"/>
  <c r="A1004" i="11"/>
  <c r="C1004" i="11"/>
  <c r="D1004" i="11"/>
  <c r="E1004" i="11"/>
  <c r="F1004" i="11"/>
  <c r="G1004" i="11"/>
  <c r="I1004" i="11"/>
  <c r="J1004" i="11"/>
  <c r="K1004" i="11"/>
  <c r="A1005" i="11"/>
  <c r="C1005" i="11"/>
  <c r="D1005" i="11"/>
  <c r="E1005" i="11"/>
  <c r="F1005" i="11"/>
  <c r="G1005" i="11"/>
  <c r="I1005" i="11"/>
  <c r="J1005" i="11"/>
  <c r="K1005" i="11"/>
  <c r="A1006" i="11"/>
  <c r="C1006" i="11"/>
  <c r="D1006" i="11"/>
  <c r="E1006" i="11"/>
  <c r="F1006" i="11"/>
  <c r="G1006" i="11"/>
  <c r="I1006" i="11"/>
  <c r="J1006" i="11"/>
  <c r="K1006" i="11"/>
  <c r="A1007" i="11"/>
  <c r="C1007" i="11"/>
  <c r="D1007" i="11"/>
  <c r="E1007" i="11"/>
  <c r="F1007" i="11"/>
  <c r="G1007" i="11"/>
  <c r="I1007" i="11"/>
  <c r="J1007" i="11"/>
  <c r="K1007" i="11"/>
  <c r="A2" i="10"/>
  <c r="C2" i="10"/>
  <c r="D2" i="10"/>
  <c r="E2" i="10"/>
  <c r="F2" i="10"/>
  <c r="G2" i="10"/>
  <c r="I2" i="10"/>
  <c r="J2" i="10"/>
  <c r="K2" i="10"/>
  <c r="A3" i="10"/>
  <c r="C3" i="10"/>
  <c r="D3" i="10"/>
  <c r="E3" i="10"/>
  <c r="F3" i="10"/>
  <c r="G3" i="10"/>
  <c r="I3" i="10"/>
  <c r="J3" i="10"/>
  <c r="K3" i="10"/>
  <c r="A4" i="10"/>
  <c r="C4" i="10"/>
  <c r="D4" i="10"/>
  <c r="E4" i="10"/>
  <c r="F4" i="10"/>
  <c r="G4" i="10"/>
  <c r="I4" i="10"/>
  <c r="J4" i="10"/>
  <c r="K4" i="10"/>
  <c r="A5" i="10"/>
  <c r="C5" i="10"/>
  <c r="D5" i="10"/>
  <c r="E5" i="10"/>
  <c r="F5" i="10"/>
  <c r="G5" i="10"/>
  <c r="I5" i="10"/>
  <c r="J5" i="10"/>
  <c r="K5" i="10"/>
  <c r="A6" i="10"/>
  <c r="C6" i="10"/>
  <c r="D6" i="10"/>
  <c r="E6" i="10"/>
  <c r="F6" i="10"/>
  <c r="G6" i="10"/>
  <c r="I6" i="10"/>
  <c r="J6" i="10"/>
  <c r="K6" i="10"/>
  <c r="A7" i="10"/>
  <c r="C7" i="10"/>
  <c r="D7" i="10"/>
  <c r="E7" i="10"/>
  <c r="F7" i="10"/>
  <c r="G7" i="10"/>
  <c r="I7" i="10"/>
  <c r="J7" i="10"/>
  <c r="K7" i="10"/>
  <c r="A8" i="10"/>
  <c r="C8" i="10"/>
  <c r="D8" i="10"/>
  <c r="E8" i="10"/>
  <c r="F8" i="10"/>
  <c r="G8" i="10"/>
  <c r="I8" i="10"/>
  <c r="J8" i="10"/>
  <c r="K8" i="10"/>
  <c r="A9" i="10"/>
  <c r="C9" i="10"/>
  <c r="D9" i="10"/>
  <c r="E9" i="10"/>
  <c r="F9" i="10"/>
  <c r="G9" i="10"/>
  <c r="I9" i="10"/>
  <c r="J9" i="10"/>
  <c r="K9" i="10"/>
  <c r="A10" i="10"/>
  <c r="C10" i="10"/>
  <c r="D10" i="10"/>
  <c r="E10" i="10"/>
  <c r="F10" i="10"/>
  <c r="G10" i="10"/>
  <c r="I10" i="10"/>
  <c r="J10" i="10"/>
  <c r="K10" i="10"/>
  <c r="A11" i="10"/>
  <c r="C11" i="10"/>
  <c r="D11" i="10"/>
  <c r="E11" i="10"/>
  <c r="F11" i="10"/>
  <c r="G11" i="10"/>
  <c r="I11" i="10"/>
  <c r="J11" i="10"/>
  <c r="K11" i="10"/>
  <c r="A12" i="10"/>
  <c r="C12" i="10"/>
  <c r="D12" i="10"/>
  <c r="E12" i="10"/>
  <c r="F12" i="10"/>
  <c r="G12" i="10"/>
  <c r="I12" i="10"/>
  <c r="J12" i="10"/>
  <c r="K12" i="10"/>
  <c r="A13" i="10"/>
  <c r="C13" i="10"/>
  <c r="D13" i="10"/>
  <c r="E13" i="10"/>
  <c r="F13" i="10"/>
  <c r="G13" i="10"/>
  <c r="I13" i="10"/>
  <c r="J13" i="10"/>
  <c r="K13" i="10"/>
  <c r="A14" i="10"/>
  <c r="C14" i="10"/>
  <c r="D14" i="10"/>
  <c r="E14" i="10"/>
  <c r="F14" i="10"/>
  <c r="G14" i="10"/>
  <c r="I14" i="10"/>
  <c r="J14" i="10"/>
  <c r="K14" i="10"/>
  <c r="A15" i="10"/>
  <c r="C15" i="10"/>
  <c r="D15" i="10"/>
  <c r="E15" i="10"/>
  <c r="F15" i="10"/>
  <c r="G15" i="10"/>
  <c r="I15" i="10"/>
  <c r="J15" i="10"/>
  <c r="K15" i="10"/>
  <c r="A16" i="10"/>
  <c r="C16" i="10"/>
  <c r="D16" i="10"/>
  <c r="E16" i="10"/>
  <c r="F16" i="10"/>
  <c r="G16" i="10"/>
  <c r="I16" i="10"/>
  <c r="J16" i="10"/>
  <c r="K16" i="10"/>
  <c r="A17" i="10"/>
  <c r="C17" i="10"/>
  <c r="D17" i="10"/>
  <c r="E17" i="10"/>
  <c r="F17" i="10"/>
  <c r="G17" i="10"/>
  <c r="I17" i="10"/>
  <c r="J17" i="10"/>
  <c r="K17" i="10"/>
  <c r="A18" i="10"/>
  <c r="C18" i="10"/>
  <c r="D18" i="10"/>
  <c r="E18" i="10"/>
  <c r="F18" i="10"/>
  <c r="G18" i="10"/>
  <c r="I18" i="10"/>
  <c r="J18" i="10"/>
  <c r="K18" i="10"/>
  <c r="A19" i="10"/>
  <c r="C19" i="10"/>
  <c r="D19" i="10"/>
  <c r="E19" i="10"/>
  <c r="F19" i="10"/>
  <c r="G19" i="10"/>
  <c r="I19" i="10"/>
  <c r="J19" i="10"/>
  <c r="K19" i="10"/>
  <c r="A20" i="10"/>
  <c r="C20" i="10"/>
  <c r="D20" i="10"/>
  <c r="E20" i="10"/>
  <c r="F20" i="10"/>
  <c r="G20" i="10"/>
  <c r="I20" i="10"/>
  <c r="J20" i="10"/>
  <c r="K20" i="10"/>
  <c r="A21" i="10"/>
  <c r="C21" i="10"/>
  <c r="D21" i="10"/>
  <c r="E21" i="10"/>
  <c r="F21" i="10"/>
  <c r="G21" i="10"/>
  <c r="I21" i="10"/>
  <c r="J21" i="10"/>
  <c r="K21" i="10"/>
  <c r="A22" i="10"/>
  <c r="C22" i="10"/>
  <c r="D22" i="10"/>
  <c r="E22" i="10"/>
  <c r="F22" i="10"/>
  <c r="G22" i="10"/>
  <c r="I22" i="10"/>
  <c r="J22" i="10"/>
  <c r="K22" i="10"/>
  <c r="A23" i="10"/>
  <c r="C23" i="10"/>
  <c r="D23" i="10"/>
  <c r="E23" i="10"/>
  <c r="F23" i="10"/>
  <c r="G23" i="10"/>
  <c r="I23" i="10"/>
  <c r="J23" i="10"/>
  <c r="K23" i="10"/>
  <c r="A24" i="10"/>
  <c r="C24" i="10"/>
  <c r="D24" i="10"/>
  <c r="E24" i="10"/>
  <c r="F24" i="10"/>
  <c r="G24" i="10"/>
  <c r="I24" i="10"/>
  <c r="J24" i="10"/>
  <c r="K24" i="10"/>
  <c r="A25" i="10"/>
  <c r="C25" i="10"/>
  <c r="D25" i="10"/>
  <c r="E25" i="10"/>
  <c r="F25" i="10"/>
  <c r="G25" i="10"/>
  <c r="I25" i="10"/>
  <c r="J25" i="10"/>
  <c r="K25" i="10"/>
  <c r="A26" i="10"/>
  <c r="C26" i="10"/>
  <c r="D26" i="10"/>
  <c r="E26" i="10"/>
  <c r="F26" i="10"/>
  <c r="G26" i="10"/>
  <c r="I26" i="10"/>
  <c r="J26" i="10"/>
  <c r="K26" i="10"/>
  <c r="A27" i="10"/>
  <c r="C27" i="10"/>
  <c r="D27" i="10"/>
  <c r="E27" i="10"/>
  <c r="F27" i="10"/>
  <c r="G27" i="10"/>
  <c r="I27" i="10"/>
  <c r="J27" i="10"/>
  <c r="K27" i="10"/>
  <c r="A28" i="10"/>
  <c r="C28" i="10"/>
  <c r="D28" i="10"/>
  <c r="E28" i="10"/>
  <c r="F28" i="10"/>
  <c r="G28" i="10"/>
  <c r="I28" i="10"/>
  <c r="J28" i="10"/>
  <c r="K28" i="10"/>
  <c r="A29" i="10"/>
  <c r="C29" i="10"/>
  <c r="D29" i="10"/>
  <c r="E29" i="10"/>
  <c r="F29" i="10"/>
  <c r="G29" i="10"/>
  <c r="I29" i="10"/>
  <c r="J29" i="10"/>
  <c r="K29" i="10"/>
  <c r="A30" i="10"/>
  <c r="C30" i="10"/>
  <c r="D30" i="10"/>
  <c r="E30" i="10"/>
  <c r="F30" i="10"/>
  <c r="G30" i="10"/>
  <c r="I30" i="10"/>
  <c r="J30" i="10"/>
  <c r="K30" i="10"/>
  <c r="A31" i="10"/>
  <c r="C31" i="10"/>
  <c r="D31" i="10"/>
  <c r="E31" i="10"/>
  <c r="F31" i="10"/>
  <c r="G31" i="10"/>
  <c r="I31" i="10"/>
  <c r="J31" i="10"/>
  <c r="K31" i="10"/>
  <c r="A32" i="10"/>
  <c r="C32" i="10"/>
  <c r="D32" i="10"/>
  <c r="E32" i="10"/>
  <c r="F32" i="10"/>
  <c r="G32" i="10"/>
  <c r="I32" i="10"/>
  <c r="J32" i="10"/>
  <c r="K32" i="10"/>
  <c r="A33" i="10"/>
  <c r="C33" i="10"/>
  <c r="D33" i="10"/>
  <c r="E33" i="10"/>
  <c r="F33" i="10"/>
  <c r="G33" i="10"/>
  <c r="I33" i="10"/>
  <c r="J33" i="10"/>
  <c r="K33" i="10"/>
  <c r="A34" i="10"/>
  <c r="C34" i="10"/>
  <c r="D34" i="10"/>
  <c r="E34" i="10"/>
  <c r="F34" i="10"/>
  <c r="G34" i="10"/>
  <c r="I34" i="10"/>
  <c r="J34" i="10"/>
  <c r="K34" i="10"/>
  <c r="A35" i="10"/>
  <c r="C35" i="10"/>
  <c r="D35" i="10"/>
  <c r="E35" i="10"/>
  <c r="F35" i="10"/>
  <c r="G35" i="10"/>
  <c r="I35" i="10"/>
  <c r="J35" i="10"/>
  <c r="K35" i="10"/>
  <c r="A36" i="10"/>
  <c r="C36" i="10"/>
  <c r="D36" i="10"/>
  <c r="E36" i="10"/>
  <c r="F36" i="10"/>
  <c r="G36" i="10"/>
  <c r="I36" i="10"/>
  <c r="J36" i="10"/>
  <c r="K36" i="10"/>
  <c r="A37" i="10"/>
  <c r="C37" i="10"/>
  <c r="D37" i="10"/>
  <c r="E37" i="10"/>
  <c r="F37" i="10"/>
  <c r="G37" i="10"/>
  <c r="I37" i="10"/>
  <c r="J37" i="10"/>
  <c r="K37" i="10"/>
  <c r="A38" i="10"/>
  <c r="C38" i="10"/>
  <c r="D38" i="10"/>
  <c r="E38" i="10"/>
  <c r="F38" i="10"/>
  <c r="G38" i="10"/>
  <c r="I38" i="10"/>
  <c r="J38" i="10"/>
  <c r="K38" i="10"/>
  <c r="A39" i="10"/>
  <c r="C39" i="10"/>
  <c r="D39" i="10"/>
  <c r="E39" i="10"/>
  <c r="F39" i="10"/>
  <c r="G39" i="10"/>
  <c r="I39" i="10"/>
  <c r="J39" i="10"/>
  <c r="K39" i="10"/>
  <c r="A40" i="10"/>
  <c r="C40" i="10"/>
  <c r="D40" i="10"/>
  <c r="E40" i="10"/>
  <c r="F40" i="10"/>
  <c r="G40" i="10"/>
  <c r="I40" i="10"/>
  <c r="J40" i="10"/>
  <c r="K40" i="10"/>
  <c r="A41" i="10"/>
  <c r="C41" i="10"/>
  <c r="D41" i="10"/>
  <c r="E41" i="10"/>
  <c r="F41" i="10"/>
  <c r="G41" i="10"/>
  <c r="I41" i="10"/>
  <c r="J41" i="10"/>
  <c r="K41" i="10"/>
  <c r="A42" i="10"/>
  <c r="C42" i="10"/>
  <c r="D42" i="10"/>
  <c r="E42" i="10"/>
  <c r="F42" i="10"/>
  <c r="G42" i="10"/>
  <c r="I42" i="10"/>
  <c r="J42" i="10"/>
  <c r="K42" i="10"/>
  <c r="A43" i="10"/>
  <c r="C43" i="10"/>
  <c r="D43" i="10"/>
  <c r="E43" i="10"/>
  <c r="F43" i="10"/>
  <c r="G43" i="10"/>
  <c r="I43" i="10"/>
  <c r="J43" i="10"/>
  <c r="K43" i="10"/>
  <c r="A44" i="10"/>
  <c r="C44" i="10"/>
  <c r="D44" i="10"/>
  <c r="E44" i="10"/>
  <c r="F44" i="10"/>
  <c r="G44" i="10"/>
  <c r="I44" i="10"/>
  <c r="J44" i="10"/>
  <c r="K44" i="10"/>
  <c r="A45" i="10"/>
  <c r="C45" i="10"/>
  <c r="D45" i="10"/>
  <c r="E45" i="10"/>
  <c r="F45" i="10"/>
  <c r="G45" i="10"/>
  <c r="I45" i="10"/>
  <c r="J45" i="10"/>
  <c r="K45" i="10"/>
  <c r="A46" i="10"/>
  <c r="C46" i="10"/>
  <c r="D46" i="10"/>
  <c r="E46" i="10"/>
  <c r="F46" i="10"/>
  <c r="G46" i="10"/>
  <c r="I46" i="10"/>
  <c r="J46" i="10"/>
  <c r="K46" i="10"/>
  <c r="A47" i="10"/>
  <c r="C47" i="10"/>
  <c r="D47" i="10"/>
  <c r="E47" i="10"/>
  <c r="F47" i="10"/>
  <c r="G47" i="10"/>
  <c r="I47" i="10"/>
  <c r="J47" i="10"/>
  <c r="K47" i="10"/>
  <c r="A48" i="10"/>
  <c r="C48" i="10"/>
  <c r="D48" i="10"/>
  <c r="E48" i="10"/>
  <c r="F48" i="10"/>
  <c r="G48" i="10"/>
  <c r="I48" i="10"/>
  <c r="J48" i="10"/>
  <c r="K48" i="10"/>
  <c r="A49" i="10"/>
  <c r="C49" i="10"/>
  <c r="D49" i="10"/>
  <c r="E49" i="10"/>
  <c r="F49" i="10"/>
  <c r="G49" i="10"/>
  <c r="I49" i="10"/>
  <c r="J49" i="10"/>
  <c r="K49" i="10"/>
  <c r="A50" i="10"/>
  <c r="C50" i="10"/>
  <c r="D50" i="10"/>
  <c r="E50" i="10"/>
  <c r="F50" i="10"/>
  <c r="G50" i="10"/>
  <c r="I50" i="10"/>
  <c r="J50" i="10"/>
  <c r="K50" i="10"/>
  <c r="A51" i="10"/>
  <c r="C51" i="10"/>
  <c r="D51" i="10"/>
  <c r="E51" i="10"/>
  <c r="F51" i="10"/>
  <c r="G51" i="10"/>
  <c r="I51" i="10"/>
  <c r="J51" i="10"/>
  <c r="K51" i="10"/>
  <c r="A52" i="10"/>
  <c r="C52" i="10"/>
  <c r="D52" i="10"/>
  <c r="E52" i="10"/>
  <c r="F52" i="10"/>
  <c r="G52" i="10"/>
  <c r="I52" i="10"/>
  <c r="J52" i="10"/>
  <c r="K52" i="10"/>
  <c r="A53" i="10"/>
  <c r="C53" i="10"/>
  <c r="D53" i="10"/>
  <c r="E53" i="10"/>
  <c r="F53" i="10"/>
  <c r="G53" i="10"/>
  <c r="I53" i="10"/>
  <c r="J53" i="10"/>
  <c r="K53" i="10"/>
  <c r="A54" i="10"/>
  <c r="C54" i="10"/>
  <c r="D54" i="10"/>
  <c r="E54" i="10"/>
  <c r="F54" i="10"/>
  <c r="G54" i="10"/>
  <c r="I54" i="10"/>
  <c r="J54" i="10"/>
  <c r="K54" i="10"/>
  <c r="A55" i="10"/>
  <c r="C55" i="10"/>
  <c r="D55" i="10"/>
  <c r="E55" i="10"/>
  <c r="F55" i="10"/>
  <c r="G55" i="10"/>
  <c r="I55" i="10"/>
  <c r="J55" i="10"/>
  <c r="K55" i="10"/>
  <c r="A56" i="10"/>
  <c r="C56" i="10"/>
  <c r="D56" i="10"/>
  <c r="E56" i="10"/>
  <c r="F56" i="10"/>
  <c r="G56" i="10"/>
  <c r="I56" i="10"/>
  <c r="J56" i="10"/>
  <c r="K56" i="10"/>
  <c r="A57" i="10"/>
  <c r="C57" i="10"/>
  <c r="D57" i="10"/>
  <c r="E57" i="10"/>
  <c r="F57" i="10"/>
  <c r="G57" i="10"/>
  <c r="I57" i="10"/>
  <c r="J57" i="10"/>
  <c r="K57" i="10"/>
  <c r="A58" i="10"/>
  <c r="C58" i="10"/>
  <c r="D58" i="10"/>
  <c r="E58" i="10"/>
  <c r="F58" i="10"/>
  <c r="G58" i="10"/>
  <c r="I58" i="10"/>
  <c r="J58" i="10"/>
  <c r="K58" i="10"/>
  <c r="A59" i="10"/>
  <c r="C59" i="10"/>
  <c r="D59" i="10"/>
  <c r="E59" i="10"/>
  <c r="F59" i="10"/>
  <c r="G59" i="10"/>
  <c r="I59" i="10"/>
  <c r="J59" i="10"/>
  <c r="K59" i="10"/>
  <c r="A60" i="10"/>
  <c r="C60" i="10"/>
  <c r="D60" i="10"/>
  <c r="E60" i="10"/>
  <c r="F60" i="10"/>
  <c r="G60" i="10"/>
  <c r="I60" i="10"/>
  <c r="J60" i="10"/>
  <c r="K60" i="10"/>
  <c r="A61" i="10"/>
  <c r="C61" i="10"/>
  <c r="D61" i="10"/>
  <c r="E61" i="10"/>
  <c r="F61" i="10"/>
  <c r="G61" i="10"/>
  <c r="I61" i="10"/>
  <c r="J61" i="10"/>
  <c r="K61" i="10"/>
  <c r="A62" i="10"/>
  <c r="C62" i="10"/>
  <c r="D62" i="10"/>
  <c r="E62" i="10"/>
  <c r="F62" i="10"/>
  <c r="G62" i="10"/>
  <c r="I62" i="10"/>
  <c r="J62" i="10"/>
  <c r="K62" i="10"/>
  <c r="A63" i="10"/>
  <c r="C63" i="10"/>
  <c r="D63" i="10"/>
  <c r="E63" i="10"/>
  <c r="F63" i="10"/>
  <c r="G63" i="10"/>
  <c r="I63" i="10"/>
  <c r="J63" i="10"/>
  <c r="K63" i="10"/>
  <c r="A64" i="10"/>
  <c r="C64" i="10"/>
  <c r="D64" i="10"/>
  <c r="E64" i="10"/>
  <c r="F64" i="10"/>
  <c r="G64" i="10"/>
  <c r="I64" i="10"/>
  <c r="J64" i="10"/>
  <c r="K64" i="10"/>
  <c r="A65" i="10"/>
  <c r="C65" i="10"/>
  <c r="D65" i="10"/>
  <c r="E65" i="10"/>
  <c r="F65" i="10"/>
  <c r="G65" i="10"/>
  <c r="I65" i="10"/>
  <c r="J65" i="10"/>
  <c r="K65" i="10"/>
  <c r="A66" i="10"/>
  <c r="C66" i="10"/>
  <c r="D66" i="10"/>
  <c r="E66" i="10"/>
  <c r="F66" i="10"/>
  <c r="G66" i="10"/>
  <c r="I66" i="10"/>
  <c r="J66" i="10"/>
  <c r="K66" i="10"/>
  <c r="A67" i="10"/>
  <c r="C67" i="10"/>
  <c r="D67" i="10"/>
  <c r="E67" i="10"/>
  <c r="F67" i="10"/>
  <c r="G67" i="10"/>
  <c r="I67" i="10"/>
  <c r="J67" i="10"/>
  <c r="K67" i="10"/>
  <c r="A68" i="10"/>
  <c r="C68" i="10"/>
  <c r="D68" i="10"/>
  <c r="E68" i="10"/>
  <c r="F68" i="10"/>
  <c r="G68" i="10"/>
  <c r="I68" i="10"/>
  <c r="J68" i="10"/>
  <c r="K68" i="10"/>
  <c r="A69" i="10"/>
  <c r="C69" i="10"/>
  <c r="D69" i="10"/>
  <c r="E69" i="10"/>
  <c r="F69" i="10"/>
  <c r="G69" i="10"/>
  <c r="I69" i="10"/>
  <c r="J69" i="10"/>
  <c r="K69" i="10"/>
  <c r="A70" i="10"/>
  <c r="C70" i="10"/>
  <c r="D70" i="10"/>
  <c r="E70" i="10"/>
  <c r="F70" i="10"/>
  <c r="G70" i="10"/>
  <c r="I70" i="10"/>
  <c r="J70" i="10"/>
  <c r="K70" i="10"/>
  <c r="A71" i="10"/>
  <c r="C71" i="10"/>
  <c r="D71" i="10"/>
  <c r="E71" i="10"/>
  <c r="F71" i="10"/>
  <c r="G71" i="10"/>
  <c r="I71" i="10"/>
  <c r="J71" i="10"/>
  <c r="K71" i="10"/>
  <c r="A72" i="10"/>
  <c r="C72" i="10"/>
  <c r="D72" i="10"/>
  <c r="E72" i="10"/>
  <c r="F72" i="10"/>
  <c r="G72" i="10"/>
  <c r="I72" i="10"/>
  <c r="J72" i="10"/>
  <c r="K72" i="10"/>
  <c r="A73" i="10"/>
  <c r="C73" i="10"/>
  <c r="D73" i="10"/>
  <c r="E73" i="10"/>
  <c r="F73" i="10"/>
  <c r="G73" i="10"/>
  <c r="I73" i="10"/>
  <c r="J73" i="10"/>
  <c r="K73" i="10"/>
  <c r="A74" i="10"/>
  <c r="C74" i="10"/>
  <c r="D74" i="10"/>
  <c r="E74" i="10"/>
  <c r="F74" i="10"/>
  <c r="G74" i="10"/>
  <c r="I74" i="10"/>
  <c r="J74" i="10"/>
  <c r="K74" i="10"/>
  <c r="A75" i="10"/>
  <c r="C75" i="10"/>
  <c r="D75" i="10"/>
  <c r="E75" i="10"/>
  <c r="F75" i="10"/>
  <c r="G75" i="10"/>
  <c r="I75" i="10"/>
  <c r="J75" i="10"/>
  <c r="K75" i="10"/>
  <c r="A76" i="10"/>
  <c r="C76" i="10"/>
  <c r="D76" i="10"/>
  <c r="E76" i="10"/>
  <c r="F76" i="10"/>
  <c r="G76" i="10"/>
  <c r="I76" i="10"/>
  <c r="J76" i="10"/>
  <c r="K76" i="10"/>
  <c r="A77" i="10"/>
  <c r="C77" i="10"/>
  <c r="D77" i="10"/>
  <c r="E77" i="10"/>
  <c r="F77" i="10"/>
  <c r="G77" i="10"/>
  <c r="I77" i="10"/>
  <c r="J77" i="10"/>
  <c r="K77" i="10"/>
  <c r="A78" i="10"/>
  <c r="C78" i="10"/>
  <c r="D78" i="10"/>
  <c r="E78" i="10"/>
  <c r="F78" i="10"/>
  <c r="G78" i="10"/>
  <c r="I78" i="10"/>
  <c r="J78" i="10"/>
  <c r="K78" i="10"/>
  <c r="A79" i="10"/>
  <c r="C79" i="10"/>
  <c r="D79" i="10"/>
  <c r="E79" i="10"/>
  <c r="F79" i="10"/>
  <c r="G79" i="10"/>
  <c r="I79" i="10"/>
  <c r="J79" i="10"/>
  <c r="K79" i="10"/>
  <c r="A80" i="10"/>
  <c r="C80" i="10"/>
  <c r="D80" i="10"/>
  <c r="E80" i="10"/>
  <c r="F80" i="10"/>
  <c r="G80" i="10"/>
  <c r="I80" i="10"/>
  <c r="J80" i="10"/>
  <c r="K80" i="10"/>
  <c r="A81" i="10"/>
  <c r="C81" i="10"/>
  <c r="D81" i="10"/>
  <c r="E81" i="10"/>
  <c r="F81" i="10"/>
  <c r="G81" i="10"/>
  <c r="I81" i="10"/>
  <c r="J81" i="10"/>
  <c r="K81" i="10"/>
  <c r="A82" i="10"/>
  <c r="C82" i="10"/>
  <c r="D82" i="10"/>
  <c r="E82" i="10"/>
  <c r="F82" i="10"/>
  <c r="G82" i="10"/>
  <c r="I82" i="10"/>
  <c r="J82" i="10"/>
  <c r="K82" i="10"/>
  <c r="A83" i="10"/>
  <c r="C83" i="10"/>
  <c r="D83" i="10"/>
  <c r="E83" i="10"/>
  <c r="F83" i="10"/>
  <c r="G83" i="10"/>
  <c r="I83" i="10"/>
  <c r="J83" i="10"/>
  <c r="K83" i="10"/>
  <c r="A84" i="10"/>
  <c r="C84" i="10"/>
  <c r="D84" i="10"/>
  <c r="E84" i="10"/>
  <c r="F84" i="10"/>
  <c r="G84" i="10"/>
  <c r="I84" i="10"/>
  <c r="J84" i="10"/>
  <c r="K84" i="10"/>
  <c r="A85" i="10"/>
  <c r="C85" i="10"/>
  <c r="D85" i="10"/>
  <c r="E85" i="10"/>
  <c r="F85" i="10"/>
  <c r="G85" i="10"/>
  <c r="I85" i="10"/>
  <c r="J85" i="10"/>
  <c r="K85" i="10"/>
  <c r="A86" i="10"/>
  <c r="C86" i="10"/>
  <c r="D86" i="10"/>
  <c r="E86" i="10"/>
  <c r="F86" i="10"/>
  <c r="G86" i="10"/>
  <c r="I86" i="10"/>
  <c r="J86" i="10"/>
  <c r="K86" i="10"/>
  <c r="A87" i="10"/>
  <c r="C87" i="10"/>
  <c r="D87" i="10"/>
  <c r="E87" i="10"/>
  <c r="F87" i="10"/>
  <c r="G87" i="10"/>
  <c r="I87" i="10"/>
  <c r="J87" i="10"/>
  <c r="K87" i="10"/>
  <c r="A88" i="10"/>
  <c r="C88" i="10"/>
  <c r="D88" i="10"/>
  <c r="E88" i="10"/>
  <c r="F88" i="10"/>
  <c r="G88" i="10"/>
  <c r="I88" i="10"/>
  <c r="J88" i="10"/>
  <c r="K88" i="10"/>
  <c r="A89" i="10"/>
  <c r="C89" i="10"/>
  <c r="D89" i="10"/>
  <c r="E89" i="10"/>
  <c r="F89" i="10"/>
  <c r="G89" i="10"/>
  <c r="I89" i="10"/>
  <c r="J89" i="10"/>
  <c r="K89" i="10"/>
  <c r="A90" i="10"/>
  <c r="C90" i="10"/>
  <c r="D90" i="10"/>
  <c r="E90" i="10"/>
  <c r="F90" i="10"/>
  <c r="G90" i="10"/>
  <c r="I90" i="10"/>
  <c r="J90" i="10"/>
  <c r="K90" i="10"/>
  <c r="A91" i="10"/>
  <c r="C91" i="10"/>
  <c r="D91" i="10"/>
  <c r="E91" i="10"/>
  <c r="F91" i="10"/>
  <c r="G91" i="10"/>
  <c r="I91" i="10"/>
  <c r="J91" i="10"/>
  <c r="K91" i="10"/>
  <c r="A92" i="10"/>
  <c r="C92" i="10"/>
  <c r="D92" i="10"/>
  <c r="E92" i="10"/>
  <c r="F92" i="10"/>
  <c r="G92" i="10"/>
  <c r="I92" i="10"/>
  <c r="J92" i="10"/>
  <c r="K92" i="10"/>
  <c r="A93" i="10"/>
  <c r="C93" i="10"/>
  <c r="D93" i="10"/>
  <c r="E93" i="10"/>
  <c r="F93" i="10"/>
  <c r="G93" i="10"/>
  <c r="I93" i="10"/>
  <c r="J93" i="10"/>
  <c r="K93" i="10"/>
  <c r="A94" i="10"/>
  <c r="C94" i="10"/>
  <c r="D94" i="10"/>
  <c r="E94" i="10"/>
  <c r="F94" i="10"/>
  <c r="G94" i="10"/>
  <c r="I94" i="10"/>
  <c r="J94" i="10"/>
  <c r="K94" i="10"/>
  <c r="A95" i="10"/>
  <c r="C95" i="10"/>
  <c r="D95" i="10"/>
  <c r="E95" i="10"/>
  <c r="F95" i="10"/>
  <c r="G95" i="10"/>
  <c r="I95" i="10"/>
  <c r="J95" i="10"/>
  <c r="K95" i="10"/>
  <c r="A96" i="10"/>
  <c r="C96" i="10"/>
  <c r="D96" i="10"/>
  <c r="E96" i="10"/>
  <c r="F96" i="10"/>
  <c r="G96" i="10"/>
  <c r="I96" i="10"/>
  <c r="J96" i="10"/>
  <c r="K96" i="10"/>
  <c r="A97" i="10"/>
  <c r="C97" i="10"/>
  <c r="D97" i="10"/>
  <c r="E97" i="10"/>
  <c r="F97" i="10"/>
  <c r="G97" i="10"/>
  <c r="I97" i="10"/>
  <c r="J97" i="10"/>
  <c r="K97" i="10"/>
  <c r="A98" i="10"/>
  <c r="C98" i="10"/>
  <c r="D98" i="10"/>
  <c r="E98" i="10"/>
  <c r="F98" i="10"/>
  <c r="G98" i="10"/>
  <c r="I98" i="10"/>
  <c r="J98" i="10"/>
  <c r="K98" i="10"/>
  <c r="A99" i="10"/>
  <c r="C99" i="10"/>
  <c r="D99" i="10"/>
  <c r="E99" i="10"/>
  <c r="F99" i="10"/>
  <c r="G99" i="10"/>
  <c r="I99" i="10"/>
  <c r="J99" i="10"/>
  <c r="K99" i="10"/>
  <c r="A100" i="10"/>
  <c r="C100" i="10"/>
  <c r="D100" i="10"/>
  <c r="E100" i="10"/>
  <c r="F100" i="10"/>
  <c r="G100" i="10"/>
  <c r="I100" i="10"/>
  <c r="J100" i="10"/>
  <c r="K100" i="10"/>
  <c r="A101" i="10"/>
  <c r="C101" i="10"/>
  <c r="D101" i="10"/>
  <c r="E101" i="10"/>
  <c r="F101" i="10"/>
  <c r="G101" i="10"/>
  <c r="I101" i="10"/>
  <c r="J101" i="10"/>
  <c r="K101" i="10"/>
  <c r="A102" i="10"/>
  <c r="C102" i="10"/>
  <c r="D102" i="10"/>
  <c r="E102" i="10"/>
  <c r="F102" i="10"/>
  <c r="G102" i="10"/>
  <c r="I102" i="10"/>
  <c r="J102" i="10"/>
  <c r="K102" i="10"/>
  <c r="A103" i="10"/>
  <c r="C103" i="10"/>
  <c r="D103" i="10"/>
  <c r="E103" i="10"/>
  <c r="F103" i="10"/>
  <c r="G103" i="10"/>
  <c r="I103" i="10"/>
  <c r="J103" i="10"/>
  <c r="K103" i="10"/>
  <c r="A104" i="10"/>
  <c r="C104" i="10"/>
  <c r="D104" i="10"/>
  <c r="E104" i="10"/>
  <c r="F104" i="10"/>
  <c r="G104" i="10"/>
  <c r="I104" i="10"/>
  <c r="J104" i="10"/>
  <c r="K104" i="10"/>
  <c r="A105" i="10"/>
  <c r="C105" i="10"/>
  <c r="D105" i="10"/>
  <c r="E105" i="10"/>
  <c r="F105" i="10"/>
  <c r="G105" i="10"/>
  <c r="I105" i="10"/>
  <c r="J105" i="10"/>
  <c r="K105" i="10"/>
  <c r="A106" i="10"/>
  <c r="C106" i="10"/>
  <c r="D106" i="10"/>
  <c r="E106" i="10"/>
  <c r="F106" i="10"/>
  <c r="G106" i="10"/>
  <c r="I106" i="10"/>
  <c r="J106" i="10"/>
  <c r="K106" i="10"/>
  <c r="A107" i="10"/>
  <c r="C107" i="10"/>
  <c r="D107" i="10"/>
  <c r="E107" i="10"/>
  <c r="F107" i="10"/>
  <c r="G107" i="10"/>
  <c r="I107" i="10"/>
  <c r="J107" i="10"/>
  <c r="K107" i="10"/>
  <c r="A108" i="10"/>
  <c r="C108" i="10"/>
  <c r="D108" i="10"/>
  <c r="E108" i="10"/>
  <c r="F108" i="10"/>
  <c r="G108" i="10"/>
  <c r="I108" i="10"/>
  <c r="J108" i="10"/>
  <c r="K108" i="10"/>
  <c r="A109" i="10"/>
  <c r="C109" i="10"/>
  <c r="D109" i="10"/>
  <c r="E109" i="10"/>
  <c r="F109" i="10"/>
  <c r="G109" i="10"/>
  <c r="I109" i="10"/>
  <c r="J109" i="10"/>
  <c r="K109" i="10"/>
  <c r="A110" i="10"/>
  <c r="C110" i="10"/>
  <c r="D110" i="10"/>
  <c r="E110" i="10"/>
  <c r="F110" i="10"/>
  <c r="G110" i="10"/>
  <c r="I110" i="10"/>
  <c r="J110" i="10"/>
  <c r="K110" i="10"/>
  <c r="A111" i="10"/>
  <c r="C111" i="10"/>
  <c r="D111" i="10"/>
  <c r="E111" i="10"/>
  <c r="F111" i="10"/>
  <c r="G111" i="10"/>
  <c r="I111" i="10"/>
  <c r="J111" i="10"/>
  <c r="K111" i="10"/>
  <c r="A112" i="10"/>
  <c r="C112" i="10"/>
  <c r="D112" i="10"/>
  <c r="E112" i="10"/>
  <c r="F112" i="10"/>
  <c r="G112" i="10"/>
  <c r="I112" i="10"/>
  <c r="J112" i="10"/>
  <c r="K112" i="10"/>
  <c r="A113" i="10"/>
  <c r="C113" i="10"/>
  <c r="D113" i="10"/>
  <c r="E113" i="10"/>
  <c r="F113" i="10"/>
  <c r="G113" i="10"/>
  <c r="I113" i="10"/>
  <c r="J113" i="10"/>
  <c r="K113" i="10"/>
  <c r="A114" i="10"/>
  <c r="C114" i="10"/>
  <c r="D114" i="10"/>
  <c r="E114" i="10"/>
  <c r="F114" i="10"/>
  <c r="G114" i="10"/>
  <c r="I114" i="10"/>
  <c r="J114" i="10"/>
  <c r="K114" i="10"/>
  <c r="A115" i="10"/>
  <c r="C115" i="10"/>
  <c r="D115" i="10"/>
  <c r="E115" i="10"/>
  <c r="F115" i="10"/>
  <c r="G115" i="10"/>
  <c r="I115" i="10"/>
  <c r="J115" i="10"/>
  <c r="K115" i="10"/>
  <c r="A116" i="10"/>
  <c r="C116" i="10"/>
  <c r="D116" i="10"/>
  <c r="E116" i="10"/>
  <c r="F116" i="10"/>
  <c r="G116" i="10"/>
  <c r="I116" i="10"/>
  <c r="J116" i="10"/>
  <c r="K116" i="10"/>
  <c r="A117" i="10"/>
  <c r="C117" i="10"/>
  <c r="D117" i="10"/>
  <c r="E117" i="10"/>
  <c r="F117" i="10"/>
  <c r="G117" i="10"/>
  <c r="I117" i="10"/>
  <c r="J117" i="10"/>
  <c r="K117" i="10"/>
  <c r="A118" i="10"/>
  <c r="C118" i="10"/>
  <c r="D118" i="10"/>
  <c r="E118" i="10"/>
  <c r="F118" i="10"/>
  <c r="G118" i="10"/>
  <c r="I118" i="10"/>
  <c r="J118" i="10"/>
  <c r="K118" i="10"/>
  <c r="A119" i="10"/>
  <c r="C119" i="10"/>
  <c r="D119" i="10"/>
  <c r="E119" i="10"/>
  <c r="F119" i="10"/>
  <c r="G119" i="10"/>
  <c r="I119" i="10"/>
  <c r="J119" i="10"/>
  <c r="K119" i="10"/>
  <c r="A120" i="10"/>
  <c r="C120" i="10"/>
  <c r="D120" i="10"/>
  <c r="E120" i="10"/>
  <c r="F120" i="10"/>
  <c r="G120" i="10"/>
  <c r="I120" i="10"/>
  <c r="J120" i="10"/>
  <c r="K120" i="10"/>
  <c r="A121" i="10"/>
  <c r="C121" i="10"/>
  <c r="D121" i="10"/>
  <c r="E121" i="10"/>
  <c r="F121" i="10"/>
  <c r="G121" i="10"/>
  <c r="I121" i="10"/>
  <c r="J121" i="10"/>
  <c r="K121" i="10"/>
  <c r="A122" i="10"/>
  <c r="C122" i="10"/>
  <c r="D122" i="10"/>
  <c r="E122" i="10"/>
  <c r="F122" i="10"/>
  <c r="G122" i="10"/>
  <c r="I122" i="10"/>
  <c r="J122" i="10"/>
  <c r="K122" i="10"/>
  <c r="A123" i="10"/>
  <c r="C123" i="10"/>
  <c r="D123" i="10"/>
  <c r="E123" i="10"/>
  <c r="F123" i="10"/>
  <c r="G123" i="10"/>
  <c r="I123" i="10"/>
  <c r="J123" i="10"/>
  <c r="K123" i="10"/>
  <c r="A124" i="10"/>
  <c r="C124" i="10"/>
  <c r="D124" i="10"/>
  <c r="E124" i="10"/>
  <c r="F124" i="10"/>
  <c r="G124" i="10"/>
  <c r="I124" i="10"/>
  <c r="J124" i="10"/>
  <c r="K124" i="10"/>
  <c r="A125" i="10"/>
  <c r="C125" i="10"/>
  <c r="D125" i="10"/>
  <c r="E125" i="10"/>
  <c r="F125" i="10"/>
  <c r="G125" i="10"/>
  <c r="I125" i="10"/>
  <c r="J125" i="10"/>
  <c r="K125" i="10"/>
  <c r="A126" i="10"/>
  <c r="C126" i="10"/>
  <c r="D126" i="10"/>
  <c r="E126" i="10"/>
  <c r="F126" i="10"/>
  <c r="G126" i="10"/>
  <c r="I126" i="10"/>
  <c r="J126" i="10"/>
  <c r="K126" i="10"/>
  <c r="A127" i="10"/>
  <c r="C127" i="10"/>
  <c r="D127" i="10"/>
  <c r="E127" i="10"/>
  <c r="F127" i="10"/>
  <c r="G127" i="10"/>
  <c r="I127" i="10"/>
  <c r="J127" i="10"/>
  <c r="K127" i="10"/>
  <c r="A128" i="10"/>
  <c r="C128" i="10"/>
  <c r="D128" i="10"/>
  <c r="E128" i="10"/>
  <c r="F128" i="10"/>
  <c r="G128" i="10"/>
  <c r="I128" i="10"/>
  <c r="J128" i="10"/>
  <c r="K128" i="10"/>
  <c r="A129" i="10"/>
  <c r="C129" i="10"/>
  <c r="D129" i="10"/>
  <c r="E129" i="10"/>
  <c r="F129" i="10"/>
  <c r="G129" i="10"/>
  <c r="I129" i="10"/>
  <c r="J129" i="10"/>
  <c r="K129" i="10"/>
  <c r="A130" i="10"/>
  <c r="C130" i="10"/>
  <c r="D130" i="10"/>
  <c r="E130" i="10"/>
  <c r="F130" i="10"/>
  <c r="G130" i="10"/>
  <c r="I130" i="10"/>
  <c r="J130" i="10"/>
  <c r="K130" i="10"/>
  <c r="A131" i="10"/>
  <c r="C131" i="10"/>
  <c r="D131" i="10"/>
  <c r="E131" i="10"/>
  <c r="F131" i="10"/>
  <c r="G131" i="10"/>
  <c r="I131" i="10"/>
  <c r="J131" i="10"/>
  <c r="K131" i="10"/>
  <c r="A132" i="10"/>
  <c r="C132" i="10"/>
  <c r="D132" i="10"/>
  <c r="E132" i="10"/>
  <c r="F132" i="10"/>
  <c r="G132" i="10"/>
  <c r="I132" i="10"/>
  <c r="J132" i="10"/>
  <c r="K132" i="10"/>
  <c r="A133" i="10"/>
  <c r="C133" i="10"/>
  <c r="D133" i="10"/>
  <c r="E133" i="10"/>
  <c r="F133" i="10"/>
  <c r="G133" i="10"/>
  <c r="I133" i="10"/>
  <c r="J133" i="10"/>
  <c r="K133" i="10"/>
  <c r="A134" i="10"/>
  <c r="C134" i="10"/>
  <c r="D134" i="10"/>
  <c r="E134" i="10"/>
  <c r="F134" i="10"/>
  <c r="G134" i="10"/>
  <c r="I134" i="10"/>
  <c r="J134" i="10"/>
  <c r="K134" i="10"/>
  <c r="A135" i="10"/>
  <c r="C135" i="10"/>
  <c r="D135" i="10"/>
  <c r="E135" i="10"/>
  <c r="F135" i="10"/>
  <c r="G135" i="10"/>
  <c r="I135" i="10"/>
  <c r="J135" i="10"/>
  <c r="K135" i="10"/>
  <c r="A136" i="10"/>
  <c r="C136" i="10"/>
  <c r="D136" i="10"/>
  <c r="E136" i="10"/>
  <c r="F136" i="10"/>
  <c r="G136" i="10"/>
  <c r="I136" i="10"/>
  <c r="J136" i="10"/>
  <c r="K136" i="10"/>
  <c r="A137" i="10"/>
  <c r="C137" i="10"/>
  <c r="D137" i="10"/>
  <c r="E137" i="10"/>
  <c r="F137" i="10"/>
  <c r="G137" i="10"/>
  <c r="I137" i="10"/>
  <c r="J137" i="10"/>
  <c r="K137" i="10"/>
  <c r="A138" i="10"/>
  <c r="C138" i="10"/>
  <c r="D138" i="10"/>
  <c r="E138" i="10"/>
  <c r="F138" i="10"/>
  <c r="G138" i="10"/>
  <c r="I138" i="10"/>
  <c r="J138" i="10"/>
  <c r="K138" i="10"/>
  <c r="A139" i="10"/>
  <c r="C139" i="10"/>
  <c r="D139" i="10"/>
  <c r="E139" i="10"/>
  <c r="F139" i="10"/>
  <c r="G139" i="10"/>
  <c r="I139" i="10"/>
  <c r="J139" i="10"/>
  <c r="K139" i="10"/>
  <c r="A140" i="10"/>
  <c r="C140" i="10"/>
  <c r="D140" i="10"/>
  <c r="E140" i="10"/>
  <c r="F140" i="10"/>
  <c r="G140" i="10"/>
  <c r="I140" i="10"/>
  <c r="J140" i="10"/>
  <c r="K140" i="10"/>
  <c r="A141" i="10"/>
  <c r="C141" i="10"/>
  <c r="D141" i="10"/>
  <c r="E141" i="10"/>
  <c r="F141" i="10"/>
  <c r="G141" i="10"/>
  <c r="I141" i="10"/>
  <c r="J141" i="10"/>
  <c r="K141" i="10"/>
  <c r="A142" i="10"/>
  <c r="C142" i="10"/>
  <c r="D142" i="10"/>
  <c r="E142" i="10"/>
  <c r="F142" i="10"/>
  <c r="G142" i="10"/>
  <c r="I142" i="10"/>
  <c r="J142" i="10"/>
  <c r="K142" i="10"/>
  <c r="A143" i="10"/>
  <c r="C143" i="10"/>
  <c r="D143" i="10"/>
  <c r="E143" i="10"/>
  <c r="F143" i="10"/>
  <c r="G143" i="10"/>
  <c r="I143" i="10"/>
  <c r="J143" i="10"/>
  <c r="K143" i="10"/>
  <c r="A144" i="10"/>
  <c r="C144" i="10"/>
  <c r="D144" i="10"/>
  <c r="E144" i="10"/>
  <c r="F144" i="10"/>
  <c r="G144" i="10"/>
  <c r="I144" i="10"/>
  <c r="J144" i="10"/>
  <c r="K144" i="10"/>
  <c r="A145" i="10"/>
  <c r="C145" i="10"/>
  <c r="D145" i="10"/>
  <c r="E145" i="10"/>
  <c r="F145" i="10"/>
  <c r="G145" i="10"/>
  <c r="I145" i="10"/>
  <c r="J145" i="10"/>
  <c r="K145" i="10"/>
  <c r="A146" i="10"/>
  <c r="C146" i="10"/>
  <c r="D146" i="10"/>
  <c r="E146" i="10"/>
  <c r="F146" i="10"/>
  <c r="G146" i="10"/>
  <c r="I146" i="10"/>
  <c r="J146" i="10"/>
  <c r="K146" i="10"/>
  <c r="A147" i="10"/>
  <c r="C147" i="10"/>
  <c r="D147" i="10"/>
  <c r="E147" i="10"/>
  <c r="F147" i="10"/>
  <c r="G147" i="10"/>
  <c r="I147" i="10"/>
  <c r="J147" i="10"/>
  <c r="K147" i="10"/>
  <c r="A148" i="10"/>
  <c r="C148" i="10"/>
  <c r="D148" i="10"/>
  <c r="E148" i="10"/>
  <c r="F148" i="10"/>
  <c r="G148" i="10"/>
  <c r="I148" i="10"/>
  <c r="J148" i="10"/>
  <c r="K148" i="10"/>
  <c r="A149" i="10"/>
  <c r="C149" i="10"/>
  <c r="D149" i="10"/>
  <c r="E149" i="10"/>
  <c r="F149" i="10"/>
  <c r="G149" i="10"/>
  <c r="I149" i="10"/>
  <c r="J149" i="10"/>
  <c r="K149" i="10"/>
  <c r="A150" i="10"/>
  <c r="C150" i="10"/>
  <c r="D150" i="10"/>
  <c r="E150" i="10"/>
  <c r="F150" i="10"/>
  <c r="G150" i="10"/>
  <c r="I150" i="10"/>
  <c r="J150" i="10"/>
  <c r="K150" i="10"/>
  <c r="A151" i="10"/>
  <c r="C151" i="10"/>
  <c r="D151" i="10"/>
  <c r="E151" i="10"/>
  <c r="F151" i="10"/>
  <c r="G151" i="10"/>
  <c r="I151" i="10"/>
  <c r="J151" i="10"/>
  <c r="K151" i="10"/>
  <c r="A152" i="10"/>
  <c r="C152" i="10"/>
  <c r="D152" i="10"/>
  <c r="E152" i="10"/>
  <c r="F152" i="10"/>
  <c r="G152" i="10"/>
  <c r="I152" i="10"/>
  <c r="J152" i="10"/>
  <c r="K152" i="10"/>
  <c r="A153" i="10"/>
  <c r="C153" i="10"/>
  <c r="D153" i="10"/>
  <c r="E153" i="10"/>
  <c r="F153" i="10"/>
  <c r="G153" i="10"/>
  <c r="I153" i="10"/>
  <c r="J153" i="10"/>
  <c r="K153" i="10"/>
  <c r="A154" i="10"/>
  <c r="C154" i="10"/>
  <c r="D154" i="10"/>
  <c r="E154" i="10"/>
  <c r="F154" i="10"/>
  <c r="G154" i="10"/>
  <c r="I154" i="10"/>
  <c r="J154" i="10"/>
  <c r="K154" i="10"/>
  <c r="A155" i="10"/>
  <c r="C155" i="10"/>
  <c r="D155" i="10"/>
  <c r="E155" i="10"/>
  <c r="F155" i="10"/>
  <c r="G155" i="10"/>
  <c r="I155" i="10"/>
  <c r="J155" i="10"/>
  <c r="K155" i="10"/>
  <c r="A156" i="10"/>
  <c r="C156" i="10"/>
  <c r="D156" i="10"/>
  <c r="E156" i="10"/>
  <c r="F156" i="10"/>
  <c r="G156" i="10"/>
  <c r="I156" i="10"/>
  <c r="J156" i="10"/>
  <c r="K156" i="10"/>
  <c r="A157" i="10"/>
  <c r="C157" i="10"/>
  <c r="D157" i="10"/>
  <c r="E157" i="10"/>
  <c r="F157" i="10"/>
  <c r="G157" i="10"/>
  <c r="I157" i="10"/>
  <c r="J157" i="10"/>
  <c r="K157" i="10"/>
  <c r="A158" i="10"/>
  <c r="C158" i="10"/>
  <c r="D158" i="10"/>
  <c r="E158" i="10"/>
  <c r="F158" i="10"/>
  <c r="G158" i="10"/>
  <c r="I158" i="10"/>
  <c r="J158" i="10"/>
  <c r="K158" i="10"/>
  <c r="A159" i="10"/>
  <c r="C159" i="10"/>
  <c r="D159" i="10"/>
  <c r="E159" i="10"/>
  <c r="F159" i="10"/>
  <c r="G159" i="10"/>
  <c r="I159" i="10"/>
  <c r="J159" i="10"/>
  <c r="K159" i="10"/>
  <c r="A160" i="10"/>
  <c r="C160" i="10"/>
  <c r="D160" i="10"/>
  <c r="E160" i="10"/>
  <c r="F160" i="10"/>
  <c r="G160" i="10"/>
  <c r="I160" i="10"/>
  <c r="J160" i="10"/>
  <c r="K160" i="10"/>
  <c r="A161" i="10"/>
  <c r="C161" i="10"/>
  <c r="D161" i="10"/>
  <c r="E161" i="10"/>
  <c r="F161" i="10"/>
  <c r="G161" i="10"/>
  <c r="I161" i="10"/>
  <c r="J161" i="10"/>
  <c r="K161" i="10"/>
  <c r="A162" i="10"/>
  <c r="C162" i="10"/>
  <c r="D162" i="10"/>
  <c r="E162" i="10"/>
  <c r="F162" i="10"/>
  <c r="G162" i="10"/>
  <c r="I162" i="10"/>
  <c r="J162" i="10"/>
  <c r="K162" i="10"/>
  <c r="A163" i="10"/>
  <c r="C163" i="10"/>
  <c r="D163" i="10"/>
  <c r="E163" i="10"/>
  <c r="F163" i="10"/>
  <c r="G163" i="10"/>
  <c r="I163" i="10"/>
  <c r="J163" i="10"/>
  <c r="K163" i="10"/>
  <c r="A164" i="10"/>
  <c r="C164" i="10"/>
  <c r="D164" i="10"/>
  <c r="E164" i="10"/>
  <c r="F164" i="10"/>
  <c r="G164" i="10"/>
  <c r="I164" i="10"/>
  <c r="J164" i="10"/>
  <c r="K164" i="10"/>
  <c r="A165" i="10"/>
  <c r="C165" i="10"/>
  <c r="D165" i="10"/>
  <c r="E165" i="10"/>
  <c r="F165" i="10"/>
  <c r="G165" i="10"/>
  <c r="I165" i="10"/>
  <c r="J165" i="10"/>
  <c r="K165" i="10"/>
  <c r="A166" i="10"/>
  <c r="C166" i="10"/>
  <c r="D166" i="10"/>
  <c r="E166" i="10"/>
  <c r="F166" i="10"/>
  <c r="G166" i="10"/>
  <c r="I166" i="10"/>
  <c r="J166" i="10"/>
  <c r="K166" i="10"/>
  <c r="A167" i="10"/>
  <c r="C167" i="10"/>
  <c r="D167" i="10"/>
  <c r="E167" i="10"/>
  <c r="F167" i="10"/>
  <c r="G167" i="10"/>
  <c r="I167" i="10"/>
  <c r="J167" i="10"/>
  <c r="K167" i="10"/>
  <c r="A168" i="10"/>
  <c r="C168" i="10"/>
  <c r="D168" i="10"/>
  <c r="E168" i="10"/>
  <c r="F168" i="10"/>
  <c r="G168" i="10"/>
  <c r="I168" i="10"/>
  <c r="J168" i="10"/>
  <c r="K168" i="10"/>
  <c r="A169" i="10"/>
  <c r="C169" i="10"/>
  <c r="D169" i="10"/>
  <c r="E169" i="10"/>
  <c r="F169" i="10"/>
  <c r="G169" i="10"/>
  <c r="I169" i="10"/>
  <c r="J169" i="10"/>
  <c r="K169" i="10"/>
  <c r="A170" i="10"/>
  <c r="C170" i="10"/>
  <c r="D170" i="10"/>
  <c r="E170" i="10"/>
  <c r="F170" i="10"/>
  <c r="G170" i="10"/>
  <c r="I170" i="10"/>
  <c r="J170" i="10"/>
  <c r="K170" i="10"/>
  <c r="A171" i="10"/>
  <c r="C171" i="10"/>
  <c r="D171" i="10"/>
  <c r="E171" i="10"/>
  <c r="F171" i="10"/>
  <c r="G171" i="10"/>
  <c r="I171" i="10"/>
  <c r="J171" i="10"/>
  <c r="K171" i="10"/>
  <c r="A172" i="10"/>
  <c r="C172" i="10"/>
  <c r="D172" i="10"/>
  <c r="E172" i="10"/>
  <c r="F172" i="10"/>
  <c r="G172" i="10"/>
  <c r="I172" i="10"/>
  <c r="J172" i="10"/>
  <c r="K172" i="10"/>
  <c r="A173" i="10"/>
  <c r="C173" i="10"/>
  <c r="D173" i="10"/>
  <c r="E173" i="10"/>
  <c r="F173" i="10"/>
  <c r="G173" i="10"/>
  <c r="I173" i="10"/>
  <c r="J173" i="10"/>
  <c r="K173" i="10"/>
  <c r="A174" i="10"/>
  <c r="C174" i="10"/>
  <c r="D174" i="10"/>
  <c r="E174" i="10"/>
  <c r="F174" i="10"/>
  <c r="G174" i="10"/>
  <c r="I174" i="10"/>
  <c r="J174" i="10"/>
  <c r="K174" i="10"/>
  <c r="A175" i="10"/>
  <c r="C175" i="10"/>
  <c r="D175" i="10"/>
  <c r="E175" i="10"/>
  <c r="F175" i="10"/>
  <c r="G175" i="10"/>
  <c r="I175" i="10"/>
  <c r="J175" i="10"/>
  <c r="K175" i="10"/>
  <c r="A176" i="10"/>
  <c r="C176" i="10"/>
  <c r="D176" i="10"/>
  <c r="E176" i="10"/>
  <c r="F176" i="10"/>
  <c r="G176" i="10"/>
  <c r="I176" i="10"/>
  <c r="J176" i="10"/>
  <c r="K176" i="10"/>
  <c r="A177" i="10"/>
  <c r="C177" i="10"/>
  <c r="D177" i="10"/>
  <c r="E177" i="10"/>
  <c r="F177" i="10"/>
  <c r="G177" i="10"/>
  <c r="I177" i="10"/>
  <c r="J177" i="10"/>
  <c r="K177" i="10"/>
  <c r="A178" i="10"/>
  <c r="C178" i="10"/>
  <c r="D178" i="10"/>
  <c r="E178" i="10"/>
  <c r="F178" i="10"/>
  <c r="G178" i="10"/>
  <c r="I178" i="10"/>
  <c r="J178" i="10"/>
  <c r="K178" i="10"/>
  <c r="A179" i="10"/>
  <c r="C179" i="10"/>
  <c r="D179" i="10"/>
  <c r="E179" i="10"/>
  <c r="F179" i="10"/>
  <c r="G179" i="10"/>
  <c r="I179" i="10"/>
  <c r="J179" i="10"/>
  <c r="K179" i="10"/>
  <c r="A180" i="10"/>
  <c r="C180" i="10"/>
  <c r="D180" i="10"/>
  <c r="E180" i="10"/>
  <c r="F180" i="10"/>
  <c r="G180" i="10"/>
  <c r="I180" i="10"/>
  <c r="J180" i="10"/>
  <c r="K180" i="10"/>
  <c r="A181" i="10"/>
  <c r="C181" i="10"/>
  <c r="D181" i="10"/>
  <c r="E181" i="10"/>
  <c r="F181" i="10"/>
  <c r="G181" i="10"/>
  <c r="I181" i="10"/>
  <c r="J181" i="10"/>
  <c r="K181" i="10"/>
  <c r="A182" i="10"/>
  <c r="C182" i="10"/>
  <c r="D182" i="10"/>
  <c r="E182" i="10"/>
  <c r="F182" i="10"/>
  <c r="G182" i="10"/>
  <c r="I182" i="10"/>
  <c r="J182" i="10"/>
  <c r="K182" i="10"/>
  <c r="A183" i="10"/>
  <c r="C183" i="10"/>
  <c r="D183" i="10"/>
  <c r="E183" i="10"/>
  <c r="F183" i="10"/>
  <c r="G183" i="10"/>
  <c r="I183" i="10"/>
  <c r="J183" i="10"/>
  <c r="K183" i="10"/>
  <c r="A184" i="10"/>
  <c r="C184" i="10"/>
  <c r="D184" i="10"/>
  <c r="E184" i="10"/>
  <c r="F184" i="10"/>
  <c r="G184" i="10"/>
  <c r="I184" i="10"/>
  <c r="J184" i="10"/>
  <c r="K184" i="10"/>
  <c r="A185" i="10"/>
  <c r="C185" i="10"/>
  <c r="D185" i="10"/>
  <c r="E185" i="10"/>
  <c r="F185" i="10"/>
  <c r="G185" i="10"/>
  <c r="I185" i="10"/>
  <c r="J185" i="10"/>
  <c r="K185" i="10"/>
  <c r="A186" i="10"/>
  <c r="C186" i="10"/>
  <c r="D186" i="10"/>
  <c r="E186" i="10"/>
  <c r="F186" i="10"/>
  <c r="G186" i="10"/>
  <c r="I186" i="10"/>
  <c r="J186" i="10"/>
  <c r="K186" i="10"/>
  <c r="A187" i="10"/>
  <c r="C187" i="10"/>
  <c r="D187" i="10"/>
  <c r="E187" i="10"/>
  <c r="F187" i="10"/>
  <c r="G187" i="10"/>
  <c r="I187" i="10"/>
  <c r="J187" i="10"/>
  <c r="K187" i="10"/>
  <c r="A188" i="10"/>
  <c r="C188" i="10"/>
  <c r="D188" i="10"/>
  <c r="E188" i="10"/>
  <c r="F188" i="10"/>
  <c r="G188" i="10"/>
  <c r="I188" i="10"/>
  <c r="J188" i="10"/>
  <c r="K188" i="10"/>
  <c r="A189" i="10"/>
  <c r="C189" i="10"/>
  <c r="D189" i="10"/>
  <c r="E189" i="10"/>
  <c r="F189" i="10"/>
  <c r="G189" i="10"/>
  <c r="I189" i="10"/>
  <c r="J189" i="10"/>
  <c r="K189" i="10"/>
  <c r="A190" i="10"/>
  <c r="C190" i="10"/>
  <c r="D190" i="10"/>
  <c r="E190" i="10"/>
  <c r="F190" i="10"/>
  <c r="G190" i="10"/>
  <c r="I190" i="10"/>
  <c r="J190" i="10"/>
  <c r="K190" i="10"/>
  <c r="A191" i="10"/>
  <c r="C191" i="10"/>
  <c r="D191" i="10"/>
  <c r="E191" i="10"/>
  <c r="F191" i="10"/>
  <c r="G191" i="10"/>
  <c r="I191" i="10"/>
  <c r="J191" i="10"/>
  <c r="K191" i="10"/>
  <c r="A192" i="10"/>
  <c r="C192" i="10"/>
  <c r="D192" i="10"/>
  <c r="E192" i="10"/>
  <c r="F192" i="10"/>
  <c r="G192" i="10"/>
  <c r="I192" i="10"/>
  <c r="J192" i="10"/>
  <c r="K192" i="10"/>
  <c r="A193" i="10"/>
  <c r="C193" i="10"/>
  <c r="D193" i="10"/>
  <c r="E193" i="10"/>
  <c r="F193" i="10"/>
  <c r="G193" i="10"/>
  <c r="I193" i="10"/>
  <c r="J193" i="10"/>
  <c r="K193" i="10"/>
  <c r="A194" i="10"/>
  <c r="C194" i="10"/>
  <c r="D194" i="10"/>
  <c r="E194" i="10"/>
  <c r="F194" i="10"/>
  <c r="G194" i="10"/>
  <c r="I194" i="10"/>
  <c r="J194" i="10"/>
  <c r="K194" i="10"/>
  <c r="A195" i="10"/>
  <c r="C195" i="10"/>
  <c r="D195" i="10"/>
  <c r="E195" i="10"/>
  <c r="F195" i="10"/>
  <c r="G195" i="10"/>
  <c r="I195" i="10"/>
  <c r="J195" i="10"/>
  <c r="K195" i="10"/>
  <c r="A196" i="10"/>
  <c r="C196" i="10"/>
  <c r="D196" i="10"/>
  <c r="E196" i="10"/>
  <c r="F196" i="10"/>
  <c r="G196" i="10"/>
  <c r="I196" i="10"/>
  <c r="J196" i="10"/>
  <c r="K196" i="10"/>
  <c r="A197" i="10"/>
  <c r="C197" i="10"/>
  <c r="D197" i="10"/>
  <c r="E197" i="10"/>
  <c r="F197" i="10"/>
  <c r="G197" i="10"/>
  <c r="I197" i="10"/>
  <c r="J197" i="10"/>
  <c r="K197" i="10"/>
  <c r="A198" i="10"/>
  <c r="C198" i="10"/>
  <c r="D198" i="10"/>
  <c r="E198" i="10"/>
  <c r="F198" i="10"/>
  <c r="G198" i="10"/>
  <c r="I198" i="10"/>
  <c r="J198" i="10"/>
  <c r="K198" i="10"/>
  <c r="A199" i="10"/>
  <c r="C199" i="10"/>
  <c r="D199" i="10"/>
  <c r="E199" i="10"/>
  <c r="F199" i="10"/>
  <c r="G199" i="10"/>
  <c r="I199" i="10"/>
  <c r="J199" i="10"/>
  <c r="K199" i="10"/>
  <c r="A200" i="10"/>
  <c r="C200" i="10"/>
  <c r="D200" i="10"/>
  <c r="E200" i="10"/>
  <c r="F200" i="10"/>
  <c r="G200" i="10"/>
  <c r="I200" i="10"/>
  <c r="J200" i="10"/>
  <c r="K200" i="10"/>
  <c r="A201" i="10"/>
  <c r="C201" i="10"/>
  <c r="D201" i="10"/>
  <c r="E201" i="10"/>
  <c r="F201" i="10"/>
  <c r="G201" i="10"/>
  <c r="I201" i="10"/>
  <c r="J201" i="10"/>
  <c r="K201" i="10"/>
  <c r="A202" i="10"/>
  <c r="C202" i="10"/>
  <c r="D202" i="10"/>
  <c r="E202" i="10"/>
  <c r="F202" i="10"/>
  <c r="G202" i="10"/>
  <c r="I202" i="10"/>
  <c r="J202" i="10"/>
  <c r="K202" i="10"/>
  <c r="A203" i="10"/>
  <c r="C203" i="10"/>
  <c r="D203" i="10"/>
  <c r="E203" i="10"/>
  <c r="F203" i="10"/>
  <c r="G203" i="10"/>
  <c r="I203" i="10"/>
  <c r="J203" i="10"/>
  <c r="K203" i="10"/>
  <c r="A204" i="10"/>
  <c r="C204" i="10"/>
  <c r="D204" i="10"/>
  <c r="E204" i="10"/>
  <c r="F204" i="10"/>
  <c r="G204" i="10"/>
  <c r="I204" i="10"/>
  <c r="J204" i="10"/>
  <c r="K204" i="10"/>
  <c r="A205" i="10"/>
  <c r="C205" i="10"/>
  <c r="D205" i="10"/>
  <c r="E205" i="10"/>
  <c r="F205" i="10"/>
  <c r="G205" i="10"/>
  <c r="I205" i="10"/>
  <c r="J205" i="10"/>
  <c r="K205" i="10"/>
  <c r="A206" i="10"/>
  <c r="C206" i="10"/>
  <c r="D206" i="10"/>
  <c r="E206" i="10"/>
  <c r="F206" i="10"/>
  <c r="G206" i="10"/>
  <c r="I206" i="10"/>
  <c r="J206" i="10"/>
  <c r="K206" i="10"/>
  <c r="A207" i="10"/>
  <c r="C207" i="10"/>
  <c r="D207" i="10"/>
  <c r="E207" i="10"/>
  <c r="F207" i="10"/>
  <c r="G207" i="10"/>
  <c r="I207" i="10"/>
  <c r="J207" i="10"/>
  <c r="K207" i="10"/>
  <c r="A208" i="10"/>
  <c r="C208" i="10"/>
  <c r="D208" i="10"/>
  <c r="E208" i="10"/>
  <c r="F208" i="10"/>
  <c r="G208" i="10"/>
  <c r="I208" i="10"/>
  <c r="J208" i="10"/>
  <c r="K208" i="10"/>
  <c r="A209" i="10"/>
  <c r="C209" i="10"/>
  <c r="D209" i="10"/>
  <c r="E209" i="10"/>
  <c r="F209" i="10"/>
  <c r="G209" i="10"/>
  <c r="I209" i="10"/>
  <c r="J209" i="10"/>
  <c r="K209" i="10"/>
  <c r="A210" i="10"/>
  <c r="C210" i="10"/>
  <c r="D210" i="10"/>
  <c r="E210" i="10"/>
  <c r="F210" i="10"/>
  <c r="G210" i="10"/>
  <c r="I210" i="10"/>
  <c r="J210" i="10"/>
  <c r="K210" i="10"/>
  <c r="A211" i="10"/>
  <c r="C211" i="10"/>
  <c r="D211" i="10"/>
  <c r="E211" i="10"/>
  <c r="F211" i="10"/>
  <c r="G211" i="10"/>
  <c r="I211" i="10"/>
  <c r="J211" i="10"/>
  <c r="K211" i="10"/>
  <c r="A212" i="10"/>
  <c r="C212" i="10"/>
  <c r="D212" i="10"/>
  <c r="E212" i="10"/>
  <c r="F212" i="10"/>
  <c r="G212" i="10"/>
  <c r="I212" i="10"/>
  <c r="J212" i="10"/>
  <c r="K212" i="10"/>
  <c r="A213" i="10"/>
  <c r="C213" i="10"/>
  <c r="D213" i="10"/>
  <c r="E213" i="10"/>
  <c r="F213" i="10"/>
  <c r="G213" i="10"/>
  <c r="I213" i="10"/>
  <c r="J213" i="10"/>
  <c r="K213" i="10"/>
  <c r="A214" i="10"/>
  <c r="C214" i="10"/>
  <c r="D214" i="10"/>
  <c r="E214" i="10"/>
  <c r="F214" i="10"/>
  <c r="G214" i="10"/>
  <c r="I214" i="10"/>
  <c r="J214" i="10"/>
  <c r="K214" i="10"/>
  <c r="A215" i="10"/>
  <c r="C215" i="10"/>
  <c r="D215" i="10"/>
  <c r="E215" i="10"/>
  <c r="F215" i="10"/>
  <c r="G215" i="10"/>
  <c r="I215" i="10"/>
  <c r="J215" i="10"/>
  <c r="K215" i="10"/>
  <c r="A216" i="10"/>
  <c r="C216" i="10"/>
  <c r="D216" i="10"/>
  <c r="E216" i="10"/>
  <c r="F216" i="10"/>
  <c r="G216" i="10"/>
  <c r="I216" i="10"/>
  <c r="J216" i="10"/>
  <c r="K216" i="10"/>
  <c r="A217" i="10"/>
  <c r="C217" i="10"/>
  <c r="D217" i="10"/>
  <c r="E217" i="10"/>
  <c r="F217" i="10"/>
  <c r="G217" i="10"/>
  <c r="I217" i="10"/>
  <c r="J217" i="10"/>
  <c r="K217" i="10"/>
  <c r="A218" i="10"/>
  <c r="C218" i="10"/>
  <c r="D218" i="10"/>
  <c r="E218" i="10"/>
  <c r="F218" i="10"/>
  <c r="G218" i="10"/>
  <c r="I218" i="10"/>
  <c r="J218" i="10"/>
  <c r="K218" i="10"/>
  <c r="A219" i="10"/>
  <c r="C219" i="10"/>
  <c r="D219" i="10"/>
  <c r="E219" i="10"/>
  <c r="F219" i="10"/>
  <c r="G219" i="10"/>
  <c r="I219" i="10"/>
  <c r="J219" i="10"/>
  <c r="K219" i="10"/>
  <c r="A220" i="10"/>
  <c r="C220" i="10"/>
  <c r="D220" i="10"/>
  <c r="E220" i="10"/>
  <c r="F220" i="10"/>
  <c r="G220" i="10"/>
  <c r="I220" i="10"/>
  <c r="J220" i="10"/>
  <c r="K220" i="10"/>
  <c r="A221" i="10"/>
  <c r="C221" i="10"/>
  <c r="D221" i="10"/>
  <c r="E221" i="10"/>
  <c r="F221" i="10"/>
  <c r="G221" i="10"/>
  <c r="I221" i="10"/>
  <c r="J221" i="10"/>
  <c r="K221" i="10"/>
  <c r="A222" i="10"/>
  <c r="C222" i="10"/>
  <c r="D222" i="10"/>
  <c r="E222" i="10"/>
  <c r="F222" i="10"/>
  <c r="G222" i="10"/>
  <c r="I222" i="10"/>
  <c r="J222" i="10"/>
  <c r="K222" i="10"/>
  <c r="A223" i="10"/>
  <c r="C223" i="10"/>
  <c r="D223" i="10"/>
  <c r="E223" i="10"/>
  <c r="F223" i="10"/>
  <c r="G223" i="10"/>
  <c r="I223" i="10"/>
  <c r="J223" i="10"/>
  <c r="K223" i="10"/>
  <c r="A224" i="10"/>
  <c r="C224" i="10"/>
  <c r="D224" i="10"/>
  <c r="E224" i="10"/>
  <c r="F224" i="10"/>
  <c r="G224" i="10"/>
  <c r="I224" i="10"/>
  <c r="J224" i="10"/>
  <c r="K224" i="10"/>
  <c r="A225" i="10"/>
  <c r="C225" i="10"/>
  <c r="D225" i="10"/>
  <c r="E225" i="10"/>
  <c r="F225" i="10"/>
  <c r="G225" i="10"/>
  <c r="I225" i="10"/>
  <c r="J225" i="10"/>
  <c r="K225" i="10"/>
  <c r="A226" i="10"/>
  <c r="C226" i="10"/>
  <c r="D226" i="10"/>
  <c r="E226" i="10"/>
  <c r="F226" i="10"/>
  <c r="G226" i="10"/>
  <c r="I226" i="10"/>
  <c r="J226" i="10"/>
  <c r="K226" i="10"/>
  <c r="A227" i="10"/>
  <c r="C227" i="10"/>
  <c r="D227" i="10"/>
  <c r="E227" i="10"/>
  <c r="F227" i="10"/>
  <c r="G227" i="10"/>
  <c r="I227" i="10"/>
  <c r="J227" i="10"/>
  <c r="K227" i="10"/>
  <c r="A228" i="10"/>
  <c r="C228" i="10"/>
  <c r="D228" i="10"/>
  <c r="E228" i="10"/>
  <c r="F228" i="10"/>
  <c r="G228" i="10"/>
  <c r="I228" i="10"/>
  <c r="J228" i="10"/>
  <c r="K228" i="10"/>
  <c r="A229" i="10"/>
  <c r="C229" i="10"/>
  <c r="D229" i="10"/>
  <c r="E229" i="10"/>
  <c r="F229" i="10"/>
  <c r="G229" i="10"/>
  <c r="I229" i="10"/>
  <c r="J229" i="10"/>
  <c r="K229" i="10"/>
  <c r="A230" i="10"/>
  <c r="C230" i="10"/>
  <c r="D230" i="10"/>
  <c r="E230" i="10"/>
  <c r="F230" i="10"/>
  <c r="G230" i="10"/>
  <c r="I230" i="10"/>
  <c r="J230" i="10"/>
  <c r="K230" i="10"/>
  <c r="A231" i="10"/>
  <c r="C231" i="10"/>
  <c r="D231" i="10"/>
  <c r="E231" i="10"/>
  <c r="F231" i="10"/>
  <c r="G231" i="10"/>
  <c r="I231" i="10"/>
  <c r="J231" i="10"/>
  <c r="K231" i="10"/>
  <c r="A232" i="10"/>
  <c r="C232" i="10"/>
  <c r="D232" i="10"/>
  <c r="E232" i="10"/>
  <c r="F232" i="10"/>
  <c r="G232" i="10"/>
  <c r="I232" i="10"/>
  <c r="J232" i="10"/>
  <c r="K232" i="10"/>
  <c r="A233" i="10"/>
  <c r="C233" i="10"/>
  <c r="D233" i="10"/>
  <c r="E233" i="10"/>
  <c r="F233" i="10"/>
  <c r="G233" i="10"/>
  <c r="I233" i="10"/>
  <c r="J233" i="10"/>
  <c r="K233" i="10"/>
  <c r="A234" i="10"/>
  <c r="C234" i="10"/>
  <c r="D234" i="10"/>
  <c r="E234" i="10"/>
  <c r="F234" i="10"/>
  <c r="G234" i="10"/>
  <c r="I234" i="10"/>
  <c r="J234" i="10"/>
  <c r="K234" i="10"/>
  <c r="A235" i="10"/>
  <c r="C235" i="10"/>
  <c r="D235" i="10"/>
  <c r="E235" i="10"/>
  <c r="F235" i="10"/>
  <c r="G235" i="10"/>
  <c r="I235" i="10"/>
  <c r="J235" i="10"/>
  <c r="K235" i="10"/>
  <c r="A236" i="10"/>
  <c r="C236" i="10"/>
  <c r="D236" i="10"/>
  <c r="E236" i="10"/>
  <c r="F236" i="10"/>
  <c r="G236" i="10"/>
  <c r="I236" i="10"/>
  <c r="J236" i="10"/>
  <c r="K236" i="10"/>
  <c r="A237" i="10"/>
  <c r="C237" i="10"/>
  <c r="D237" i="10"/>
  <c r="E237" i="10"/>
  <c r="F237" i="10"/>
  <c r="G237" i="10"/>
  <c r="I237" i="10"/>
  <c r="J237" i="10"/>
  <c r="K237" i="10"/>
  <c r="A238" i="10"/>
  <c r="C238" i="10"/>
  <c r="D238" i="10"/>
  <c r="E238" i="10"/>
  <c r="F238" i="10"/>
  <c r="G238" i="10"/>
  <c r="I238" i="10"/>
  <c r="J238" i="10"/>
  <c r="K238" i="10"/>
  <c r="A239" i="10"/>
  <c r="C239" i="10"/>
  <c r="D239" i="10"/>
  <c r="E239" i="10"/>
  <c r="F239" i="10"/>
  <c r="G239" i="10"/>
  <c r="I239" i="10"/>
  <c r="J239" i="10"/>
  <c r="K239" i="10"/>
  <c r="A240" i="10"/>
  <c r="C240" i="10"/>
  <c r="D240" i="10"/>
  <c r="E240" i="10"/>
  <c r="F240" i="10"/>
  <c r="G240" i="10"/>
  <c r="I240" i="10"/>
  <c r="J240" i="10"/>
  <c r="K240" i="10"/>
  <c r="A241" i="10"/>
  <c r="C241" i="10"/>
  <c r="D241" i="10"/>
  <c r="E241" i="10"/>
  <c r="F241" i="10"/>
  <c r="G241" i="10"/>
  <c r="I241" i="10"/>
  <c r="J241" i="10"/>
  <c r="K241" i="10"/>
  <c r="A242" i="10"/>
  <c r="C242" i="10"/>
  <c r="D242" i="10"/>
  <c r="E242" i="10"/>
  <c r="F242" i="10"/>
  <c r="G242" i="10"/>
  <c r="I242" i="10"/>
  <c r="J242" i="10"/>
  <c r="K242" i="10"/>
  <c r="A243" i="10"/>
  <c r="C243" i="10"/>
  <c r="D243" i="10"/>
  <c r="E243" i="10"/>
  <c r="F243" i="10"/>
  <c r="G243" i="10"/>
  <c r="I243" i="10"/>
  <c r="J243" i="10"/>
  <c r="K243" i="10"/>
  <c r="A244" i="10"/>
  <c r="C244" i="10"/>
  <c r="D244" i="10"/>
  <c r="E244" i="10"/>
  <c r="F244" i="10"/>
  <c r="G244" i="10"/>
  <c r="I244" i="10"/>
  <c r="J244" i="10"/>
  <c r="K244" i="10"/>
  <c r="A245" i="10"/>
  <c r="C245" i="10"/>
  <c r="D245" i="10"/>
  <c r="E245" i="10"/>
  <c r="F245" i="10"/>
  <c r="G245" i="10"/>
  <c r="I245" i="10"/>
  <c r="J245" i="10"/>
  <c r="K245" i="10"/>
  <c r="A246" i="10"/>
  <c r="C246" i="10"/>
  <c r="D246" i="10"/>
  <c r="E246" i="10"/>
  <c r="F246" i="10"/>
  <c r="G246" i="10"/>
  <c r="I246" i="10"/>
  <c r="J246" i="10"/>
  <c r="K246" i="10"/>
  <c r="A247" i="10"/>
  <c r="C247" i="10"/>
  <c r="D247" i="10"/>
  <c r="E247" i="10"/>
  <c r="F247" i="10"/>
  <c r="G247" i="10"/>
  <c r="I247" i="10"/>
  <c r="J247" i="10"/>
  <c r="K247" i="10"/>
  <c r="A248" i="10"/>
  <c r="C248" i="10"/>
  <c r="D248" i="10"/>
  <c r="E248" i="10"/>
  <c r="F248" i="10"/>
  <c r="G248" i="10"/>
  <c r="I248" i="10"/>
  <c r="J248" i="10"/>
  <c r="K248" i="10"/>
  <c r="A249" i="10"/>
  <c r="C249" i="10"/>
  <c r="D249" i="10"/>
  <c r="E249" i="10"/>
  <c r="F249" i="10"/>
  <c r="G249" i="10"/>
  <c r="I249" i="10"/>
  <c r="J249" i="10"/>
  <c r="K249" i="10"/>
  <c r="A250" i="10"/>
  <c r="C250" i="10"/>
  <c r="D250" i="10"/>
  <c r="E250" i="10"/>
  <c r="F250" i="10"/>
  <c r="G250" i="10"/>
  <c r="I250" i="10"/>
  <c r="J250" i="10"/>
  <c r="K250" i="10"/>
  <c r="A251" i="10"/>
  <c r="C251" i="10"/>
  <c r="D251" i="10"/>
  <c r="E251" i="10"/>
  <c r="F251" i="10"/>
  <c r="G251" i="10"/>
  <c r="I251" i="10"/>
  <c r="J251" i="10"/>
  <c r="K251" i="10"/>
  <c r="A252" i="10"/>
  <c r="C252" i="10"/>
  <c r="D252" i="10"/>
  <c r="E252" i="10"/>
  <c r="F252" i="10"/>
  <c r="G252" i="10"/>
  <c r="I252" i="10"/>
  <c r="J252" i="10"/>
  <c r="K252" i="10"/>
  <c r="A253" i="10"/>
  <c r="C253" i="10"/>
  <c r="D253" i="10"/>
  <c r="E253" i="10"/>
  <c r="F253" i="10"/>
  <c r="G253" i="10"/>
  <c r="I253" i="10"/>
  <c r="J253" i="10"/>
  <c r="K253" i="10"/>
  <c r="A254" i="10"/>
  <c r="C254" i="10"/>
  <c r="D254" i="10"/>
  <c r="E254" i="10"/>
  <c r="F254" i="10"/>
  <c r="G254" i="10"/>
  <c r="I254" i="10"/>
  <c r="J254" i="10"/>
  <c r="K254" i="10"/>
  <c r="A255" i="10"/>
  <c r="C255" i="10"/>
  <c r="D255" i="10"/>
  <c r="E255" i="10"/>
  <c r="F255" i="10"/>
  <c r="G255" i="10"/>
  <c r="I255" i="10"/>
  <c r="J255" i="10"/>
  <c r="K255" i="10"/>
  <c r="A256" i="10"/>
  <c r="C256" i="10"/>
  <c r="D256" i="10"/>
  <c r="E256" i="10"/>
  <c r="F256" i="10"/>
  <c r="G256" i="10"/>
  <c r="I256" i="10"/>
  <c r="J256" i="10"/>
  <c r="K256" i="10"/>
  <c r="A257" i="10"/>
  <c r="C257" i="10"/>
  <c r="D257" i="10"/>
  <c r="E257" i="10"/>
  <c r="F257" i="10"/>
  <c r="G257" i="10"/>
  <c r="I257" i="10"/>
  <c r="J257" i="10"/>
  <c r="K257" i="10"/>
  <c r="A258" i="10"/>
  <c r="C258" i="10"/>
  <c r="D258" i="10"/>
  <c r="E258" i="10"/>
  <c r="F258" i="10"/>
  <c r="G258" i="10"/>
  <c r="I258" i="10"/>
  <c r="J258" i="10"/>
  <c r="K258" i="10"/>
  <c r="A259" i="10"/>
  <c r="C259" i="10"/>
  <c r="D259" i="10"/>
  <c r="E259" i="10"/>
  <c r="F259" i="10"/>
  <c r="G259" i="10"/>
  <c r="I259" i="10"/>
  <c r="J259" i="10"/>
  <c r="K259" i="10"/>
  <c r="A260" i="10"/>
  <c r="C260" i="10"/>
  <c r="D260" i="10"/>
  <c r="E260" i="10"/>
  <c r="F260" i="10"/>
  <c r="G260" i="10"/>
  <c r="I260" i="10"/>
  <c r="J260" i="10"/>
  <c r="K260" i="10"/>
  <c r="A261" i="10"/>
  <c r="C261" i="10"/>
  <c r="D261" i="10"/>
  <c r="E261" i="10"/>
  <c r="F261" i="10"/>
  <c r="G261" i="10"/>
  <c r="I261" i="10"/>
  <c r="J261" i="10"/>
  <c r="K261" i="10"/>
  <c r="A262" i="10"/>
  <c r="C262" i="10"/>
  <c r="D262" i="10"/>
  <c r="E262" i="10"/>
  <c r="F262" i="10"/>
  <c r="G262" i="10"/>
  <c r="I262" i="10"/>
  <c r="J262" i="10"/>
  <c r="K262" i="10"/>
  <c r="A263" i="10"/>
  <c r="C263" i="10"/>
  <c r="D263" i="10"/>
  <c r="E263" i="10"/>
  <c r="F263" i="10"/>
  <c r="G263" i="10"/>
  <c r="I263" i="10"/>
  <c r="J263" i="10"/>
  <c r="K263" i="10"/>
  <c r="A264" i="10"/>
  <c r="C264" i="10"/>
  <c r="D264" i="10"/>
  <c r="E264" i="10"/>
  <c r="F264" i="10"/>
  <c r="G264" i="10"/>
  <c r="I264" i="10"/>
  <c r="J264" i="10"/>
  <c r="K264" i="10"/>
  <c r="A265" i="10"/>
  <c r="C265" i="10"/>
  <c r="D265" i="10"/>
  <c r="E265" i="10"/>
  <c r="F265" i="10"/>
  <c r="G265" i="10"/>
  <c r="I265" i="10"/>
  <c r="J265" i="10"/>
  <c r="K265" i="10"/>
  <c r="A266" i="10"/>
  <c r="C266" i="10"/>
  <c r="D266" i="10"/>
  <c r="E266" i="10"/>
  <c r="F266" i="10"/>
  <c r="G266" i="10"/>
  <c r="I266" i="10"/>
  <c r="J266" i="10"/>
  <c r="K266" i="10"/>
  <c r="A267" i="10"/>
  <c r="C267" i="10"/>
  <c r="D267" i="10"/>
  <c r="E267" i="10"/>
  <c r="F267" i="10"/>
  <c r="G267" i="10"/>
  <c r="I267" i="10"/>
  <c r="J267" i="10"/>
  <c r="K267" i="10"/>
  <c r="A268" i="10"/>
  <c r="C268" i="10"/>
  <c r="D268" i="10"/>
  <c r="E268" i="10"/>
  <c r="F268" i="10"/>
  <c r="G268" i="10"/>
  <c r="I268" i="10"/>
  <c r="J268" i="10"/>
  <c r="K268" i="10"/>
  <c r="A269" i="10"/>
  <c r="C269" i="10"/>
  <c r="D269" i="10"/>
  <c r="E269" i="10"/>
  <c r="F269" i="10"/>
  <c r="G269" i="10"/>
  <c r="I269" i="10"/>
  <c r="J269" i="10"/>
  <c r="K269" i="10"/>
  <c r="A270" i="10"/>
  <c r="C270" i="10"/>
  <c r="D270" i="10"/>
  <c r="E270" i="10"/>
  <c r="F270" i="10"/>
  <c r="G270" i="10"/>
  <c r="I270" i="10"/>
  <c r="J270" i="10"/>
  <c r="K270" i="10"/>
  <c r="A271" i="10"/>
  <c r="C271" i="10"/>
  <c r="D271" i="10"/>
  <c r="E271" i="10"/>
  <c r="F271" i="10"/>
  <c r="G271" i="10"/>
  <c r="I271" i="10"/>
  <c r="J271" i="10"/>
  <c r="K271" i="10"/>
  <c r="A272" i="10"/>
  <c r="C272" i="10"/>
  <c r="D272" i="10"/>
  <c r="E272" i="10"/>
  <c r="F272" i="10"/>
  <c r="G272" i="10"/>
  <c r="I272" i="10"/>
  <c r="J272" i="10"/>
  <c r="K272" i="10"/>
  <c r="A273" i="10"/>
  <c r="C273" i="10"/>
  <c r="D273" i="10"/>
  <c r="E273" i="10"/>
  <c r="F273" i="10"/>
  <c r="G273" i="10"/>
  <c r="I273" i="10"/>
  <c r="J273" i="10"/>
  <c r="K273" i="10"/>
  <c r="A274" i="10"/>
  <c r="C274" i="10"/>
  <c r="D274" i="10"/>
  <c r="E274" i="10"/>
  <c r="F274" i="10"/>
  <c r="G274" i="10"/>
  <c r="I274" i="10"/>
  <c r="J274" i="10"/>
  <c r="K274" i="10"/>
  <c r="A275" i="10"/>
  <c r="C275" i="10"/>
  <c r="D275" i="10"/>
  <c r="E275" i="10"/>
  <c r="F275" i="10"/>
  <c r="G275" i="10"/>
  <c r="I275" i="10"/>
  <c r="J275" i="10"/>
  <c r="K275" i="10"/>
  <c r="A276" i="10"/>
  <c r="C276" i="10"/>
  <c r="D276" i="10"/>
  <c r="E276" i="10"/>
  <c r="F276" i="10"/>
  <c r="G276" i="10"/>
  <c r="I276" i="10"/>
  <c r="J276" i="10"/>
  <c r="K276" i="10"/>
  <c r="A277" i="10"/>
  <c r="C277" i="10"/>
  <c r="D277" i="10"/>
  <c r="E277" i="10"/>
  <c r="F277" i="10"/>
  <c r="G277" i="10"/>
  <c r="I277" i="10"/>
  <c r="J277" i="10"/>
  <c r="K277" i="10"/>
  <c r="A278" i="10"/>
  <c r="C278" i="10"/>
  <c r="D278" i="10"/>
  <c r="E278" i="10"/>
  <c r="F278" i="10"/>
  <c r="G278" i="10"/>
  <c r="I278" i="10"/>
  <c r="J278" i="10"/>
  <c r="K278" i="10"/>
  <c r="A279" i="10"/>
  <c r="C279" i="10"/>
  <c r="D279" i="10"/>
  <c r="E279" i="10"/>
  <c r="F279" i="10"/>
  <c r="G279" i="10"/>
  <c r="I279" i="10"/>
  <c r="J279" i="10"/>
  <c r="K279" i="10"/>
  <c r="A280" i="10"/>
  <c r="C280" i="10"/>
  <c r="D280" i="10"/>
  <c r="E280" i="10"/>
  <c r="F280" i="10"/>
  <c r="G280" i="10"/>
  <c r="I280" i="10"/>
  <c r="J280" i="10"/>
  <c r="K280" i="10"/>
  <c r="A281" i="10"/>
  <c r="C281" i="10"/>
  <c r="D281" i="10"/>
  <c r="E281" i="10"/>
  <c r="F281" i="10"/>
  <c r="G281" i="10"/>
  <c r="I281" i="10"/>
  <c r="J281" i="10"/>
  <c r="K281" i="10"/>
  <c r="A282" i="10"/>
  <c r="C282" i="10"/>
  <c r="D282" i="10"/>
  <c r="E282" i="10"/>
  <c r="F282" i="10"/>
  <c r="G282" i="10"/>
  <c r="I282" i="10"/>
  <c r="J282" i="10"/>
  <c r="K282" i="10"/>
  <c r="A283" i="10"/>
  <c r="C283" i="10"/>
  <c r="D283" i="10"/>
  <c r="E283" i="10"/>
  <c r="F283" i="10"/>
  <c r="G283" i="10"/>
  <c r="I283" i="10"/>
  <c r="J283" i="10"/>
  <c r="K283" i="10"/>
  <c r="A284" i="10"/>
  <c r="C284" i="10"/>
  <c r="D284" i="10"/>
  <c r="E284" i="10"/>
  <c r="F284" i="10"/>
  <c r="G284" i="10"/>
  <c r="I284" i="10"/>
  <c r="J284" i="10"/>
  <c r="K284" i="10"/>
  <c r="A285" i="10"/>
  <c r="C285" i="10"/>
  <c r="D285" i="10"/>
  <c r="E285" i="10"/>
  <c r="F285" i="10"/>
  <c r="G285" i="10"/>
  <c r="I285" i="10"/>
  <c r="J285" i="10"/>
  <c r="K285" i="10"/>
  <c r="A286" i="10"/>
  <c r="C286" i="10"/>
  <c r="D286" i="10"/>
  <c r="E286" i="10"/>
  <c r="F286" i="10"/>
  <c r="G286" i="10"/>
  <c r="I286" i="10"/>
  <c r="J286" i="10"/>
  <c r="K286" i="10"/>
  <c r="A287" i="10"/>
  <c r="C287" i="10"/>
  <c r="D287" i="10"/>
  <c r="E287" i="10"/>
  <c r="F287" i="10"/>
  <c r="G287" i="10"/>
  <c r="I287" i="10"/>
  <c r="J287" i="10"/>
  <c r="K287" i="10"/>
  <c r="A288" i="10"/>
  <c r="C288" i="10"/>
  <c r="D288" i="10"/>
  <c r="E288" i="10"/>
  <c r="F288" i="10"/>
  <c r="G288" i="10"/>
  <c r="I288" i="10"/>
  <c r="J288" i="10"/>
  <c r="K288" i="10"/>
  <c r="A289" i="10"/>
  <c r="C289" i="10"/>
  <c r="D289" i="10"/>
  <c r="E289" i="10"/>
  <c r="F289" i="10"/>
  <c r="G289" i="10"/>
  <c r="I289" i="10"/>
  <c r="J289" i="10"/>
  <c r="K289" i="10"/>
  <c r="A290" i="10"/>
  <c r="C290" i="10"/>
  <c r="D290" i="10"/>
  <c r="E290" i="10"/>
  <c r="F290" i="10"/>
  <c r="G290" i="10"/>
  <c r="I290" i="10"/>
  <c r="J290" i="10"/>
  <c r="K290" i="10"/>
  <c r="A291" i="10"/>
  <c r="C291" i="10"/>
  <c r="D291" i="10"/>
  <c r="E291" i="10"/>
  <c r="F291" i="10"/>
  <c r="G291" i="10"/>
  <c r="I291" i="10"/>
  <c r="J291" i="10"/>
  <c r="K291" i="10"/>
  <c r="A292" i="10"/>
  <c r="C292" i="10"/>
  <c r="D292" i="10"/>
  <c r="E292" i="10"/>
  <c r="F292" i="10"/>
  <c r="G292" i="10"/>
  <c r="I292" i="10"/>
  <c r="J292" i="10"/>
  <c r="K292" i="10"/>
  <c r="A293" i="10"/>
  <c r="C293" i="10"/>
  <c r="D293" i="10"/>
  <c r="E293" i="10"/>
  <c r="F293" i="10"/>
  <c r="G293" i="10"/>
  <c r="I293" i="10"/>
  <c r="J293" i="10"/>
  <c r="K293" i="10"/>
  <c r="A294" i="10"/>
  <c r="C294" i="10"/>
  <c r="D294" i="10"/>
  <c r="E294" i="10"/>
  <c r="F294" i="10"/>
  <c r="G294" i="10"/>
  <c r="I294" i="10"/>
  <c r="J294" i="10"/>
  <c r="K294" i="10"/>
  <c r="A295" i="10"/>
  <c r="C295" i="10"/>
  <c r="D295" i="10"/>
  <c r="E295" i="10"/>
  <c r="F295" i="10"/>
  <c r="G295" i="10"/>
  <c r="I295" i="10"/>
  <c r="J295" i="10"/>
  <c r="K295" i="10"/>
  <c r="A296" i="10"/>
  <c r="C296" i="10"/>
  <c r="D296" i="10"/>
  <c r="E296" i="10"/>
  <c r="F296" i="10"/>
  <c r="G296" i="10"/>
  <c r="I296" i="10"/>
  <c r="J296" i="10"/>
  <c r="K296" i="10"/>
  <c r="A297" i="10"/>
  <c r="C297" i="10"/>
  <c r="D297" i="10"/>
  <c r="E297" i="10"/>
  <c r="F297" i="10"/>
  <c r="G297" i="10"/>
  <c r="I297" i="10"/>
  <c r="J297" i="10"/>
  <c r="K297" i="10"/>
  <c r="A298" i="10"/>
  <c r="C298" i="10"/>
  <c r="D298" i="10"/>
  <c r="E298" i="10"/>
  <c r="F298" i="10"/>
  <c r="G298" i="10"/>
  <c r="I298" i="10"/>
  <c r="J298" i="10"/>
  <c r="K298" i="10"/>
  <c r="A299" i="10"/>
  <c r="C299" i="10"/>
  <c r="D299" i="10"/>
  <c r="E299" i="10"/>
  <c r="F299" i="10"/>
  <c r="G299" i="10"/>
  <c r="I299" i="10"/>
  <c r="J299" i="10"/>
  <c r="K299" i="10"/>
  <c r="A300" i="10"/>
  <c r="C300" i="10"/>
  <c r="D300" i="10"/>
  <c r="E300" i="10"/>
  <c r="F300" i="10"/>
  <c r="G300" i="10"/>
  <c r="I300" i="10"/>
  <c r="J300" i="10"/>
  <c r="K300" i="10"/>
  <c r="A301" i="10"/>
  <c r="C301" i="10"/>
  <c r="D301" i="10"/>
  <c r="E301" i="10"/>
  <c r="F301" i="10"/>
  <c r="G301" i="10"/>
  <c r="I301" i="10"/>
  <c r="J301" i="10"/>
  <c r="K301" i="10"/>
  <c r="A302" i="10"/>
  <c r="C302" i="10"/>
  <c r="D302" i="10"/>
  <c r="E302" i="10"/>
  <c r="F302" i="10"/>
  <c r="G302" i="10"/>
  <c r="I302" i="10"/>
  <c r="J302" i="10"/>
  <c r="K302" i="10"/>
  <c r="A303" i="10"/>
  <c r="C303" i="10"/>
  <c r="D303" i="10"/>
  <c r="E303" i="10"/>
  <c r="F303" i="10"/>
  <c r="G303" i="10"/>
  <c r="I303" i="10"/>
  <c r="J303" i="10"/>
  <c r="K303" i="10"/>
  <c r="A304" i="10"/>
  <c r="C304" i="10"/>
  <c r="D304" i="10"/>
  <c r="E304" i="10"/>
  <c r="F304" i="10"/>
  <c r="G304" i="10"/>
  <c r="I304" i="10"/>
  <c r="J304" i="10"/>
  <c r="K304" i="10"/>
  <c r="A305" i="10"/>
  <c r="C305" i="10"/>
  <c r="D305" i="10"/>
  <c r="E305" i="10"/>
  <c r="F305" i="10"/>
  <c r="G305" i="10"/>
  <c r="I305" i="10"/>
  <c r="J305" i="10"/>
  <c r="K305" i="10"/>
  <c r="A306" i="10"/>
  <c r="C306" i="10"/>
  <c r="D306" i="10"/>
  <c r="E306" i="10"/>
  <c r="F306" i="10"/>
  <c r="G306" i="10"/>
  <c r="I306" i="10"/>
  <c r="J306" i="10"/>
  <c r="K306" i="10"/>
  <c r="A307" i="10"/>
  <c r="C307" i="10"/>
  <c r="D307" i="10"/>
  <c r="E307" i="10"/>
  <c r="F307" i="10"/>
  <c r="G307" i="10"/>
  <c r="I307" i="10"/>
  <c r="J307" i="10"/>
  <c r="K307" i="10"/>
  <c r="A308" i="10"/>
  <c r="C308" i="10"/>
  <c r="D308" i="10"/>
  <c r="E308" i="10"/>
  <c r="F308" i="10"/>
  <c r="G308" i="10"/>
  <c r="I308" i="10"/>
  <c r="J308" i="10"/>
  <c r="K308" i="10"/>
  <c r="A309" i="10"/>
  <c r="C309" i="10"/>
  <c r="D309" i="10"/>
  <c r="E309" i="10"/>
  <c r="F309" i="10"/>
  <c r="G309" i="10"/>
  <c r="I309" i="10"/>
  <c r="J309" i="10"/>
  <c r="K309" i="10"/>
  <c r="A310" i="10"/>
  <c r="C310" i="10"/>
  <c r="D310" i="10"/>
  <c r="E310" i="10"/>
  <c r="F310" i="10"/>
  <c r="G310" i="10"/>
  <c r="I310" i="10"/>
  <c r="J310" i="10"/>
  <c r="K310" i="10"/>
  <c r="A311" i="10"/>
  <c r="C311" i="10"/>
  <c r="D311" i="10"/>
  <c r="E311" i="10"/>
  <c r="F311" i="10"/>
  <c r="G311" i="10"/>
  <c r="I311" i="10"/>
  <c r="J311" i="10"/>
  <c r="K311" i="10"/>
  <c r="A312" i="10"/>
  <c r="C312" i="10"/>
  <c r="D312" i="10"/>
  <c r="E312" i="10"/>
  <c r="F312" i="10"/>
  <c r="G312" i="10"/>
  <c r="I312" i="10"/>
  <c r="J312" i="10"/>
  <c r="K312" i="10"/>
  <c r="A313" i="10"/>
  <c r="C313" i="10"/>
  <c r="D313" i="10"/>
  <c r="E313" i="10"/>
  <c r="F313" i="10"/>
  <c r="G313" i="10"/>
  <c r="I313" i="10"/>
  <c r="J313" i="10"/>
  <c r="K313" i="10"/>
  <c r="A314" i="10"/>
  <c r="C314" i="10"/>
  <c r="D314" i="10"/>
  <c r="E314" i="10"/>
  <c r="F314" i="10"/>
  <c r="G314" i="10"/>
  <c r="I314" i="10"/>
  <c r="J314" i="10"/>
  <c r="K314" i="10"/>
  <c r="A315" i="10"/>
  <c r="C315" i="10"/>
  <c r="D315" i="10"/>
  <c r="E315" i="10"/>
  <c r="F315" i="10"/>
  <c r="G315" i="10"/>
  <c r="I315" i="10"/>
  <c r="J315" i="10"/>
  <c r="K315" i="10"/>
  <c r="A316" i="10"/>
  <c r="C316" i="10"/>
  <c r="D316" i="10"/>
  <c r="E316" i="10"/>
  <c r="F316" i="10"/>
  <c r="G316" i="10"/>
  <c r="I316" i="10"/>
  <c r="J316" i="10"/>
  <c r="K316" i="10"/>
  <c r="A317" i="10"/>
  <c r="C317" i="10"/>
  <c r="D317" i="10"/>
  <c r="E317" i="10"/>
  <c r="F317" i="10"/>
  <c r="G317" i="10"/>
  <c r="I317" i="10"/>
  <c r="J317" i="10"/>
  <c r="K317" i="10"/>
  <c r="A318" i="10"/>
  <c r="C318" i="10"/>
  <c r="D318" i="10"/>
  <c r="E318" i="10"/>
  <c r="F318" i="10"/>
  <c r="G318" i="10"/>
  <c r="I318" i="10"/>
  <c r="J318" i="10"/>
  <c r="K318" i="10"/>
  <c r="A319" i="10"/>
  <c r="C319" i="10"/>
  <c r="D319" i="10"/>
  <c r="E319" i="10"/>
  <c r="F319" i="10"/>
  <c r="G319" i="10"/>
  <c r="I319" i="10"/>
  <c r="J319" i="10"/>
  <c r="K319" i="10"/>
  <c r="A320" i="10"/>
  <c r="C320" i="10"/>
  <c r="D320" i="10"/>
  <c r="E320" i="10"/>
  <c r="F320" i="10"/>
  <c r="G320" i="10"/>
  <c r="I320" i="10"/>
  <c r="J320" i="10"/>
  <c r="K320" i="10"/>
  <c r="A321" i="10"/>
  <c r="C321" i="10"/>
  <c r="D321" i="10"/>
  <c r="E321" i="10"/>
  <c r="F321" i="10"/>
  <c r="G321" i="10"/>
  <c r="I321" i="10"/>
  <c r="J321" i="10"/>
  <c r="K321" i="10"/>
  <c r="A322" i="10"/>
  <c r="C322" i="10"/>
  <c r="D322" i="10"/>
  <c r="E322" i="10"/>
  <c r="F322" i="10"/>
  <c r="G322" i="10"/>
  <c r="I322" i="10"/>
  <c r="J322" i="10"/>
  <c r="K322" i="10"/>
  <c r="A323" i="10"/>
  <c r="C323" i="10"/>
  <c r="D323" i="10"/>
  <c r="E323" i="10"/>
  <c r="F323" i="10"/>
  <c r="G323" i="10"/>
  <c r="I323" i="10"/>
  <c r="J323" i="10"/>
  <c r="K323" i="10"/>
  <c r="A324" i="10"/>
  <c r="C324" i="10"/>
  <c r="D324" i="10"/>
  <c r="E324" i="10"/>
  <c r="F324" i="10"/>
  <c r="G324" i="10"/>
  <c r="I324" i="10"/>
  <c r="J324" i="10"/>
  <c r="K324" i="10"/>
  <c r="A325" i="10"/>
  <c r="C325" i="10"/>
  <c r="D325" i="10"/>
  <c r="E325" i="10"/>
  <c r="F325" i="10"/>
  <c r="G325" i="10"/>
  <c r="I325" i="10"/>
  <c r="J325" i="10"/>
  <c r="K325" i="10"/>
  <c r="A326" i="10"/>
  <c r="C326" i="10"/>
  <c r="D326" i="10"/>
  <c r="E326" i="10"/>
  <c r="F326" i="10"/>
  <c r="G326" i="10"/>
  <c r="I326" i="10"/>
  <c r="J326" i="10"/>
  <c r="K326" i="10"/>
  <c r="A327" i="10"/>
  <c r="C327" i="10"/>
  <c r="D327" i="10"/>
  <c r="E327" i="10"/>
  <c r="F327" i="10"/>
  <c r="G327" i="10"/>
  <c r="I327" i="10"/>
  <c r="J327" i="10"/>
  <c r="K327" i="10"/>
  <c r="A328" i="10"/>
  <c r="C328" i="10"/>
  <c r="D328" i="10"/>
  <c r="E328" i="10"/>
  <c r="F328" i="10"/>
  <c r="G328" i="10"/>
  <c r="I328" i="10"/>
  <c r="J328" i="10"/>
  <c r="K328" i="10"/>
  <c r="A329" i="10"/>
  <c r="C329" i="10"/>
  <c r="D329" i="10"/>
  <c r="E329" i="10"/>
  <c r="F329" i="10"/>
  <c r="G329" i="10"/>
  <c r="I329" i="10"/>
  <c r="J329" i="10"/>
  <c r="K329" i="10"/>
  <c r="A330" i="10"/>
  <c r="C330" i="10"/>
  <c r="D330" i="10"/>
  <c r="E330" i="10"/>
  <c r="F330" i="10"/>
  <c r="G330" i="10"/>
  <c r="I330" i="10"/>
  <c r="J330" i="10"/>
  <c r="K330" i="10"/>
  <c r="A331" i="10"/>
  <c r="C331" i="10"/>
  <c r="D331" i="10"/>
  <c r="E331" i="10"/>
  <c r="F331" i="10"/>
  <c r="G331" i="10"/>
  <c r="I331" i="10"/>
  <c r="J331" i="10"/>
  <c r="K331" i="10"/>
  <c r="A332" i="10"/>
  <c r="C332" i="10"/>
  <c r="D332" i="10"/>
  <c r="E332" i="10"/>
  <c r="F332" i="10"/>
  <c r="G332" i="10"/>
  <c r="I332" i="10"/>
  <c r="J332" i="10"/>
  <c r="K332" i="10"/>
  <c r="A333" i="10"/>
  <c r="C333" i="10"/>
  <c r="D333" i="10"/>
  <c r="E333" i="10"/>
  <c r="F333" i="10"/>
  <c r="G333" i="10"/>
  <c r="I333" i="10"/>
  <c r="J333" i="10"/>
  <c r="K333" i="10"/>
  <c r="A334" i="10"/>
  <c r="C334" i="10"/>
  <c r="D334" i="10"/>
  <c r="E334" i="10"/>
  <c r="F334" i="10"/>
  <c r="G334" i="10"/>
  <c r="I334" i="10"/>
  <c r="J334" i="10"/>
  <c r="K334" i="10"/>
  <c r="A335" i="10"/>
  <c r="C335" i="10"/>
  <c r="D335" i="10"/>
  <c r="E335" i="10"/>
  <c r="F335" i="10"/>
  <c r="G335" i="10"/>
  <c r="I335" i="10"/>
  <c r="J335" i="10"/>
  <c r="K335" i="10"/>
  <c r="A336" i="10"/>
  <c r="C336" i="10"/>
  <c r="D336" i="10"/>
  <c r="E336" i="10"/>
  <c r="F336" i="10"/>
  <c r="G336" i="10"/>
  <c r="I336" i="10"/>
  <c r="J336" i="10"/>
  <c r="K336" i="10"/>
  <c r="A337" i="10"/>
  <c r="C337" i="10"/>
  <c r="D337" i="10"/>
  <c r="E337" i="10"/>
  <c r="F337" i="10"/>
  <c r="G337" i="10"/>
  <c r="I337" i="10"/>
  <c r="J337" i="10"/>
  <c r="K337" i="10"/>
  <c r="A338" i="10"/>
  <c r="C338" i="10"/>
  <c r="D338" i="10"/>
  <c r="E338" i="10"/>
  <c r="F338" i="10"/>
  <c r="G338" i="10"/>
  <c r="I338" i="10"/>
  <c r="J338" i="10"/>
  <c r="K338" i="10"/>
  <c r="A339" i="10"/>
  <c r="C339" i="10"/>
  <c r="D339" i="10"/>
  <c r="E339" i="10"/>
  <c r="F339" i="10"/>
  <c r="G339" i="10"/>
  <c r="I339" i="10"/>
  <c r="J339" i="10"/>
  <c r="K339" i="10"/>
  <c r="A340" i="10"/>
  <c r="C340" i="10"/>
  <c r="D340" i="10"/>
  <c r="E340" i="10"/>
  <c r="F340" i="10"/>
  <c r="G340" i="10"/>
  <c r="I340" i="10"/>
  <c r="J340" i="10"/>
  <c r="K340" i="10"/>
  <c r="A341" i="10"/>
  <c r="C341" i="10"/>
  <c r="D341" i="10"/>
  <c r="E341" i="10"/>
  <c r="F341" i="10"/>
  <c r="G341" i="10"/>
  <c r="I341" i="10"/>
  <c r="J341" i="10"/>
  <c r="K341" i="10"/>
  <c r="A342" i="10"/>
  <c r="C342" i="10"/>
  <c r="D342" i="10"/>
  <c r="E342" i="10"/>
  <c r="F342" i="10"/>
  <c r="G342" i="10"/>
  <c r="I342" i="10"/>
  <c r="J342" i="10"/>
  <c r="K342" i="10"/>
  <c r="A343" i="10"/>
  <c r="C343" i="10"/>
  <c r="D343" i="10"/>
  <c r="E343" i="10"/>
  <c r="F343" i="10"/>
  <c r="G343" i="10"/>
  <c r="I343" i="10"/>
  <c r="J343" i="10"/>
  <c r="K343" i="10"/>
  <c r="A344" i="10"/>
  <c r="C344" i="10"/>
  <c r="D344" i="10"/>
  <c r="E344" i="10"/>
  <c r="F344" i="10"/>
  <c r="G344" i="10"/>
  <c r="I344" i="10"/>
  <c r="J344" i="10"/>
  <c r="K344" i="10"/>
  <c r="A345" i="10"/>
  <c r="C345" i="10"/>
  <c r="D345" i="10"/>
  <c r="E345" i="10"/>
  <c r="F345" i="10"/>
  <c r="G345" i="10"/>
  <c r="I345" i="10"/>
  <c r="J345" i="10"/>
  <c r="K345" i="10"/>
  <c r="A346" i="10"/>
  <c r="C346" i="10"/>
  <c r="D346" i="10"/>
  <c r="E346" i="10"/>
  <c r="F346" i="10"/>
  <c r="G346" i="10"/>
  <c r="I346" i="10"/>
  <c r="J346" i="10"/>
  <c r="K346" i="10"/>
  <c r="A347" i="10"/>
  <c r="C347" i="10"/>
  <c r="D347" i="10"/>
  <c r="E347" i="10"/>
  <c r="F347" i="10"/>
  <c r="G347" i="10"/>
  <c r="I347" i="10"/>
  <c r="J347" i="10"/>
  <c r="K347" i="10"/>
  <c r="A348" i="10"/>
  <c r="C348" i="10"/>
  <c r="D348" i="10"/>
  <c r="E348" i="10"/>
  <c r="F348" i="10"/>
  <c r="G348" i="10"/>
  <c r="I348" i="10"/>
  <c r="J348" i="10"/>
  <c r="K348" i="10"/>
  <c r="A349" i="10"/>
  <c r="C349" i="10"/>
  <c r="D349" i="10"/>
  <c r="E349" i="10"/>
  <c r="F349" i="10"/>
  <c r="G349" i="10"/>
  <c r="I349" i="10"/>
  <c r="J349" i="10"/>
  <c r="K349" i="10"/>
  <c r="A350" i="10"/>
  <c r="C350" i="10"/>
  <c r="D350" i="10"/>
  <c r="E350" i="10"/>
  <c r="F350" i="10"/>
  <c r="G350" i="10"/>
  <c r="I350" i="10"/>
  <c r="J350" i="10"/>
  <c r="K350" i="10"/>
  <c r="A351" i="10"/>
  <c r="C351" i="10"/>
  <c r="D351" i="10"/>
  <c r="E351" i="10"/>
  <c r="F351" i="10"/>
  <c r="G351" i="10"/>
  <c r="I351" i="10"/>
  <c r="J351" i="10"/>
  <c r="K351" i="10"/>
  <c r="A352" i="10"/>
  <c r="C352" i="10"/>
  <c r="D352" i="10"/>
  <c r="E352" i="10"/>
  <c r="F352" i="10"/>
  <c r="G352" i="10"/>
  <c r="I352" i="10"/>
  <c r="J352" i="10"/>
  <c r="K352" i="10"/>
  <c r="A353" i="10"/>
  <c r="C353" i="10"/>
  <c r="D353" i="10"/>
  <c r="E353" i="10"/>
  <c r="F353" i="10"/>
  <c r="G353" i="10"/>
  <c r="I353" i="10"/>
  <c r="J353" i="10"/>
  <c r="K353" i="10"/>
  <c r="A354" i="10"/>
  <c r="C354" i="10"/>
  <c r="D354" i="10"/>
  <c r="E354" i="10"/>
  <c r="F354" i="10"/>
  <c r="G354" i="10"/>
  <c r="I354" i="10"/>
  <c r="J354" i="10"/>
  <c r="K354" i="10"/>
  <c r="A355" i="10"/>
  <c r="C355" i="10"/>
  <c r="D355" i="10"/>
  <c r="E355" i="10"/>
  <c r="F355" i="10"/>
  <c r="G355" i="10"/>
  <c r="I355" i="10"/>
  <c r="J355" i="10"/>
  <c r="K355" i="10"/>
  <c r="A356" i="10"/>
  <c r="C356" i="10"/>
  <c r="D356" i="10"/>
  <c r="E356" i="10"/>
  <c r="F356" i="10"/>
  <c r="G356" i="10"/>
  <c r="I356" i="10"/>
  <c r="J356" i="10"/>
  <c r="K356" i="10"/>
  <c r="A357" i="10"/>
  <c r="C357" i="10"/>
  <c r="D357" i="10"/>
  <c r="E357" i="10"/>
  <c r="F357" i="10"/>
  <c r="G357" i="10"/>
  <c r="I357" i="10"/>
  <c r="J357" i="10"/>
  <c r="K357" i="10"/>
  <c r="A358" i="10"/>
  <c r="C358" i="10"/>
  <c r="D358" i="10"/>
  <c r="E358" i="10"/>
  <c r="F358" i="10"/>
  <c r="G358" i="10"/>
  <c r="I358" i="10"/>
  <c r="J358" i="10"/>
  <c r="K358" i="10"/>
  <c r="A359" i="10"/>
  <c r="C359" i="10"/>
  <c r="D359" i="10"/>
  <c r="E359" i="10"/>
  <c r="F359" i="10"/>
  <c r="G359" i="10"/>
  <c r="I359" i="10"/>
  <c r="J359" i="10"/>
  <c r="K359" i="10"/>
  <c r="A360" i="10"/>
  <c r="C360" i="10"/>
  <c r="D360" i="10"/>
  <c r="E360" i="10"/>
  <c r="F360" i="10"/>
  <c r="G360" i="10"/>
  <c r="I360" i="10"/>
  <c r="J360" i="10"/>
  <c r="K360" i="10"/>
  <c r="A361" i="10"/>
  <c r="C361" i="10"/>
  <c r="D361" i="10"/>
  <c r="E361" i="10"/>
  <c r="F361" i="10"/>
  <c r="G361" i="10"/>
  <c r="I361" i="10"/>
  <c r="J361" i="10"/>
  <c r="K361" i="10"/>
  <c r="A362" i="10"/>
  <c r="C362" i="10"/>
  <c r="D362" i="10"/>
  <c r="E362" i="10"/>
  <c r="F362" i="10"/>
  <c r="G362" i="10"/>
  <c r="I362" i="10"/>
  <c r="J362" i="10"/>
  <c r="K362" i="10"/>
  <c r="A363" i="10"/>
  <c r="C363" i="10"/>
  <c r="D363" i="10"/>
  <c r="E363" i="10"/>
  <c r="F363" i="10"/>
  <c r="G363" i="10"/>
  <c r="I363" i="10"/>
  <c r="J363" i="10"/>
  <c r="K363" i="10"/>
  <c r="A364" i="10"/>
  <c r="C364" i="10"/>
  <c r="D364" i="10"/>
  <c r="E364" i="10"/>
  <c r="F364" i="10"/>
  <c r="G364" i="10"/>
  <c r="I364" i="10"/>
  <c r="J364" i="10"/>
  <c r="K364" i="10"/>
  <c r="A365" i="10"/>
  <c r="C365" i="10"/>
  <c r="D365" i="10"/>
  <c r="E365" i="10"/>
  <c r="F365" i="10"/>
  <c r="G365" i="10"/>
  <c r="I365" i="10"/>
  <c r="J365" i="10"/>
  <c r="K365" i="10"/>
  <c r="A366" i="10"/>
  <c r="C366" i="10"/>
  <c r="D366" i="10"/>
  <c r="E366" i="10"/>
  <c r="F366" i="10"/>
  <c r="G366" i="10"/>
  <c r="I366" i="10"/>
  <c r="J366" i="10"/>
  <c r="K366" i="10"/>
  <c r="A367" i="10"/>
  <c r="C367" i="10"/>
  <c r="D367" i="10"/>
  <c r="E367" i="10"/>
  <c r="F367" i="10"/>
  <c r="G367" i="10"/>
  <c r="I367" i="10"/>
  <c r="J367" i="10"/>
  <c r="K367" i="10"/>
  <c r="A368" i="10"/>
  <c r="C368" i="10"/>
  <c r="D368" i="10"/>
  <c r="E368" i="10"/>
  <c r="F368" i="10"/>
  <c r="G368" i="10"/>
  <c r="I368" i="10"/>
  <c r="J368" i="10"/>
  <c r="K368" i="10"/>
  <c r="A369" i="10"/>
  <c r="C369" i="10"/>
  <c r="D369" i="10"/>
  <c r="E369" i="10"/>
  <c r="F369" i="10"/>
  <c r="G369" i="10"/>
  <c r="I369" i="10"/>
  <c r="J369" i="10"/>
  <c r="K369" i="10"/>
  <c r="A370" i="10"/>
  <c r="C370" i="10"/>
  <c r="D370" i="10"/>
  <c r="E370" i="10"/>
  <c r="F370" i="10"/>
  <c r="G370" i="10"/>
  <c r="I370" i="10"/>
  <c r="J370" i="10"/>
  <c r="K370" i="10"/>
  <c r="A371" i="10"/>
  <c r="C371" i="10"/>
  <c r="D371" i="10"/>
  <c r="E371" i="10"/>
  <c r="F371" i="10"/>
  <c r="G371" i="10"/>
  <c r="I371" i="10"/>
  <c r="J371" i="10"/>
  <c r="K371" i="10"/>
  <c r="A372" i="10"/>
  <c r="C372" i="10"/>
  <c r="D372" i="10"/>
  <c r="E372" i="10"/>
  <c r="F372" i="10"/>
  <c r="G372" i="10"/>
  <c r="I372" i="10"/>
  <c r="J372" i="10"/>
  <c r="K372" i="10"/>
  <c r="A373" i="10"/>
  <c r="C373" i="10"/>
  <c r="D373" i="10"/>
  <c r="E373" i="10"/>
  <c r="F373" i="10"/>
  <c r="G373" i="10"/>
  <c r="I373" i="10"/>
  <c r="J373" i="10"/>
  <c r="K373" i="10"/>
  <c r="A374" i="10"/>
  <c r="C374" i="10"/>
  <c r="D374" i="10"/>
  <c r="E374" i="10"/>
  <c r="F374" i="10"/>
  <c r="G374" i="10"/>
  <c r="I374" i="10"/>
  <c r="J374" i="10"/>
  <c r="K374" i="10"/>
  <c r="A375" i="10"/>
  <c r="C375" i="10"/>
  <c r="D375" i="10"/>
  <c r="E375" i="10"/>
  <c r="F375" i="10"/>
  <c r="G375" i="10"/>
  <c r="I375" i="10"/>
  <c r="J375" i="10"/>
  <c r="K375" i="10"/>
  <c r="A376" i="10"/>
  <c r="C376" i="10"/>
  <c r="D376" i="10"/>
  <c r="E376" i="10"/>
  <c r="F376" i="10"/>
  <c r="G376" i="10"/>
  <c r="I376" i="10"/>
  <c r="J376" i="10"/>
  <c r="K376" i="10"/>
  <c r="A377" i="10"/>
  <c r="C377" i="10"/>
  <c r="D377" i="10"/>
  <c r="E377" i="10"/>
  <c r="F377" i="10"/>
  <c r="G377" i="10"/>
  <c r="I377" i="10"/>
  <c r="J377" i="10"/>
  <c r="K377" i="10"/>
  <c r="A378" i="10"/>
  <c r="C378" i="10"/>
  <c r="D378" i="10"/>
  <c r="E378" i="10"/>
  <c r="F378" i="10"/>
  <c r="G378" i="10"/>
  <c r="I378" i="10"/>
  <c r="J378" i="10"/>
  <c r="K378" i="10"/>
  <c r="A379" i="10"/>
  <c r="C379" i="10"/>
  <c r="D379" i="10"/>
  <c r="E379" i="10"/>
  <c r="F379" i="10"/>
  <c r="G379" i="10"/>
  <c r="I379" i="10"/>
  <c r="J379" i="10"/>
  <c r="K379" i="10"/>
  <c r="A380" i="10"/>
  <c r="C380" i="10"/>
  <c r="D380" i="10"/>
  <c r="E380" i="10"/>
  <c r="F380" i="10"/>
  <c r="G380" i="10"/>
  <c r="I380" i="10"/>
  <c r="J380" i="10"/>
  <c r="K380" i="10"/>
  <c r="A381" i="10"/>
  <c r="C381" i="10"/>
  <c r="D381" i="10"/>
  <c r="E381" i="10"/>
  <c r="F381" i="10"/>
  <c r="G381" i="10"/>
  <c r="I381" i="10"/>
  <c r="J381" i="10"/>
  <c r="K381" i="10"/>
  <c r="A382" i="10"/>
  <c r="C382" i="10"/>
  <c r="D382" i="10"/>
  <c r="E382" i="10"/>
  <c r="F382" i="10"/>
  <c r="G382" i="10"/>
  <c r="I382" i="10"/>
  <c r="J382" i="10"/>
  <c r="K382" i="10"/>
  <c r="A383" i="10"/>
  <c r="C383" i="10"/>
  <c r="D383" i="10"/>
  <c r="E383" i="10"/>
  <c r="F383" i="10"/>
  <c r="G383" i="10"/>
  <c r="I383" i="10"/>
  <c r="J383" i="10"/>
  <c r="K383" i="10"/>
  <c r="A384" i="10"/>
  <c r="C384" i="10"/>
  <c r="D384" i="10"/>
  <c r="E384" i="10"/>
  <c r="F384" i="10"/>
  <c r="G384" i="10"/>
  <c r="I384" i="10"/>
  <c r="J384" i="10"/>
  <c r="K384" i="10"/>
  <c r="A385" i="10"/>
  <c r="C385" i="10"/>
  <c r="D385" i="10"/>
  <c r="E385" i="10"/>
  <c r="F385" i="10"/>
  <c r="G385" i="10"/>
  <c r="I385" i="10"/>
  <c r="J385" i="10"/>
  <c r="K385" i="10"/>
  <c r="A386" i="10"/>
  <c r="C386" i="10"/>
  <c r="D386" i="10"/>
  <c r="E386" i="10"/>
  <c r="F386" i="10"/>
  <c r="G386" i="10"/>
  <c r="I386" i="10"/>
  <c r="J386" i="10"/>
  <c r="K386" i="10"/>
  <c r="A387" i="10"/>
  <c r="C387" i="10"/>
  <c r="D387" i="10"/>
  <c r="E387" i="10"/>
  <c r="F387" i="10"/>
  <c r="G387" i="10"/>
  <c r="I387" i="10"/>
  <c r="J387" i="10"/>
  <c r="K387" i="10"/>
  <c r="A388" i="10"/>
  <c r="C388" i="10"/>
  <c r="D388" i="10"/>
  <c r="E388" i="10"/>
  <c r="F388" i="10"/>
  <c r="G388" i="10"/>
  <c r="I388" i="10"/>
  <c r="J388" i="10"/>
  <c r="K388" i="10"/>
  <c r="A389" i="10"/>
  <c r="C389" i="10"/>
  <c r="D389" i="10"/>
  <c r="E389" i="10"/>
  <c r="F389" i="10"/>
  <c r="G389" i="10"/>
  <c r="I389" i="10"/>
  <c r="J389" i="10"/>
  <c r="K389" i="10"/>
  <c r="A390" i="10"/>
  <c r="C390" i="10"/>
  <c r="D390" i="10"/>
  <c r="E390" i="10"/>
  <c r="F390" i="10"/>
  <c r="G390" i="10"/>
  <c r="I390" i="10"/>
  <c r="J390" i="10"/>
  <c r="K390" i="10"/>
  <c r="A391" i="10"/>
  <c r="C391" i="10"/>
  <c r="D391" i="10"/>
  <c r="E391" i="10"/>
  <c r="F391" i="10"/>
  <c r="G391" i="10"/>
  <c r="I391" i="10"/>
  <c r="J391" i="10"/>
  <c r="K391" i="10"/>
  <c r="A392" i="10"/>
  <c r="C392" i="10"/>
  <c r="D392" i="10"/>
  <c r="E392" i="10"/>
  <c r="F392" i="10"/>
  <c r="G392" i="10"/>
  <c r="I392" i="10"/>
  <c r="J392" i="10"/>
  <c r="K392" i="10"/>
  <c r="A393" i="10"/>
  <c r="C393" i="10"/>
  <c r="D393" i="10"/>
  <c r="E393" i="10"/>
  <c r="F393" i="10"/>
  <c r="G393" i="10"/>
  <c r="I393" i="10"/>
  <c r="J393" i="10"/>
  <c r="K393" i="10"/>
  <c r="A394" i="10"/>
  <c r="C394" i="10"/>
  <c r="D394" i="10"/>
  <c r="E394" i="10"/>
  <c r="F394" i="10"/>
  <c r="G394" i="10"/>
  <c r="I394" i="10"/>
  <c r="J394" i="10"/>
  <c r="K394" i="10"/>
  <c r="A395" i="10"/>
  <c r="C395" i="10"/>
  <c r="D395" i="10"/>
  <c r="E395" i="10"/>
  <c r="F395" i="10"/>
  <c r="G395" i="10"/>
  <c r="I395" i="10"/>
  <c r="J395" i="10"/>
  <c r="K395" i="10"/>
  <c r="A396" i="10"/>
  <c r="C396" i="10"/>
  <c r="D396" i="10"/>
  <c r="E396" i="10"/>
  <c r="F396" i="10"/>
  <c r="G396" i="10"/>
  <c r="I396" i="10"/>
  <c r="J396" i="10"/>
  <c r="K396" i="10"/>
  <c r="A397" i="10"/>
  <c r="C397" i="10"/>
  <c r="D397" i="10"/>
  <c r="E397" i="10"/>
  <c r="F397" i="10"/>
  <c r="G397" i="10"/>
  <c r="I397" i="10"/>
  <c r="J397" i="10"/>
  <c r="K397" i="10"/>
  <c r="A398" i="10"/>
  <c r="C398" i="10"/>
  <c r="D398" i="10"/>
  <c r="E398" i="10"/>
  <c r="F398" i="10"/>
  <c r="G398" i="10"/>
  <c r="I398" i="10"/>
  <c r="J398" i="10"/>
  <c r="K398" i="10"/>
  <c r="A399" i="10"/>
  <c r="C399" i="10"/>
  <c r="D399" i="10"/>
  <c r="E399" i="10"/>
  <c r="F399" i="10"/>
  <c r="G399" i="10"/>
  <c r="I399" i="10"/>
  <c r="J399" i="10"/>
  <c r="K399" i="10"/>
  <c r="A400" i="10"/>
  <c r="C400" i="10"/>
  <c r="D400" i="10"/>
  <c r="E400" i="10"/>
  <c r="F400" i="10"/>
  <c r="G400" i="10"/>
  <c r="I400" i="10"/>
  <c r="J400" i="10"/>
  <c r="K400" i="10"/>
  <c r="A401" i="10"/>
  <c r="C401" i="10"/>
  <c r="D401" i="10"/>
  <c r="E401" i="10"/>
  <c r="F401" i="10"/>
  <c r="G401" i="10"/>
  <c r="I401" i="10"/>
  <c r="J401" i="10"/>
  <c r="K401" i="10"/>
  <c r="A402" i="10"/>
  <c r="C402" i="10"/>
  <c r="D402" i="10"/>
  <c r="E402" i="10"/>
  <c r="F402" i="10"/>
  <c r="G402" i="10"/>
  <c r="I402" i="10"/>
  <c r="J402" i="10"/>
  <c r="K402" i="10"/>
  <c r="A403" i="10"/>
  <c r="C403" i="10"/>
  <c r="D403" i="10"/>
  <c r="E403" i="10"/>
  <c r="F403" i="10"/>
  <c r="G403" i="10"/>
  <c r="I403" i="10"/>
  <c r="J403" i="10"/>
  <c r="K403" i="10"/>
  <c r="A404" i="10"/>
  <c r="C404" i="10"/>
  <c r="D404" i="10"/>
  <c r="E404" i="10"/>
  <c r="F404" i="10"/>
  <c r="G404" i="10"/>
  <c r="I404" i="10"/>
  <c r="J404" i="10"/>
  <c r="K404" i="10"/>
  <c r="A405" i="10"/>
  <c r="C405" i="10"/>
  <c r="D405" i="10"/>
  <c r="E405" i="10"/>
  <c r="F405" i="10"/>
  <c r="G405" i="10"/>
  <c r="I405" i="10"/>
  <c r="J405" i="10"/>
  <c r="K405" i="10"/>
  <c r="A406" i="10"/>
  <c r="C406" i="10"/>
  <c r="D406" i="10"/>
  <c r="E406" i="10"/>
  <c r="F406" i="10"/>
  <c r="G406" i="10"/>
  <c r="I406" i="10"/>
  <c r="J406" i="10"/>
  <c r="K406" i="10"/>
  <c r="A407" i="10"/>
  <c r="C407" i="10"/>
  <c r="D407" i="10"/>
  <c r="E407" i="10"/>
  <c r="F407" i="10"/>
  <c r="G407" i="10"/>
  <c r="I407" i="10"/>
  <c r="J407" i="10"/>
  <c r="K407" i="10"/>
  <c r="A408" i="10"/>
  <c r="C408" i="10"/>
  <c r="D408" i="10"/>
  <c r="E408" i="10"/>
  <c r="F408" i="10"/>
  <c r="G408" i="10"/>
  <c r="I408" i="10"/>
  <c r="J408" i="10"/>
  <c r="K408" i="10"/>
  <c r="A409" i="10"/>
  <c r="C409" i="10"/>
  <c r="D409" i="10"/>
  <c r="E409" i="10"/>
  <c r="F409" i="10"/>
  <c r="G409" i="10"/>
  <c r="I409" i="10"/>
  <c r="J409" i="10"/>
  <c r="K409" i="10"/>
  <c r="A410" i="10"/>
  <c r="C410" i="10"/>
  <c r="D410" i="10"/>
  <c r="E410" i="10"/>
  <c r="F410" i="10"/>
  <c r="G410" i="10"/>
  <c r="I410" i="10"/>
  <c r="J410" i="10"/>
  <c r="K410" i="10"/>
  <c r="A411" i="10"/>
  <c r="C411" i="10"/>
  <c r="D411" i="10"/>
  <c r="E411" i="10"/>
  <c r="F411" i="10"/>
  <c r="G411" i="10"/>
  <c r="I411" i="10"/>
  <c r="J411" i="10"/>
  <c r="K411" i="10"/>
  <c r="A412" i="10"/>
  <c r="C412" i="10"/>
  <c r="D412" i="10"/>
  <c r="E412" i="10"/>
  <c r="F412" i="10"/>
  <c r="G412" i="10"/>
  <c r="I412" i="10"/>
  <c r="J412" i="10"/>
  <c r="K412" i="10"/>
  <c r="A413" i="10"/>
  <c r="C413" i="10"/>
  <c r="D413" i="10"/>
  <c r="E413" i="10"/>
  <c r="F413" i="10"/>
  <c r="G413" i="10"/>
  <c r="I413" i="10"/>
  <c r="J413" i="10"/>
  <c r="K413" i="10"/>
  <c r="A414" i="10"/>
  <c r="C414" i="10"/>
  <c r="D414" i="10"/>
  <c r="E414" i="10"/>
  <c r="F414" i="10"/>
  <c r="G414" i="10"/>
  <c r="I414" i="10"/>
  <c r="J414" i="10"/>
  <c r="K414" i="10"/>
  <c r="A415" i="10"/>
  <c r="C415" i="10"/>
  <c r="D415" i="10"/>
  <c r="E415" i="10"/>
  <c r="F415" i="10"/>
  <c r="G415" i="10"/>
  <c r="I415" i="10"/>
  <c r="J415" i="10"/>
  <c r="K415" i="10"/>
  <c r="A416" i="10"/>
  <c r="C416" i="10"/>
  <c r="D416" i="10"/>
  <c r="E416" i="10"/>
  <c r="F416" i="10"/>
  <c r="G416" i="10"/>
  <c r="I416" i="10"/>
  <c r="J416" i="10"/>
  <c r="K416" i="10"/>
  <c r="A417" i="10"/>
  <c r="C417" i="10"/>
  <c r="D417" i="10"/>
  <c r="E417" i="10"/>
  <c r="F417" i="10"/>
  <c r="G417" i="10"/>
  <c r="I417" i="10"/>
  <c r="J417" i="10"/>
  <c r="K417" i="10"/>
  <c r="A418" i="10"/>
  <c r="C418" i="10"/>
  <c r="D418" i="10"/>
  <c r="E418" i="10"/>
  <c r="F418" i="10"/>
  <c r="G418" i="10"/>
  <c r="I418" i="10"/>
  <c r="J418" i="10"/>
  <c r="K418" i="10"/>
  <c r="A419" i="10"/>
  <c r="C419" i="10"/>
  <c r="D419" i="10"/>
  <c r="E419" i="10"/>
  <c r="F419" i="10"/>
  <c r="G419" i="10"/>
  <c r="I419" i="10"/>
  <c r="J419" i="10"/>
  <c r="K419" i="10"/>
  <c r="A420" i="10"/>
  <c r="C420" i="10"/>
  <c r="D420" i="10"/>
  <c r="E420" i="10"/>
  <c r="F420" i="10"/>
  <c r="G420" i="10"/>
  <c r="I420" i="10"/>
  <c r="J420" i="10"/>
  <c r="K420" i="10"/>
  <c r="A421" i="10"/>
  <c r="C421" i="10"/>
  <c r="D421" i="10"/>
  <c r="E421" i="10"/>
  <c r="F421" i="10"/>
  <c r="G421" i="10"/>
  <c r="I421" i="10"/>
  <c r="J421" i="10"/>
  <c r="K421" i="10"/>
  <c r="A422" i="10"/>
  <c r="C422" i="10"/>
  <c r="D422" i="10"/>
  <c r="E422" i="10"/>
  <c r="F422" i="10"/>
  <c r="G422" i="10"/>
  <c r="I422" i="10"/>
  <c r="J422" i="10"/>
  <c r="K422" i="10"/>
  <c r="A423" i="10"/>
  <c r="C423" i="10"/>
  <c r="D423" i="10"/>
  <c r="E423" i="10"/>
  <c r="F423" i="10"/>
  <c r="G423" i="10"/>
  <c r="I423" i="10"/>
  <c r="J423" i="10"/>
  <c r="K423" i="10"/>
  <c r="A424" i="10"/>
  <c r="C424" i="10"/>
  <c r="D424" i="10"/>
  <c r="E424" i="10"/>
  <c r="F424" i="10"/>
  <c r="G424" i="10"/>
  <c r="I424" i="10"/>
  <c r="J424" i="10"/>
  <c r="K424" i="10"/>
  <c r="A425" i="10"/>
  <c r="C425" i="10"/>
  <c r="D425" i="10"/>
  <c r="E425" i="10"/>
  <c r="F425" i="10"/>
  <c r="G425" i="10"/>
  <c r="I425" i="10"/>
  <c r="J425" i="10"/>
  <c r="K425" i="10"/>
  <c r="A426" i="10"/>
  <c r="C426" i="10"/>
  <c r="D426" i="10"/>
  <c r="E426" i="10"/>
  <c r="F426" i="10"/>
  <c r="G426" i="10"/>
  <c r="I426" i="10"/>
  <c r="J426" i="10"/>
  <c r="K426" i="10"/>
  <c r="A427" i="10"/>
  <c r="C427" i="10"/>
  <c r="D427" i="10"/>
  <c r="E427" i="10"/>
  <c r="F427" i="10"/>
  <c r="G427" i="10"/>
  <c r="I427" i="10"/>
  <c r="J427" i="10"/>
  <c r="K427" i="10"/>
  <c r="A428" i="10"/>
  <c r="C428" i="10"/>
  <c r="D428" i="10"/>
  <c r="E428" i="10"/>
  <c r="F428" i="10"/>
  <c r="G428" i="10"/>
  <c r="I428" i="10"/>
  <c r="J428" i="10"/>
  <c r="K428" i="10"/>
  <c r="A429" i="10"/>
  <c r="C429" i="10"/>
  <c r="D429" i="10"/>
  <c r="E429" i="10"/>
  <c r="F429" i="10"/>
  <c r="G429" i="10"/>
  <c r="I429" i="10"/>
  <c r="J429" i="10"/>
  <c r="K429" i="10"/>
  <c r="A430" i="10"/>
  <c r="C430" i="10"/>
  <c r="D430" i="10"/>
  <c r="E430" i="10"/>
  <c r="F430" i="10"/>
  <c r="G430" i="10"/>
  <c r="I430" i="10"/>
  <c r="J430" i="10"/>
  <c r="K430" i="10"/>
  <c r="A431" i="10"/>
  <c r="C431" i="10"/>
  <c r="D431" i="10"/>
  <c r="E431" i="10"/>
  <c r="F431" i="10"/>
  <c r="G431" i="10"/>
  <c r="I431" i="10"/>
  <c r="J431" i="10"/>
  <c r="K431" i="10"/>
  <c r="A432" i="10"/>
  <c r="C432" i="10"/>
  <c r="D432" i="10"/>
  <c r="E432" i="10"/>
  <c r="F432" i="10"/>
  <c r="G432" i="10"/>
  <c r="I432" i="10"/>
  <c r="J432" i="10"/>
  <c r="K432" i="10"/>
  <c r="A433" i="10"/>
  <c r="C433" i="10"/>
  <c r="D433" i="10"/>
  <c r="E433" i="10"/>
  <c r="F433" i="10"/>
  <c r="G433" i="10"/>
  <c r="I433" i="10"/>
  <c r="J433" i="10"/>
  <c r="K433" i="10"/>
  <c r="A434" i="10"/>
  <c r="C434" i="10"/>
  <c r="D434" i="10"/>
  <c r="E434" i="10"/>
  <c r="F434" i="10"/>
  <c r="G434" i="10"/>
  <c r="I434" i="10"/>
  <c r="J434" i="10"/>
  <c r="K434" i="10"/>
  <c r="A435" i="10"/>
  <c r="C435" i="10"/>
  <c r="D435" i="10"/>
  <c r="E435" i="10"/>
  <c r="F435" i="10"/>
  <c r="G435" i="10"/>
  <c r="I435" i="10"/>
  <c r="J435" i="10"/>
  <c r="K435" i="10"/>
  <c r="A436" i="10"/>
  <c r="C436" i="10"/>
  <c r="D436" i="10"/>
  <c r="E436" i="10"/>
  <c r="F436" i="10"/>
  <c r="G436" i="10"/>
  <c r="I436" i="10"/>
  <c r="J436" i="10"/>
  <c r="K436" i="10"/>
  <c r="A437" i="10"/>
  <c r="C437" i="10"/>
  <c r="D437" i="10"/>
  <c r="E437" i="10"/>
  <c r="F437" i="10"/>
  <c r="G437" i="10"/>
  <c r="I437" i="10"/>
  <c r="J437" i="10"/>
  <c r="K437" i="10"/>
  <c r="A438" i="10"/>
  <c r="C438" i="10"/>
  <c r="D438" i="10"/>
  <c r="E438" i="10"/>
  <c r="F438" i="10"/>
  <c r="G438" i="10"/>
  <c r="I438" i="10"/>
  <c r="J438" i="10"/>
  <c r="K438" i="10"/>
  <c r="A439" i="10"/>
  <c r="C439" i="10"/>
  <c r="D439" i="10"/>
  <c r="E439" i="10"/>
  <c r="F439" i="10"/>
  <c r="G439" i="10"/>
  <c r="I439" i="10"/>
  <c r="J439" i="10"/>
  <c r="K439" i="10"/>
  <c r="A440" i="10"/>
  <c r="C440" i="10"/>
  <c r="D440" i="10"/>
  <c r="E440" i="10"/>
  <c r="F440" i="10"/>
  <c r="G440" i="10"/>
  <c r="I440" i="10"/>
  <c r="J440" i="10"/>
  <c r="K440" i="10"/>
  <c r="A441" i="10"/>
  <c r="C441" i="10"/>
  <c r="D441" i="10"/>
  <c r="E441" i="10"/>
  <c r="F441" i="10"/>
  <c r="G441" i="10"/>
  <c r="I441" i="10"/>
  <c r="J441" i="10"/>
  <c r="K441" i="10"/>
  <c r="A442" i="10"/>
  <c r="C442" i="10"/>
  <c r="D442" i="10"/>
  <c r="E442" i="10"/>
  <c r="F442" i="10"/>
  <c r="G442" i="10"/>
  <c r="I442" i="10"/>
  <c r="J442" i="10"/>
  <c r="K442" i="10"/>
  <c r="A443" i="10"/>
  <c r="C443" i="10"/>
  <c r="D443" i="10"/>
  <c r="E443" i="10"/>
  <c r="F443" i="10"/>
  <c r="G443" i="10"/>
  <c r="I443" i="10"/>
  <c r="J443" i="10"/>
  <c r="K443" i="10"/>
  <c r="A444" i="10"/>
  <c r="C444" i="10"/>
  <c r="D444" i="10"/>
  <c r="E444" i="10"/>
  <c r="F444" i="10"/>
  <c r="G444" i="10"/>
  <c r="I444" i="10"/>
  <c r="J444" i="10"/>
  <c r="K444" i="10"/>
  <c r="A445" i="10"/>
  <c r="C445" i="10"/>
  <c r="D445" i="10"/>
  <c r="E445" i="10"/>
  <c r="F445" i="10"/>
  <c r="G445" i="10"/>
  <c r="I445" i="10"/>
  <c r="J445" i="10"/>
  <c r="K445" i="10"/>
  <c r="A446" i="10"/>
  <c r="C446" i="10"/>
  <c r="D446" i="10"/>
  <c r="E446" i="10"/>
  <c r="F446" i="10"/>
  <c r="G446" i="10"/>
  <c r="I446" i="10"/>
  <c r="J446" i="10"/>
  <c r="K446" i="10"/>
  <c r="A447" i="10"/>
  <c r="C447" i="10"/>
  <c r="D447" i="10"/>
  <c r="E447" i="10"/>
  <c r="F447" i="10"/>
  <c r="G447" i="10"/>
  <c r="I447" i="10"/>
  <c r="J447" i="10"/>
  <c r="K447" i="10"/>
  <c r="A448" i="10"/>
  <c r="C448" i="10"/>
  <c r="D448" i="10"/>
  <c r="E448" i="10"/>
  <c r="F448" i="10"/>
  <c r="G448" i="10"/>
  <c r="I448" i="10"/>
  <c r="J448" i="10"/>
  <c r="K448" i="10"/>
  <c r="A449" i="10"/>
  <c r="C449" i="10"/>
  <c r="D449" i="10"/>
  <c r="E449" i="10"/>
  <c r="F449" i="10"/>
  <c r="G449" i="10"/>
  <c r="I449" i="10"/>
  <c r="J449" i="10"/>
  <c r="K449" i="10"/>
  <c r="A450" i="10"/>
  <c r="C450" i="10"/>
  <c r="D450" i="10"/>
  <c r="E450" i="10"/>
  <c r="F450" i="10"/>
  <c r="G450" i="10"/>
  <c r="I450" i="10"/>
  <c r="J450" i="10"/>
  <c r="K450" i="10"/>
  <c r="A451" i="10"/>
  <c r="C451" i="10"/>
  <c r="D451" i="10"/>
  <c r="E451" i="10"/>
  <c r="F451" i="10"/>
  <c r="G451" i="10"/>
  <c r="I451" i="10"/>
  <c r="J451" i="10"/>
  <c r="K451" i="10"/>
  <c r="A452" i="10"/>
  <c r="C452" i="10"/>
  <c r="D452" i="10"/>
  <c r="E452" i="10"/>
  <c r="F452" i="10"/>
  <c r="G452" i="10"/>
  <c r="I452" i="10"/>
  <c r="J452" i="10"/>
  <c r="K452" i="10"/>
  <c r="A453" i="10"/>
  <c r="C453" i="10"/>
  <c r="D453" i="10"/>
  <c r="E453" i="10"/>
  <c r="F453" i="10"/>
  <c r="G453" i="10"/>
  <c r="I453" i="10"/>
  <c r="J453" i="10"/>
  <c r="K453" i="10"/>
  <c r="A454" i="10"/>
  <c r="C454" i="10"/>
  <c r="D454" i="10"/>
  <c r="E454" i="10"/>
  <c r="F454" i="10"/>
  <c r="G454" i="10"/>
  <c r="I454" i="10"/>
  <c r="J454" i="10"/>
  <c r="K454" i="10"/>
  <c r="A455" i="10"/>
  <c r="C455" i="10"/>
  <c r="D455" i="10"/>
  <c r="E455" i="10"/>
  <c r="F455" i="10"/>
  <c r="G455" i="10"/>
  <c r="I455" i="10"/>
  <c r="J455" i="10"/>
  <c r="K455" i="10"/>
  <c r="A456" i="10"/>
  <c r="C456" i="10"/>
  <c r="D456" i="10"/>
  <c r="E456" i="10"/>
  <c r="F456" i="10"/>
  <c r="G456" i="10"/>
  <c r="I456" i="10"/>
  <c r="J456" i="10"/>
  <c r="K456" i="10"/>
  <c r="A457" i="10"/>
  <c r="C457" i="10"/>
  <c r="D457" i="10"/>
  <c r="E457" i="10"/>
  <c r="F457" i="10"/>
  <c r="G457" i="10"/>
  <c r="I457" i="10"/>
  <c r="J457" i="10"/>
  <c r="K457" i="10"/>
  <c r="A458" i="10"/>
  <c r="C458" i="10"/>
  <c r="D458" i="10"/>
  <c r="E458" i="10"/>
  <c r="F458" i="10"/>
  <c r="G458" i="10"/>
  <c r="I458" i="10"/>
  <c r="J458" i="10"/>
  <c r="K458" i="10"/>
  <c r="A459" i="10"/>
  <c r="C459" i="10"/>
  <c r="D459" i="10"/>
  <c r="E459" i="10"/>
  <c r="F459" i="10"/>
  <c r="G459" i="10"/>
  <c r="I459" i="10"/>
  <c r="J459" i="10"/>
  <c r="K459" i="10"/>
  <c r="A460" i="10"/>
  <c r="C460" i="10"/>
  <c r="D460" i="10"/>
  <c r="E460" i="10"/>
  <c r="F460" i="10"/>
  <c r="G460" i="10"/>
  <c r="I460" i="10"/>
  <c r="J460" i="10"/>
  <c r="K460" i="10"/>
  <c r="A461" i="10"/>
  <c r="C461" i="10"/>
  <c r="D461" i="10"/>
  <c r="E461" i="10"/>
  <c r="F461" i="10"/>
  <c r="G461" i="10"/>
  <c r="I461" i="10"/>
  <c r="J461" i="10"/>
  <c r="K461" i="10"/>
  <c r="A462" i="10"/>
  <c r="C462" i="10"/>
  <c r="D462" i="10"/>
  <c r="E462" i="10"/>
  <c r="F462" i="10"/>
  <c r="G462" i="10"/>
  <c r="I462" i="10"/>
  <c r="J462" i="10"/>
  <c r="K462" i="10"/>
  <c r="A463" i="10"/>
  <c r="C463" i="10"/>
  <c r="D463" i="10"/>
  <c r="E463" i="10"/>
  <c r="F463" i="10"/>
  <c r="G463" i="10"/>
  <c r="I463" i="10"/>
  <c r="J463" i="10"/>
  <c r="K463" i="10"/>
  <c r="A464" i="10"/>
  <c r="C464" i="10"/>
  <c r="D464" i="10"/>
  <c r="E464" i="10"/>
  <c r="F464" i="10"/>
  <c r="G464" i="10"/>
  <c r="I464" i="10"/>
  <c r="J464" i="10"/>
  <c r="K464" i="10"/>
  <c r="A465" i="10"/>
  <c r="C465" i="10"/>
  <c r="D465" i="10"/>
  <c r="E465" i="10"/>
  <c r="F465" i="10"/>
  <c r="G465" i="10"/>
  <c r="I465" i="10"/>
  <c r="J465" i="10"/>
  <c r="K465" i="10"/>
  <c r="A466" i="10"/>
  <c r="C466" i="10"/>
  <c r="D466" i="10"/>
  <c r="E466" i="10"/>
  <c r="F466" i="10"/>
  <c r="G466" i="10"/>
  <c r="I466" i="10"/>
  <c r="J466" i="10"/>
  <c r="K466" i="10"/>
  <c r="A467" i="10"/>
  <c r="C467" i="10"/>
  <c r="D467" i="10"/>
  <c r="E467" i="10"/>
  <c r="F467" i="10"/>
  <c r="G467" i="10"/>
  <c r="I467" i="10"/>
  <c r="J467" i="10"/>
  <c r="K467" i="10"/>
  <c r="A468" i="10"/>
  <c r="C468" i="10"/>
  <c r="D468" i="10"/>
  <c r="E468" i="10"/>
  <c r="F468" i="10"/>
  <c r="G468" i="10"/>
  <c r="I468" i="10"/>
  <c r="J468" i="10"/>
  <c r="K468" i="10"/>
  <c r="A469" i="10"/>
  <c r="C469" i="10"/>
  <c r="D469" i="10"/>
  <c r="E469" i="10"/>
  <c r="F469" i="10"/>
  <c r="G469" i="10"/>
  <c r="I469" i="10"/>
  <c r="J469" i="10"/>
  <c r="K469" i="10"/>
  <c r="A470" i="10"/>
  <c r="C470" i="10"/>
  <c r="D470" i="10"/>
  <c r="E470" i="10"/>
  <c r="F470" i="10"/>
  <c r="G470" i="10"/>
  <c r="I470" i="10"/>
  <c r="J470" i="10"/>
  <c r="K470" i="10"/>
  <c r="A471" i="10"/>
  <c r="C471" i="10"/>
  <c r="D471" i="10"/>
  <c r="E471" i="10"/>
  <c r="F471" i="10"/>
  <c r="G471" i="10"/>
  <c r="I471" i="10"/>
  <c r="J471" i="10"/>
  <c r="K471" i="10"/>
  <c r="A472" i="10"/>
  <c r="C472" i="10"/>
  <c r="D472" i="10"/>
  <c r="E472" i="10"/>
  <c r="F472" i="10"/>
  <c r="G472" i="10"/>
  <c r="I472" i="10"/>
  <c r="J472" i="10"/>
  <c r="K472" i="10"/>
  <c r="A473" i="10"/>
  <c r="C473" i="10"/>
  <c r="D473" i="10"/>
  <c r="E473" i="10"/>
  <c r="F473" i="10"/>
  <c r="G473" i="10"/>
  <c r="I473" i="10"/>
  <c r="J473" i="10"/>
  <c r="K473" i="10"/>
  <c r="A474" i="10"/>
  <c r="C474" i="10"/>
  <c r="D474" i="10"/>
  <c r="E474" i="10"/>
  <c r="F474" i="10"/>
  <c r="G474" i="10"/>
  <c r="I474" i="10"/>
  <c r="J474" i="10"/>
  <c r="K474" i="10"/>
  <c r="A475" i="10"/>
  <c r="C475" i="10"/>
  <c r="D475" i="10"/>
  <c r="E475" i="10"/>
  <c r="F475" i="10"/>
  <c r="G475" i="10"/>
  <c r="I475" i="10"/>
  <c r="J475" i="10"/>
  <c r="K475" i="10"/>
  <c r="A476" i="10"/>
  <c r="C476" i="10"/>
  <c r="D476" i="10"/>
  <c r="E476" i="10"/>
  <c r="F476" i="10"/>
  <c r="G476" i="10"/>
  <c r="I476" i="10"/>
  <c r="J476" i="10"/>
  <c r="K476" i="10"/>
  <c r="A477" i="10"/>
  <c r="C477" i="10"/>
  <c r="D477" i="10"/>
  <c r="E477" i="10"/>
  <c r="F477" i="10"/>
  <c r="G477" i="10"/>
  <c r="I477" i="10"/>
  <c r="J477" i="10"/>
  <c r="K477" i="10"/>
  <c r="A478" i="10"/>
  <c r="C478" i="10"/>
  <c r="D478" i="10"/>
  <c r="E478" i="10"/>
  <c r="F478" i="10"/>
  <c r="G478" i="10"/>
  <c r="I478" i="10"/>
  <c r="J478" i="10"/>
  <c r="K478" i="10"/>
  <c r="A479" i="10"/>
  <c r="C479" i="10"/>
  <c r="D479" i="10"/>
  <c r="E479" i="10"/>
  <c r="F479" i="10"/>
  <c r="G479" i="10"/>
  <c r="I479" i="10"/>
  <c r="J479" i="10"/>
  <c r="K479" i="10"/>
  <c r="A480" i="10"/>
  <c r="C480" i="10"/>
  <c r="D480" i="10"/>
  <c r="E480" i="10"/>
  <c r="F480" i="10"/>
  <c r="G480" i="10"/>
  <c r="I480" i="10"/>
  <c r="J480" i="10"/>
  <c r="K480" i="10"/>
  <c r="A481" i="10"/>
  <c r="C481" i="10"/>
  <c r="D481" i="10"/>
  <c r="E481" i="10"/>
  <c r="F481" i="10"/>
  <c r="G481" i="10"/>
  <c r="I481" i="10"/>
  <c r="J481" i="10"/>
  <c r="K481" i="10"/>
  <c r="A482" i="10"/>
  <c r="C482" i="10"/>
  <c r="D482" i="10"/>
  <c r="E482" i="10"/>
  <c r="F482" i="10"/>
  <c r="G482" i="10"/>
  <c r="I482" i="10"/>
  <c r="J482" i="10"/>
  <c r="K482" i="10"/>
  <c r="A483" i="10"/>
  <c r="C483" i="10"/>
  <c r="D483" i="10"/>
  <c r="E483" i="10"/>
  <c r="F483" i="10"/>
  <c r="G483" i="10"/>
  <c r="I483" i="10"/>
  <c r="J483" i="10"/>
  <c r="K483" i="10"/>
  <c r="A484" i="10"/>
  <c r="C484" i="10"/>
  <c r="D484" i="10"/>
  <c r="E484" i="10"/>
  <c r="F484" i="10"/>
  <c r="G484" i="10"/>
  <c r="I484" i="10"/>
  <c r="J484" i="10"/>
  <c r="K484" i="10"/>
  <c r="A485" i="10"/>
  <c r="C485" i="10"/>
  <c r="D485" i="10"/>
  <c r="E485" i="10"/>
  <c r="F485" i="10"/>
  <c r="G485" i="10"/>
  <c r="I485" i="10"/>
  <c r="J485" i="10"/>
  <c r="K485" i="10"/>
  <c r="A486" i="10"/>
  <c r="C486" i="10"/>
  <c r="D486" i="10"/>
  <c r="E486" i="10"/>
  <c r="F486" i="10"/>
  <c r="G486" i="10"/>
  <c r="I486" i="10"/>
  <c r="J486" i="10"/>
  <c r="K486" i="10"/>
  <c r="A487" i="10"/>
  <c r="C487" i="10"/>
  <c r="D487" i="10"/>
  <c r="E487" i="10"/>
  <c r="F487" i="10"/>
  <c r="G487" i="10"/>
  <c r="I487" i="10"/>
  <c r="J487" i="10"/>
  <c r="K487" i="10"/>
  <c r="A488" i="10"/>
  <c r="C488" i="10"/>
  <c r="D488" i="10"/>
  <c r="E488" i="10"/>
  <c r="F488" i="10"/>
  <c r="G488" i="10"/>
  <c r="I488" i="10"/>
  <c r="J488" i="10"/>
  <c r="K488" i="10"/>
  <c r="A489" i="10"/>
  <c r="C489" i="10"/>
  <c r="D489" i="10"/>
  <c r="E489" i="10"/>
  <c r="F489" i="10"/>
  <c r="G489" i="10"/>
  <c r="I489" i="10"/>
  <c r="J489" i="10"/>
  <c r="K489" i="10"/>
  <c r="A490" i="10"/>
  <c r="C490" i="10"/>
  <c r="D490" i="10"/>
  <c r="E490" i="10"/>
  <c r="F490" i="10"/>
  <c r="G490" i="10"/>
  <c r="I490" i="10"/>
  <c r="J490" i="10"/>
  <c r="K490" i="10"/>
  <c r="A491" i="10"/>
  <c r="C491" i="10"/>
  <c r="D491" i="10"/>
  <c r="E491" i="10"/>
  <c r="F491" i="10"/>
  <c r="G491" i="10"/>
  <c r="I491" i="10"/>
  <c r="J491" i="10"/>
  <c r="K491" i="10"/>
  <c r="A492" i="10"/>
  <c r="C492" i="10"/>
  <c r="D492" i="10"/>
  <c r="E492" i="10"/>
  <c r="F492" i="10"/>
  <c r="G492" i="10"/>
  <c r="I492" i="10"/>
  <c r="J492" i="10"/>
  <c r="K492" i="10"/>
  <c r="A493" i="10"/>
  <c r="C493" i="10"/>
  <c r="D493" i="10"/>
  <c r="E493" i="10"/>
  <c r="F493" i="10"/>
  <c r="G493" i="10"/>
  <c r="I493" i="10"/>
  <c r="J493" i="10"/>
  <c r="K493" i="10"/>
  <c r="A494" i="10"/>
  <c r="C494" i="10"/>
  <c r="D494" i="10"/>
  <c r="E494" i="10"/>
  <c r="F494" i="10"/>
  <c r="G494" i="10"/>
  <c r="I494" i="10"/>
  <c r="J494" i="10"/>
  <c r="K494" i="10"/>
  <c r="A495" i="10"/>
  <c r="C495" i="10"/>
  <c r="D495" i="10"/>
  <c r="E495" i="10"/>
  <c r="F495" i="10"/>
  <c r="G495" i="10"/>
  <c r="I495" i="10"/>
  <c r="J495" i="10"/>
  <c r="K495" i="10"/>
  <c r="A496" i="10"/>
  <c r="C496" i="10"/>
  <c r="D496" i="10"/>
  <c r="E496" i="10"/>
  <c r="F496" i="10"/>
  <c r="G496" i="10"/>
  <c r="I496" i="10"/>
  <c r="J496" i="10"/>
  <c r="K496" i="10"/>
  <c r="A497" i="10"/>
  <c r="C497" i="10"/>
  <c r="D497" i="10"/>
  <c r="E497" i="10"/>
  <c r="F497" i="10"/>
  <c r="G497" i="10"/>
  <c r="I497" i="10"/>
  <c r="J497" i="10"/>
  <c r="K497" i="10"/>
  <c r="A498" i="10"/>
  <c r="C498" i="10"/>
  <c r="D498" i="10"/>
  <c r="E498" i="10"/>
  <c r="F498" i="10"/>
  <c r="G498" i="10"/>
  <c r="I498" i="10"/>
  <c r="J498" i="10"/>
  <c r="K498" i="10"/>
  <c r="A499" i="10"/>
  <c r="C499" i="10"/>
  <c r="D499" i="10"/>
  <c r="E499" i="10"/>
  <c r="F499" i="10"/>
  <c r="G499" i="10"/>
  <c r="I499" i="10"/>
  <c r="J499" i="10"/>
  <c r="K499" i="10"/>
  <c r="A500" i="10"/>
  <c r="C500" i="10"/>
  <c r="D500" i="10"/>
  <c r="E500" i="10"/>
  <c r="F500" i="10"/>
  <c r="G500" i="10"/>
  <c r="I500" i="10"/>
  <c r="J500" i="10"/>
  <c r="K500" i="10"/>
  <c r="A501" i="10"/>
  <c r="C501" i="10"/>
  <c r="D501" i="10"/>
  <c r="E501" i="10"/>
  <c r="F501" i="10"/>
  <c r="G501" i="10"/>
  <c r="I501" i="10"/>
  <c r="J501" i="10"/>
  <c r="K501" i="10"/>
  <c r="A502" i="10"/>
  <c r="C502" i="10"/>
  <c r="D502" i="10"/>
  <c r="E502" i="10"/>
  <c r="F502" i="10"/>
  <c r="G502" i="10"/>
  <c r="I502" i="10"/>
  <c r="J502" i="10"/>
  <c r="K502" i="10"/>
  <c r="A503" i="10"/>
  <c r="C503" i="10"/>
  <c r="D503" i="10"/>
  <c r="E503" i="10"/>
  <c r="F503" i="10"/>
  <c r="G503" i="10"/>
  <c r="I503" i="10"/>
  <c r="J503" i="10"/>
  <c r="K503" i="10"/>
  <c r="A504" i="10"/>
  <c r="C504" i="10"/>
  <c r="D504" i="10"/>
  <c r="E504" i="10"/>
  <c r="F504" i="10"/>
  <c r="G504" i="10"/>
  <c r="I504" i="10"/>
  <c r="J504" i="10"/>
  <c r="K504" i="10"/>
  <c r="A505" i="10"/>
  <c r="C505" i="10"/>
  <c r="D505" i="10"/>
  <c r="E505" i="10"/>
  <c r="F505" i="10"/>
  <c r="G505" i="10"/>
  <c r="I505" i="10"/>
  <c r="J505" i="10"/>
  <c r="K505" i="10"/>
  <c r="A506" i="10"/>
  <c r="C506" i="10"/>
  <c r="D506" i="10"/>
  <c r="E506" i="10"/>
  <c r="F506" i="10"/>
  <c r="G506" i="10"/>
  <c r="I506" i="10"/>
  <c r="J506" i="10"/>
  <c r="K506" i="10"/>
  <c r="A507" i="10"/>
  <c r="C507" i="10"/>
  <c r="D507" i="10"/>
  <c r="E507" i="10"/>
  <c r="F507" i="10"/>
  <c r="G507" i="10"/>
  <c r="I507" i="10"/>
  <c r="J507" i="10"/>
  <c r="K507" i="10"/>
  <c r="A508" i="10"/>
  <c r="C508" i="10"/>
  <c r="D508" i="10"/>
  <c r="E508" i="10"/>
  <c r="F508" i="10"/>
  <c r="G508" i="10"/>
  <c r="I508" i="10"/>
  <c r="J508" i="10"/>
  <c r="K508" i="10"/>
  <c r="A509" i="10"/>
  <c r="C509" i="10"/>
  <c r="D509" i="10"/>
  <c r="E509" i="10"/>
  <c r="F509" i="10"/>
  <c r="G509" i="10"/>
  <c r="I509" i="10"/>
  <c r="J509" i="10"/>
  <c r="K509" i="10"/>
  <c r="A510" i="10"/>
  <c r="C510" i="10"/>
  <c r="D510" i="10"/>
  <c r="E510" i="10"/>
  <c r="F510" i="10"/>
  <c r="G510" i="10"/>
  <c r="I510" i="10"/>
  <c r="J510" i="10"/>
  <c r="K510" i="10"/>
  <c r="A511" i="10"/>
  <c r="C511" i="10"/>
  <c r="D511" i="10"/>
  <c r="E511" i="10"/>
  <c r="F511" i="10"/>
  <c r="G511" i="10"/>
  <c r="I511" i="10"/>
  <c r="J511" i="10"/>
  <c r="K511" i="10"/>
  <c r="A512" i="10"/>
  <c r="C512" i="10"/>
  <c r="D512" i="10"/>
  <c r="E512" i="10"/>
  <c r="F512" i="10"/>
  <c r="G512" i="10"/>
  <c r="I512" i="10"/>
  <c r="J512" i="10"/>
  <c r="K512" i="10"/>
  <c r="A513" i="10"/>
  <c r="C513" i="10"/>
  <c r="D513" i="10"/>
  <c r="E513" i="10"/>
  <c r="F513" i="10"/>
  <c r="G513" i="10"/>
  <c r="I513" i="10"/>
  <c r="J513" i="10"/>
  <c r="K513" i="10"/>
  <c r="A514" i="10"/>
  <c r="C514" i="10"/>
  <c r="D514" i="10"/>
  <c r="E514" i="10"/>
  <c r="F514" i="10"/>
  <c r="G514" i="10"/>
  <c r="I514" i="10"/>
  <c r="J514" i="10"/>
  <c r="K514" i="10"/>
  <c r="A515" i="10"/>
  <c r="C515" i="10"/>
  <c r="D515" i="10"/>
  <c r="E515" i="10"/>
  <c r="F515" i="10"/>
  <c r="G515" i="10"/>
  <c r="I515" i="10"/>
  <c r="J515" i="10"/>
  <c r="K515" i="10"/>
  <c r="A516" i="10"/>
  <c r="C516" i="10"/>
  <c r="D516" i="10"/>
  <c r="E516" i="10"/>
  <c r="F516" i="10"/>
  <c r="G516" i="10"/>
  <c r="I516" i="10"/>
  <c r="J516" i="10"/>
  <c r="K516" i="10"/>
  <c r="A517" i="10"/>
  <c r="C517" i="10"/>
  <c r="D517" i="10"/>
  <c r="E517" i="10"/>
  <c r="F517" i="10"/>
  <c r="G517" i="10"/>
  <c r="I517" i="10"/>
  <c r="J517" i="10"/>
  <c r="K517" i="10"/>
  <c r="A518" i="10"/>
  <c r="C518" i="10"/>
  <c r="D518" i="10"/>
  <c r="E518" i="10"/>
  <c r="F518" i="10"/>
  <c r="G518" i="10"/>
  <c r="I518" i="10"/>
  <c r="J518" i="10"/>
  <c r="K518" i="10"/>
  <c r="A519" i="10"/>
  <c r="C519" i="10"/>
  <c r="D519" i="10"/>
  <c r="E519" i="10"/>
  <c r="F519" i="10"/>
  <c r="G519" i="10"/>
  <c r="I519" i="10"/>
  <c r="J519" i="10"/>
  <c r="K519" i="10"/>
  <c r="A520" i="10"/>
  <c r="C520" i="10"/>
  <c r="D520" i="10"/>
  <c r="E520" i="10"/>
  <c r="F520" i="10"/>
  <c r="G520" i="10"/>
  <c r="I520" i="10"/>
  <c r="J520" i="10"/>
  <c r="K520" i="10"/>
  <c r="A521" i="10"/>
  <c r="C521" i="10"/>
  <c r="D521" i="10"/>
  <c r="E521" i="10"/>
  <c r="F521" i="10"/>
  <c r="G521" i="10"/>
  <c r="I521" i="10"/>
  <c r="J521" i="10"/>
  <c r="K521" i="10"/>
  <c r="A522" i="10"/>
  <c r="C522" i="10"/>
  <c r="D522" i="10"/>
  <c r="E522" i="10"/>
  <c r="F522" i="10"/>
  <c r="G522" i="10"/>
  <c r="I522" i="10"/>
  <c r="J522" i="10"/>
  <c r="K522" i="10"/>
  <c r="A523" i="10"/>
  <c r="C523" i="10"/>
  <c r="D523" i="10"/>
  <c r="E523" i="10"/>
  <c r="F523" i="10"/>
  <c r="G523" i="10"/>
  <c r="I523" i="10"/>
  <c r="J523" i="10"/>
  <c r="K523" i="10"/>
  <c r="A524" i="10"/>
  <c r="C524" i="10"/>
  <c r="D524" i="10"/>
  <c r="E524" i="10"/>
  <c r="F524" i="10"/>
  <c r="G524" i="10"/>
  <c r="I524" i="10"/>
  <c r="J524" i="10"/>
  <c r="K524" i="10"/>
  <c r="A525" i="10"/>
  <c r="C525" i="10"/>
  <c r="D525" i="10"/>
  <c r="E525" i="10"/>
  <c r="F525" i="10"/>
  <c r="G525" i="10"/>
  <c r="I525" i="10"/>
  <c r="J525" i="10"/>
  <c r="K525" i="10"/>
  <c r="A526" i="10"/>
  <c r="C526" i="10"/>
  <c r="D526" i="10"/>
  <c r="E526" i="10"/>
  <c r="F526" i="10"/>
  <c r="G526" i="10"/>
  <c r="I526" i="10"/>
  <c r="J526" i="10"/>
  <c r="K526" i="10"/>
  <c r="A527" i="10"/>
  <c r="C527" i="10"/>
  <c r="D527" i="10"/>
  <c r="E527" i="10"/>
  <c r="F527" i="10"/>
  <c r="G527" i="10"/>
  <c r="I527" i="10"/>
  <c r="J527" i="10"/>
  <c r="K527" i="10"/>
  <c r="A528" i="10"/>
  <c r="C528" i="10"/>
  <c r="D528" i="10"/>
  <c r="E528" i="10"/>
  <c r="F528" i="10"/>
  <c r="G528" i="10"/>
  <c r="I528" i="10"/>
  <c r="J528" i="10"/>
  <c r="K528" i="10"/>
  <c r="A529" i="10"/>
  <c r="C529" i="10"/>
  <c r="D529" i="10"/>
  <c r="E529" i="10"/>
  <c r="F529" i="10"/>
  <c r="G529" i="10"/>
  <c r="I529" i="10"/>
  <c r="J529" i="10"/>
  <c r="K529" i="10"/>
  <c r="A530" i="10"/>
  <c r="C530" i="10"/>
  <c r="D530" i="10"/>
  <c r="E530" i="10"/>
  <c r="F530" i="10"/>
  <c r="G530" i="10"/>
  <c r="I530" i="10"/>
  <c r="J530" i="10"/>
  <c r="K530" i="10"/>
  <c r="A531" i="10"/>
  <c r="C531" i="10"/>
  <c r="D531" i="10"/>
  <c r="E531" i="10"/>
  <c r="F531" i="10"/>
  <c r="G531" i="10"/>
  <c r="I531" i="10"/>
  <c r="J531" i="10"/>
  <c r="K531" i="10"/>
  <c r="A532" i="10"/>
  <c r="C532" i="10"/>
  <c r="D532" i="10"/>
  <c r="E532" i="10"/>
  <c r="F532" i="10"/>
  <c r="G532" i="10"/>
  <c r="I532" i="10"/>
  <c r="J532" i="10"/>
  <c r="K532" i="10"/>
  <c r="A533" i="10"/>
  <c r="C533" i="10"/>
  <c r="D533" i="10"/>
  <c r="E533" i="10"/>
  <c r="F533" i="10"/>
  <c r="G533" i="10"/>
  <c r="I533" i="10"/>
  <c r="J533" i="10"/>
  <c r="K533" i="10"/>
  <c r="A534" i="10"/>
  <c r="C534" i="10"/>
  <c r="D534" i="10"/>
  <c r="E534" i="10"/>
  <c r="F534" i="10"/>
  <c r="G534" i="10"/>
  <c r="I534" i="10"/>
  <c r="J534" i="10"/>
  <c r="K534" i="10"/>
  <c r="A535" i="10"/>
  <c r="C535" i="10"/>
  <c r="D535" i="10"/>
  <c r="E535" i="10"/>
  <c r="F535" i="10"/>
  <c r="G535" i="10"/>
  <c r="I535" i="10"/>
  <c r="J535" i="10"/>
  <c r="K535" i="10"/>
  <c r="A536" i="10"/>
  <c r="C536" i="10"/>
  <c r="D536" i="10"/>
  <c r="E536" i="10"/>
  <c r="F536" i="10"/>
  <c r="G536" i="10"/>
  <c r="I536" i="10"/>
  <c r="J536" i="10"/>
  <c r="K536" i="10"/>
  <c r="A537" i="10"/>
  <c r="C537" i="10"/>
  <c r="D537" i="10"/>
  <c r="E537" i="10"/>
  <c r="F537" i="10"/>
  <c r="G537" i="10"/>
  <c r="I537" i="10"/>
  <c r="J537" i="10"/>
  <c r="K537" i="10"/>
  <c r="A538" i="10"/>
  <c r="C538" i="10"/>
  <c r="D538" i="10"/>
  <c r="E538" i="10"/>
  <c r="F538" i="10"/>
  <c r="G538" i="10"/>
  <c r="I538" i="10"/>
  <c r="J538" i="10"/>
  <c r="K538" i="10"/>
  <c r="A539" i="10"/>
  <c r="C539" i="10"/>
  <c r="D539" i="10"/>
  <c r="E539" i="10"/>
  <c r="F539" i="10"/>
  <c r="G539" i="10"/>
  <c r="I539" i="10"/>
  <c r="J539" i="10"/>
  <c r="K539" i="10"/>
  <c r="A540" i="10"/>
  <c r="C540" i="10"/>
  <c r="D540" i="10"/>
  <c r="E540" i="10"/>
  <c r="F540" i="10"/>
  <c r="G540" i="10"/>
  <c r="I540" i="10"/>
  <c r="J540" i="10"/>
  <c r="K540" i="10"/>
  <c r="A541" i="10"/>
  <c r="C541" i="10"/>
  <c r="D541" i="10"/>
  <c r="E541" i="10"/>
  <c r="F541" i="10"/>
  <c r="G541" i="10"/>
  <c r="I541" i="10"/>
  <c r="J541" i="10"/>
  <c r="K541" i="10"/>
  <c r="A542" i="10"/>
  <c r="C542" i="10"/>
  <c r="D542" i="10"/>
  <c r="E542" i="10"/>
  <c r="F542" i="10"/>
  <c r="G542" i="10"/>
  <c r="I542" i="10"/>
  <c r="J542" i="10"/>
  <c r="K542" i="10"/>
  <c r="A543" i="10"/>
  <c r="C543" i="10"/>
  <c r="D543" i="10"/>
  <c r="E543" i="10"/>
  <c r="F543" i="10"/>
  <c r="G543" i="10"/>
  <c r="I543" i="10"/>
  <c r="J543" i="10"/>
  <c r="K543" i="10"/>
  <c r="A544" i="10"/>
  <c r="C544" i="10"/>
  <c r="D544" i="10"/>
  <c r="E544" i="10"/>
  <c r="F544" i="10"/>
  <c r="G544" i="10"/>
  <c r="I544" i="10"/>
  <c r="J544" i="10"/>
  <c r="K544" i="10"/>
  <c r="A545" i="10"/>
  <c r="C545" i="10"/>
  <c r="D545" i="10"/>
  <c r="E545" i="10"/>
  <c r="F545" i="10"/>
  <c r="G545" i="10"/>
  <c r="I545" i="10"/>
  <c r="J545" i="10"/>
  <c r="K545" i="10"/>
  <c r="A546" i="10"/>
  <c r="C546" i="10"/>
  <c r="D546" i="10"/>
  <c r="E546" i="10"/>
  <c r="F546" i="10"/>
  <c r="G546" i="10"/>
  <c r="I546" i="10"/>
  <c r="J546" i="10"/>
  <c r="K546" i="10"/>
  <c r="A547" i="10"/>
  <c r="C547" i="10"/>
  <c r="D547" i="10"/>
  <c r="E547" i="10"/>
  <c r="F547" i="10"/>
  <c r="G547" i="10"/>
  <c r="I547" i="10"/>
  <c r="J547" i="10"/>
  <c r="K547" i="10"/>
  <c r="A548" i="10"/>
  <c r="C548" i="10"/>
  <c r="D548" i="10"/>
  <c r="E548" i="10"/>
  <c r="F548" i="10"/>
  <c r="G548" i="10"/>
  <c r="I548" i="10"/>
  <c r="J548" i="10"/>
  <c r="K548" i="10"/>
  <c r="A549" i="10"/>
  <c r="C549" i="10"/>
  <c r="D549" i="10"/>
  <c r="E549" i="10"/>
  <c r="F549" i="10"/>
  <c r="G549" i="10"/>
  <c r="I549" i="10"/>
  <c r="J549" i="10"/>
  <c r="K549" i="10"/>
  <c r="A550" i="10"/>
  <c r="C550" i="10"/>
  <c r="D550" i="10"/>
  <c r="E550" i="10"/>
  <c r="F550" i="10"/>
  <c r="G550" i="10"/>
  <c r="I550" i="10"/>
  <c r="J550" i="10"/>
  <c r="K550" i="10"/>
  <c r="A551" i="10"/>
  <c r="C551" i="10"/>
  <c r="D551" i="10"/>
  <c r="E551" i="10"/>
  <c r="F551" i="10"/>
  <c r="G551" i="10"/>
  <c r="I551" i="10"/>
  <c r="J551" i="10"/>
  <c r="K551" i="10"/>
  <c r="A552" i="10"/>
  <c r="C552" i="10"/>
  <c r="D552" i="10"/>
  <c r="E552" i="10"/>
  <c r="F552" i="10"/>
  <c r="G552" i="10"/>
  <c r="I552" i="10"/>
  <c r="J552" i="10"/>
  <c r="K552" i="10"/>
  <c r="A553" i="10"/>
  <c r="C553" i="10"/>
  <c r="D553" i="10"/>
  <c r="E553" i="10"/>
  <c r="F553" i="10"/>
  <c r="G553" i="10"/>
  <c r="I553" i="10"/>
  <c r="J553" i="10"/>
  <c r="K553" i="10"/>
  <c r="A554" i="10"/>
  <c r="C554" i="10"/>
  <c r="D554" i="10"/>
  <c r="E554" i="10"/>
  <c r="F554" i="10"/>
  <c r="G554" i="10"/>
  <c r="I554" i="10"/>
  <c r="J554" i="10"/>
  <c r="K554" i="10"/>
  <c r="A555" i="10"/>
  <c r="C555" i="10"/>
  <c r="D555" i="10"/>
  <c r="E555" i="10"/>
  <c r="F555" i="10"/>
  <c r="G555" i="10"/>
  <c r="I555" i="10"/>
  <c r="J555" i="10"/>
  <c r="K555" i="10"/>
  <c r="A556" i="10"/>
  <c r="C556" i="10"/>
  <c r="D556" i="10"/>
  <c r="E556" i="10"/>
  <c r="F556" i="10"/>
  <c r="G556" i="10"/>
  <c r="I556" i="10"/>
  <c r="J556" i="10"/>
  <c r="K556" i="10"/>
  <c r="A557" i="10"/>
  <c r="C557" i="10"/>
  <c r="D557" i="10"/>
  <c r="E557" i="10"/>
  <c r="F557" i="10"/>
  <c r="G557" i="10"/>
  <c r="I557" i="10"/>
  <c r="J557" i="10"/>
  <c r="K557" i="10"/>
  <c r="A558" i="10"/>
  <c r="C558" i="10"/>
  <c r="D558" i="10"/>
  <c r="E558" i="10"/>
  <c r="F558" i="10"/>
  <c r="G558" i="10"/>
  <c r="I558" i="10"/>
  <c r="J558" i="10"/>
  <c r="K558" i="10"/>
  <c r="A559" i="10"/>
  <c r="C559" i="10"/>
  <c r="D559" i="10"/>
  <c r="E559" i="10"/>
  <c r="F559" i="10"/>
  <c r="G559" i="10"/>
  <c r="I559" i="10"/>
  <c r="J559" i="10"/>
  <c r="K559" i="10"/>
  <c r="A560" i="10"/>
  <c r="C560" i="10"/>
  <c r="D560" i="10"/>
  <c r="E560" i="10"/>
  <c r="F560" i="10"/>
  <c r="G560" i="10"/>
  <c r="I560" i="10"/>
  <c r="J560" i="10"/>
  <c r="K560" i="10"/>
  <c r="A561" i="10"/>
  <c r="C561" i="10"/>
  <c r="D561" i="10"/>
  <c r="E561" i="10"/>
  <c r="F561" i="10"/>
  <c r="G561" i="10"/>
  <c r="I561" i="10"/>
  <c r="J561" i="10"/>
  <c r="K561" i="10"/>
  <c r="A562" i="10"/>
  <c r="C562" i="10"/>
  <c r="D562" i="10"/>
  <c r="E562" i="10"/>
  <c r="F562" i="10"/>
  <c r="G562" i="10"/>
  <c r="I562" i="10"/>
  <c r="J562" i="10"/>
  <c r="K562" i="10"/>
  <c r="A563" i="10"/>
  <c r="C563" i="10"/>
  <c r="D563" i="10"/>
  <c r="E563" i="10"/>
  <c r="F563" i="10"/>
  <c r="G563" i="10"/>
  <c r="I563" i="10"/>
  <c r="J563" i="10"/>
  <c r="K563" i="10"/>
  <c r="A564" i="10"/>
  <c r="C564" i="10"/>
  <c r="D564" i="10"/>
  <c r="E564" i="10"/>
  <c r="F564" i="10"/>
  <c r="G564" i="10"/>
  <c r="I564" i="10"/>
  <c r="J564" i="10"/>
  <c r="K564" i="10"/>
  <c r="A565" i="10"/>
  <c r="C565" i="10"/>
  <c r="D565" i="10"/>
  <c r="E565" i="10"/>
  <c r="F565" i="10"/>
  <c r="G565" i="10"/>
  <c r="I565" i="10"/>
  <c r="J565" i="10"/>
  <c r="K565" i="10"/>
  <c r="A566" i="10"/>
  <c r="C566" i="10"/>
  <c r="D566" i="10"/>
  <c r="E566" i="10"/>
  <c r="F566" i="10"/>
  <c r="G566" i="10"/>
  <c r="I566" i="10"/>
  <c r="J566" i="10"/>
  <c r="K566" i="10"/>
  <c r="A567" i="10"/>
  <c r="C567" i="10"/>
  <c r="D567" i="10"/>
  <c r="E567" i="10"/>
  <c r="F567" i="10"/>
  <c r="G567" i="10"/>
  <c r="I567" i="10"/>
  <c r="J567" i="10"/>
  <c r="K567" i="10"/>
  <c r="A568" i="10"/>
  <c r="C568" i="10"/>
  <c r="D568" i="10"/>
  <c r="E568" i="10"/>
  <c r="F568" i="10"/>
  <c r="G568" i="10"/>
  <c r="I568" i="10"/>
  <c r="J568" i="10"/>
  <c r="K568" i="10"/>
  <c r="A569" i="10"/>
  <c r="C569" i="10"/>
  <c r="D569" i="10"/>
  <c r="E569" i="10"/>
  <c r="F569" i="10"/>
  <c r="G569" i="10"/>
  <c r="I569" i="10"/>
  <c r="J569" i="10"/>
  <c r="K569" i="10"/>
  <c r="A570" i="10"/>
  <c r="C570" i="10"/>
  <c r="D570" i="10"/>
  <c r="E570" i="10"/>
  <c r="F570" i="10"/>
  <c r="G570" i="10"/>
  <c r="I570" i="10"/>
  <c r="J570" i="10"/>
  <c r="K570" i="10"/>
  <c r="A571" i="10"/>
  <c r="C571" i="10"/>
  <c r="D571" i="10"/>
  <c r="E571" i="10"/>
  <c r="F571" i="10"/>
  <c r="G571" i="10"/>
  <c r="I571" i="10"/>
  <c r="J571" i="10"/>
  <c r="K571" i="10"/>
  <c r="A572" i="10"/>
  <c r="C572" i="10"/>
  <c r="D572" i="10"/>
  <c r="E572" i="10"/>
  <c r="F572" i="10"/>
  <c r="G572" i="10"/>
  <c r="I572" i="10"/>
  <c r="J572" i="10"/>
  <c r="K572" i="10"/>
  <c r="A573" i="10"/>
  <c r="C573" i="10"/>
  <c r="D573" i="10"/>
  <c r="E573" i="10"/>
  <c r="F573" i="10"/>
  <c r="G573" i="10"/>
  <c r="I573" i="10"/>
  <c r="J573" i="10"/>
  <c r="K573" i="10"/>
  <c r="A574" i="10"/>
  <c r="C574" i="10"/>
  <c r="D574" i="10"/>
  <c r="E574" i="10"/>
  <c r="F574" i="10"/>
  <c r="G574" i="10"/>
  <c r="I574" i="10"/>
  <c r="J574" i="10"/>
  <c r="K574" i="10"/>
  <c r="A575" i="10"/>
  <c r="C575" i="10"/>
  <c r="D575" i="10"/>
  <c r="E575" i="10"/>
  <c r="F575" i="10"/>
  <c r="G575" i="10"/>
  <c r="I575" i="10"/>
  <c r="J575" i="10"/>
  <c r="K575" i="10"/>
  <c r="A576" i="10"/>
  <c r="C576" i="10"/>
  <c r="D576" i="10"/>
  <c r="E576" i="10"/>
  <c r="F576" i="10"/>
  <c r="G576" i="10"/>
  <c r="I576" i="10"/>
  <c r="J576" i="10"/>
  <c r="K576" i="10"/>
  <c r="A577" i="10"/>
  <c r="C577" i="10"/>
  <c r="D577" i="10"/>
  <c r="E577" i="10"/>
  <c r="F577" i="10"/>
  <c r="G577" i="10"/>
  <c r="I577" i="10"/>
  <c r="J577" i="10"/>
  <c r="K577" i="10"/>
  <c r="A578" i="10"/>
  <c r="C578" i="10"/>
  <c r="D578" i="10"/>
  <c r="E578" i="10"/>
  <c r="F578" i="10"/>
  <c r="G578" i="10"/>
  <c r="I578" i="10"/>
  <c r="J578" i="10"/>
  <c r="K578" i="10"/>
  <c r="A579" i="10"/>
  <c r="C579" i="10"/>
  <c r="D579" i="10"/>
  <c r="E579" i="10"/>
  <c r="F579" i="10"/>
  <c r="G579" i="10"/>
  <c r="I579" i="10"/>
  <c r="J579" i="10"/>
  <c r="K579" i="10"/>
  <c r="A580" i="10"/>
  <c r="C580" i="10"/>
  <c r="D580" i="10"/>
  <c r="E580" i="10"/>
  <c r="F580" i="10"/>
  <c r="G580" i="10"/>
  <c r="I580" i="10"/>
  <c r="J580" i="10"/>
  <c r="K580" i="10"/>
  <c r="A581" i="10"/>
  <c r="C581" i="10"/>
  <c r="D581" i="10"/>
  <c r="E581" i="10"/>
  <c r="F581" i="10"/>
  <c r="G581" i="10"/>
  <c r="I581" i="10"/>
  <c r="J581" i="10"/>
  <c r="K581" i="10"/>
  <c r="A582" i="10"/>
  <c r="C582" i="10"/>
  <c r="D582" i="10"/>
  <c r="E582" i="10"/>
  <c r="F582" i="10"/>
  <c r="G582" i="10"/>
  <c r="I582" i="10"/>
  <c r="J582" i="10"/>
  <c r="K582" i="10"/>
  <c r="A583" i="10"/>
  <c r="C583" i="10"/>
  <c r="D583" i="10"/>
  <c r="E583" i="10"/>
  <c r="F583" i="10"/>
  <c r="G583" i="10"/>
  <c r="I583" i="10"/>
  <c r="J583" i="10"/>
  <c r="K583" i="10"/>
  <c r="A584" i="10"/>
  <c r="C584" i="10"/>
  <c r="D584" i="10"/>
  <c r="E584" i="10"/>
  <c r="F584" i="10"/>
  <c r="G584" i="10"/>
  <c r="I584" i="10"/>
  <c r="J584" i="10"/>
  <c r="K584" i="10"/>
  <c r="A585" i="10"/>
  <c r="C585" i="10"/>
  <c r="D585" i="10"/>
  <c r="E585" i="10"/>
  <c r="F585" i="10"/>
  <c r="G585" i="10"/>
  <c r="I585" i="10"/>
  <c r="J585" i="10"/>
  <c r="K585" i="10"/>
  <c r="A586" i="10"/>
  <c r="C586" i="10"/>
  <c r="D586" i="10"/>
  <c r="E586" i="10"/>
  <c r="F586" i="10"/>
  <c r="G586" i="10"/>
  <c r="I586" i="10"/>
  <c r="J586" i="10"/>
  <c r="K586" i="10"/>
  <c r="A587" i="10"/>
  <c r="C587" i="10"/>
  <c r="D587" i="10"/>
  <c r="E587" i="10"/>
  <c r="F587" i="10"/>
  <c r="G587" i="10"/>
  <c r="I587" i="10"/>
  <c r="J587" i="10"/>
  <c r="K587" i="10"/>
  <c r="A588" i="10"/>
  <c r="C588" i="10"/>
  <c r="D588" i="10"/>
  <c r="E588" i="10"/>
  <c r="F588" i="10"/>
  <c r="G588" i="10"/>
  <c r="I588" i="10"/>
  <c r="J588" i="10"/>
  <c r="K588" i="10"/>
  <c r="A589" i="10"/>
  <c r="C589" i="10"/>
  <c r="D589" i="10"/>
  <c r="E589" i="10"/>
  <c r="F589" i="10"/>
  <c r="G589" i="10"/>
  <c r="I589" i="10"/>
  <c r="J589" i="10"/>
  <c r="K589" i="10"/>
  <c r="A590" i="10"/>
  <c r="C590" i="10"/>
  <c r="D590" i="10"/>
  <c r="E590" i="10"/>
  <c r="F590" i="10"/>
  <c r="G590" i="10"/>
  <c r="I590" i="10"/>
  <c r="J590" i="10"/>
  <c r="K590" i="10"/>
  <c r="A591" i="10"/>
  <c r="C591" i="10"/>
  <c r="D591" i="10"/>
  <c r="E591" i="10"/>
  <c r="F591" i="10"/>
  <c r="G591" i="10"/>
  <c r="I591" i="10"/>
  <c r="J591" i="10"/>
  <c r="K591" i="10"/>
  <c r="A592" i="10"/>
  <c r="C592" i="10"/>
  <c r="D592" i="10"/>
  <c r="E592" i="10"/>
  <c r="F592" i="10"/>
  <c r="G592" i="10"/>
  <c r="I592" i="10"/>
  <c r="J592" i="10"/>
  <c r="K592" i="10"/>
  <c r="A593" i="10"/>
  <c r="C593" i="10"/>
  <c r="D593" i="10"/>
  <c r="E593" i="10"/>
  <c r="F593" i="10"/>
  <c r="G593" i="10"/>
  <c r="I593" i="10"/>
  <c r="J593" i="10"/>
  <c r="K593" i="10"/>
  <c r="A594" i="10"/>
  <c r="C594" i="10"/>
  <c r="D594" i="10"/>
  <c r="E594" i="10"/>
  <c r="F594" i="10"/>
  <c r="G594" i="10"/>
  <c r="I594" i="10"/>
  <c r="J594" i="10"/>
  <c r="K594" i="10"/>
  <c r="A595" i="10"/>
  <c r="C595" i="10"/>
  <c r="D595" i="10"/>
  <c r="E595" i="10"/>
  <c r="F595" i="10"/>
  <c r="G595" i="10"/>
  <c r="I595" i="10"/>
  <c r="J595" i="10"/>
  <c r="K595" i="10"/>
  <c r="A596" i="10"/>
  <c r="C596" i="10"/>
  <c r="D596" i="10"/>
  <c r="E596" i="10"/>
  <c r="F596" i="10"/>
  <c r="G596" i="10"/>
  <c r="I596" i="10"/>
  <c r="J596" i="10"/>
  <c r="K596" i="10"/>
  <c r="A597" i="10"/>
  <c r="C597" i="10"/>
  <c r="D597" i="10"/>
  <c r="E597" i="10"/>
  <c r="F597" i="10"/>
  <c r="G597" i="10"/>
  <c r="I597" i="10"/>
  <c r="J597" i="10"/>
  <c r="K597" i="10"/>
  <c r="A598" i="10"/>
  <c r="C598" i="10"/>
  <c r="D598" i="10"/>
  <c r="E598" i="10"/>
  <c r="F598" i="10"/>
  <c r="G598" i="10"/>
  <c r="I598" i="10"/>
  <c r="J598" i="10"/>
  <c r="K598" i="10"/>
  <c r="A599" i="10"/>
  <c r="C599" i="10"/>
  <c r="D599" i="10"/>
  <c r="E599" i="10"/>
  <c r="F599" i="10"/>
  <c r="G599" i="10"/>
  <c r="I599" i="10"/>
  <c r="J599" i="10"/>
  <c r="K599" i="10"/>
  <c r="A600" i="10"/>
  <c r="C600" i="10"/>
  <c r="D600" i="10"/>
  <c r="E600" i="10"/>
  <c r="F600" i="10"/>
  <c r="G600" i="10"/>
  <c r="I600" i="10"/>
  <c r="J600" i="10"/>
  <c r="K600" i="10"/>
  <c r="A601" i="10"/>
  <c r="C601" i="10"/>
  <c r="D601" i="10"/>
  <c r="E601" i="10"/>
  <c r="F601" i="10"/>
  <c r="G601" i="10"/>
  <c r="I601" i="10"/>
  <c r="J601" i="10"/>
  <c r="K601" i="10"/>
  <c r="A602" i="10"/>
  <c r="C602" i="10"/>
  <c r="D602" i="10"/>
  <c r="E602" i="10"/>
  <c r="F602" i="10"/>
  <c r="G602" i="10"/>
  <c r="I602" i="10"/>
  <c r="J602" i="10"/>
  <c r="K602" i="10"/>
  <c r="A603" i="10"/>
  <c r="C603" i="10"/>
  <c r="D603" i="10"/>
  <c r="E603" i="10"/>
  <c r="F603" i="10"/>
  <c r="G603" i="10"/>
  <c r="I603" i="10"/>
  <c r="J603" i="10"/>
  <c r="K603" i="10"/>
  <c r="A604" i="10"/>
  <c r="C604" i="10"/>
  <c r="D604" i="10"/>
  <c r="E604" i="10"/>
  <c r="F604" i="10"/>
  <c r="G604" i="10"/>
  <c r="I604" i="10"/>
  <c r="J604" i="10"/>
  <c r="K604" i="10"/>
  <c r="A605" i="10"/>
  <c r="C605" i="10"/>
  <c r="D605" i="10"/>
  <c r="E605" i="10"/>
  <c r="F605" i="10"/>
  <c r="G605" i="10"/>
  <c r="I605" i="10"/>
  <c r="J605" i="10"/>
  <c r="K605" i="10"/>
  <c r="A606" i="10"/>
  <c r="C606" i="10"/>
  <c r="D606" i="10"/>
  <c r="E606" i="10"/>
  <c r="F606" i="10"/>
  <c r="G606" i="10"/>
  <c r="I606" i="10"/>
  <c r="J606" i="10"/>
  <c r="K606" i="10"/>
  <c r="A607" i="10"/>
  <c r="C607" i="10"/>
  <c r="D607" i="10"/>
  <c r="E607" i="10"/>
  <c r="F607" i="10"/>
  <c r="G607" i="10"/>
  <c r="I607" i="10"/>
  <c r="J607" i="10"/>
  <c r="K607" i="10"/>
  <c r="A608" i="10"/>
  <c r="C608" i="10"/>
  <c r="D608" i="10"/>
  <c r="E608" i="10"/>
  <c r="F608" i="10"/>
  <c r="G608" i="10"/>
  <c r="I608" i="10"/>
  <c r="J608" i="10"/>
  <c r="K608" i="10"/>
  <c r="A609" i="10"/>
  <c r="C609" i="10"/>
  <c r="D609" i="10"/>
  <c r="E609" i="10"/>
  <c r="F609" i="10"/>
  <c r="G609" i="10"/>
  <c r="I609" i="10"/>
  <c r="J609" i="10"/>
  <c r="K609" i="10"/>
  <c r="A610" i="10"/>
  <c r="C610" i="10"/>
  <c r="D610" i="10"/>
  <c r="E610" i="10"/>
  <c r="F610" i="10"/>
  <c r="G610" i="10"/>
  <c r="I610" i="10"/>
  <c r="J610" i="10"/>
  <c r="K610" i="10"/>
  <c r="A611" i="10"/>
  <c r="C611" i="10"/>
  <c r="D611" i="10"/>
  <c r="E611" i="10"/>
  <c r="F611" i="10"/>
  <c r="G611" i="10"/>
  <c r="I611" i="10"/>
  <c r="J611" i="10"/>
  <c r="K611" i="10"/>
  <c r="A612" i="10"/>
  <c r="C612" i="10"/>
  <c r="D612" i="10"/>
  <c r="E612" i="10"/>
  <c r="F612" i="10"/>
  <c r="G612" i="10"/>
  <c r="I612" i="10"/>
  <c r="J612" i="10"/>
  <c r="K612" i="10"/>
  <c r="A613" i="10"/>
  <c r="C613" i="10"/>
  <c r="D613" i="10"/>
  <c r="E613" i="10"/>
  <c r="F613" i="10"/>
  <c r="G613" i="10"/>
  <c r="I613" i="10"/>
  <c r="J613" i="10"/>
  <c r="K613" i="10"/>
  <c r="A614" i="10"/>
  <c r="C614" i="10"/>
  <c r="D614" i="10"/>
  <c r="E614" i="10"/>
  <c r="F614" i="10"/>
  <c r="G614" i="10"/>
  <c r="I614" i="10"/>
  <c r="J614" i="10"/>
  <c r="K614" i="10"/>
  <c r="A615" i="10"/>
  <c r="C615" i="10"/>
  <c r="D615" i="10"/>
  <c r="E615" i="10"/>
  <c r="F615" i="10"/>
  <c r="G615" i="10"/>
  <c r="I615" i="10"/>
  <c r="J615" i="10"/>
  <c r="K615" i="10"/>
  <c r="A616" i="10"/>
  <c r="C616" i="10"/>
  <c r="D616" i="10"/>
  <c r="E616" i="10"/>
  <c r="F616" i="10"/>
  <c r="G616" i="10"/>
  <c r="I616" i="10"/>
  <c r="J616" i="10"/>
  <c r="K616" i="10"/>
  <c r="A617" i="10"/>
  <c r="C617" i="10"/>
  <c r="D617" i="10"/>
  <c r="E617" i="10"/>
  <c r="F617" i="10"/>
  <c r="G617" i="10"/>
  <c r="I617" i="10"/>
  <c r="J617" i="10"/>
  <c r="K617" i="10"/>
  <c r="A618" i="10"/>
  <c r="C618" i="10"/>
  <c r="D618" i="10"/>
  <c r="E618" i="10"/>
  <c r="F618" i="10"/>
  <c r="G618" i="10"/>
  <c r="I618" i="10"/>
  <c r="J618" i="10"/>
  <c r="K618" i="10"/>
  <c r="A619" i="10"/>
  <c r="C619" i="10"/>
  <c r="D619" i="10"/>
  <c r="E619" i="10"/>
  <c r="F619" i="10"/>
  <c r="G619" i="10"/>
  <c r="I619" i="10"/>
  <c r="J619" i="10"/>
  <c r="K619" i="10"/>
  <c r="A620" i="10"/>
  <c r="C620" i="10"/>
  <c r="D620" i="10"/>
  <c r="E620" i="10"/>
  <c r="F620" i="10"/>
  <c r="G620" i="10"/>
  <c r="I620" i="10"/>
  <c r="J620" i="10"/>
  <c r="K620" i="10"/>
  <c r="A621" i="10"/>
  <c r="C621" i="10"/>
  <c r="D621" i="10"/>
  <c r="E621" i="10"/>
  <c r="F621" i="10"/>
  <c r="G621" i="10"/>
  <c r="I621" i="10"/>
  <c r="J621" i="10"/>
  <c r="K621" i="10"/>
  <c r="A622" i="10"/>
  <c r="C622" i="10"/>
  <c r="D622" i="10"/>
  <c r="E622" i="10"/>
  <c r="F622" i="10"/>
  <c r="G622" i="10"/>
  <c r="I622" i="10"/>
  <c r="J622" i="10"/>
  <c r="K622" i="10"/>
  <c r="A623" i="10"/>
  <c r="C623" i="10"/>
  <c r="D623" i="10"/>
  <c r="E623" i="10"/>
  <c r="F623" i="10"/>
  <c r="G623" i="10"/>
  <c r="I623" i="10"/>
  <c r="J623" i="10"/>
  <c r="K623" i="10"/>
  <c r="A624" i="10"/>
  <c r="C624" i="10"/>
  <c r="D624" i="10"/>
  <c r="E624" i="10"/>
  <c r="F624" i="10"/>
  <c r="G624" i="10"/>
  <c r="I624" i="10"/>
  <c r="J624" i="10"/>
  <c r="K624" i="10"/>
  <c r="A625" i="10"/>
  <c r="C625" i="10"/>
  <c r="D625" i="10"/>
  <c r="E625" i="10"/>
  <c r="F625" i="10"/>
  <c r="G625" i="10"/>
  <c r="I625" i="10"/>
  <c r="J625" i="10"/>
  <c r="K625" i="10"/>
  <c r="A626" i="10"/>
  <c r="C626" i="10"/>
  <c r="D626" i="10"/>
  <c r="E626" i="10"/>
  <c r="F626" i="10"/>
  <c r="G626" i="10"/>
  <c r="I626" i="10"/>
  <c r="J626" i="10"/>
  <c r="K626" i="10"/>
  <c r="A627" i="10"/>
  <c r="C627" i="10"/>
  <c r="D627" i="10"/>
  <c r="E627" i="10"/>
  <c r="F627" i="10"/>
  <c r="G627" i="10"/>
  <c r="I627" i="10"/>
  <c r="J627" i="10"/>
  <c r="K627" i="10"/>
  <c r="A628" i="10"/>
  <c r="C628" i="10"/>
  <c r="D628" i="10"/>
  <c r="E628" i="10"/>
  <c r="F628" i="10"/>
  <c r="G628" i="10"/>
  <c r="I628" i="10"/>
  <c r="J628" i="10"/>
  <c r="K628" i="10"/>
  <c r="A629" i="10"/>
  <c r="C629" i="10"/>
  <c r="D629" i="10"/>
  <c r="E629" i="10"/>
  <c r="F629" i="10"/>
  <c r="G629" i="10"/>
  <c r="I629" i="10"/>
  <c r="J629" i="10"/>
  <c r="K629" i="10"/>
  <c r="A630" i="10"/>
  <c r="C630" i="10"/>
  <c r="D630" i="10"/>
  <c r="E630" i="10"/>
  <c r="F630" i="10"/>
  <c r="G630" i="10"/>
  <c r="I630" i="10"/>
  <c r="J630" i="10"/>
  <c r="K630" i="10"/>
  <c r="A631" i="10"/>
  <c r="C631" i="10"/>
  <c r="D631" i="10"/>
  <c r="E631" i="10"/>
  <c r="F631" i="10"/>
  <c r="G631" i="10"/>
  <c r="I631" i="10"/>
  <c r="J631" i="10"/>
  <c r="K631" i="10"/>
  <c r="A632" i="10"/>
  <c r="C632" i="10"/>
  <c r="D632" i="10"/>
  <c r="E632" i="10"/>
  <c r="F632" i="10"/>
  <c r="G632" i="10"/>
  <c r="I632" i="10"/>
  <c r="J632" i="10"/>
  <c r="K632" i="10"/>
  <c r="A633" i="10"/>
  <c r="C633" i="10"/>
  <c r="D633" i="10"/>
  <c r="E633" i="10"/>
  <c r="F633" i="10"/>
  <c r="G633" i="10"/>
  <c r="I633" i="10"/>
  <c r="J633" i="10"/>
  <c r="K633" i="10"/>
  <c r="A634" i="10"/>
  <c r="C634" i="10"/>
  <c r="D634" i="10"/>
  <c r="E634" i="10"/>
  <c r="F634" i="10"/>
  <c r="G634" i="10"/>
  <c r="I634" i="10"/>
  <c r="J634" i="10"/>
  <c r="K634" i="10"/>
  <c r="A635" i="10"/>
  <c r="C635" i="10"/>
  <c r="D635" i="10"/>
  <c r="E635" i="10"/>
  <c r="F635" i="10"/>
  <c r="G635" i="10"/>
  <c r="I635" i="10"/>
  <c r="J635" i="10"/>
  <c r="K635" i="10"/>
  <c r="A636" i="10"/>
  <c r="C636" i="10"/>
  <c r="D636" i="10"/>
  <c r="E636" i="10"/>
  <c r="F636" i="10"/>
  <c r="G636" i="10"/>
  <c r="I636" i="10"/>
  <c r="J636" i="10"/>
  <c r="K636" i="10"/>
  <c r="A637" i="10"/>
  <c r="C637" i="10"/>
  <c r="D637" i="10"/>
  <c r="E637" i="10"/>
  <c r="F637" i="10"/>
  <c r="G637" i="10"/>
  <c r="I637" i="10"/>
  <c r="J637" i="10"/>
  <c r="K637" i="10"/>
  <c r="A638" i="10"/>
  <c r="C638" i="10"/>
  <c r="D638" i="10"/>
  <c r="E638" i="10"/>
  <c r="F638" i="10"/>
  <c r="G638" i="10"/>
  <c r="I638" i="10"/>
  <c r="J638" i="10"/>
  <c r="K638" i="10"/>
  <c r="A639" i="10"/>
  <c r="C639" i="10"/>
  <c r="D639" i="10"/>
  <c r="E639" i="10"/>
  <c r="F639" i="10"/>
  <c r="G639" i="10"/>
  <c r="I639" i="10"/>
  <c r="J639" i="10"/>
  <c r="K639" i="10"/>
  <c r="A640" i="10"/>
  <c r="C640" i="10"/>
  <c r="D640" i="10"/>
  <c r="E640" i="10"/>
  <c r="F640" i="10"/>
  <c r="G640" i="10"/>
  <c r="I640" i="10"/>
  <c r="J640" i="10"/>
  <c r="K640" i="10"/>
  <c r="A641" i="10"/>
  <c r="C641" i="10"/>
  <c r="D641" i="10"/>
  <c r="E641" i="10"/>
  <c r="F641" i="10"/>
  <c r="G641" i="10"/>
  <c r="I641" i="10"/>
  <c r="J641" i="10"/>
  <c r="K641" i="10"/>
  <c r="A642" i="10"/>
  <c r="C642" i="10"/>
  <c r="D642" i="10"/>
  <c r="E642" i="10"/>
  <c r="F642" i="10"/>
  <c r="G642" i="10"/>
  <c r="I642" i="10"/>
  <c r="J642" i="10"/>
  <c r="K642" i="10"/>
  <c r="A643" i="10"/>
  <c r="C643" i="10"/>
  <c r="D643" i="10"/>
  <c r="E643" i="10"/>
  <c r="F643" i="10"/>
  <c r="G643" i="10"/>
  <c r="I643" i="10"/>
  <c r="J643" i="10"/>
  <c r="K643" i="10"/>
  <c r="A644" i="10"/>
  <c r="C644" i="10"/>
  <c r="D644" i="10"/>
  <c r="E644" i="10"/>
  <c r="F644" i="10"/>
  <c r="G644" i="10"/>
  <c r="I644" i="10"/>
  <c r="J644" i="10"/>
  <c r="K644" i="10"/>
  <c r="A645" i="10"/>
  <c r="C645" i="10"/>
  <c r="D645" i="10"/>
  <c r="E645" i="10"/>
  <c r="F645" i="10"/>
  <c r="G645" i="10"/>
  <c r="I645" i="10"/>
  <c r="J645" i="10"/>
  <c r="K645" i="10"/>
  <c r="A646" i="10"/>
  <c r="C646" i="10"/>
  <c r="D646" i="10"/>
  <c r="E646" i="10"/>
  <c r="F646" i="10"/>
  <c r="G646" i="10"/>
  <c r="I646" i="10"/>
  <c r="J646" i="10"/>
  <c r="K646" i="10"/>
  <c r="A647" i="10"/>
  <c r="C647" i="10"/>
  <c r="D647" i="10"/>
  <c r="E647" i="10"/>
  <c r="F647" i="10"/>
  <c r="G647" i="10"/>
  <c r="I647" i="10"/>
  <c r="J647" i="10"/>
  <c r="K647" i="10"/>
  <c r="A648" i="10"/>
  <c r="C648" i="10"/>
  <c r="D648" i="10"/>
  <c r="E648" i="10"/>
  <c r="F648" i="10"/>
  <c r="G648" i="10"/>
  <c r="I648" i="10"/>
  <c r="J648" i="10"/>
  <c r="K648" i="10"/>
  <c r="A649" i="10"/>
  <c r="C649" i="10"/>
  <c r="D649" i="10"/>
  <c r="E649" i="10"/>
  <c r="F649" i="10"/>
  <c r="G649" i="10"/>
  <c r="I649" i="10"/>
  <c r="J649" i="10"/>
  <c r="K649" i="10"/>
  <c r="A650" i="10"/>
  <c r="C650" i="10"/>
  <c r="D650" i="10"/>
  <c r="E650" i="10"/>
  <c r="F650" i="10"/>
  <c r="G650" i="10"/>
  <c r="I650" i="10"/>
  <c r="J650" i="10"/>
  <c r="K650" i="10"/>
  <c r="A651" i="10"/>
  <c r="C651" i="10"/>
  <c r="D651" i="10"/>
  <c r="E651" i="10"/>
  <c r="F651" i="10"/>
  <c r="G651" i="10"/>
  <c r="I651" i="10"/>
  <c r="J651" i="10"/>
  <c r="K651" i="10"/>
  <c r="A652" i="10"/>
  <c r="C652" i="10"/>
  <c r="D652" i="10"/>
  <c r="E652" i="10"/>
  <c r="F652" i="10"/>
  <c r="G652" i="10"/>
  <c r="I652" i="10"/>
  <c r="J652" i="10"/>
  <c r="K652" i="10"/>
  <c r="A653" i="10"/>
  <c r="C653" i="10"/>
  <c r="D653" i="10"/>
  <c r="E653" i="10"/>
  <c r="F653" i="10"/>
  <c r="G653" i="10"/>
  <c r="I653" i="10"/>
  <c r="J653" i="10"/>
  <c r="K653" i="10"/>
  <c r="A654" i="10"/>
  <c r="C654" i="10"/>
  <c r="D654" i="10"/>
  <c r="E654" i="10"/>
  <c r="F654" i="10"/>
  <c r="G654" i="10"/>
  <c r="I654" i="10"/>
  <c r="J654" i="10"/>
  <c r="K654" i="10"/>
  <c r="A655" i="10"/>
  <c r="C655" i="10"/>
  <c r="D655" i="10"/>
  <c r="E655" i="10"/>
  <c r="F655" i="10"/>
  <c r="G655" i="10"/>
  <c r="I655" i="10"/>
  <c r="J655" i="10"/>
  <c r="K655" i="10"/>
  <c r="A656" i="10"/>
  <c r="C656" i="10"/>
  <c r="D656" i="10"/>
  <c r="E656" i="10"/>
  <c r="F656" i="10"/>
  <c r="G656" i="10"/>
  <c r="I656" i="10"/>
  <c r="J656" i="10"/>
  <c r="K656" i="10"/>
  <c r="A657" i="10"/>
  <c r="C657" i="10"/>
  <c r="D657" i="10"/>
  <c r="E657" i="10"/>
  <c r="F657" i="10"/>
  <c r="G657" i="10"/>
  <c r="I657" i="10"/>
  <c r="J657" i="10"/>
  <c r="K657" i="10"/>
  <c r="A658" i="10"/>
  <c r="C658" i="10"/>
  <c r="D658" i="10"/>
  <c r="E658" i="10"/>
  <c r="F658" i="10"/>
  <c r="G658" i="10"/>
  <c r="I658" i="10"/>
  <c r="J658" i="10"/>
  <c r="K658" i="10"/>
  <c r="A659" i="10"/>
  <c r="C659" i="10"/>
  <c r="D659" i="10"/>
  <c r="E659" i="10"/>
  <c r="F659" i="10"/>
  <c r="G659" i="10"/>
  <c r="I659" i="10"/>
  <c r="J659" i="10"/>
  <c r="K659" i="10"/>
  <c r="A660" i="10"/>
  <c r="C660" i="10"/>
  <c r="D660" i="10"/>
  <c r="E660" i="10"/>
  <c r="F660" i="10"/>
  <c r="G660" i="10"/>
  <c r="I660" i="10"/>
  <c r="J660" i="10"/>
  <c r="K660" i="10"/>
  <c r="A661" i="10"/>
  <c r="C661" i="10"/>
  <c r="D661" i="10"/>
  <c r="E661" i="10"/>
  <c r="F661" i="10"/>
  <c r="G661" i="10"/>
  <c r="I661" i="10"/>
  <c r="J661" i="10"/>
  <c r="K661" i="10"/>
  <c r="A662" i="10"/>
  <c r="C662" i="10"/>
  <c r="D662" i="10"/>
  <c r="E662" i="10"/>
  <c r="F662" i="10"/>
  <c r="G662" i="10"/>
  <c r="I662" i="10"/>
  <c r="J662" i="10"/>
  <c r="K662" i="10"/>
  <c r="A663" i="10"/>
  <c r="C663" i="10"/>
  <c r="D663" i="10"/>
  <c r="E663" i="10"/>
  <c r="F663" i="10"/>
  <c r="G663" i="10"/>
  <c r="I663" i="10"/>
  <c r="J663" i="10"/>
  <c r="K663" i="10"/>
  <c r="A664" i="10"/>
  <c r="C664" i="10"/>
  <c r="D664" i="10"/>
  <c r="E664" i="10"/>
  <c r="F664" i="10"/>
  <c r="G664" i="10"/>
  <c r="I664" i="10"/>
  <c r="J664" i="10"/>
  <c r="K664" i="10"/>
  <c r="A665" i="10"/>
  <c r="C665" i="10"/>
  <c r="D665" i="10"/>
  <c r="E665" i="10"/>
  <c r="F665" i="10"/>
  <c r="G665" i="10"/>
  <c r="I665" i="10"/>
  <c r="J665" i="10"/>
  <c r="K665" i="10"/>
  <c r="A666" i="10"/>
  <c r="C666" i="10"/>
  <c r="D666" i="10"/>
  <c r="E666" i="10"/>
  <c r="F666" i="10"/>
  <c r="G666" i="10"/>
  <c r="I666" i="10"/>
  <c r="J666" i="10"/>
  <c r="K666" i="10"/>
  <c r="A667" i="10"/>
  <c r="C667" i="10"/>
  <c r="D667" i="10"/>
  <c r="E667" i="10"/>
  <c r="F667" i="10"/>
  <c r="G667" i="10"/>
  <c r="I667" i="10"/>
  <c r="J667" i="10"/>
  <c r="K667" i="10"/>
  <c r="A668" i="10"/>
  <c r="C668" i="10"/>
  <c r="D668" i="10"/>
  <c r="E668" i="10"/>
  <c r="F668" i="10"/>
  <c r="G668" i="10"/>
  <c r="I668" i="10"/>
  <c r="J668" i="10"/>
  <c r="K668" i="10"/>
  <c r="A669" i="10"/>
  <c r="C669" i="10"/>
  <c r="D669" i="10"/>
  <c r="E669" i="10"/>
  <c r="F669" i="10"/>
  <c r="G669" i="10"/>
  <c r="I669" i="10"/>
  <c r="J669" i="10"/>
  <c r="K669" i="10"/>
  <c r="A670" i="10"/>
  <c r="C670" i="10"/>
  <c r="D670" i="10"/>
  <c r="E670" i="10"/>
  <c r="F670" i="10"/>
  <c r="G670" i="10"/>
  <c r="I670" i="10"/>
  <c r="J670" i="10"/>
  <c r="K670" i="10"/>
  <c r="A671" i="10"/>
  <c r="C671" i="10"/>
  <c r="D671" i="10"/>
  <c r="E671" i="10"/>
  <c r="F671" i="10"/>
  <c r="G671" i="10"/>
  <c r="I671" i="10"/>
  <c r="J671" i="10"/>
  <c r="K671" i="10"/>
  <c r="A672" i="10"/>
  <c r="C672" i="10"/>
  <c r="D672" i="10"/>
  <c r="E672" i="10"/>
  <c r="F672" i="10"/>
  <c r="G672" i="10"/>
  <c r="I672" i="10"/>
  <c r="J672" i="10"/>
  <c r="K672" i="10"/>
  <c r="A673" i="10"/>
  <c r="C673" i="10"/>
  <c r="D673" i="10"/>
  <c r="E673" i="10"/>
  <c r="F673" i="10"/>
  <c r="G673" i="10"/>
  <c r="I673" i="10"/>
  <c r="J673" i="10"/>
  <c r="K673" i="10"/>
  <c r="A674" i="10"/>
  <c r="C674" i="10"/>
  <c r="D674" i="10"/>
  <c r="E674" i="10"/>
  <c r="F674" i="10"/>
  <c r="G674" i="10"/>
  <c r="I674" i="10"/>
  <c r="J674" i="10"/>
  <c r="K674" i="10"/>
  <c r="A675" i="10"/>
  <c r="C675" i="10"/>
  <c r="D675" i="10"/>
  <c r="E675" i="10"/>
  <c r="F675" i="10"/>
  <c r="G675" i="10"/>
  <c r="I675" i="10"/>
  <c r="J675" i="10"/>
  <c r="K675" i="10"/>
  <c r="A676" i="10"/>
  <c r="C676" i="10"/>
  <c r="D676" i="10"/>
  <c r="E676" i="10"/>
  <c r="F676" i="10"/>
  <c r="G676" i="10"/>
  <c r="I676" i="10"/>
  <c r="J676" i="10"/>
  <c r="K676" i="10"/>
  <c r="A677" i="10"/>
  <c r="C677" i="10"/>
  <c r="D677" i="10"/>
  <c r="E677" i="10"/>
  <c r="F677" i="10"/>
  <c r="G677" i="10"/>
  <c r="I677" i="10"/>
  <c r="J677" i="10"/>
  <c r="K677" i="10"/>
  <c r="A678" i="10"/>
  <c r="C678" i="10"/>
  <c r="D678" i="10"/>
  <c r="E678" i="10"/>
  <c r="F678" i="10"/>
  <c r="G678" i="10"/>
  <c r="I678" i="10"/>
  <c r="J678" i="10"/>
  <c r="K678" i="10"/>
  <c r="A679" i="10"/>
  <c r="C679" i="10"/>
  <c r="D679" i="10"/>
  <c r="E679" i="10"/>
  <c r="F679" i="10"/>
  <c r="G679" i="10"/>
  <c r="I679" i="10"/>
  <c r="J679" i="10"/>
  <c r="K679" i="10"/>
  <c r="A680" i="10"/>
  <c r="C680" i="10"/>
  <c r="D680" i="10"/>
  <c r="E680" i="10"/>
  <c r="F680" i="10"/>
  <c r="G680" i="10"/>
  <c r="I680" i="10"/>
  <c r="J680" i="10"/>
  <c r="K680" i="10"/>
  <c r="A681" i="10"/>
  <c r="C681" i="10"/>
  <c r="D681" i="10"/>
  <c r="E681" i="10"/>
  <c r="F681" i="10"/>
  <c r="G681" i="10"/>
  <c r="I681" i="10"/>
  <c r="J681" i="10"/>
  <c r="K681" i="10"/>
  <c r="A682" i="10"/>
  <c r="C682" i="10"/>
  <c r="D682" i="10"/>
  <c r="E682" i="10"/>
  <c r="F682" i="10"/>
  <c r="G682" i="10"/>
  <c r="I682" i="10"/>
  <c r="J682" i="10"/>
  <c r="K682" i="10"/>
  <c r="A683" i="10"/>
  <c r="C683" i="10"/>
  <c r="D683" i="10"/>
  <c r="E683" i="10"/>
  <c r="F683" i="10"/>
  <c r="G683" i="10"/>
  <c r="I683" i="10"/>
  <c r="J683" i="10"/>
  <c r="K683" i="10"/>
  <c r="A684" i="10"/>
  <c r="C684" i="10"/>
  <c r="D684" i="10"/>
  <c r="E684" i="10"/>
  <c r="F684" i="10"/>
  <c r="G684" i="10"/>
  <c r="I684" i="10"/>
  <c r="J684" i="10"/>
  <c r="K684" i="10"/>
  <c r="A685" i="10"/>
  <c r="C685" i="10"/>
  <c r="D685" i="10"/>
  <c r="E685" i="10"/>
  <c r="F685" i="10"/>
  <c r="G685" i="10"/>
  <c r="I685" i="10"/>
  <c r="J685" i="10"/>
  <c r="K685" i="10"/>
  <c r="A686" i="10"/>
  <c r="C686" i="10"/>
  <c r="D686" i="10"/>
  <c r="E686" i="10"/>
  <c r="F686" i="10"/>
  <c r="G686" i="10"/>
  <c r="I686" i="10"/>
  <c r="J686" i="10"/>
  <c r="K686" i="10"/>
  <c r="A687" i="10"/>
  <c r="C687" i="10"/>
  <c r="D687" i="10"/>
  <c r="E687" i="10"/>
  <c r="F687" i="10"/>
  <c r="G687" i="10"/>
  <c r="I687" i="10"/>
  <c r="J687" i="10"/>
  <c r="K687" i="10"/>
  <c r="A688" i="10"/>
  <c r="C688" i="10"/>
  <c r="D688" i="10"/>
  <c r="E688" i="10"/>
  <c r="F688" i="10"/>
  <c r="G688" i="10"/>
  <c r="I688" i="10"/>
  <c r="J688" i="10"/>
  <c r="K688" i="10"/>
  <c r="A689" i="10"/>
  <c r="C689" i="10"/>
  <c r="D689" i="10"/>
  <c r="E689" i="10"/>
  <c r="F689" i="10"/>
  <c r="G689" i="10"/>
  <c r="I689" i="10"/>
  <c r="J689" i="10"/>
  <c r="K689" i="10"/>
  <c r="A690" i="10"/>
  <c r="C690" i="10"/>
  <c r="D690" i="10"/>
  <c r="E690" i="10"/>
  <c r="F690" i="10"/>
  <c r="G690" i="10"/>
  <c r="I690" i="10"/>
  <c r="J690" i="10"/>
  <c r="K690" i="10"/>
  <c r="A691" i="10"/>
  <c r="C691" i="10"/>
  <c r="D691" i="10"/>
  <c r="E691" i="10"/>
  <c r="F691" i="10"/>
  <c r="G691" i="10"/>
  <c r="I691" i="10"/>
  <c r="J691" i="10"/>
  <c r="K691" i="10"/>
  <c r="A692" i="10"/>
  <c r="C692" i="10"/>
  <c r="D692" i="10"/>
  <c r="E692" i="10"/>
  <c r="F692" i="10"/>
  <c r="G692" i="10"/>
  <c r="I692" i="10"/>
  <c r="J692" i="10"/>
  <c r="K692" i="10"/>
  <c r="A693" i="10"/>
  <c r="C693" i="10"/>
  <c r="D693" i="10"/>
  <c r="E693" i="10"/>
  <c r="F693" i="10"/>
  <c r="G693" i="10"/>
  <c r="I693" i="10"/>
  <c r="J693" i="10"/>
  <c r="K693" i="10"/>
  <c r="A694" i="10"/>
  <c r="C694" i="10"/>
  <c r="D694" i="10"/>
  <c r="E694" i="10"/>
  <c r="F694" i="10"/>
  <c r="G694" i="10"/>
  <c r="I694" i="10"/>
  <c r="J694" i="10"/>
  <c r="K694" i="10"/>
  <c r="A695" i="10"/>
  <c r="C695" i="10"/>
  <c r="D695" i="10"/>
  <c r="E695" i="10"/>
  <c r="F695" i="10"/>
  <c r="G695" i="10"/>
  <c r="I695" i="10"/>
  <c r="J695" i="10"/>
  <c r="K695" i="10"/>
  <c r="A696" i="10"/>
  <c r="C696" i="10"/>
  <c r="D696" i="10"/>
  <c r="E696" i="10"/>
  <c r="F696" i="10"/>
  <c r="G696" i="10"/>
  <c r="I696" i="10"/>
  <c r="J696" i="10"/>
  <c r="K696" i="10"/>
  <c r="A697" i="10"/>
  <c r="C697" i="10"/>
  <c r="D697" i="10"/>
  <c r="E697" i="10"/>
  <c r="F697" i="10"/>
  <c r="G697" i="10"/>
  <c r="I697" i="10"/>
  <c r="J697" i="10"/>
  <c r="K697" i="10"/>
  <c r="A698" i="10"/>
  <c r="C698" i="10"/>
  <c r="D698" i="10"/>
  <c r="E698" i="10"/>
  <c r="F698" i="10"/>
  <c r="G698" i="10"/>
  <c r="I698" i="10"/>
  <c r="J698" i="10"/>
  <c r="K698" i="10"/>
  <c r="A699" i="10"/>
  <c r="C699" i="10"/>
  <c r="D699" i="10"/>
  <c r="E699" i="10"/>
  <c r="F699" i="10"/>
  <c r="G699" i="10"/>
  <c r="I699" i="10"/>
  <c r="J699" i="10"/>
  <c r="K699" i="10"/>
  <c r="A700" i="10"/>
  <c r="C700" i="10"/>
  <c r="D700" i="10"/>
  <c r="E700" i="10"/>
  <c r="F700" i="10"/>
  <c r="G700" i="10"/>
  <c r="I700" i="10"/>
  <c r="J700" i="10"/>
  <c r="K700" i="10"/>
  <c r="A701" i="10"/>
  <c r="C701" i="10"/>
  <c r="D701" i="10"/>
  <c r="E701" i="10"/>
  <c r="F701" i="10"/>
  <c r="G701" i="10"/>
  <c r="I701" i="10"/>
  <c r="J701" i="10"/>
  <c r="K701" i="10"/>
  <c r="A702" i="10"/>
  <c r="C702" i="10"/>
  <c r="D702" i="10"/>
  <c r="E702" i="10"/>
  <c r="F702" i="10"/>
  <c r="G702" i="10"/>
  <c r="I702" i="10"/>
  <c r="J702" i="10"/>
  <c r="K702" i="10"/>
  <c r="A703" i="10"/>
  <c r="C703" i="10"/>
  <c r="D703" i="10"/>
  <c r="E703" i="10"/>
  <c r="F703" i="10"/>
  <c r="G703" i="10"/>
  <c r="I703" i="10"/>
  <c r="J703" i="10"/>
  <c r="K703" i="10"/>
  <c r="A704" i="10"/>
  <c r="C704" i="10"/>
  <c r="D704" i="10"/>
  <c r="E704" i="10"/>
  <c r="F704" i="10"/>
  <c r="G704" i="10"/>
  <c r="I704" i="10"/>
  <c r="J704" i="10"/>
  <c r="K704" i="10"/>
  <c r="A705" i="10"/>
  <c r="C705" i="10"/>
  <c r="D705" i="10"/>
  <c r="E705" i="10"/>
  <c r="F705" i="10"/>
  <c r="G705" i="10"/>
  <c r="I705" i="10"/>
  <c r="J705" i="10"/>
  <c r="K705" i="10"/>
  <c r="A706" i="10"/>
  <c r="C706" i="10"/>
  <c r="D706" i="10"/>
  <c r="E706" i="10"/>
  <c r="F706" i="10"/>
  <c r="G706" i="10"/>
  <c r="I706" i="10"/>
  <c r="J706" i="10"/>
  <c r="K706" i="10"/>
  <c r="A707" i="10"/>
  <c r="C707" i="10"/>
  <c r="D707" i="10"/>
  <c r="E707" i="10"/>
  <c r="F707" i="10"/>
  <c r="G707" i="10"/>
  <c r="I707" i="10"/>
  <c r="J707" i="10"/>
  <c r="K707" i="10"/>
  <c r="A708" i="10"/>
  <c r="C708" i="10"/>
  <c r="D708" i="10"/>
  <c r="E708" i="10"/>
  <c r="F708" i="10"/>
  <c r="G708" i="10"/>
  <c r="I708" i="10"/>
  <c r="J708" i="10"/>
  <c r="K708" i="10"/>
  <c r="A709" i="10"/>
  <c r="C709" i="10"/>
  <c r="D709" i="10"/>
  <c r="E709" i="10"/>
  <c r="F709" i="10"/>
  <c r="G709" i="10"/>
  <c r="I709" i="10"/>
  <c r="J709" i="10"/>
  <c r="K709" i="10"/>
  <c r="A710" i="10"/>
  <c r="C710" i="10"/>
  <c r="D710" i="10"/>
  <c r="E710" i="10"/>
  <c r="F710" i="10"/>
  <c r="G710" i="10"/>
  <c r="I710" i="10"/>
  <c r="J710" i="10"/>
  <c r="K710" i="10"/>
  <c r="A711" i="10"/>
  <c r="C711" i="10"/>
  <c r="D711" i="10"/>
  <c r="E711" i="10"/>
  <c r="F711" i="10"/>
  <c r="G711" i="10"/>
  <c r="I711" i="10"/>
  <c r="J711" i="10"/>
  <c r="K711" i="10"/>
  <c r="A712" i="10"/>
  <c r="C712" i="10"/>
  <c r="D712" i="10"/>
  <c r="E712" i="10"/>
  <c r="F712" i="10"/>
  <c r="G712" i="10"/>
  <c r="I712" i="10"/>
  <c r="J712" i="10"/>
  <c r="K712" i="10"/>
  <c r="A713" i="10"/>
  <c r="C713" i="10"/>
  <c r="D713" i="10"/>
  <c r="E713" i="10"/>
  <c r="F713" i="10"/>
  <c r="G713" i="10"/>
  <c r="I713" i="10"/>
  <c r="J713" i="10"/>
  <c r="K713" i="10"/>
  <c r="A714" i="10"/>
  <c r="C714" i="10"/>
  <c r="D714" i="10"/>
  <c r="E714" i="10"/>
  <c r="F714" i="10"/>
  <c r="G714" i="10"/>
  <c r="I714" i="10"/>
  <c r="J714" i="10"/>
  <c r="K714" i="10"/>
  <c r="A715" i="10"/>
  <c r="C715" i="10"/>
  <c r="D715" i="10"/>
  <c r="E715" i="10"/>
  <c r="F715" i="10"/>
  <c r="G715" i="10"/>
  <c r="I715" i="10"/>
  <c r="J715" i="10"/>
  <c r="K715" i="10"/>
  <c r="A716" i="10"/>
  <c r="C716" i="10"/>
  <c r="D716" i="10"/>
  <c r="E716" i="10"/>
  <c r="F716" i="10"/>
  <c r="G716" i="10"/>
  <c r="I716" i="10"/>
  <c r="J716" i="10"/>
  <c r="K716" i="10"/>
  <c r="A717" i="10"/>
  <c r="C717" i="10"/>
  <c r="D717" i="10"/>
  <c r="E717" i="10"/>
  <c r="F717" i="10"/>
  <c r="G717" i="10"/>
  <c r="I717" i="10"/>
  <c r="J717" i="10"/>
  <c r="K717" i="10"/>
  <c r="A718" i="10"/>
  <c r="C718" i="10"/>
  <c r="D718" i="10"/>
  <c r="E718" i="10"/>
  <c r="F718" i="10"/>
  <c r="G718" i="10"/>
  <c r="I718" i="10"/>
  <c r="J718" i="10"/>
  <c r="K718" i="10"/>
  <c r="A719" i="10"/>
  <c r="C719" i="10"/>
  <c r="D719" i="10"/>
  <c r="E719" i="10"/>
  <c r="F719" i="10"/>
  <c r="G719" i="10"/>
  <c r="I719" i="10"/>
  <c r="J719" i="10"/>
  <c r="K719" i="10"/>
  <c r="A720" i="10"/>
  <c r="C720" i="10"/>
  <c r="D720" i="10"/>
  <c r="E720" i="10"/>
  <c r="F720" i="10"/>
  <c r="G720" i="10"/>
  <c r="I720" i="10"/>
  <c r="J720" i="10"/>
  <c r="K720" i="10"/>
  <c r="A721" i="10"/>
  <c r="C721" i="10"/>
  <c r="D721" i="10"/>
  <c r="E721" i="10"/>
  <c r="F721" i="10"/>
  <c r="G721" i="10"/>
  <c r="I721" i="10"/>
  <c r="J721" i="10"/>
  <c r="K721" i="10"/>
  <c r="A722" i="10"/>
  <c r="C722" i="10"/>
  <c r="D722" i="10"/>
  <c r="E722" i="10"/>
  <c r="F722" i="10"/>
  <c r="G722" i="10"/>
  <c r="I722" i="10"/>
  <c r="J722" i="10"/>
  <c r="K722" i="10"/>
  <c r="A723" i="10"/>
  <c r="C723" i="10"/>
  <c r="D723" i="10"/>
  <c r="E723" i="10"/>
  <c r="F723" i="10"/>
  <c r="G723" i="10"/>
  <c r="I723" i="10"/>
  <c r="J723" i="10"/>
  <c r="K723" i="10"/>
  <c r="A724" i="10"/>
  <c r="C724" i="10"/>
  <c r="D724" i="10"/>
  <c r="E724" i="10"/>
  <c r="F724" i="10"/>
  <c r="G724" i="10"/>
  <c r="I724" i="10"/>
  <c r="J724" i="10"/>
  <c r="K724" i="10"/>
  <c r="A725" i="10"/>
  <c r="C725" i="10"/>
  <c r="D725" i="10"/>
  <c r="E725" i="10"/>
  <c r="F725" i="10"/>
  <c r="G725" i="10"/>
  <c r="I725" i="10"/>
  <c r="J725" i="10"/>
  <c r="K725" i="10"/>
  <c r="A726" i="10"/>
  <c r="C726" i="10"/>
  <c r="D726" i="10"/>
  <c r="E726" i="10"/>
  <c r="F726" i="10"/>
  <c r="G726" i="10"/>
  <c r="I726" i="10"/>
  <c r="J726" i="10"/>
  <c r="K726" i="10"/>
  <c r="A727" i="10"/>
  <c r="C727" i="10"/>
  <c r="D727" i="10"/>
  <c r="E727" i="10"/>
  <c r="F727" i="10"/>
  <c r="G727" i="10"/>
  <c r="I727" i="10"/>
  <c r="J727" i="10"/>
  <c r="K727" i="10"/>
  <c r="A728" i="10"/>
  <c r="C728" i="10"/>
  <c r="D728" i="10"/>
  <c r="E728" i="10"/>
  <c r="F728" i="10"/>
  <c r="G728" i="10"/>
  <c r="I728" i="10"/>
  <c r="J728" i="10"/>
  <c r="K728" i="10"/>
  <c r="A729" i="10"/>
  <c r="C729" i="10"/>
  <c r="D729" i="10"/>
  <c r="E729" i="10"/>
  <c r="F729" i="10"/>
  <c r="G729" i="10"/>
  <c r="I729" i="10"/>
  <c r="J729" i="10"/>
  <c r="K729" i="10"/>
  <c r="A730" i="10"/>
  <c r="C730" i="10"/>
  <c r="D730" i="10"/>
  <c r="E730" i="10"/>
  <c r="F730" i="10"/>
  <c r="G730" i="10"/>
  <c r="I730" i="10"/>
  <c r="J730" i="10"/>
  <c r="K730" i="10"/>
  <c r="A731" i="10"/>
  <c r="C731" i="10"/>
  <c r="D731" i="10"/>
  <c r="E731" i="10"/>
  <c r="F731" i="10"/>
  <c r="G731" i="10"/>
  <c r="I731" i="10"/>
  <c r="J731" i="10"/>
  <c r="K731" i="10"/>
  <c r="A732" i="10"/>
  <c r="C732" i="10"/>
  <c r="D732" i="10"/>
  <c r="E732" i="10"/>
  <c r="F732" i="10"/>
  <c r="G732" i="10"/>
  <c r="I732" i="10"/>
  <c r="J732" i="10"/>
  <c r="K732" i="10"/>
  <c r="A733" i="10"/>
  <c r="C733" i="10"/>
  <c r="D733" i="10"/>
  <c r="E733" i="10"/>
  <c r="F733" i="10"/>
  <c r="G733" i="10"/>
  <c r="I733" i="10"/>
  <c r="J733" i="10"/>
  <c r="K733" i="10"/>
  <c r="A734" i="10"/>
  <c r="C734" i="10"/>
  <c r="D734" i="10"/>
  <c r="E734" i="10"/>
  <c r="F734" i="10"/>
  <c r="G734" i="10"/>
  <c r="I734" i="10"/>
  <c r="J734" i="10"/>
  <c r="K734" i="10"/>
  <c r="A735" i="10"/>
  <c r="C735" i="10"/>
  <c r="D735" i="10"/>
  <c r="E735" i="10"/>
  <c r="F735" i="10"/>
  <c r="G735" i="10"/>
  <c r="I735" i="10"/>
  <c r="J735" i="10"/>
  <c r="K735" i="10"/>
  <c r="A736" i="10"/>
  <c r="C736" i="10"/>
  <c r="D736" i="10"/>
  <c r="E736" i="10"/>
  <c r="F736" i="10"/>
  <c r="G736" i="10"/>
  <c r="I736" i="10"/>
  <c r="J736" i="10"/>
  <c r="K736" i="10"/>
  <c r="A737" i="10"/>
  <c r="C737" i="10"/>
  <c r="D737" i="10"/>
  <c r="E737" i="10"/>
  <c r="F737" i="10"/>
  <c r="G737" i="10"/>
  <c r="I737" i="10"/>
  <c r="J737" i="10"/>
  <c r="K737" i="10"/>
  <c r="A738" i="10"/>
  <c r="C738" i="10"/>
  <c r="D738" i="10"/>
  <c r="E738" i="10"/>
  <c r="F738" i="10"/>
  <c r="G738" i="10"/>
  <c r="I738" i="10"/>
  <c r="J738" i="10"/>
  <c r="K738" i="10"/>
  <c r="A739" i="10"/>
  <c r="C739" i="10"/>
  <c r="D739" i="10"/>
  <c r="E739" i="10"/>
  <c r="F739" i="10"/>
  <c r="G739" i="10"/>
  <c r="I739" i="10"/>
  <c r="J739" i="10"/>
  <c r="K739" i="10"/>
  <c r="A740" i="10"/>
  <c r="C740" i="10"/>
  <c r="D740" i="10"/>
  <c r="E740" i="10"/>
  <c r="F740" i="10"/>
  <c r="G740" i="10"/>
  <c r="I740" i="10"/>
  <c r="J740" i="10"/>
  <c r="K740" i="10"/>
  <c r="A741" i="10"/>
  <c r="C741" i="10"/>
  <c r="D741" i="10"/>
  <c r="E741" i="10"/>
  <c r="F741" i="10"/>
  <c r="G741" i="10"/>
  <c r="I741" i="10"/>
  <c r="J741" i="10"/>
  <c r="K741" i="10"/>
  <c r="A742" i="10"/>
  <c r="C742" i="10"/>
  <c r="D742" i="10"/>
  <c r="E742" i="10"/>
  <c r="F742" i="10"/>
  <c r="G742" i="10"/>
  <c r="I742" i="10"/>
  <c r="J742" i="10"/>
  <c r="K742" i="10"/>
  <c r="A743" i="10"/>
  <c r="C743" i="10"/>
  <c r="D743" i="10"/>
  <c r="E743" i="10"/>
  <c r="F743" i="10"/>
  <c r="G743" i="10"/>
  <c r="I743" i="10"/>
  <c r="J743" i="10"/>
  <c r="K743" i="10"/>
  <c r="A744" i="10"/>
  <c r="C744" i="10"/>
  <c r="D744" i="10"/>
  <c r="E744" i="10"/>
  <c r="F744" i="10"/>
  <c r="G744" i="10"/>
  <c r="I744" i="10"/>
  <c r="J744" i="10"/>
  <c r="K744" i="10"/>
  <c r="A745" i="10"/>
  <c r="C745" i="10"/>
  <c r="D745" i="10"/>
  <c r="E745" i="10"/>
  <c r="F745" i="10"/>
  <c r="G745" i="10"/>
  <c r="I745" i="10"/>
  <c r="J745" i="10"/>
  <c r="K745" i="10"/>
  <c r="A746" i="10"/>
  <c r="C746" i="10"/>
  <c r="D746" i="10"/>
  <c r="E746" i="10"/>
  <c r="F746" i="10"/>
  <c r="G746" i="10"/>
  <c r="I746" i="10"/>
  <c r="J746" i="10"/>
  <c r="K746" i="10"/>
  <c r="A747" i="10"/>
  <c r="C747" i="10"/>
  <c r="D747" i="10"/>
  <c r="E747" i="10"/>
  <c r="F747" i="10"/>
  <c r="G747" i="10"/>
  <c r="I747" i="10"/>
  <c r="J747" i="10"/>
  <c r="K747" i="10"/>
  <c r="A748" i="10"/>
  <c r="C748" i="10"/>
  <c r="D748" i="10"/>
  <c r="E748" i="10"/>
  <c r="F748" i="10"/>
  <c r="G748" i="10"/>
  <c r="I748" i="10"/>
  <c r="J748" i="10"/>
  <c r="K748" i="10"/>
  <c r="A749" i="10"/>
  <c r="C749" i="10"/>
  <c r="D749" i="10"/>
  <c r="E749" i="10"/>
  <c r="F749" i="10"/>
  <c r="G749" i="10"/>
  <c r="I749" i="10"/>
  <c r="J749" i="10"/>
  <c r="K749" i="10"/>
  <c r="A750" i="10"/>
  <c r="C750" i="10"/>
  <c r="D750" i="10"/>
  <c r="E750" i="10"/>
  <c r="F750" i="10"/>
  <c r="G750" i="10"/>
  <c r="I750" i="10"/>
  <c r="J750" i="10"/>
  <c r="K750" i="10"/>
  <c r="A751" i="10"/>
  <c r="C751" i="10"/>
  <c r="D751" i="10"/>
  <c r="E751" i="10"/>
  <c r="F751" i="10"/>
  <c r="G751" i="10"/>
  <c r="I751" i="10"/>
  <c r="J751" i="10"/>
  <c r="K751" i="10"/>
  <c r="A752" i="10"/>
  <c r="C752" i="10"/>
  <c r="D752" i="10"/>
  <c r="E752" i="10"/>
  <c r="F752" i="10"/>
  <c r="G752" i="10"/>
  <c r="I752" i="10"/>
  <c r="J752" i="10"/>
  <c r="K752" i="10"/>
  <c r="A753" i="10"/>
  <c r="C753" i="10"/>
  <c r="D753" i="10"/>
  <c r="E753" i="10"/>
  <c r="F753" i="10"/>
  <c r="G753" i="10"/>
  <c r="I753" i="10"/>
  <c r="J753" i="10"/>
  <c r="K753" i="10"/>
  <c r="A754" i="10"/>
  <c r="C754" i="10"/>
  <c r="D754" i="10"/>
  <c r="E754" i="10"/>
  <c r="F754" i="10"/>
  <c r="G754" i="10"/>
  <c r="I754" i="10"/>
  <c r="J754" i="10"/>
  <c r="K754" i="10"/>
  <c r="A755" i="10"/>
  <c r="C755" i="10"/>
  <c r="D755" i="10"/>
  <c r="E755" i="10"/>
  <c r="F755" i="10"/>
  <c r="G755" i="10"/>
  <c r="I755" i="10"/>
  <c r="J755" i="10"/>
  <c r="K755" i="10"/>
  <c r="A756" i="10"/>
  <c r="C756" i="10"/>
  <c r="D756" i="10"/>
  <c r="E756" i="10"/>
  <c r="F756" i="10"/>
  <c r="G756" i="10"/>
  <c r="I756" i="10"/>
  <c r="J756" i="10"/>
  <c r="K756" i="10"/>
  <c r="A757" i="10"/>
  <c r="C757" i="10"/>
  <c r="D757" i="10"/>
  <c r="E757" i="10"/>
  <c r="F757" i="10"/>
  <c r="G757" i="10"/>
  <c r="I757" i="10"/>
  <c r="J757" i="10"/>
  <c r="K757" i="10"/>
  <c r="A758" i="10"/>
  <c r="C758" i="10"/>
  <c r="D758" i="10"/>
  <c r="E758" i="10"/>
  <c r="F758" i="10"/>
  <c r="G758" i="10"/>
  <c r="I758" i="10"/>
  <c r="J758" i="10"/>
  <c r="K758" i="10"/>
  <c r="A759" i="10"/>
  <c r="C759" i="10"/>
  <c r="D759" i="10"/>
  <c r="E759" i="10"/>
  <c r="F759" i="10"/>
  <c r="G759" i="10"/>
  <c r="I759" i="10"/>
  <c r="J759" i="10"/>
  <c r="K759" i="10"/>
  <c r="A760" i="10"/>
  <c r="C760" i="10"/>
  <c r="D760" i="10"/>
  <c r="E760" i="10"/>
  <c r="F760" i="10"/>
  <c r="G760" i="10"/>
  <c r="I760" i="10"/>
  <c r="J760" i="10"/>
  <c r="K760" i="10"/>
  <c r="A761" i="10"/>
  <c r="C761" i="10"/>
  <c r="D761" i="10"/>
  <c r="E761" i="10"/>
  <c r="F761" i="10"/>
  <c r="G761" i="10"/>
  <c r="I761" i="10"/>
  <c r="J761" i="10"/>
  <c r="K761" i="10"/>
  <c r="A762" i="10"/>
  <c r="C762" i="10"/>
  <c r="D762" i="10"/>
  <c r="E762" i="10"/>
  <c r="F762" i="10"/>
  <c r="G762" i="10"/>
  <c r="I762" i="10"/>
  <c r="J762" i="10"/>
  <c r="K762" i="10"/>
  <c r="A763" i="10"/>
  <c r="C763" i="10"/>
  <c r="D763" i="10"/>
  <c r="E763" i="10"/>
  <c r="F763" i="10"/>
  <c r="G763" i="10"/>
  <c r="I763" i="10"/>
  <c r="J763" i="10"/>
  <c r="K763" i="10"/>
  <c r="A764" i="10"/>
  <c r="C764" i="10"/>
  <c r="D764" i="10"/>
  <c r="E764" i="10"/>
  <c r="F764" i="10"/>
  <c r="G764" i="10"/>
  <c r="I764" i="10"/>
  <c r="J764" i="10"/>
  <c r="K764" i="10"/>
  <c r="A765" i="10"/>
  <c r="C765" i="10"/>
  <c r="D765" i="10"/>
  <c r="E765" i="10"/>
  <c r="F765" i="10"/>
  <c r="G765" i="10"/>
  <c r="I765" i="10"/>
  <c r="J765" i="10"/>
  <c r="K765" i="10"/>
  <c r="A766" i="10"/>
  <c r="C766" i="10"/>
  <c r="D766" i="10"/>
  <c r="E766" i="10"/>
  <c r="F766" i="10"/>
  <c r="G766" i="10"/>
  <c r="I766" i="10"/>
  <c r="J766" i="10"/>
  <c r="K766" i="10"/>
  <c r="A767" i="10"/>
  <c r="C767" i="10"/>
  <c r="D767" i="10"/>
  <c r="E767" i="10"/>
  <c r="F767" i="10"/>
  <c r="G767" i="10"/>
  <c r="I767" i="10"/>
  <c r="J767" i="10"/>
  <c r="K767" i="10"/>
  <c r="A768" i="10"/>
  <c r="C768" i="10"/>
  <c r="D768" i="10"/>
  <c r="E768" i="10"/>
  <c r="F768" i="10"/>
  <c r="G768" i="10"/>
  <c r="I768" i="10"/>
  <c r="J768" i="10"/>
  <c r="K768" i="10"/>
  <c r="A769" i="10"/>
  <c r="C769" i="10"/>
  <c r="D769" i="10"/>
  <c r="E769" i="10"/>
  <c r="F769" i="10"/>
  <c r="G769" i="10"/>
  <c r="I769" i="10"/>
  <c r="J769" i="10"/>
  <c r="K769" i="10"/>
  <c r="A770" i="10"/>
  <c r="C770" i="10"/>
  <c r="D770" i="10"/>
  <c r="E770" i="10"/>
  <c r="F770" i="10"/>
  <c r="G770" i="10"/>
  <c r="I770" i="10"/>
  <c r="J770" i="10"/>
  <c r="K770" i="10"/>
  <c r="A771" i="10"/>
  <c r="C771" i="10"/>
  <c r="D771" i="10"/>
  <c r="E771" i="10"/>
  <c r="F771" i="10"/>
  <c r="G771" i="10"/>
  <c r="I771" i="10"/>
  <c r="J771" i="10"/>
  <c r="K771" i="10"/>
  <c r="A772" i="10"/>
  <c r="C772" i="10"/>
  <c r="D772" i="10"/>
  <c r="E772" i="10"/>
  <c r="F772" i="10"/>
  <c r="G772" i="10"/>
  <c r="I772" i="10"/>
  <c r="J772" i="10"/>
  <c r="K772" i="10"/>
  <c r="A773" i="10"/>
  <c r="C773" i="10"/>
  <c r="D773" i="10"/>
  <c r="E773" i="10"/>
  <c r="F773" i="10"/>
  <c r="G773" i="10"/>
  <c r="I773" i="10"/>
  <c r="J773" i="10"/>
  <c r="K773" i="10"/>
  <c r="A774" i="10"/>
  <c r="C774" i="10"/>
  <c r="D774" i="10"/>
  <c r="E774" i="10"/>
  <c r="F774" i="10"/>
  <c r="G774" i="10"/>
  <c r="I774" i="10"/>
  <c r="J774" i="10"/>
  <c r="K774" i="10"/>
  <c r="A775" i="10"/>
  <c r="C775" i="10"/>
  <c r="D775" i="10"/>
  <c r="E775" i="10"/>
  <c r="F775" i="10"/>
  <c r="G775" i="10"/>
  <c r="I775" i="10"/>
  <c r="J775" i="10"/>
  <c r="K775" i="10"/>
  <c r="A776" i="10"/>
  <c r="C776" i="10"/>
  <c r="D776" i="10"/>
  <c r="E776" i="10"/>
  <c r="F776" i="10"/>
  <c r="G776" i="10"/>
  <c r="I776" i="10"/>
  <c r="J776" i="10"/>
  <c r="K776" i="10"/>
  <c r="A777" i="10"/>
  <c r="C777" i="10"/>
  <c r="D777" i="10"/>
  <c r="E777" i="10"/>
  <c r="F777" i="10"/>
  <c r="G777" i="10"/>
  <c r="I777" i="10"/>
  <c r="J777" i="10"/>
  <c r="K777" i="10"/>
  <c r="A778" i="10"/>
  <c r="C778" i="10"/>
  <c r="D778" i="10"/>
  <c r="E778" i="10"/>
  <c r="F778" i="10"/>
  <c r="G778" i="10"/>
  <c r="I778" i="10"/>
  <c r="J778" i="10"/>
  <c r="K778" i="10"/>
  <c r="A779" i="10"/>
  <c r="C779" i="10"/>
  <c r="D779" i="10"/>
  <c r="E779" i="10"/>
  <c r="F779" i="10"/>
  <c r="G779" i="10"/>
  <c r="I779" i="10"/>
  <c r="J779" i="10"/>
  <c r="K779" i="10"/>
  <c r="A780" i="10"/>
  <c r="C780" i="10"/>
  <c r="D780" i="10"/>
  <c r="E780" i="10"/>
  <c r="F780" i="10"/>
  <c r="G780" i="10"/>
  <c r="I780" i="10"/>
  <c r="J780" i="10"/>
  <c r="K780" i="10"/>
  <c r="A781" i="10"/>
  <c r="C781" i="10"/>
  <c r="D781" i="10"/>
  <c r="E781" i="10"/>
  <c r="F781" i="10"/>
  <c r="G781" i="10"/>
  <c r="I781" i="10"/>
  <c r="J781" i="10"/>
  <c r="K781" i="10"/>
  <c r="A782" i="10"/>
  <c r="C782" i="10"/>
  <c r="D782" i="10"/>
  <c r="E782" i="10"/>
  <c r="F782" i="10"/>
  <c r="G782" i="10"/>
  <c r="I782" i="10"/>
  <c r="J782" i="10"/>
  <c r="K782" i="10"/>
  <c r="A783" i="10"/>
  <c r="C783" i="10"/>
  <c r="D783" i="10"/>
  <c r="E783" i="10"/>
  <c r="F783" i="10"/>
  <c r="G783" i="10"/>
  <c r="I783" i="10"/>
  <c r="J783" i="10"/>
  <c r="K783" i="10"/>
  <c r="A784" i="10"/>
  <c r="C784" i="10"/>
  <c r="D784" i="10"/>
  <c r="E784" i="10"/>
  <c r="F784" i="10"/>
  <c r="G784" i="10"/>
  <c r="I784" i="10"/>
  <c r="J784" i="10"/>
  <c r="K784" i="10"/>
  <c r="A785" i="10"/>
  <c r="C785" i="10"/>
  <c r="D785" i="10"/>
  <c r="E785" i="10"/>
  <c r="F785" i="10"/>
  <c r="G785" i="10"/>
  <c r="I785" i="10"/>
  <c r="J785" i="10"/>
  <c r="K785" i="10"/>
  <c r="A786" i="10"/>
  <c r="C786" i="10"/>
  <c r="D786" i="10"/>
  <c r="E786" i="10"/>
  <c r="F786" i="10"/>
  <c r="G786" i="10"/>
  <c r="I786" i="10"/>
  <c r="J786" i="10"/>
  <c r="K786" i="10"/>
  <c r="A787" i="10"/>
  <c r="C787" i="10"/>
  <c r="D787" i="10"/>
  <c r="E787" i="10"/>
  <c r="F787" i="10"/>
  <c r="G787" i="10"/>
  <c r="I787" i="10"/>
  <c r="J787" i="10"/>
  <c r="K787" i="10"/>
  <c r="A788" i="10"/>
  <c r="C788" i="10"/>
  <c r="D788" i="10"/>
  <c r="E788" i="10"/>
  <c r="F788" i="10"/>
  <c r="G788" i="10"/>
  <c r="I788" i="10"/>
  <c r="J788" i="10"/>
  <c r="K788" i="10"/>
  <c r="A789" i="10"/>
  <c r="C789" i="10"/>
  <c r="D789" i="10"/>
  <c r="E789" i="10"/>
  <c r="F789" i="10"/>
  <c r="G789" i="10"/>
  <c r="I789" i="10"/>
  <c r="J789" i="10"/>
  <c r="K789" i="10"/>
  <c r="A790" i="10"/>
  <c r="C790" i="10"/>
  <c r="D790" i="10"/>
  <c r="E790" i="10"/>
  <c r="F790" i="10"/>
  <c r="G790" i="10"/>
  <c r="I790" i="10"/>
  <c r="J790" i="10"/>
  <c r="K790" i="10"/>
  <c r="A791" i="10"/>
  <c r="C791" i="10"/>
  <c r="D791" i="10"/>
  <c r="E791" i="10"/>
  <c r="F791" i="10"/>
  <c r="G791" i="10"/>
  <c r="I791" i="10"/>
  <c r="J791" i="10"/>
  <c r="K791" i="10"/>
  <c r="A792" i="10"/>
  <c r="C792" i="10"/>
  <c r="D792" i="10"/>
  <c r="E792" i="10"/>
  <c r="F792" i="10"/>
  <c r="G792" i="10"/>
  <c r="I792" i="10"/>
  <c r="J792" i="10"/>
  <c r="K792" i="10"/>
  <c r="A793" i="10"/>
  <c r="C793" i="10"/>
  <c r="D793" i="10"/>
  <c r="E793" i="10"/>
  <c r="F793" i="10"/>
  <c r="G793" i="10"/>
  <c r="I793" i="10"/>
  <c r="J793" i="10"/>
  <c r="K793" i="10"/>
  <c r="A794" i="10"/>
  <c r="C794" i="10"/>
  <c r="D794" i="10"/>
  <c r="E794" i="10"/>
  <c r="F794" i="10"/>
  <c r="G794" i="10"/>
  <c r="I794" i="10"/>
  <c r="J794" i="10"/>
  <c r="K794" i="10"/>
  <c r="A795" i="10"/>
  <c r="C795" i="10"/>
  <c r="D795" i="10"/>
  <c r="E795" i="10"/>
  <c r="F795" i="10"/>
  <c r="G795" i="10"/>
  <c r="I795" i="10"/>
  <c r="J795" i="10"/>
  <c r="K795" i="10"/>
  <c r="A796" i="10"/>
  <c r="C796" i="10"/>
  <c r="D796" i="10"/>
  <c r="E796" i="10"/>
  <c r="F796" i="10"/>
  <c r="G796" i="10"/>
  <c r="I796" i="10"/>
  <c r="J796" i="10"/>
  <c r="K796" i="10"/>
  <c r="A797" i="10"/>
  <c r="C797" i="10"/>
  <c r="D797" i="10"/>
  <c r="E797" i="10"/>
  <c r="F797" i="10"/>
  <c r="G797" i="10"/>
  <c r="I797" i="10"/>
  <c r="J797" i="10"/>
  <c r="K797" i="10"/>
  <c r="A798" i="10"/>
  <c r="C798" i="10"/>
  <c r="D798" i="10"/>
  <c r="E798" i="10"/>
  <c r="F798" i="10"/>
  <c r="G798" i="10"/>
  <c r="I798" i="10"/>
  <c r="J798" i="10"/>
  <c r="K798" i="10"/>
  <c r="A799" i="10"/>
  <c r="C799" i="10"/>
  <c r="D799" i="10"/>
  <c r="E799" i="10"/>
  <c r="F799" i="10"/>
  <c r="G799" i="10"/>
  <c r="I799" i="10"/>
  <c r="J799" i="10"/>
  <c r="K799" i="10"/>
  <c r="A800" i="10"/>
  <c r="C800" i="10"/>
  <c r="D800" i="10"/>
  <c r="E800" i="10"/>
  <c r="F800" i="10"/>
  <c r="G800" i="10"/>
  <c r="I800" i="10"/>
  <c r="J800" i="10"/>
  <c r="K800" i="10"/>
  <c r="A801" i="10"/>
  <c r="C801" i="10"/>
  <c r="D801" i="10"/>
  <c r="E801" i="10"/>
  <c r="F801" i="10"/>
  <c r="G801" i="10"/>
  <c r="I801" i="10"/>
  <c r="J801" i="10"/>
  <c r="K801" i="10"/>
  <c r="A802" i="10"/>
  <c r="C802" i="10"/>
  <c r="D802" i="10"/>
  <c r="E802" i="10"/>
  <c r="F802" i="10"/>
  <c r="G802" i="10"/>
  <c r="I802" i="10"/>
  <c r="J802" i="10"/>
  <c r="K802" i="10"/>
  <c r="A2" i="9"/>
  <c r="C2" i="9"/>
  <c r="D2" i="9"/>
  <c r="E2" i="9"/>
  <c r="F2" i="9"/>
  <c r="G2" i="9"/>
  <c r="I2" i="9"/>
  <c r="J2" i="9"/>
  <c r="K2" i="9"/>
  <c r="A3" i="9"/>
  <c r="C3" i="9"/>
  <c r="D3" i="9"/>
  <c r="E3" i="9"/>
  <c r="F3" i="9"/>
  <c r="G3" i="9"/>
  <c r="I3" i="9"/>
  <c r="J3" i="9"/>
  <c r="K3" i="9"/>
  <c r="A4" i="9"/>
  <c r="C4" i="9"/>
  <c r="D4" i="9"/>
  <c r="E4" i="9"/>
  <c r="F4" i="9"/>
  <c r="G4" i="9"/>
  <c r="I4" i="9"/>
  <c r="J4" i="9"/>
  <c r="K4" i="9"/>
  <c r="A5" i="9"/>
  <c r="C5" i="9"/>
  <c r="D5" i="9"/>
  <c r="E5" i="9"/>
  <c r="F5" i="9"/>
  <c r="G5" i="9"/>
  <c r="I5" i="9"/>
  <c r="J5" i="9"/>
  <c r="K5" i="9"/>
  <c r="A6" i="9"/>
  <c r="C6" i="9"/>
  <c r="D6" i="9"/>
  <c r="E6" i="9"/>
  <c r="F6" i="9"/>
  <c r="G6" i="9"/>
  <c r="I6" i="9"/>
  <c r="J6" i="9"/>
  <c r="K6" i="9"/>
  <c r="A7" i="9"/>
  <c r="C7" i="9"/>
  <c r="D7" i="9"/>
  <c r="E7" i="9"/>
  <c r="F7" i="9"/>
  <c r="G7" i="9"/>
  <c r="I7" i="9"/>
  <c r="J7" i="9"/>
  <c r="K7" i="9"/>
  <c r="A8" i="9"/>
  <c r="C8" i="9"/>
  <c r="D8" i="9"/>
  <c r="E8" i="9"/>
  <c r="F8" i="9"/>
  <c r="G8" i="9"/>
  <c r="I8" i="9"/>
  <c r="J8" i="9"/>
  <c r="K8" i="9"/>
  <c r="A9" i="9"/>
  <c r="C9" i="9"/>
  <c r="D9" i="9"/>
  <c r="E9" i="9"/>
  <c r="F9" i="9"/>
  <c r="G9" i="9"/>
  <c r="I9" i="9"/>
  <c r="J9" i="9"/>
  <c r="K9" i="9"/>
  <c r="A10" i="9"/>
  <c r="C10" i="9"/>
  <c r="D10" i="9"/>
  <c r="E10" i="9"/>
  <c r="F10" i="9"/>
  <c r="G10" i="9"/>
  <c r="I10" i="9"/>
  <c r="J10" i="9"/>
  <c r="K10" i="9"/>
  <c r="A11" i="9"/>
  <c r="C11" i="9"/>
  <c r="D11" i="9"/>
  <c r="E11" i="9"/>
  <c r="F11" i="9"/>
  <c r="G11" i="9"/>
  <c r="I11" i="9"/>
  <c r="J11" i="9"/>
  <c r="K11" i="9"/>
  <c r="A12" i="9"/>
  <c r="C12" i="9"/>
  <c r="D12" i="9"/>
  <c r="E12" i="9"/>
  <c r="F12" i="9"/>
  <c r="G12" i="9"/>
  <c r="I12" i="9"/>
  <c r="J12" i="9"/>
  <c r="K12" i="9"/>
  <c r="A13" i="9"/>
  <c r="C13" i="9"/>
  <c r="D13" i="9"/>
  <c r="E13" i="9"/>
  <c r="F13" i="9"/>
  <c r="G13" i="9"/>
  <c r="I13" i="9"/>
  <c r="J13" i="9"/>
  <c r="K13" i="9"/>
  <c r="A14" i="9"/>
  <c r="C14" i="9"/>
  <c r="D14" i="9"/>
  <c r="E14" i="9"/>
  <c r="F14" i="9"/>
  <c r="G14" i="9"/>
  <c r="I14" i="9"/>
  <c r="J14" i="9"/>
  <c r="K14" i="9"/>
  <c r="A15" i="9"/>
  <c r="C15" i="9"/>
  <c r="D15" i="9"/>
  <c r="E15" i="9"/>
  <c r="F15" i="9"/>
  <c r="G15" i="9"/>
  <c r="I15" i="9"/>
  <c r="J15" i="9"/>
  <c r="K15" i="9"/>
  <c r="A16" i="9"/>
  <c r="C16" i="9"/>
  <c r="D16" i="9"/>
  <c r="E16" i="9"/>
  <c r="F16" i="9"/>
  <c r="G16" i="9"/>
  <c r="I16" i="9"/>
  <c r="J16" i="9"/>
  <c r="K16" i="9"/>
  <c r="A17" i="9"/>
  <c r="C17" i="9"/>
  <c r="D17" i="9"/>
  <c r="E17" i="9"/>
  <c r="F17" i="9"/>
  <c r="G17" i="9"/>
  <c r="I17" i="9"/>
  <c r="J17" i="9"/>
  <c r="K17" i="9"/>
  <c r="A18" i="9"/>
  <c r="C18" i="9"/>
  <c r="D18" i="9"/>
  <c r="E18" i="9"/>
  <c r="F18" i="9"/>
  <c r="G18" i="9"/>
  <c r="I18" i="9"/>
  <c r="J18" i="9"/>
  <c r="K18" i="9"/>
  <c r="A19" i="9"/>
  <c r="C19" i="9"/>
  <c r="D19" i="9"/>
  <c r="E19" i="9"/>
  <c r="F19" i="9"/>
  <c r="G19" i="9"/>
  <c r="I19" i="9"/>
  <c r="J19" i="9"/>
  <c r="K19" i="9"/>
  <c r="A20" i="9"/>
  <c r="C20" i="9"/>
  <c r="D20" i="9"/>
  <c r="E20" i="9"/>
  <c r="F20" i="9"/>
  <c r="G20" i="9"/>
  <c r="I20" i="9"/>
  <c r="J20" i="9"/>
  <c r="K20" i="9"/>
  <c r="A21" i="9"/>
  <c r="C21" i="9"/>
  <c r="D21" i="9"/>
  <c r="E21" i="9"/>
  <c r="F21" i="9"/>
  <c r="G21" i="9"/>
  <c r="I21" i="9"/>
  <c r="J21" i="9"/>
  <c r="K21" i="9"/>
  <c r="A22" i="9"/>
  <c r="C22" i="9"/>
  <c r="D22" i="9"/>
  <c r="E22" i="9"/>
  <c r="F22" i="9"/>
  <c r="G22" i="9"/>
  <c r="I22" i="9"/>
  <c r="J22" i="9"/>
  <c r="K22" i="9"/>
  <c r="A23" i="9"/>
  <c r="C23" i="9"/>
  <c r="D23" i="9"/>
  <c r="E23" i="9"/>
  <c r="F23" i="9"/>
  <c r="G23" i="9"/>
  <c r="I23" i="9"/>
  <c r="J23" i="9"/>
  <c r="K23" i="9"/>
  <c r="A24" i="9"/>
  <c r="C24" i="9"/>
  <c r="D24" i="9"/>
  <c r="E24" i="9"/>
  <c r="F24" i="9"/>
  <c r="G24" i="9"/>
  <c r="I24" i="9"/>
  <c r="J24" i="9"/>
  <c r="K24" i="9"/>
  <c r="A25" i="9"/>
  <c r="C25" i="9"/>
  <c r="D25" i="9"/>
  <c r="E25" i="9"/>
  <c r="F25" i="9"/>
  <c r="G25" i="9"/>
  <c r="I25" i="9"/>
  <c r="J25" i="9"/>
  <c r="K25" i="9"/>
  <c r="A26" i="9"/>
  <c r="C26" i="9"/>
  <c r="D26" i="9"/>
  <c r="E26" i="9"/>
  <c r="F26" i="9"/>
  <c r="G26" i="9"/>
  <c r="I26" i="9"/>
  <c r="J26" i="9"/>
  <c r="K26" i="9"/>
  <c r="A27" i="9"/>
  <c r="C27" i="9"/>
  <c r="D27" i="9"/>
  <c r="E27" i="9"/>
  <c r="F27" i="9"/>
  <c r="G27" i="9"/>
  <c r="I27" i="9"/>
  <c r="J27" i="9"/>
  <c r="K27" i="9"/>
  <c r="A28" i="9"/>
  <c r="C28" i="9"/>
  <c r="D28" i="9"/>
  <c r="E28" i="9"/>
  <c r="F28" i="9"/>
  <c r="G28" i="9"/>
  <c r="I28" i="9"/>
  <c r="J28" i="9"/>
  <c r="K28" i="9"/>
  <c r="A29" i="9"/>
  <c r="C29" i="9"/>
  <c r="D29" i="9"/>
  <c r="E29" i="9"/>
  <c r="F29" i="9"/>
  <c r="G29" i="9"/>
  <c r="I29" i="9"/>
  <c r="J29" i="9"/>
  <c r="K29" i="9"/>
  <c r="A30" i="9"/>
  <c r="C30" i="9"/>
  <c r="D30" i="9"/>
  <c r="E30" i="9"/>
  <c r="F30" i="9"/>
  <c r="G30" i="9"/>
  <c r="I30" i="9"/>
  <c r="J30" i="9"/>
  <c r="K30" i="9"/>
  <c r="A31" i="9"/>
  <c r="C31" i="9"/>
  <c r="D31" i="9"/>
  <c r="E31" i="9"/>
  <c r="F31" i="9"/>
  <c r="G31" i="9"/>
  <c r="I31" i="9"/>
  <c r="J31" i="9"/>
  <c r="K31" i="9"/>
  <c r="A32" i="9"/>
  <c r="C32" i="9"/>
  <c r="D32" i="9"/>
  <c r="E32" i="9"/>
  <c r="F32" i="9"/>
  <c r="G32" i="9"/>
  <c r="I32" i="9"/>
  <c r="J32" i="9"/>
  <c r="K32" i="9"/>
  <c r="A33" i="9"/>
  <c r="C33" i="9"/>
  <c r="D33" i="9"/>
  <c r="E33" i="9"/>
  <c r="F33" i="9"/>
  <c r="G33" i="9"/>
  <c r="I33" i="9"/>
  <c r="J33" i="9"/>
  <c r="K33" i="9"/>
  <c r="A34" i="9"/>
  <c r="C34" i="9"/>
  <c r="D34" i="9"/>
  <c r="E34" i="9"/>
  <c r="F34" i="9"/>
  <c r="G34" i="9"/>
  <c r="I34" i="9"/>
  <c r="J34" i="9"/>
  <c r="K34" i="9"/>
  <c r="A35" i="9"/>
  <c r="C35" i="9"/>
  <c r="D35" i="9"/>
  <c r="E35" i="9"/>
  <c r="F35" i="9"/>
  <c r="G35" i="9"/>
  <c r="I35" i="9"/>
  <c r="J35" i="9"/>
  <c r="K35" i="9"/>
  <c r="A36" i="9"/>
  <c r="C36" i="9"/>
  <c r="D36" i="9"/>
  <c r="E36" i="9"/>
  <c r="F36" i="9"/>
  <c r="G36" i="9"/>
  <c r="I36" i="9"/>
  <c r="J36" i="9"/>
  <c r="K36" i="9"/>
  <c r="A37" i="9"/>
  <c r="C37" i="9"/>
  <c r="D37" i="9"/>
  <c r="E37" i="9"/>
  <c r="F37" i="9"/>
  <c r="G37" i="9"/>
  <c r="I37" i="9"/>
  <c r="J37" i="9"/>
  <c r="K37" i="9"/>
  <c r="A38" i="9"/>
  <c r="C38" i="9"/>
  <c r="D38" i="9"/>
  <c r="E38" i="9"/>
  <c r="F38" i="9"/>
  <c r="G38" i="9"/>
  <c r="I38" i="9"/>
  <c r="J38" i="9"/>
  <c r="K38" i="9"/>
  <c r="A39" i="9"/>
  <c r="C39" i="9"/>
  <c r="D39" i="9"/>
  <c r="E39" i="9"/>
  <c r="F39" i="9"/>
  <c r="G39" i="9"/>
  <c r="I39" i="9"/>
  <c r="J39" i="9"/>
  <c r="K39" i="9"/>
  <c r="A40" i="9"/>
  <c r="C40" i="9"/>
  <c r="D40" i="9"/>
  <c r="E40" i="9"/>
  <c r="F40" i="9"/>
  <c r="G40" i="9"/>
  <c r="I40" i="9"/>
  <c r="J40" i="9"/>
  <c r="K40" i="9"/>
  <c r="A41" i="9"/>
  <c r="C41" i="9"/>
  <c r="D41" i="9"/>
  <c r="E41" i="9"/>
  <c r="F41" i="9"/>
  <c r="G41" i="9"/>
  <c r="I41" i="9"/>
  <c r="J41" i="9"/>
  <c r="K41" i="9"/>
  <c r="A42" i="9"/>
  <c r="C42" i="9"/>
  <c r="D42" i="9"/>
  <c r="E42" i="9"/>
  <c r="F42" i="9"/>
  <c r="G42" i="9"/>
  <c r="I42" i="9"/>
  <c r="J42" i="9"/>
  <c r="K42" i="9"/>
  <c r="A43" i="9"/>
  <c r="C43" i="9"/>
  <c r="D43" i="9"/>
  <c r="E43" i="9"/>
  <c r="F43" i="9"/>
  <c r="G43" i="9"/>
  <c r="I43" i="9"/>
  <c r="J43" i="9"/>
  <c r="K43" i="9"/>
  <c r="A44" i="9"/>
  <c r="C44" i="9"/>
  <c r="D44" i="9"/>
  <c r="E44" i="9"/>
  <c r="F44" i="9"/>
  <c r="G44" i="9"/>
  <c r="I44" i="9"/>
  <c r="J44" i="9"/>
  <c r="K44" i="9"/>
  <c r="A45" i="9"/>
  <c r="C45" i="9"/>
  <c r="D45" i="9"/>
  <c r="E45" i="9"/>
  <c r="F45" i="9"/>
  <c r="G45" i="9"/>
  <c r="I45" i="9"/>
  <c r="J45" i="9"/>
  <c r="K45" i="9"/>
  <c r="A46" i="9"/>
  <c r="C46" i="9"/>
  <c r="D46" i="9"/>
  <c r="E46" i="9"/>
  <c r="F46" i="9"/>
  <c r="G46" i="9"/>
  <c r="I46" i="9"/>
  <c r="J46" i="9"/>
  <c r="K46" i="9"/>
  <c r="A47" i="9"/>
  <c r="C47" i="9"/>
  <c r="D47" i="9"/>
  <c r="E47" i="9"/>
  <c r="F47" i="9"/>
  <c r="G47" i="9"/>
  <c r="I47" i="9"/>
  <c r="J47" i="9"/>
  <c r="K47" i="9"/>
  <c r="A48" i="9"/>
  <c r="C48" i="9"/>
  <c r="D48" i="9"/>
  <c r="E48" i="9"/>
  <c r="F48" i="9"/>
  <c r="G48" i="9"/>
  <c r="I48" i="9"/>
  <c r="J48" i="9"/>
  <c r="K48" i="9"/>
  <c r="A49" i="9"/>
  <c r="C49" i="9"/>
  <c r="D49" i="9"/>
  <c r="E49" i="9"/>
  <c r="F49" i="9"/>
  <c r="G49" i="9"/>
  <c r="I49" i="9"/>
  <c r="J49" i="9"/>
  <c r="K49" i="9"/>
  <c r="A50" i="9"/>
  <c r="C50" i="9"/>
  <c r="D50" i="9"/>
  <c r="E50" i="9"/>
  <c r="F50" i="9"/>
  <c r="G50" i="9"/>
  <c r="I50" i="9"/>
  <c r="J50" i="9"/>
  <c r="K50" i="9"/>
  <c r="A51" i="9"/>
  <c r="C51" i="9"/>
  <c r="D51" i="9"/>
  <c r="E51" i="9"/>
  <c r="F51" i="9"/>
  <c r="G51" i="9"/>
  <c r="I51" i="9"/>
  <c r="J51" i="9"/>
  <c r="K51" i="9"/>
  <c r="A52" i="9"/>
  <c r="C52" i="9"/>
  <c r="D52" i="9"/>
  <c r="E52" i="9"/>
  <c r="F52" i="9"/>
  <c r="G52" i="9"/>
  <c r="I52" i="9"/>
  <c r="J52" i="9"/>
  <c r="K52" i="9"/>
  <c r="A53" i="9"/>
  <c r="C53" i="9"/>
  <c r="D53" i="9"/>
  <c r="E53" i="9"/>
  <c r="F53" i="9"/>
  <c r="G53" i="9"/>
  <c r="I53" i="9"/>
  <c r="J53" i="9"/>
  <c r="K53" i="9"/>
  <c r="A54" i="9"/>
  <c r="C54" i="9"/>
  <c r="D54" i="9"/>
  <c r="E54" i="9"/>
  <c r="F54" i="9"/>
  <c r="G54" i="9"/>
  <c r="I54" i="9"/>
  <c r="J54" i="9"/>
  <c r="K54" i="9"/>
  <c r="A55" i="9"/>
  <c r="C55" i="9"/>
  <c r="D55" i="9"/>
  <c r="E55" i="9"/>
  <c r="F55" i="9"/>
  <c r="G55" i="9"/>
  <c r="I55" i="9"/>
  <c r="J55" i="9"/>
  <c r="K55" i="9"/>
  <c r="A56" i="9"/>
  <c r="C56" i="9"/>
  <c r="D56" i="9"/>
  <c r="E56" i="9"/>
  <c r="F56" i="9"/>
  <c r="G56" i="9"/>
  <c r="I56" i="9"/>
  <c r="J56" i="9"/>
  <c r="K56" i="9"/>
  <c r="A57" i="9"/>
  <c r="C57" i="9"/>
  <c r="D57" i="9"/>
  <c r="E57" i="9"/>
  <c r="F57" i="9"/>
  <c r="G57" i="9"/>
  <c r="I57" i="9"/>
  <c r="J57" i="9"/>
  <c r="K57" i="9"/>
  <c r="A58" i="9"/>
  <c r="C58" i="9"/>
  <c r="D58" i="9"/>
  <c r="E58" i="9"/>
  <c r="F58" i="9"/>
  <c r="G58" i="9"/>
  <c r="I58" i="9"/>
  <c r="J58" i="9"/>
  <c r="K58" i="9"/>
  <c r="A59" i="9"/>
  <c r="C59" i="9"/>
  <c r="D59" i="9"/>
  <c r="E59" i="9"/>
  <c r="F59" i="9"/>
  <c r="G59" i="9"/>
  <c r="I59" i="9"/>
  <c r="J59" i="9"/>
  <c r="K59" i="9"/>
  <c r="A60" i="9"/>
  <c r="C60" i="9"/>
  <c r="D60" i="9"/>
  <c r="E60" i="9"/>
  <c r="F60" i="9"/>
  <c r="G60" i="9"/>
  <c r="I60" i="9"/>
  <c r="J60" i="9"/>
  <c r="K60" i="9"/>
  <c r="A61" i="9"/>
  <c r="C61" i="9"/>
  <c r="D61" i="9"/>
  <c r="E61" i="9"/>
  <c r="F61" i="9"/>
  <c r="G61" i="9"/>
  <c r="I61" i="9"/>
  <c r="J61" i="9"/>
  <c r="K61" i="9"/>
  <c r="A62" i="9"/>
  <c r="C62" i="9"/>
  <c r="D62" i="9"/>
  <c r="E62" i="9"/>
  <c r="F62" i="9"/>
  <c r="G62" i="9"/>
  <c r="I62" i="9"/>
  <c r="J62" i="9"/>
  <c r="K62" i="9"/>
  <c r="A63" i="9"/>
  <c r="C63" i="9"/>
  <c r="D63" i="9"/>
  <c r="E63" i="9"/>
  <c r="F63" i="9"/>
  <c r="G63" i="9"/>
  <c r="I63" i="9"/>
  <c r="J63" i="9"/>
  <c r="K63" i="9"/>
  <c r="A64" i="9"/>
  <c r="C64" i="9"/>
  <c r="D64" i="9"/>
  <c r="E64" i="9"/>
  <c r="F64" i="9"/>
  <c r="G64" i="9"/>
  <c r="I64" i="9"/>
  <c r="J64" i="9"/>
  <c r="K64" i="9"/>
  <c r="A65" i="9"/>
  <c r="C65" i="9"/>
  <c r="D65" i="9"/>
  <c r="E65" i="9"/>
  <c r="F65" i="9"/>
  <c r="G65" i="9"/>
  <c r="I65" i="9"/>
  <c r="J65" i="9"/>
  <c r="K65" i="9"/>
  <c r="A66" i="9"/>
  <c r="C66" i="9"/>
  <c r="D66" i="9"/>
  <c r="E66" i="9"/>
  <c r="F66" i="9"/>
  <c r="G66" i="9"/>
  <c r="I66" i="9"/>
  <c r="J66" i="9"/>
  <c r="K66" i="9"/>
  <c r="A67" i="9"/>
  <c r="C67" i="9"/>
  <c r="D67" i="9"/>
  <c r="E67" i="9"/>
  <c r="F67" i="9"/>
  <c r="G67" i="9"/>
  <c r="I67" i="9"/>
  <c r="J67" i="9"/>
  <c r="K67" i="9"/>
  <c r="A68" i="9"/>
  <c r="C68" i="9"/>
  <c r="D68" i="9"/>
  <c r="E68" i="9"/>
  <c r="F68" i="9"/>
  <c r="G68" i="9"/>
  <c r="I68" i="9"/>
  <c r="J68" i="9"/>
  <c r="K68" i="9"/>
  <c r="A69" i="9"/>
  <c r="C69" i="9"/>
  <c r="D69" i="9"/>
  <c r="E69" i="9"/>
  <c r="F69" i="9"/>
  <c r="G69" i="9"/>
  <c r="I69" i="9"/>
  <c r="J69" i="9"/>
  <c r="K69" i="9"/>
  <c r="A70" i="9"/>
  <c r="C70" i="9"/>
  <c r="D70" i="9"/>
  <c r="E70" i="9"/>
  <c r="F70" i="9"/>
  <c r="G70" i="9"/>
  <c r="I70" i="9"/>
  <c r="J70" i="9"/>
  <c r="K70" i="9"/>
  <c r="A71" i="9"/>
  <c r="C71" i="9"/>
  <c r="D71" i="9"/>
  <c r="E71" i="9"/>
  <c r="F71" i="9"/>
  <c r="G71" i="9"/>
  <c r="I71" i="9"/>
  <c r="J71" i="9"/>
  <c r="K71" i="9"/>
  <c r="A72" i="9"/>
  <c r="C72" i="9"/>
  <c r="D72" i="9"/>
  <c r="E72" i="9"/>
  <c r="F72" i="9"/>
  <c r="G72" i="9"/>
  <c r="I72" i="9"/>
  <c r="J72" i="9"/>
  <c r="K72" i="9"/>
  <c r="A73" i="9"/>
  <c r="C73" i="9"/>
  <c r="D73" i="9"/>
  <c r="E73" i="9"/>
  <c r="F73" i="9"/>
  <c r="G73" i="9"/>
  <c r="I73" i="9"/>
  <c r="J73" i="9"/>
  <c r="K73" i="9"/>
  <c r="A74" i="9"/>
  <c r="C74" i="9"/>
  <c r="D74" i="9"/>
  <c r="E74" i="9"/>
  <c r="F74" i="9"/>
  <c r="G74" i="9"/>
  <c r="I74" i="9"/>
  <c r="J74" i="9"/>
  <c r="K74" i="9"/>
  <c r="A75" i="9"/>
  <c r="C75" i="9"/>
  <c r="D75" i="9"/>
  <c r="E75" i="9"/>
  <c r="F75" i="9"/>
  <c r="G75" i="9"/>
  <c r="I75" i="9"/>
  <c r="J75" i="9"/>
  <c r="K75" i="9"/>
  <c r="A76" i="9"/>
  <c r="C76" i="9"/>
  <c r="D76" i="9"/>
  <c r="E76" i="9"/>
  <c r="F76" i="9"/>
  <c r="G76" i="9"/>
  <c r="I76" i="9"/>
  <c r="J76" i="9"/>
  <c r="K76" i="9"/>
  <c r="A77" i="9"/>
  <c r="C77" i="9"/>
  <c r="D77" i="9"/>
  <c r="E77" i="9"/>
  <c r="F77" i="9"/>
  <c r="G77" i="9"/>
  <c r="I77" i="9"/>
  <c r="J77" i="9"/>
  <c r="K77" i="9"/>
  <c r="A78" i="9"/>
  <c r="C78" i="9"/>
  <c r="D78" i="9"/>
  <c r="E78" i="9"/>
  <c r="F78" i="9"/>
  <c r="G78" i="9"/>
  <c r="I78" i="9"/>
  <c r="J78" i="9"/>
  <c r="K78" i="9"/>
  <c r="A79" i="9"/>
  <c r="C79" i="9"/>
  <c r="D79" i="9"/>
  <c r="E79" i="9"/>
  <c r="F79" i="9"/>
  <c r="G79" i="9"/>
  <c r="I79" i="9"/>
  <c r="J79" i="9"/>
  <c r="K79" i="9"/>
  <c r="A80" i="9"/>
  <c r="C80" i="9"/>
  <c r="D80" i="9"/>
  <c r="E80" i="9"/>
  <c r="F80" i="9"/>
  <c r="G80" i="9"/>
  <c r="I80" i="9"/>
  <c r="J80" i="9"/>
  <c r="K80" i="9"/>
  <c r="A81" i="9"/>
  <c r="C81" i="9"/>
  <c r="D81" i="9"/>
  <c r="E81" i="9"/>
  <c r="F81" i="9"/>
  <c r="G81" i="9"/>
  <c r="I81" i="9"/>
  <c r="J81" i="9"/>
  <c r="K81" i="9"/>
  <c r="A82" i="9"/>
  <c r="C82" i="9"/>
  <c r="D82" i="9"/>
  <c r="E82" i="9"/>
  <c r="F82" i="9"/>
  <c r="G82" i="9"/>
  <c r="I82" i="9"/>
  <c r="J82" i="9"/>
  <c r="K82" i="9"/>
  <c r="A83" i="9"/>
  <c r="C83" i="9"/>
  <c r="D83" i="9"/>
  <c r="E83" i="9"/>
  <c r="F83" i="9"/>
  <c r="G83" i="9"/>
  <c r="I83" i="9"/>
  <c r="J83" i="9"/>
  <c r="K83" i="9"/>
  <c r="A84" i="9"/>
  <c r="C84" i="9"/>
  <c r="D84" i="9"/>
  <c r="E84" i="9"/>
  <c r="F84" i="9"/>
  <c r="G84" i="9"/>
  <c r="I84" i="9"/>
  <c r="J84" i="9"/>
  <c r="K84" i="9"/>
  <c r="A85" i="9"/>
  <c r="C85" i="9"/>
  <c r="D85" i="9"/>
  <c r="E85" i="9"/>
  <c r="F85" i="9"/>
  <c r="G85" i="9"/>
  <c r="I85" i="9"/>
  <c r="J85" i="9"/>
  <c r="K85" i="9"/>
  <c r="A86" i="9"/>
  <c r="C86" i="9"/>
  <c r="D86" i="9"/>
  <c r="E86" i="9"/>
  <c r="F86" i="9"/>
  <c r="G86" i="9"/>
  <c r="I86" i="9"/>
  <c r="J86" i="9"/>
  <c r="K86" i="9"/>
  <c r="A87" i="9"/>
  <c r="C87" i="9"/>
  <c r="D87" i="9"/>
  <c r="E87" i="9"/>
  <c r="F87" i="9"/>
  <c r="G87" i="9"/>
  <c r="I87" i="9"/>
  <c r="J87" i="9"/>
  <c r="K87" i="9"/>
  <c r="A88" i="9"/>
  <c r="C88" i="9"/>
  <c r="D88" i="9"/>
  <c r="E88" i="9"/>
  <c r="F88" i="9"/>
  <c r="G88" i="9"/>
  <c r="I88" i="9"/>
  <c r="J88" i="9"/>
  <c r="K88" i="9"/>
  <c r="A89" i="9"/>
  <c r="C89" i="9"/>
  <c r="D89" i="9"/>
  <c r="E89" i="9"/>
  <c r="F89" i="9"/>
  <c r="G89" i="9"/>
  <c r="I89" i="9"/>
  <c r="J89" i="9"/>
  <c r="K89" i="9"/>
  <c r="A90" i="9"/>
  <c r="C90" i="9"/>
  <c r="D90" i="9"/>
  <c r="E90" i="9"/>
  <c r="F90" i="9"/>
  <c r="G90" i="9"/>
  <c r="I90" i="9"/>
  <c r="J90" i="9"/>
  <c r="K90" i="9"/>
  <c r="A91" i="9"/>
  <c r="C91" i="9"/>
  <c r="D91" i="9"/>
  <c r="E91" i="9"/>
  <c r="F91" i="9"/>
  <c r="G91" i="9"/>
  <c r="I91" i="9"/>
  <c r="J91" i="9"/>
  <c r="K91" i="9"/>
  <c r="A92" i="9"/>
  <c r="C92" i="9"/>
  <c r="D92" i="9"/>
  <c r="E92" i="9"/>
  <c r="F92" i="9"/>
  <c r="G92" i="9"/>
  <c r="I92" i="9"/>
  <c r="J92" i="9"/>
  <c r="K92" i="9"/>
  <c r="A93" i="9"/>
  <c r="C93" i="9"/>
  <c r="D93" i="9"/>
  <c r="E93" i="9"/>
  <c r="F93" i="9"/>
  <c r="G93" i="9"/>
  <c r="I93" i="9"/>
  <c r="J93" i="9"/>
  <c r="K93" i="9"/>
  <c r="A94" i="9"/>
  <c r="C94" i="9"/>
  <c r="D94" i="9"/>
  <c r="E94" i="9"/>
  <c r="F94" i="9"/>
  <c r="G94" i="9"/>
  <c r="I94" i="9"/>
  <c r="J94" i="9"/>
  <c r="K94" i="9"/>
  <c r="A95" i="9"/>
  <c r="C95" i="9"/>
  <c r="D95" i="9"/>
  <c r="E95" i="9"/>
  <c r="F95" i="9"/>
  <c r="G95" i="9"/>
  <c r="I95" i="9"/>
  <c r="J95" i="9"/>
  <c r="K95" i="9"/>
  <c r="A96" i="9"/>
  <c r="C96" i="9"/>
  <c r="D96" i="9"/>
  <c r="E96" i="9"/>
  <c r="F96" i="9"/>
  <c r="G96" i="9"/>
  <c r="I96" i="9"/>
  <c r="J96" i="9"/>
  <c r="K96" i="9"/>
  <c r="A97" i="9"/>
  <c r="C97" i="9"/>
  <c r="D97" i="9"/>
  <c r="E97" i="9"/>
  <c r="F97" i="9"/>
  <c r="G97" i="9"/>
  <c r="I97" i="9"/>
  <c r="J97" i="9"/>
  <c r="K97" i="9"/>
  <c r="A98" i="9"/>
  <c r="C98" i="9"/>
  <c r="D98" i="9"/>
  <c r="E98" i="9"/>
  <c r="F98" i="9"/>
  <c r="G98" i="9"/>
  <c r="I98" i="9"/>
  <c r="J98" i="9"/>
  <c r="K98" i="9"/>
  <c r="A99" i="9"/>
  <c r="C99" i="9"/>
  <c r="D99" i="9"/>
  <c r="E99" i="9"/>
  <c r="F99" i="9"/>
  <c r="G99" i="9"/>
  <c r="I99" i="9"/>
  <c r="J99" i="9"/>
  <c r="K99" i="9"/>
  <c r="A100" i="9"/>
  <c r="C100" i="9"/>
  <c r="D100" i="9"/>
  <c r="E100" i="9"/>
  <c r="F100" i="9"/>
  <c r="G100" i="9"/>
  <c r="I100" i="9"/>
  <c r="J100" i="9"/>
  <c r="K100" i="9"/>
  <c r="A101" i="9"/>
  <c r="C101" i="9"/>
  <c r="D101" i="9"/>
  <c r="E101" i="9"/>
  <c r="F101" i="9"/>
  <c r="G101" i="9"/>
  <c r="I101" i="9"/>
  <c r="J101" i="9"/>
  <c r="K101" i="9"/>
  <c r="A102" i="9"/>
  <c r="C102" i="9"/>
  <c r="D102" i="9"/>
  <c r="E102" i="9"/>
  <c r="F102" i="9"/>
  <c r="G102" i="9"/>
  <c r="I102" i="9"/>
  <c r="J102" i="9"/>
  <c r="K102" i="9"/>
  <c r="A103" i="9"/>
  <c r="C103" i="9"/>
  <c r="D103" i="9"/>
  <c r="E103" i="9"/>
  <c r="F103" i="9"/>
  <c r="G103" i="9"/>
  <c r="I103" i="9"/>
  <c r="J103" i="9"/>
  <c r="K103" i="9"/>
  <c r="A104" i="9"/>
  <c r="C104" i="9"/>
  <c r="D104" i="9"/>
  <c r="E104" i="9"/>
  <c r="F104" i="9"/>
  <c r="G104" i="9"/>
  <c r="I104" i="9"/>
  <c r="J104" i="9"/>
  <c r="K104" i="9"/>
  <c r="A105" i="9"/>
  <c r="C105" i="9"/>
  <c r="D105" i="9"/>
  <c r="E105" i="9"/>
  <c r="F105" i="9"/>
  <c r="G105" i="9"/>
  <c r="I105" i="9"/>
  <c r="J105" i="9"/>
  <c r="K105" i="9"/>
  <c r="A106" i="9"/>
  <c r="C106" i="9"/>
  <c r="D106" i="9"/>
  <c r="E106" i="9"/>
  <c r="F106" i="9"/>
  <c r="G106" i="9"/>
  <c r="I106" i="9"/>
  <c r="J106" i="9"/>
  <c r="K106" i="9"/>
  <c r="A107" i="9"/>
  <c r="C107" i="9"/>
  <c r="D107" i="9"/>
  <c r="E107" i="9"/>
  <c r="F107" i="9"/>
  <c r="G107" i="9"/>
  <c r="I107" i="9"/>
  <c r="J107" i="9"/>
  <c r="K107" i="9"/>
  <c r="A108" i="9"/>
  <c r="C108" i="9"/>
  <c r="D108" i="9"/>
  <c r="E108" i="9"/>
  <c r="F108" i="9"/>
  <c r="G108" i="9"/>
  <c r="I108" i="9"/>
  <c r="J108" i="9"/>
  <c r="K108" i="9"/>
  <c r="A109" i="9"/>
  <c r="C109" i="9"/>
  <c r="D109" i="9"/>
  <c r="E109" i="9"/>
  <c r="F109" i="9"/>
  <c r="G109" i="9"/>
  <c r="I109" i="9"/>
  <c r="J109" i="9"/>
  <c r="K109" i="9"/>
  <c r="A110" i="9"/>
  <c r="C110" i="9"/>
  <c r="D110" i="9"/>
  <c r="E110" i="9"/>
  <c r="F110" i="9"/>
  <c r="G110" i="9"/>
  <c r="I110" i="9"/>
  <c r="J110" i="9"/>
  <c r="K110" i="9"/>
  <c r="A111" i="9"/>
  <c r="C111" i="9"/>
  <c r="D111" i="9"/>
  <c r="E111" i="9"/>
  <c r="F111" i="9"/>
  <c r="G111" i="9"/>
  <c r="I111" i="9"/>
  <c r="J111" i="9"/>
  <c r="K111" i="9"/>
  <c r="A112" i="9"/>
  <c r="C112" i="9"/>
  <c r="D112" i="9"/>
  <c r="E112" i="9"/>
  <c r="F112" i="9"/>
  <c r="G112" i="9"/>
  <c r="I112" i="9"/>
  <c r="J112" i="9"/>
  <c r="K112" i="9"/>
  <c r="A113" i="9"/>
  <c r="C113" i="9"/>
  <c r="D113" i="9"/>
  <c r="E113" i="9"/>
  <c r="F113" i="9"/>
  <c r="G113" i="9"/>
  <c r="I113" i="9"/>
  <c r="J113" i="9"/>
  <c r="K113" i="9"/>
  <c r="A114" i="9"/>
  <c r="C114" i="9"/>
  <c r="D114" i="9"/>
  <c r="E114" i="9"/>
  <c r="F114" i="9"/>
  <c r="G114" i="9"/>
  <c r="I114" i="9"/>
  <c r="J114" i="9"/>
  <c r="K114" i="9"/>
  <c r="A115" i="9"/>
  <c r="C115" i="9"/>
  <c r="D115" i="9"/>
  <c r="E115" i="9"/>
  <c r="F115" i="9"/>
  <c r="G115" i="9"/>
  <c r="I115" i="9"/>
  <c r="J115" i="9"/>
  <c r="K115" i="9"/>
  <c r="A116" i="9"/>
  <c r="C116" i="9"/>
  <c r="D116" i="9"/>
  <c r="E116" i="9"/>
  <c r="F116" i="9"/>
  <c r="G116" i="9"/>
  <c r="I116" i="9"/>
  <c r="J116" i="9"/>
  <c r="K116" i="9"/>
  <c r="A117" i="9"/>
  <c r="C117" i="9"/>
  <c r="D117" i="9"/>
  <c r="E117" i="9"/>
  <c r="F117" i="9"/>
  <c r="G117" i="9"/>
  <c r="I117" i="9"/>
  <c r="J117" i="9"/>
  <c r="K117" i="9"/>
  <c r="A118" i="9"/>
  <c r="C118" i="9"/>
  <c r="D118" i="9"/>
  <c r="E118" i="9"/>
  <c r="F118" i="9"/>
  <c r="G118" i="9"/>
  <c r="I118" i="9"/>
  <c r="J118" i="9"/>
  <c r="K118" i="9"/>
  <c r="A119" i="9"/>
  <c r="C119" i="9"/>
  <c r="D119" i="9"/>
  <c r="E119" i="9"/>
  <c r="F119" i="9"/>
  <c r="G119" i="9"/>
  <c r="I119" i="9"/>
  <c r="J119" i="9"/>
  <c r="K119" i="9"/>
  <c r="A120" i="9"/>
  <c r="C120" i="9"/>
  <c r="D120" i="9"/>
  <c r="E120" i="9"/>
  <c r="F120" i="9"/>
  <c r="G120" i="9"/>
  <c r="I120" i="9"/>
  <c r="J120" i="9"/>
  <c r="K120" i="9"/>
  <c r="A121" i="9"/>
  <c r="C121" i="9"/>
  <c r="D121" i="9"/>
  <c r="E121" i="9"/>
  <c r="F121" i="9"/>
  <c r="G121" i="9"/>
  <c r="I121" i="9"/>
  <c r="J121" i="9"/>
  <c r="K121" i="9"/>
  <c r="A122" i="9"/>
  <c r="C122" i="9"/>
  <c r="D122" i="9"/>
  <c r="E122" i="9"/>
  <c r="F122" i="9"/>
  <c r="G122" i="9"/>
  <c r="I122" i="9"/>
  <c r="J122" i="9"/>
  <c r="K122" i="9"/>
  <c r="A123" i="9"/>
  <c r="C123" i="9"/>
  <c r="D123" i="9"/>
  <c r="E123" i="9"/>
  <c r="F123" i="9"/>
  <c r="G123" i="9"/>
  <c r="I123" i="9"/>
  <c r="J123" i="9"/>
  <c r="K123" i="9"/>
  <c r="A124" i="9"/>
  <c r="C124" i="9"/>
  <c r="D124" i="9"/>
  <c r="E124" i="9"/>
  <c r="F124" i="9"/>
  <c r="G124" i="9"/>
  <c r="I124" i="9"/>
  <c r="J124" i="9"/>
  <c r="K124" i="9"/>
  <c r="A125" i="9"/>
  <c r="C125" i="9"/>
  <c r="D125" i="9"/>
  <c r="E125" i="9"/>
  <c r="F125" i="9"/>
  <c r="G125" i="9"/>
  <c r="I125" i="9"/>
  <c r="J125" i="9"/>
  <c r="K125" i="9"/>
  <c r="A126" i="9"/>
  <c r="C126" i="9"/>
  <c r="D126" i="9"/>
  <c r="E126" i="9"/>
  <c r="F126" i="9"/>
  <c r="G126" i="9"/>
  <c r="I126" i="9"/>
  <c r="J126" i="9"/>
  <c r="K126" i="9"/>
  <c r="A127" i="9"/>
  <c r="C127" i="9"/>
  <c r="D127" i="9"/>
  <c r="E127" i="9"/>
  <c r="F127" i="9"/>
  <c r="G127" i="9"/>
  <c r="I127" i="9"/>
  <c r="J127" i="9"/>
  <c r="K127" i="9"/>
  <c r="A128" i="9"/>
  <c r="C128" i="9"/>
  <c r="D128" i="9"/>
  <c r="E128" i="9"/>
  <c r="F128" i="9"/>
  <c r="G128" i="9"/>
  <c r="I128" i="9"/>
  <c r="J128" i="9"/>
  <c r="K128" i="9"/>
  <c r="A129" i="9"/>
  <c r="C129" i="9"/>
  <c r="D129" i="9"/>
  <c r="E129" i="9"/>
  <c r="F129" i="9"/>
  <c r="G129" i="9"/>
  <c r="I129" i="9"/>
  <c r="J129" i="9"/>
  <c r="K129" i="9"/>
  <c r="A130" i="9"/>
  <c r="C130" i="9"/>
  <c r="D130" i="9"/>
  <c r="E130" i="9"/>
  <c r="F130" i="9"/>
  <c r="G130" i="9"/>
  <c r="I130" i="9"/>
  <c r="J130" i="9"/>
  <c r="K130" i="9"/>
  <c r="A131" i="9"/>
  <c r="C131" i="9"/>
  <c r="D131" i="9"/>
  <c r="E131" i="9"/>
  <c r="F131" i="9"/>
  <c r="G131" i="9"/>
  <c r="I131" i="9"/>
  <c r="J131" i="9"/>
  <c r="K131" i="9"/>
  <c r="A132" i="9"/>
  <c r="C132" i="9"/>
  <c r="D132" i="9"/>
  <c r="E132" i="9"/>
  <c r="F132" i="9"/>
  <c r="G132" i="9"/>
  <c r="I132" i="9"/>
  <c r="J132" i="9"/>
  <c r="K132" i="9"/>
  <c r="A133" i="9"/>
  <c r="C133" i="9"/>
  <c r="D133" i="9"/>
  <c r="E133" i="9"/>
  <c r="F133" i="9"/>
  <c r="G133" i="9"/>
  <c r="I133" i="9"/>
  <c r="J133" i="9"/>
  <c r="K133" i="9"/>
  <c r="A134" i="9"/>
  <c r="C134" i="9"/>
  <c r="D134" i="9"/>
  <c r="E134" i="9"/>
  <c r="F134" i="9"/>
  <c r="G134" i="9"/>
  <c r="I134" i="9"/>
  <c r="J134" i="9"/>
  <c r="K134" i="9"/>
  <c r="A135" i="9"/>
  <c r="C135" i="9"/>
  <c r="D135" i="9"/>
  <c r="E135" i="9"/>
  <c r="F135" i="9"/>
  <c r="G135" i="9"/>
  <c r="I135" i="9"/>
  <c r="J135" i="9"/>
  <c r="K135" i="9"/>
  <c r="A136" i="9"/>
  <c r="C136" i="9"/>
  <c r="D136" i="9"/>
  <c r="E136" i="9"/>
  <c r="F136" i="9"/>
  <c r="G136" i="9"/>
  <c r="I136" i="9"/>
  <c r="J136" i="9"/>
  <c r="K136" i="9"/>
  <c r="A137" i="9"/>
  <c r="C137" i="9"/>
  <c r="D137" i="9"/>
  <c r="E137" i="9"/>
  <c r="F137" i="9"/>
  <c r="G137" i="9"/>
  <c r="I137" i="9"/>
  <c r="J137" i="9"/>
  <c r="K137" i="9"/>
  <c r="A138" i="9"/>
  <c r="C138" i="9"/>
  <c r="D138" i="9"/>
  <c r="E138" i="9"/>
  <c r="F138" i="9"/>
  <c r="G138" i="9"/>
  <c r="I138" i="9"/>
  <c r="J138" i="9"/>
  <c r="K138" i="9"/>
  <c r="A139" i="9"/>
  <c r="C139" i="9"/>
  <c r="D139" i="9"/>
  <c r="E139" i="9"/>
  <c r="F139" i="9"/>
  <c r="G139" i="9"/>
  <c r="I139" i="9"/>
  <c r="J139" i="9"/>
  <c r="K139" i="9"/>
  <c r="A140" i="9"/>
  <c r="C140" i="9"/>
  <c r="D140" i="9"/>
  <c r="E140" i="9"/>
  <c r="F140" i="9"/>
  <c r="G140" i="9"/>
  <c r="I140" i="9"/>
  <c r="J140" i="9"/>
  <c r="K140" i="9"/>
  <c r="A141" i="9"/>
  <c r="C141" i="9"/>
  <c r="D141" i="9"/>
  <c r="E141" i="9"/>
  <c r="F141" i="9"/>
  <c r="G141" i="9"/>
  <c r="I141" i="9"/>
  <c r="J141" i="9"/>
  <c r="K141" i="9"/>
  <c r="A142" i="9"/>
  <c r="C142" i="9"/>
  <c r="D142" i="9"/>
  <c r="E142" i="9"/>
  <c r="F142" i="9"/>
  <c r="G142" i="9"/>
  <c r="I142" i="9"/>
  <c r="J142" i="9"/>
  <c r="K142" i="9"/>
  <c r="A143" i="9"/>
  <c r="C143" i="9"/>
  <c r="D143" i="9"/>
  <c r="E143" i="9"/>
  <c r="F143" i="9"/>
  <c r="G143" i="9"/>
  <c r="I143" i="9"/>
  <c r="J143" i="9"/>
  <c r="K143" i="9"/>
  <c r="A144" i="9"/>
  <c r="C144" i="9"/>
  <c r="D144" i="9"/>
  <c r="E144" i="9"/>
  <c r="F144" i="9"/>
  <c r="G144" i="9"/>
  <c r="I144" i="9"/>
  <c r="J144" i="9"/>
  <c r="K144" i="9"/>
  <c r="A145" i="9"/>
  <c r="C145" i="9"/>
  <c r="D145" i="9"/>
  <c r="E145" i="9"/>
  <c r="F145" i="9"/>
  <c r="G145" i="9"/>
  <c r="I145" i="9"/>
  <c r="J145" i="9"/>
  <c r="K145" i="9"/>
  <c r="A146" i="9"/>
  <c r="C146" i="9"/>
  <c r="D146" i="9"/>
  <c r="E146" i="9"/>
  <c r="F146" i="9"/>
  <c r="G146" i="9"/>
  <c r="I146" i="9"/>
  <c r="J146" i="9"/>
  <c r="K146" i="9"/>
  <c r="A147" i="9"/>
  <c r="C147" i="9"/>
  <c r="D147" i="9"/>
  <c r="E147" i="9"/>
  <c r="F147" i="9"/>
  <c r="G147" i="9"/>
  <c r="I147" i="9"/>
  <c r="J147" i="9"/>
  <c r="K147" i="9"/>
  <c r="A148" i="9"/>
  <c r="C148" i="9"/>
  <c r="D148" i="9"/>
  <c r="E148" i="9"/>
  <c r="F148" i="9"/>
  <c r="G148" i="9"/>
  <c r="I148" i="9"/>
  <c r="J148" i="9"/>
  <c r="K148" i="9"/>
  <c r="A149" i="9"/>
  <c r="C149" i="9"/>
  <c r="D149" i="9"/>
  <c r="E149" i="9"/>
  <c r="F149" i="9"/>
  <c r="G149" i="9"/>
  <c r="I149" i="9"/>
  <c r="J149" i="9"/>
  <c r="K149" i="9"/>
  <c r="A150" i="9"/>
  <c r="C150" i="9"/>
  <c r="D150" i="9"/>
  <c r="E150" i="9"/>
  <c r="F150" i="9"/>
  <c r="G150" i="9"/>
  <c r="I150" i="9"/>
  <c r="J150" i="9"/>
  <c r="K150" i="9"/>
  <c r="A151" i="9"/>
  <c r="C151" i="9"/>
  <c r="D151" i="9"/>
  <c r="E151" i="9"/>
  <c r="F151" i="9"/>
  <c r="G151" i="9"/>
  <c r="I151" i="9"/>
  <c r="J151" i="9"/>
  <c r="K151" i="9"/>
  <c r="A152" i="9"/>
  <c r="C152" i="9"/>
  <c r="D152" i="9"/>
  <c r="E152" i="9"/>
  <c r="F152" i="9"/>
  <c r="G152" i="9"/>
  <c r="I152" i="9"/>
  <c r="J152" i="9"/>
  <c r="K152" i="9"/>
  <c r="A153" i="9"/>
  <c r="C153" i="9"/>
  <c r="D153" i="9"/>
  <c r="E153" i="9"/>
  <c r="F153" i="9"/>
  <c r="G153" i="9"/>
  <c r="I153" i="9"/>
  <c r="J153" i="9"/>
  <c r="K153" i="9"/>
  <c r="A154" i="9"/>
  <c r="C154" i="9"/>
  <c r="D154" i="9"/>
  <c r="E154" i="9"/>
  <c r="F154" i="9"/>
  <c r="G154" i="9"/>
  <c r="I154" i="9"/>
  <c r="J154" i="9"/>
  <c r="K154" i="9"/>
  <c r="A155" i="9"/>
  <c r="C155" i="9"/>
  <c r="D155" i="9"/>
  <c r="E155" i="9"/>
  <c r="F155" i="9"/>
  <c r="G155" i="9"/>
  <c r="I155" i="9"/>
  <c r="J155" i="9"/>
  <c r="K155" i="9"/>
  <c r="A156" i="9"/>
  <c r="C156" i="9"/>
  <c r="D156" i="9"/>
  <c r="E156" i="9"/>
  <c r="F156" i="9"/>
  <c r="G156" i="9"/>
  <c r="I156" i="9"/>
  <c r="J156" i="9"/>
  <c r="K156" i="9"/>
  <c r="A157" i="9"/>
  <c r="C157" i="9"/>
  <c r="D157" i="9"/>
  <c r="E157" i="9"/>
  <c r="F157" i="9"/>
  <c r="G157" i="9"/>
  <c r="I157" i="9"/>
  <c r="J157" i="9"/>
  <c r="K157" i="9"/>
  <c r="A158" i="9"/>
  <c r="C158" i="9"/>
  <c r="D158" i="9"/>
  <c r="E158" i="9"/>
  <c r="F158" i="9"/>
  <c r="G158" i="9"/>
  <c r="I158" i="9"/>
  <c r="J158" i="9"/>
  <c r="K158" i="9"/>
  <c r="A159" i="9"/>
  <c r="C159" i="9"/>
  <c r="D159" i="9"/>
  <c r="E159" i="9"/>
  <c r="F159" i="9"/>
  <c r="G159" i="9"/>
  <c r="I159" i="9"/>
  <c r="J159" i="9"/>
  <c r="K159" i="9"/>
  <c r="A160" i="9"/>
  <c r="C160" i="9"/>
  <c r="D160" i="9"/>
  <c r="E160" i="9"/>
  <c r="F160" i="9"/>
  <c r="G160" i="9"/>
  <c r="I160" i="9"/>
  <c r="J160" i="9"/>
  <c r="K160" i="9"/>
  <c r="A161" i="9"/>
  <c r="C161" i="9"/>
  <c r="D161" i="9"/>
  <c r="E161" i="9"/>
  <c r="F161" i="9"/>
  <c r="G161" i="9"/>
  <c r="I161" i="9"/>
  <c r="J161" i="9"/>
  <c r="K161" i="9"/>
  <c r="A162" i="9"/>
  <c r="C162" i="9"/>
  <c r="D162" i="9"/>
  <c r="E162" i="9"/>
  <c r="F162" i="9"/>
  <c r="G162" i="9"/>
  <c r="I162" i="9"/>
  <c r="J162" i="9"/>
  <c r="K162" i="9"/>
  <c r="A163" i="9"/>
  <c r="C163" i="9"/>
  <c r="D163" i="9"/>
  <c r="E163" i="9"/>
  <c r="F163" i="9"/>
  <c r="G163" i="9"/>
  <c r="I163" i="9"/>
  <c r="J163" i="9"/>
  <c r="K163" i="9"/>
  <c r="A164" i="9"/>
  <c r="C164" i="9"/>
  <c r="D164" i="9"/>
  <c r="E164" i="9"/>
  <c r="F164" i="9"/>
  <c r="G164" i="9"/>
  <c r="I164" i="9"/>
  <c r="J164" i="9"/>
  <c r="K164" i="9"/>
  <c r="A165" i="9"/>
  <c r="C165" i="9"/>
  <c r="D165" i="9"/>
  <c r="E165" i="9"/>
  <c r="F165" i="9"/>
  <c r="G165" i="9"/>
  <c r="I165" i="9"/>
  <c r="J165" i="9"/>
  <c r="K165" i="9"/>
  <c r="A166" i="9"/>
  <c r="C166" i="9"/>
  <c r="D166" i="9"/>
  <c r="E166" i="9"/>
  <c r="F166" i="9"/>
  <c r="G166" i="9"/>
  <c r="I166" i="9"/>
  <c r="J166" i="9"/>
  <c r="K166" i="9"/>
  <c r="A167" i="9"/>
  <c r="C167" i="9"/>
  <c r="D167" i="9"/>
  <c r="E167" i="9"/>
  <c r="F167" i="9"/>
  <c r="G167" i="9"/>
  <c r="I167" i="9"/>
  <c r="J167" i="9"/>
  <c r="K167" i="9"/>
  <c r="A168" i="9"/>
  <c r="C168" i="9"/>
  <c r="D168" i="9"/>
  <c r="E168" i="9"/>
  <c r="F168" i="9"/>
  <c r="G168" i="9"/>
  <c r="I168" i="9"/>
  <c r="J168" i="9"/>
  <c r="K168" i="9"/>
  <c r="A169" i="9"/>
  <c r="C169" i="9"/>
  <c r="D169" i="9"/>
  <c r="E169" i="9"/>
  <c r="F169" i="9"/>
  <c r="G169" i="9"/>
  <c r="I169" i="9"/>
  <c r="J169" i="9"/>
  <c r="K169" i="9"/>
  <c r="A170" i="9"/>
  <c r="C170" i="9"/>
  <c r="D170" i="9"/>
  <c r="E170" i="9"/>
  <c r="F170" i="9"/>
  <c r="G170" i="9"/>
  <c r="I170" i="9"/>
  <c r="J170" i="9"/>
  <c r="K170" i="9"/>
  <c r="A171" i="9"/>
  <c r="C171" i="9"/>
  <c r="D171" i="9"/>
  <c r="E171" i="9"/>
  <c r="F171" i="9"/>
  <c r="G171" i="9"/>
  <c r="I171" i="9"/>
  <c r="J171" i="9"/>
  <c r="K171" i="9"/>
  <c r="A172" i="9"/>
  <c r="C172" i="9"/>
  <c r="D172" i="9"/>
  <c r="E172" i="9"/>
  <c r="F172" i="9"/>
  <c r="G172" i="9"/>
  <c r="I172" i="9"/>
  <c r="J172" i="9"/>
  <c r="K172" i="9"/>
  <c r="A173" i="9"/>
  <c r="C173" i="9"/>
  <c r="D173" i="9"/>
  <c r="E173" i="9"/>
  <c r="F173" i="9"/>
  <c r="G173" i="9"/>
  <c r="I173" i="9"/>
  <c r="J173" i="9"/>
  <c r="K173" i="9"/>
  <c r="A174" i="9"/>
  <c r="C174" i="9"/>
  <c r="D174" i="9"/>
  <c r="E174" i="9"/>
  <c r="F174" i="9"/>
  <c r="G174" i="9"/>
  <c r="I174" i="9"/>
  <c r="J174" i="9"/>
  <c r="K174" i="9"/>
  <c r="A175" i="9"/>
  <c r="C175" i="9"/>
  <c r="D175" i="9"/>
  <c r="E175" i="9"/>
  <c r="F175" i="9"/>
  <c r="G175" i="9"/>
  <c r="I175" i="9"/>
  <c r="J175" i="9"/>
  <c r="K175" i="9"/>
  <c r="A176" i="9"/>
  <c r="C176" i="9"/>
  <c r="D176" i="9"/>
  <c r="E176" i="9"/>
  <c r="F176" i="9"/>
  <c r="G176" i="9"/>
  <c r="I176" i="9"/>
  <c r="J176" i="9"/>
  <c r="K176" i="9"/>
  <c r="A177" i="9"/>
  <c r="C177" i="9"/>
  <c r="D177" i="9"/>
  <c r="E177" i="9"/>
  <c r="F177" i="9"/>
  <c r="G177" i="9"/>
  <c r="I177" i="9"/>
  <c r="J177" i="9"/>
  <c r="K177" i="9"/>
  <c r="A178" i="9"/>
  <c r="C178" i="9"/>
  <c r="D178" i="9"/>
  <c r="E178" i="9"/>
  <c r="F178" i="9"/>
  <c r="G178" i="9"/>
  <c r="I178" i="9"/>
  <c r="J178" i="9"/>
  <c r="K178" i="9"/>
  <c r="A179" i="9"/>
  <c r="C179" i="9"/>
  <c r="D179" i="9"/>
  <c r="E179" i="9"/>
  <c r="F179" i="9"/>
  <c r="G179" i="9"/>
  <c r="I179" i="9"/>
  <c r="J179" i="9"/>
  <c r="K179" i="9"/>
  <c r="A180" i="9"/>
  <c r="C180" i="9"/>
  <c r="D180" i="9"/>
  <c r="E180" i="9"/>
  <c r="F180" i="9"/>
  <c r="G180" i="9"/>
  <c r="I180" i="9"/>
  <c r="J180" i="9"/>
  <c r="K180" i="9"/>
  <c r="A181" i="9"/>
  <c r="C181" i="9"/>
  <c r="D181" i="9"/>
  <c r="E181" i="9"/>
  <c r="F181" i="9"/>
  <c r="G181" i="9"/>
  <c r="I181" i="9"/>
  <c r="J181" i="9"/>
  <c r="K181" i="9"/>
  <c r="A182" i="9"/>
  <c r="C182" i="9"/>
  <c r="D182" i="9"/>
  <c r="E182" i="9"/>
  <c r="F182" i="9"/>
  <c r="G182" i="9"/>
  <c r="I182" i="9"/>
  <c r="J182" i="9"/>
  <c r="K182" i="9"/>
  <c r="A183" i="9"/>
  <c r="C183" i="9"/>
  <c r="D183" i="9"/>
  <c r="E183" i="9"/>
  <c r="F183" i="9"/>
  <c r="G183" i="9"/>
  <c r="I183" i="9"/>
  <c r="J183" i="9"/>
  <c r="K183" i="9"/>
  <c r="A184" i="9"/>
  <c r="C184" i="9"/>
  <c r="D184" i="9"/>
  <c r="E184" i="9"/>
  <c r="F184" i="9"/>
  <c r="G184" i="9"/>
  <c r="I184" i="9"/>
  <c r="J184" i="9"/>
  <c r="K184" i="9"/>
  <c r="A185" i="9"/>
  <c r="C185" i="9"/>
  <c r="D185" i="9"/>
  <c r="E185" i="9"/>
  <c r="F185" i="9"/>
  <c r="G185" i="9"/>
  <c r="I185" i="9"/>
  <c r="J185" i="9"/>
  <c r="K185" i="9"/>
  <c r="A186" i="9"/>
  <c r="C186" i="9"/>
  <c r="D186" i="9"/>
  <c r="E186" i="9"/>
  <c r="F186" i="9"/>
  <c r="G186" i="9"/>
  <c r="I186" i="9"/>
  <c r="J186" i="9"/>
  <c r="K186" i="9"/>
  <c r="A187" i="9"/>
  <c r="C187" i="9"/>
  <c r="D187" i="9"/>
  <c r="E187" i="9"/>
  <c r="F187" i="9"/>
  <c r="G187" i="9"/>
  <c r="I187" i="9"/>
  <c r="J187" i="9"/>
  <c r="K187" i="9"/>
  <c r="A188" i="9"/>
  <c r="C188" i="9"/>
  <c r="D188" i="9"/>
  <c r="E188" i="9"/>
  <c r="F188" i="9"/>
  <c r="G188" i="9"/>
  <c r="I188" i="9"/>
  <c r="J188" i="9"/>
  <c r="K188" i="9"/>
  <c r="A189" i="9"/>
  <c r="C189" i="9"/>
  <c r="D189" i="9"/>
  <c r="E189" i="9"/>
  <c r="F189" i="9"/>
  <c r="G189" i="9"/>
  <c r="I189" i="9"/>
  <c r="J189" i="9"/>
  <c r="K189" i="9"/>
  <c r="A190" i="9"/>
  <c r="C190" i="9"/>
  <c r="D190" i="9"/>
  <c r="E190" i="9"/>
  <c r="F190" i="9"/>
  <c r="G190" i="9"/>
  <c r="I190" i="9"/>
  <c r="J190" i="9"/>
  <c r="K190" i="9"/>
  <c r="A191" i="9"/>
  <c r="C191" i="9"/>
  <c r="D191" i="9"/>
  <c r="E191" i="9"/>
  <c r="F191" i="9"/>
  <c r="G191" i="9"/>
  <c r="I191" i="9"/>
  <c r="J191" i="9"/>
  <c r="K191" i="9"/>
  <c r="A192" i="9"/>
  <c r="C192" i="9"/>
  <c r="D192" i="9"/>
  <c r="E192" i="9"/>
  <c r="F192" i="9"/>
  <c r="G192" i="9"/>
  <c r="I192" i="9"/>
  <c r="J192" i="9"/>
  <c r="K192" i="9"/>
  <c r="A193" i="9"/>
  <c r="C193" i="9"/>
  <c r="D193" i="9"/>
  <c r="E193" i="9"/>
  <c r="F193" i="9"/>
  <c r="G193" i="9"/>
  <c r="I193" i="9"/>
  <c r="J193" i="9"/>
  <c r="K193" i="9"/>
  <c r="A194" i="9"/>
  <c r="C194" i="9"/>
  <c r="D194" i="9"/>
  <c r="E194" i="9"/>
  <c r="F194" i="9"/>
  <c r="G194" i="9"/>
  <c r="I194" i="9"/>
  <c r="J194" i="9"/>
  <c r="K194" i="9"/>
  <c r="A195" i="9"/>
  <c r="C195" i="9"/>
  <c r="D195" i="9"/>
  <c r="E195" i="9"/>
  <c r="F195" i="9"/>
  <c r="G195" i="9"/>
  <c r="I195" i="9"/>
  <c r="J195" i="9"/>
  <c r="K195" i="9"/>
  <c r="A196" i="9"/>
  <c r="C196" i="9"/>
  <c r="D196" i="9"/>
  <c r="E196" i="9"/>
  <c r="F196" i="9"/>
  <c r="G196" i="9"/>
  <c r="I196" i="9"/>
  <c r="J196" i="9"/>
  <c r="K196" i="9"/>
  <c r="A197" i="9"/>
  <c r="C197" i="9"/>
  <c r="D197" i="9"/>
  <c r="E197" i="9"/>
  <c r="F197" i="9"/>
  <c r="G197" i="9"/>
  <c r="I197" i="9"/>
  <c r="J197" i="9"/>
  <c r="K197" i="9"/>
  <c r="A198" i="9"/>
  <c r="C198" i="9"/>
  <c r="D198" i="9"/>
  <c r="E198" i="9"/>
  <c r="F198" i="9"/>
  <c r="G198" i="9"/>
  <c r="I198" i="9"/>
  <c r="J198" i="9"/>
  <c r="K198" i="9"/>
  <c r="A199" i="9"/>
  <c r="C199" i="9"/>
  <c r="D199" i="9"/>
  <c r="E199" i="9"/>
  <c r="F199" i="9"/>
  <c r="G199" i="9"/>
  <c r="I199" i="9"/>
  <c r="J199" i="9"/>
  <c r="K199" i="9"/>
  <c r="A200" i="9"/>
  <c r="C200" i="9"/>
  <c r="D200" i="9"/>
  <c r="E200" i="9"/>
  <c r="F200" i="9"/>
  <c r="G200" i="9"/>
  <c r="I200" i="9"/>
  <c r="J200" i="9"/>
  <c r="K200" i="9"/>
  <c r="A201" i="9"/>
  <c r="C201" i="9"/>
  <c r="D201" i="9"/>
  <c r="E201" i="9"/>
  <c r="F201" i="9"/>
  <c r="G201" i="9"/>
  <c r="I201" i="9"/>
  <c r="J201" i="9"/>
  <c r="K201" i="9"/>
  <c r="A202" i="9"/>
  <c r="C202" i="9"/>
  <c r="D202" i="9"/>
  <c r="E202" i="9"/>
  <c r="F202" i="9"/>
  <c r="G202" i="9"/>
  <c r="I202" i="9"/>
  <c r="J202" i="9"/>
  <c r="K202" i="9"/>
  <c r="A203" i="9"/>
  <c r="C203" i="9"/>
  <c r="D203" i="9"/>
  <c r="E203" i="9"/>
  <c r="F203" i="9"/>
  <c r="G203" i="9"/>
  <c r="I203" i="9"/>
  <c r="J203" i="9"/>
  <c r="K203" i="9"/>
  <c r="A204" i="9"/>
  <c r="C204" i="9"/>
  <c r="D204" i="9"/>
  <c r="E204" i="9"/>
  <c r="F204" i="9"/>
  <c r="G204" i="9"/>
  <c r="I204" i="9"/>
  <c r="J204" i="9"/>
  <c r="K204" i="9"/>
  <c r="A205" i="9"/>
  <c r="C205" i="9"/>
  <c r="D205" i="9"/>
  <c r="E205" i="9"/>
  <c r="F205" i="9"/>
  <c r="G205" i="9"/>
  <c r="I205" i="9"/>
  <c r="J205" i="9"/>
  <c r="K205" i="9"/>
  <c r="A206" i="9"/>
  <c r="C206" i="9"/>
  <c r="D206" i="9"/>
  <c r="E206" i="9"/>
  <c r="F206" i="9"/>
  <c r="G206" i="9"/>
  <c r="I206" i="9"/>
  <c r="J206" i="9"/>
  <c r="K206" i="9"/>
  <c r="A207" i="9"/>
  <c r="C207" i="9"/>
  <c r="D207" i="9"/>
  <c r="E207" i="9"/>
  <c r="F207" i="9"/>
  <c r="G207" i="9"/>
  <c r="I207" i="9"/>
  <c r="J207" i="9"/>
  <c r="K207" i="9"/>
  <c r="A208" i="9"/>
  <c r="C208" i="9"/>
  <c r="D208" i="9"/>
  <c r="E208" i="9"/>
  <c r="F208" i="9"/>
  <c r="G208" i="9"/>
  <c r="I208" i="9"/>
  <c r="J208" i="9"/>
  <c r="K208" i="9"/>
  <c r="A209" i="9"/>
  <c r="C209" i="9"/>
  <c r="D209" i="9"/>
  <c r="E209" i="9"/>
  <c r="F209" i="9"/>
  <c r="G209" i="9"/>
  <c r="I209" i="9"/>
  <c r="J209" i="9"/>
  <c r="K209" i="9"/>
  <c r="A210" i="9"/>
  <c r="C210" i="9"/>
  <c r="D210" i="9"/>
  <c r="E210" i="9"/>
  <c r="F210" i="9"/>
  <c r="G210" i="9"/>
  <c r="I210" i="9"/>
  <c r="J210" i="9"/>
  <c r="K210" i="9"/>
  <c r="A211" i="9"/>
  <c r="C211" i="9"/>
  <c r="D211" i="9"/>
  <c r="E211" i="9"/>
  <c r="F211" i="9"/>
  <c r="G211" i="9"/>
  <c r="I211" i="9"/>
  <c r="J211" i="9"/>
  <c r="K211" i="9"/>
  <c r="A212" i="9"/>
  <c r="C212" i="9"/>
  <c r="D212" i="9"/>
  <c r="E212" i="9"/>
  <c r="F212" i="9"/>
  <c r="G212" i="9"/>
  <c r="I212" i="9"/>
  <c r="J212" i="9"/>
  <c r="K212" i="9"/>
  <c r="A213" i="9"/>
  <c r="C213" i="9"/>
  <c r="D213" i="9"/>
  <c r="E213" i="9"/>
  <c r="F213" i="9"/>
  <c r="G213" i="9"/>
  <c r="I213" i="9"/>
  <c r="J213" i="9"/>
  <c r="K213" i="9"/>
  <c r="A214" i="9"/>
  <c r="C214" i="9"/>
  <c r="D214" i="9"/>
  <c r="E214" i="9"/>
  <c r="F214" i="9"/>
  <c r="G214" i="9"/>
  <c r="I214" i="9"/>
  <c r="J214" i="9"/>
  <c r="K214" i="9"/>
  <c r="A215" i="9"/>
  <c r="C215" i="9"/>
  <c r="D215" i="9"/>
  <c r="E215" i="9"/>
  <c r="F215" i="9"/>
  <c r="G215" i="9"/>
  <c r="I215" i="9"/>
  <c r="J215" i="9"/>
  <c r="K215" i="9"/>
  <c r="A216" i="9"/>
  <c r="C216" i="9"/>
  <c r="D216" i="9"/>
  <c r="E216" i="9"/>
  <c r="F216" i="9"/>
  <c r="G216" i="9"/>
  <c r="I216" i="9"/>
  <c r="J216" i="9"/>
  <c r="K216" i="9"/>
  <c r="A217" i="9"/>
  <c r="C217" i="9"/>
  <c r="D217" i="9"/>
  <c r="E217" i="9"/>
  <c r="F217" i="9"/>
  <c r="G217" i="9"/>
  <c r="I217" i="9"/>
  <c r="J217" i="9"/>
  <c r="K217" i="9"/>
  <c r="A218" i="9"/>
  <c r="C218" i="9"/>
  <c r="D218" i="9"/>
  <c r="E218" i="9"/>
  <c r="F218" i="9"/>
  <c r="G218" i="9"/>
  <c r="I218" i="9"/>
  <c r="J218" i="9"/>
  <c r="K218" i="9"/>
  <c r="A219" i="9"/>
  <c r="C219" i="9"/>
  <c r="D219" i="9"/>
  <c r="E219" i="9"/>
  <c r="F219" i="9"/>
  <c r="G219" i="9"/>
  <c r="I219" i="9"/>
  <c r="J219" i="9"/>
  <c r="K219" i="9"/>
  <c r="A220" i="9"/>
  <c r="C220" i="9"/>
  <c r="D220" i="9"/>
  <c r="E220" i="9"/>
  <c r="F220" i="9"/>
  <c r="G220" i="9"/>
  <c r="I220" i="9"/>
  <c r="J220" i="9"/>
  <c r="K220" i="9"/>
  <c r="A221" i="9"/>
  <c r="C221" i="9"/>
  <c r="D221" i="9"/>
  <c r="E221" i="9"/>
  <c r="F221" i="9"/>
  <c r="G221" i="9"/>
  <c r="I221" i="9"/>
  <c r="J221" i="9"/>
  <c r="K221" i="9"/>
  <c r="A222" i="9"/>
  <c r="C222" i="9"/>
  <c r="D222" i="9"/>
  <c r="E222" i="9"/>
  <c r="F222" i="9"/>
  <c r="G222" i="9"/>
  <c r="I222" i="9"/>
  <c r="J222" i="9"/>
  <c r="K222" i="9"/>
  <c r="A223" i="9"/>
  <c r="C223" i="9"/>
  <c r="D223" i="9"/>
  <c r="E223" i="9"/>
  <c r="F223" i="9"/>
  <c r="G223" i="9"/>
  <c r="I223" i="9"/>
  <c r="J223" i="9"/>
  <c r="K223" i="9"/>
  <c r="A224" i="9"/>
  <c r="C224" i="9"/>
  <c r="D224" i="9"/>
  <c r="E224" i="9"/>
  <c r="F224" i="9"/>
  <c r="G224" i="9"/>
  <c r="I224" i="9"/>
  <c r="J224" i="9"/>
  <c r="K224" i="9"/>
  <c r="A225" i="9"/>
  <c r="C225" i="9"/>
  <c r="D225" i="9"/>
  <c r="E225" i="9"/>
  <c r="F225" i="9"/>
  <c r="G225" i="9"/>
  <c r="I225" i="9"/>
  <c r="J225" i="9"/>
  <c r="K225" i="9"/>
  <c r="A226" i="9"/>
  <c r="C226" i="9"/>
  <c r="D226" i="9"/>
  <c r="E226" i="9"/>
  <c r="F226" i="9"/>
  <c r="G226" i="9"/>
  <c r="I226" i="9"/>
  <c r="J226" i="9"/>
  <c r="K226" i="9"/>
  <c r="A227" i="9"/>
  <c r="C227" i="9"/>
  <c r="D227" i="9"/>
  <c r="E227" i="9"/>
  <c r="F227" i="9"/>
  <c r="G227" i="9"/>
  <c r="I227" i="9"/>
  <c r="J227" i="9"/>
  <c r="K227" i="9"/>
  <c r="A228" i="9"/>
  <c r="C228" i="9"/>
  <c r="D228" i="9"/>
  <c r="E228" i="9"/>
  <c r="F228" i="9"/>
  <c r="G228" i="9"/>
  <c r="I228" i="9"/>
  <c r="J228" i="9"/>
  <c r="K228" i="9"/>
  <c r="A229" i="9"/>
  <c r="C229" i="9"/>
  <c r="D229" i="9"/>
  <c r="E229" i="9"/>
  <c r="F229" i="9"/>
  <c r="G229" i="9"/>
  <c r="I229" i="9"/>
  <c r="J229" i="9"/>
  <c r="K229" i="9"/>
  <c r="A230" i="9"/>
  <c r="C230" i="9"/>
  <c r="D230" i="9"/>
  <c r="E230" i="9"/>
  <c r="F230" i="9"/>
  <c r="G230" i="9"/>
  <c r="I230" i="9"/>
  <c r="J230" i="9"/>
  <c r="K230" i="9"/>
  <c r="A231" i="9"/>
  <c r="C231" i="9"/>
  <c r="D231" i="9"/>
  <c r="E231" i="9"/>
  <c r="F231" i="9"/>
  <c r="G231" i="9"/>
  <c r="I231" i="9"/>
  <c r="J231" i="9"/>
  <c r="K231" i="9"/>
  <c r="A232" i="9"/>
  <c r="C232" i="9"/>
  <c r="D232" i="9"/>
  <c r="E232" i="9"/>
  <c r="F232" i="9"/>
  <c r="G232" i="9"/>
  <c r="I232" i="9"/>
  <c r="J232" i="9"/>
  <c r="K232" i="9"/>
  <c r="A233" i="9"/>
  <c r="C233" i="9"/>
  <c r="D233" i="9"/>
  <c r="E233" i="9"/>
  <c r="F233" i="9"/>
  <c r="G233" i="9"/>
  <c r="I233" i="9"/>
  <c r="J233" i="9"/>
  <c r="K233" i="9"/>
  <c r="A234" i="9"/>
  <c r="C234" i="9"/>
  <c r="D234" i="9"/>
  <c r="E234" i="9"/>
  <c r="F234" i="9"/>
  <c r="G234" i="9"/>
  <c r="I234" i="9"/>
  <c r="J234" i="9"/>
  <c r="K234" i="9"/>
  <c r="A235" i="9"/>
  <c r="C235" i="9"/>
  <c r="D235" i="9"/>
  <c r="E235" i="9"/>
  <c r="F235" i="9"/>
  <c r="G235" i="9"/>
  <c r="I235" i="9"/>
  <c r="J235" i="9"/>
  <c r="K235" i="9"/>
  <c r="A236" i="9"/>
  <c r="C236" i="9"/>
  <c r="D236" i="9"/>
  <c r="E236" i="9"/>
  <c r="F236" i="9"/>
  <c r="G236" i="9"/>
  <c r="I236" i="9"/>
  <c r="J236" i="9"/>
  <c r="K236" i="9"/>
  <c r="A237" i="9"/>
  <c r="C237" i="9"/>
  <c r="D237" i="9"/>
  <c r="E237" i="9"/>
  <c r="F237" i="9"/>
  <c r="G237" i="9"/>
  <c r="I237" i="9"/>
  <c r="J237" i="9"/>
  <c r="K237" i="9"/>
  <c r="A238" i="9"/>
  <c r="C238" i="9"/>
  <c r="D238" i="9"/>
  <c r="E238" i="9"/>
  <c r="F238" i="9"/>
  <c r="G238" i="9"/>
  <c r="I238" i="9"/>
  <c r="J238" i="9"/>
  <c r="K238" i="9"/>
  <c r="A239" i="9"/>
  <c r="C239" i="9"/>
  <c r="D239" i="9"/>
  <c r="E239" i="9"/>
  <c r="F239" i="9"/>
  <c r="G239" i="9"/>
  <c r="I239" i="9"/>
  <c r="J239" i="9"/>
  <c r="K239" i="9"/>
  <c r="A240" i="9"/>
  <c r="C240" i="9"/>
  <c r="D240" i="9"/>
  <c r="E240" i="9"/>
  <c r="F240" i="9"/>
  <c r="G240" i="9"/>
  <c r="I240" i="9"/>
  <c r="J240" i="9"/>
  <c r="K240" i="9"/>
  <c r="A241" i="9"/>
  <c r="C241" i="9"/>
  <c r="D241" i="9"/>
  <c r="E241" i="9"/>
  <c r="F241" i="9"/>
  <c r="G241" i="9"/>
  <c r="I241" i="9"/>
  <c r="J241" i="9"/>
  <c r="K241" i="9"/>
  <c r="A242" i="9"/>
  <c r="C242" i="9"/>
  <c r="D242" i="9"/>
  <c r="E242" i="9"/>
  <c r="F242" i="9"/>
  <c r="G242" i="9"/>
  <c r="I242" i="9"/>
  <c r="J242" i="9"/>
  <c r="K242" i="9"/>
  <c r="A243" i="9"/>
  <c r="C243" i="9"/>
  <c r="D243" i="9"/>
  <c r="E243" i="9"/>
  <c r="F243" i="9"/>
  <c r="G243" i="9"/>
  <c r="I243" i="9"/>
  <c r="J243" i="9"/>
  <c r="K243" i="9"/>
  <c r="A244" i="9"/>
  <c r="C244" i="9"/>
  <c r="D244" i="9"/>
  <c r="E244" i="9"/>
  <c r="F244" i="9"/>
  <c r="G244" i="9"/>
  <c r="I244" i="9"/>
  <c r="J244" i="9"/>
  <c r="K244" i="9"/>
  <c r="A245" i="9"/>
  <c r="C245" i="9"/>
  <c r="D245" i="9"/>
  <c r="E245" i="9"/>
  <c r="F245" i="9"/>
  <c r="G245" i="9"/>
  <c r="I245" i="9"/>
  <c r="J245" i="9"/>
  <c r="K245" i="9"/>
  <c r="A246" i="9"/>
  <c r="C246" i="9"/>
  <c r="D246" i="9"/>
  <c r="E246" i="9"/>
  <c r="F246" i="9"/>
  <c r="G246" i="9"/>
  <c r="I246" i="9"/>
  <c r="J246" i="9"/>
  <c r="K246" i="9"/>
  <c r="A247" i="9"/>
  <c r="C247" i="9"/>
  <c r="D247" i="9"/>
  <c r="E247" i="9"/>
  <c r="F247" i="9"/>
  <c r="G247" i="9"/>
  <c r="I247" i="9"/>
  <c r="J247" i="9"/>
  <c r="K247" i="9"/>
  <c r="A248" i="9"/>
  <c r="C248" i="9"/>
  <c r="D248" i="9"/>
  <c r="E248" i="9"/>
  <c r="F248" i="9"/>
  <c r="G248" i="9"/>
  <c r="I248" i="9"/>
  <c r="J248" i="9"/>
  <c r="K248" i="9"/>
  <c r="A249" i="9"/>
  <c r="C249" i="9"/>
  <c r="D249" i="9"/>
  <c r="E249" i="9"/>
  <c r="F249" i="9"/>
  <c r="G249" i="9"/>
  <c r="I249" i="9"/>
  <c r="J249" i="9"/>
  <c r="K249" i="9"/>
  <c r="A250" i="9"/>
  <c r="C250" i="9"/>
  <c r="D250" i="9"/>
  <c r="E250" i="9"/>
  <c r="F250" i="9"/>
  <c r="G250" i="9"/>
  <c r="I250" i="9"/>
  <c r="J250" i="9"/>
  <c r="K250" i="9"/>
  <c r="A251" i="9"/>
  <c r="C251" i="9"/>
  <c r="D251" i="9"/>
  <c r="E251" i="9"/>
  <c r="F251" i="9"/>
  <c r="G251" i="9"/>
  <c r="I251" i="9"/>
  <c r="J251" i="9"/>
  <c r="K251" i="9"/>
  <c r="A252" i="9"/>
  <c r="C252" i="9"/>
  <c r="D252" i="9"/>
  <c r="E252" i="9"/>
  <c r="F252" i="9"/>
  <c r="G252" i="9"/>
  <c r="I252" i="9"/>
  <c r="J252" i="9"/>
  <c r="K252" i="9"/>
  <c r="A253" i="9"/>
  <c r="C253" i="9"/>
  <c r="D253" i="9"/>
  <c r="E253" i="9"/>
  <c r="F253" i="9"/>
  <c r="G253" i="9"/>
  <c r="I253" i="9"/>
  <c r="J253" i="9"/>
  <c r="K253" i="9"/>
  <c r="A254" i="9"/>
  <c r="C254" i="9"/>
  <c r="D254" i="9"/>
  <c r="E254" i="9"/>
  <c r="F254" i="9"/>
  <c r="G254" i="9"/>
  <c r="I254" i="9"/>
  <c r="J254" i="9"/>
  <c r="K254" i="9"/>
  <c r="A255" i="9"/>
  <c r="C255" i="9"/>
  <c r="D255" i="9"/>
  <c r="E255" i="9"/>
  <c r="F255" i="9"/>
  <c r="G255" i="9"/>
  <c r="I255" i="9"/>
  <c r="J255" i="9"/>
  <c r="K255" i="9"/>
  <c r="A256" i="9"/>
  <c r="C256" i="9"/>
  <c r="D256" i="9"/>
  <c r="E256" i="9"/>
  <c r="F256" i="9"/>
  <c r="G256" i="9"/>
  <c r="I256" i="9"/>
  <c r="J256" i="9"/>
  <c r="K256" i="9"/>
  <c r="A257" i="9"/>
  <c r="C257" i="9"/>
  <c r="D257" i="9"/>
  <c r="E257" i="9"/>
  <c r="F257" i="9"/>
  <c r="G257" i="9"/>
  <c r="I257" i="9"/>
  <c r="J257" i="9"/>
  <c r="K257" i="9"/>
  <c r="A258" i="9"/>
  <c r="C258" i="9"/>
  <c r="D258" i="9"/>
  <c r="E258" i="9"/>
  <c r="F258" i="9"/>
  <c r="G258" i="9"/>
  <c r="I258" i="9"/>
  <c r="J258" i="9"/>
  <c r="K258" i="9"/>
  <c r="A259" i="9"/>
  <c r="C259" i="9"/>
  <c r="D259" i="9"/>
  <c r="E259" i="9"/>
  <c r="F259" i="9"/>
  <c r="G259" i="9"/>
  <c r="I259" i="9"/>
  <c r="J259" i="9"/>
  <c r="K259" i="9"/>
  <c r="A260" i="9"/>
  <c r="C260" i="9"/>
  <c r="D260" i="9"/>
  <c r="E260" i="9"/>
  <c r="F260" i="9"/>
  <c r="G260" i="9"/>
  <c r="I260" i="9"/>
  <c r="J260" i="9"/>
  <c r="K260" i="9"/>
  <c r="A261" i="9"/>
  <c r="C261" i="9"/>
  <c r="D261" i="9"/>
  <c r="E261" i="9"/>
  <c r="F261" i="9"/>
  <c r="G261" i="9"/>
  <c r="I261" i="9"/>
  <c r="J261" i="9"/>
  <c r="K261" i="9"/>
  <c r="A262" i="9"/>
  <c r="C262" i="9"/>
  <c r="D262" i="9"/>
  <c r="E262" i="9"/>
  <c r="F262" i="9"/>
  <c r="G262" i="9"/>
  <c r="I262" i="9"/>
  <c r="J262" i="9"/>
  <c r="K262" i="9"/>
  <c r="A263" i="9"/>
  <c r="C263" i="9"/>
  <c r="D263" i="9"/>
  <c r="E263" i="9"/>
  <c r="F263" i="9"/>
  <c r="G263" i="9"/>
  <c r="I263" i="9"/>
  <c r="J263" i="9"/>
  <c r="K263" i="9"/>
  <c r="A264" i="9"/>
  <c r="C264" i="9"/>
  <c r="D264" i="9"/>
  <c r="E264" i="9"/>
  <c r="F264" i="9"/>
  <c r="G264" i="9"/>
  <c r="I264" i="9"/>
  <c r="J264" i="9"/>
  <c r="K264" i="9"/>
  <c r="A265" i="9"/>
  <c r="C265" i="9"/>
  <c r="D265" i="9"/>
  <c r="E265" i="9"/>
  <c r="F265" i="9"/>
  <c r="G265" i="9"/>
  <c r="I265" i="9"/>
  <c r="J265" i="9"/>
  <c r="K265" i="9"/>
  <c r="A266" i="9"/>
  <c r="C266" i="9"/>
  <c r="D266" i="9"/>
  <c r="E266" i="9"/>
  <c r="F266" i="9"/>
  <c r="G266" i="9"/>
  <c r="I266" i="9"/>
  <c r="J266" i="9"/>
  <c r="K266" i="9"/>
  <c r="A267" i="9"/>
  <c r="C267" i="9"/>
  <c r="D267" i="9"/>
  <c r="E267" i="9"/>
  <c r="F267" i="9"/>
  <c r="G267" i="9"/>
  <c r="I267" i="9"/>
  <c r="J267" i="9"/>
  <c r="K267" i="9"/>
  <c r="A268" i="9"/>
  <c r="C268" i="9"/>
  <c r="D268" i="9"/>
  <c r="E268" i="9"/>
  <c r="F268" i="9"/>
  <c r="G268" i="9"/>
  <c r="I268" i="9"/>
  <c r="J268" i="9"/>
  <c r="K268" i="9"/>
  <c r="A269" i="9"/>
  <c r="C269" i="9"/>
  <c r="D269" i="9"/>
  <c r="E269" i="9"/>
  <c r="F269" i="9"/>
  <c r="G269" i="9"/>
  <c r="I269" i="9"/>
  <c r="J269" i="9"/>
  <c r="K269" i="9"/>
  <c r="A270" i="9"/>
  <c r="C270" i="9"/>
  <c r="D270" i="9"/>
  <c r="E270" i="9"/>
  <c r="F270" i="9"/>
  <c r="G270" i="9"/>
  <c r="I270" i="9"/>
  <c r="J270" i="9"/>
  <c r="K270" i="9"/>
  <c r="A271" i="9"/>
  <c r="C271" i="9"/>
  <c r="D271" i="9"/>
  <c r="E271" i="9"/>
  <c r="F271" i="9"/>
  <c r="G271" i="9"/>
  <c r="I271" i="9"/>
  <c r="J271" i="9"/>
  <c r="K271" i="9"/>
  <c r="A272" i="9"/>
  <c r="C272" i="9"/>
  <c r="D272" i="9"/>
  <c r="E272" i="9"/>
  <c r="F272" i="9"/>
  <c r="G272" i="9"/>
  <c r="I272" i="9"/>
  <c r="J272" i="9"/>
  <c r="K272" i="9"/>
  <c r="A273" i="9"/>
  <c r="C273" i="9"/>
  <c r="D273" i="9"/>
  <c r="E273" i="9"/>
  <c r="F273" i="9"/>
  <c r="G273" i="9"/>
  <c r="I273" i="9"/>
  <c r="J273" i="9"/>
  <c r="K273" i="9"/>
  <c r="A274" i="9"/>
  <c r="C274" i="9"/>
  <c r="D274" i="9"/>
  <c r="E274" i="9"/>
  <c r="F274" i="9"/>
  <c r="G274" i="9"/>
  <c r="I274" i="9"/>
  <c r="J274" i="9"/>
  <c r="K274" i="9"/>
  <c r="A275" i="9"/>
  <c r="C275" i="9"/>
  <c r="D275" i="9"/>
  <c r="E275" i="9"/>
  <c r="F275" i="9"/>
  <c r="G275" i="9"/>
  <c r="I275" i="9"/>
  <c r="J275" i="9"/>
  <c r="K275" i="9"/>
  <c r="A276" i="9"/>
  <c r="C276" i="9"/>
  <c r="D276" i="9"/>
  <c r="E276" i="9"/>
  <c r="F276" i="9"/>
  <c r="G276" i="9"/>
  <c r="I276" i="9"/>
  <c r="J276" i="9"/>
  <c r="K276" i="9"/>
  <c r="A277" i="9"/>
  <c r="C277" i="9"/>
  <c r="D277" i="9"/>
  <c r="E277" i="9"/>
  <c r="F277" i="9"/>
  <c r="G277" i="9"/>
  <c r="I277" i="9"/>
  <c r="J277" i="9"/>
  <c r="K277" i="9"/>
  <c r="A278" i="9"/>
  <c r="C278" i="9"/>
  <c r="D278" i="9"/>
  <c r="E278" i="9"/>
  <c r="F278" i="9"/>
  <c r="G278" i="9"/>
  <c r="I278" i="9"/>
  <c r="J278" i="9"/>
  <c r="K278" i="9"/>
  <c r="A279" i="9"/>
  <c r="C279" i="9"/>
  <c r="D279" i="9"/>
  <c r="E279" i="9"/>
  <c r="F279" i="9"/>
  <c r="G279" i="9"/>
  <c r="I279" i="9"/>
  <c r="J279" i="9"/>
  <c r="K279" i="9"/>
  <c r="A280" i="9"/>
  <c r="C280" i="9"/>
  <c r="D280" i="9"/>
  <c r="E280" i="9"/>
  <c r="F280" i="9"/>
  <c r="G280" i="9"/>
  <c r="I280" i="9"/>
  <c r="J280" i="9"/>
  <c r="K280" i="9"/>
  <c r="A281" i="9"/>
  <c r="C281" i="9"/>
  <c r="D281" i="9"/>
  <c r="E281" i="9"/>
  <c r="F281" i="9"/>
  <c r="G281" i="9"/>
  <c r="I281" i="9"/>
  <c r="J281" i="9"/>
  <c r="K281" i="9"/>
  <c r="A282" i="9"/>
  <c r="C282" i="9"/>
  <c r="D282" i="9"/>
  <c r="E282" i="9"/>
  <c r="F282" i="9"/>
  <c r="G282" i="9"/>
  <c r="I282" i="9"/>
  <c r="J282" i="9"/>
  <c r="K282" i="9"/>
  <c r="A283" i="9"/>
  <c r="C283" i="9"/>
  <c r="D283" i="9"/>
  <c r="E283" i="9"/>
  <c r="F283" i="9"/>
  <c r="G283" i="9"/>
  <c r="I283" i="9"/>
  <c r="J283" i="9"/>
  <c r="K283" i="9"/>
  <c r="A284" i="9"/>
  <c r="C284" i="9"/>
  <c r="D284" i="9"/>
  <c r="E284" i="9"/>
  <c r="F284" i="9"/>
  <c r="G284" i="9"/>
  <c r="I284" i="9"/>
  <c r="J284" i="9"/>
  <c r="K284" i="9"/>
  <c r="A285" i="9"/>
  <c r="C285" i="9"/>
  <c r="D285" i="9"/>
  <c r="E285" i="9"/>
  <c r="F285" i="9"/>
  <c r="G285" i="9"/>
  <c r="I285" i="9"/>
  <c r="J285" i="9"/>
  <c r="K285" i="9"/>
  <c r="A286" i="9"/>
  <c r="C286" i="9"/>
  <c r="D286" i="9"/>
  <c r="E286" i="9"/>
  <c r="F286" i="9"/>
  <c r="G286" i="9"/>
  <c r="I286" i="9"/>
  <c r="J286" i="9"/>
  <c r="K286" i="9"/>
  <c r="A287" i="9"/>
  <c r="C287" i="9"/>
  <c r="D287" i="9"/>
  <c r="E287" i="9"/>
  <c r="F287" i="9"/>
  <c r="G287" i="9"/>
  <c r="I287" i="9"/>
  <c r="J287" i="9"/>
  <c r="K287" i="9"/>
  <c r="A288" i="9"/>
  <c r="C288" i="9"/>
  <c r="D288" i="9"/>
  <c r="E288" i="9"/>
  <c r="F288" i="9"/>
  <c r="G288" i="9"/>
  <c r="I288" i="9"/>
  <c r="J288" i="9"/>
  <c r="K288" i="9"/>
  <c r="A289" i="9"/>
  <c r="C289" i="9"/>
  <c r="D289" i="9"/>
  <c r="E289" i="9"/>
  <c r="F289" i="9"/>
  <c r="G289" i="9"/>
  <c r="I289" i="9"/>
  <c r="J289" i="9"/>
  <c r="K289" i="9"/>
  <c r="A290" i="9"/>
  <c r="C290" i="9"/>
  <c r="D290" i="9"/>
  <c r="E290" i="9"/>
  <c r="F290" i="9"/>
  <c r="G290" i="9"/>
  <c r="I290" i="9"/>
  <c r="J290" i="9"/>
  <c r="K290" i="9"/>
  <c r="A291" i="9"/>
  <c r="C291" i="9"/>
  <c r="D291" i="9"/>
  <c r="E291" i="9"/>
  <c r="F291" i="9"/>
  <c r="G291" i="9"/>
  <c r="I291" i="9"/>
  <c r="J291" i="9"/>
  <c r="K291" i="9"/>
  <c r="A292" i="9"/>
  <c r="C292" i="9"/>
  <c r="D292" i="9"/>
  <c r="E292" i="9"/>
  <c r="F292" i="9"/>
  <c r="G292" i="9"/>
  <c r="I292" i="9"/>
  <c r="J292" i="9"/>
  <c r="K292" i="9"/>
  <c r="A293" i="9"/>
  <c r="C293" i="9"/>
  <c r="D293" i="9"/>
  <c r="E293" i="9"/>
  <c r="F293" i="9"/>
  <c r="G293" i="9"/>
  <c r="I293" i="9"/>
  <c r="J293" i="9"/>
  <c r="K293" i="9"/>
  <c r="A294" i="9"/>
  <c r="C294" i="9"/>
  <c r="D294" i="9"/>
  <c r="E294" i="9"/>
  <c r="F294" i="9"/>
  <c r="G294" i="9"/>
  <c r="I294" i="9"/>
  <c r="J294" i="9"/>
  <c r="K294" i="9"/>
  <c r="A295" i="9"/>
  <c r="C295" i="9"/>
  <c r="D295" i="9"/>
  <c r="E295" i="9"/>
  <c r="F295" i="9"/>
  <c r="G295" i="9"/>
  <c r="I295" i="9"/>
  <c r="J295" i="9"/>
  <c r="K295" i="9"/>
  <c r="A296" i="9"/>
  <c r="C296" i="9"/>
  <c r="D296" i="9"/>
  <c r="E296" i="9"/>
  <c r="F296" i="9"/>
  <c r="G296" i="9"/>
  <c r="I296" i="9"/>
  <c r="J296" i="9"/>
  <c r="K296" i="9"/>
  <c r="A297" i="9"/>
  <c r="C297" i="9"/>
  <c r="D297" i="9"/>
  <c r="E297" i="9"/>
  <c r="F297" i="9"/>
  <c r="G297" i="9"/>
  <c r="I297" i="9"/>
  <c r="J297" i="9"/>
  <c r="K297" i="9"/>
  <c r="A298" i="9"/>
  <c r="C298" i="9"/>
  <c r="D298" i="9"/>
  <c r="E298" i="9"/>
  <c r="F298" i="9"/>
  <c r="G298" i="9"/>
  <c r="I298" i="9"/>
  <c r="J298" i="9"/>
  <c r="K298" i="9"/>
  <c r="A299" i="9"/>
  <c r="C299" i="9"/>
  <c r="D299" i="9"/>
  <c r="E299" i="9"/>
  <c r="F299" i="9"/>
  <c r="G299" i="9"/>
  <c r="I299" i="9"/>
  <c r="J299" i="9"/>
  <c r="K299" i="9"/>
  <c r="A300" i="9"/>
  <c r="C300" i="9"/>
  <c r="D300" i="9"/>
  <c r="E300" i="9"/>
  <c r="F300" i="9"/>
  <c r="G300" i="9"/>
  <c r="I300" i="9"/>
  <c r="J300" i="9"/>
  <c r="K300" i="9"/>
  <c r="A301" i="9"/>
  <c r="C301" i="9"/>
  <c r="D301" i="9"/>
  <c r="E301" i="9"/>
  <c r="F301" i="9"/>
  <c r="G301" i="9"/>
  <c r="I301" i="9"/>
  <c r="J301" i="9"/>
  <c r="K301" i="9"/>
  <c r="A302" i="9"/>
  <c r="C302" i="9"/>
  <c r="D302" i="9"/>
  <c r="E302" i="9"/>
  <c r="F302" i="9"/>
  <c r="G302" i="9"/>
  <c r="I302" i="9"/>
  <c r="J302" i="9"/>
  <c r="K302" i="9"/>
  <c r="A303" i="9"/>
  <c r="C303" i="9"/>
  <c r="D303" i="9"/>
  <c r="E303" i="9"/>
  <c r="F303" i="9"/>
  <c r="G303" i="9"/>
  <c r="I303" i="9"/>
  <c r="J303" i="9"/>
  <c r="K303" i="9"/>
  <c r="A304" i="9"/>
  <c r="C304" i="9"/>
  <c r="D304" i="9"/>
  <c r="E304" i="9"/>
  <c r="F304" i="9"/>
  <c r="G304" i="9"/>
  <c r="I304" i="9"/>
  <c r="J304" i="9"/>
  <c r="K304" i="9"/>
  <c r="A305" i="9"/>
  <c r="C305" i="9"/>
  <c r="D305" i="9"/>
  <c r="E305" i="9"/>
  <c r="F305" i="9"/>
  <c r="G305" i="9"/>
  <c r="I305" i="9"/>
  <c r="J305" i="9"/>
  <c r="K305" i="9"/>
  <c r="A306" i="9"/>
  <c r="C306" i="9"/>
  <c r="D306" i="9"/>
  <c r="E306" i="9"/>
  <c r="F306" i="9"/>
  <c r="G306" i="9"/>
  <c r="I306" i="9"/>
  <c r="J306" i="9"/>
  <c r="K306" i="9"/>
  <c r="A307" i="9"/>
  <c r="C307" i="9"/>
  <c r="D307" i="9"/>
  <c r="E307" i="9"/>
  <c r="F307" i="9"/>
  <c r="G307" i="9"/>
  <c r="I307" i="9"/>
  <c r="J307" i="9"/>
  <c r="K307" i="9"/>
  <c r="A308" i="9"/>
  <c r="C308" i="9"/>
  <c r="D308" i="9"/>
  <c r="E308" i="9"/>
  <c r="F308" i="9"/>
  <c r="G308" i="9"/>
  <c r="I308" i="9"/>
  <c r="J308" i="9"/>
  <c r="K308" i="9"/>
  <c r="A309" i="9"/>
  <c r="C309" i="9"/>
  <c r="D309" i="9"/>
  <c r="E309" i="9"/>
  <c r="F309" i="9"/>
  <c r="G309" i="9"/>
  <c r="I309" i="9"/>
  <c r="J309" i="9"/>
  <c r="K309" i="9"/>
  <c r="A310" i="9"/>
  <c r="C310" i="9"/>
  <c r="D310" i="9"/>
  <c r="E310" i="9"/>
  <c r="F310" i="9"/>
  <c r="G310" i="9"/>
  <c r="I310" i="9"/>
  <c r="J310" i="9"/>
  <c r="K310" i="9"/>
  <c r="A311" i="9"/>
  <c r="C311" i="9"/>
  <c r="D311" i="9"/>
  <c r="E311" i="9"/>
  <c r="F311" i="9"/>
  <c r="G311" i="9"/>
  <c r="I311" i="9"/>
  <c r="J311" i="9"/>
  <c r="K311" i="9"/>
  <c r="A312" i="9"/>
  <c r="C312" i="9"/>
  <c r="D312" i="9"/>
  <c r="E312" i="9"/>
  <c r="F312" i="9"/>
  <c r="G312" i="9"/>
  <c r="I312" i="9"/>
  <c r="J312" i="9"/>
  <c r="K312" i="9"/>
  <c r="A313" i="9"/>
  <c r="C313" i="9"/>
  <c r="D313" i="9"/>
  <c r="E313" i="9"/>
  <c r="F313" i="9"/>
  <c r="G313" i="9"/>
  <c r="I313" i="9"/>
  <c r="J313" i="9"/>
  <c r="K313" i="9"/>
  <c r="A314" i="9"/>
  <c r="C314" i="9"/>
  <c r="D314" i="9"/>
  <c r="E314" i="9"/>
  <c r="F314" i="9"/>
  <c r="G314" i="9"/>
  <c r="I314" i="9"/>
  <c r="J314" i="9"/>
  <c r="K314" i="9"/>
  <c r="A315" i="9"/>
  <c r="C315" i="9"/>
  <c r="D315" i="9"/>
  <c r="E315" i="9"/>
  <c r="F315" i="9"/>
  <c r="G315" i="9"/>
  <c r="I315" i="9"/>
  <c r="J315" i="9"/>
  <c r="K315" i="9"/>
  <c r="A316" i="9"/>
  <c r="C316" i="9"/>
  <c r="D316" i="9"/>
  <c r="E316" i="9"/>
  <c r="F316" i="9"/>
  <c r="G316" i="9"/>
  <c r="I316" i="9"/>
  <c r="J316" i="9"/>
  <c r="K316" i="9"/>
  <c r="A317" i="9"/>
  <c r="C317" i="9"/>
  <c r="D317" i="9"/>
  <c r="E317" i="9"/>
  <c r="F317" i="9"/>
  <c r="G317" i="9"/>
  <c r="I317" i="9"/>
  <c r="J317" i="9"/>
  <c r="K317" i="9"/>
  <c r="A318" i="9"/>
  <c r="C318" i="9"/>
  <c r="D318" i="9"/>
  <c r="E318" i="9"/>
  <c r="F318" i="9"/>
  <c r="G318" i="9"/>
  <c r="I318" i="9"/>
  <c r="J318" i="9"/>
  <c r="K318" i="9"/>
  <c r="A319" i="9"/>
  <c r="C319" i="9"/>
  <c r="D319" i="9"/>
  <c r="E319" i="9"/>
  <c r="F319" i="9"/>
  <c r="G319" i="9"/>
  <c r="I319" i="9"/>
  <c r="J319" i="9"/>
  <c r="K319" i="9"/>
  <c r="A320" i="9"/>
  <c r="C320" i="9"/>
  <c r="D320" i="9"/>
  <c r="E320" i="9"/>
  <c r="F320" i="9"/>
  <c r="G320" i="9"/>
  <c r="I320" i="9"/>
  <c r="J320" i="9"/>
  <c r="K320" i="9"/>
  <c r="A321" i="9"/>
  <c r="C321" i="9"/>
  <c r="D321" i="9"/>
  <c r="E321" i="9"/>
  <c r="F321" i="9"/>
  <c r="G321" i="9"/>
  <c r="I321" i="9"/>
  <c r="J321" i="9"/>
  <c r="K321" i="9"/>
  <c r="A322" i="9"/>
  <c r="C322" i="9"/>
  <c r="D322" i="9"/>
  <c r="E322" i="9"/>
  <c r="F322" i="9"/>
  <c r="G322" i="9"/>
  <c r="I322" i="9"/>
  <c r="J322" i="9"/>
  <c r="K322" i="9"/>
  <c r="A323" i="9"/>
  <c r="C323" i="9"/>
  <c r="D323" i="9"/>
  <c r="E323" i="9"/>
  <c r="F323" i="9"/>
  <c r="G323" i="9"/>
  <c r="I323" i="9"/>
  <c r="J323" i="9"/>
  <c r="K323" i="9"/>
  <c r="A324" i="9"/>
  <c r="C324" i="9"/>
  <c r="D324" i="9"/>
  <c r="E324" i="9"/>
  <c r="F324" i="9"/>
  <c r="G324" i="9"/>
  <c r="I324" i="9"/>
  <c r="J324" i="9"/>
  <c r="K324" i="9"/>
  <c r="A325" i="9"/>
  <c r="C325" i="9"/>
  <c r="D325" i="9"/>
  <c r="E325" i="9"/>
  <c r="F325" i="9"/>
  <c r="G325" i="9"/>
  <c r="I325" i="9"/>
  <c r="J325" i="9"/>
  <c r="K325" i="9"/>
  <c r="A326" i="9"/>
  <c r="C326" i="9"/>
  <c r="D326" i="9"/>
  <c r="E326" i="9"/>
  <c r="F326" i="9"/>
  <c r="G326" i="9"/>
  <c r="I326" i="9"/>
  <c r="J326" i="9"/>
  <c r="K326" i="9"/>
  <c r="A327" i="9"/>
  <c r="C327" i="9"/>
  <c r="D327" i="9"/>
  <c r="E327" i="9"/>
  <c r="F327" i="9"/>
  <c r="G327" i="9"/>
  <c r="I327" i="9"/>
  <c r="J327" i="9"/>
  <c r="K327" i="9"/>
  <c r="A328" i="9"/>
  <c r="C328" i="9"/>
  <c r="D328" i="9"/>
  <c r="E328" i="9"/>
  <c r="F328" i="9"/>
  <c r="G328" i="9"/>
  <c r="I328" i="9"/>
  <c r="J328" i="9"/>
  <c r="K328" i="9"/>
  <c r="A329" i="9"/>
  <c r="C329" i="9"/>
  <c r="D329" i="9"/>
  <c r="E329" i="9"/>
  <c r="F329" i="9"/>
  <c r="G329" i="9"/>
  <c r="I329" i="9"/>
  <c r="J329" i="9"/>
  <c r="K329" i="9"/>
  <c r="A330" i="9"/>
  <c r="C330" i="9"/>
  <c r="D330" i="9"/>
  <c r="E330" i="9"/>
  <c r="F330" i="9"/>
  <c r="G330" i="9"/>
  <c r="I330" i="9"/>
  <c r="J330" i="9"/>
  <c r="K330" i="9"/>
  <c r="A331" i="9"/>
  <c r="C331" i="9"/>
  <c r="D331" i="9"/>
  <c r="E331" i="9"/>
  <c r="F331" i="9"/>
  <c r="G331" i="9"/>
  <c r="I331" i="9"/>
  <c r="J331" i="9"/>
  <c r="K331" i="9"/>
  <c r="A332" i="9"/>
  <c r="C332" i="9"/>
  <c r="D332" i="9"/>
  <c r="E332" i="9"/>
  <c r="F332" i="9"/>
  <c r="G332" i="9"/>
  <c r="I332" i="9"/>
  <c r="J332" i="9"/>
  <c r="K332" i="9"/>
  <c r="A333" i="9"/>
  <c r="C333" i="9"/>
  <c r="D333" i="9"/>
  <c r="E333" i="9"/>
  <c r="F333" i="9"/>
  <c r="G333" i="9"/>
  <c r="I333" i="9"/>
  <c r="J333" i="9"/>
  <c r="K333" i="9"/>
  <c r="A334" i="9"/>
  <c r="C334" i="9"/>
  <c r="D334" i="9"/>
  <c r="E334" i="9"/>
  <c r="F334" i="9"/>
  <c r="G334" i="9"/>
  <c r="I334" i="9"/>
  <c r="J334" i="9"/>
  <c r="K334" i="9"/>
  <c r="A335" i="9"/>
  <c r="C335" i="9"/>
  <c r="D335" i="9"/>
  <c r="E335" i="9"/>
  <c r="F335" i="9"/>
  <c r="G335" i="9"/>
  <c r="I335" i="9"/>
  <c r="J335" i="9"/>
  <c r="K335" i="9"/>
  <c r="A336" i="9"/>
  <c r="C336" i="9"/>
  <c r="D336" i="9"/>
  <c r="E336" i="9"/>
  <c r="F336" i="9"/>
  <c r="G336" i="9"/>
  <c r="I336" i="9"/>
  <c r="J336" i="9"/>
  <c r="K336" i="9"/>
  <c r="A337" i="9"/>
  <c r="C337" i="9"/>
  <c r="D337" i="9"/>
  <c r="E337" i="9"/>
  <c r="F337" i="9"/>
  <c r="G337" i="9"/>
  <c r="I337" i="9"/>
  <c r="J337" i="9"/>
  <c r="K337" i="9"/>
  <c r="A338" i="9"/>
  <c r="C338" i="9"/>
  <c r="D338" i="9"/>
  <c r="E338" i="9"/>
  <c r="F338" i="9"/>
  <c r="G338" i="9"/>
  <c r="I338" i="9"/>
  <c r="J338" i="9"/>
  <c r="K338" i="9"/>
  <c r="A339" i="9"/>
  <c r="C339" i="9"/>
  <c r="D339" i="9"/>
  <c r="E339" i="9"/>
  <c r="F339" i="9"/>
  <c r="G339" i="9"/>
  <c r="I339" i="9"/>
  <c r="J339" i="9"/>
  <c r="K339" i="9"/>
  <c r="A340" i="9"/>
  <c r="C340" i="9"/>
  <c r="D340" i="9"/>
  <c r="E340" i="9"/>
  <c r="F340" i="9"/>
  <c r="G340" i="9"/>
  <c r="I340" i="9"/>
  <c r="J340" i="9"/>
  <c r="K340" i="9"/>
  <c r="A341" i="9"/>
  <c r="C341" i="9"/>
  <c r="D341" i="9"/>
  <c r="E341" i="9"/>
  <c r="F341" i="9"/>
  <c r="G341" i="9"/>
  <c r="I341" i="9"/>
  <c r="J341" i="9"/>
  <c r="K341" i="9"/>
  <c r="A342" i="9"/>
  <c r="C342" i="9"/>
  <c r="D342" i="9"/>
  <c r="E342" i="9"/>
  <c r="F342" i="9"/>
  <c r="G342" i="9"/>
  <c r="I342" i="9"/>
  <c r="J342" i="9"/>
  <c r="K342" i="9"/>
  <c r="A343" i="9"/>
  <c r="C343" i="9"/>
  <c r="D343" i="9"/>
  <c r="E343" i="9"/>
  <c r="F343" i="9"/>
  <c r="G343" i="9"/>
  <c r="I343" i="9"/>
  <c r="J343" i="9"/>
  <c r="K343" i="9"/>
  <c r="A344" i="9"/>
  <c r="C344" i="9"/>
  <c r="D344" i="9"/>
  <c r="E344" i="9"/>
  <c r="F344" i="9"/>
  <c r="G344" i="9"/>
  <c r="I344" i="9"/>
  <c r="J344" i="9"/>
  <c r="K344" i="9"/>
  <c r="A345" i="9"/>
  <c r="C345" i="9"/>
  <c r="D345" i="9"/>
  <c r="E345" i="9"/>
  <c r="F345" i="9"/>
  <c r="G345" i="9"/>
  <c r="I345" i="9"/>
  <c r="J345" i="9"/>
  <c r="K345" i="9"/>
  <c r="A346" i="9"/>
  <c r="C346" i="9"/>
  <c r="D346" i="9"/>
  <c r="E346" i="9"/>
  <c r="F346" i="9"/>
  <c r="G346" i="9"/>
  <c r="I346" i="9"/>
  <c r="J346" i="9"/>
  <c r="K346" i="9"/>
  <c r="A347" i="9"/>
  <c r="C347" i="9"/>
  <c r="D347" i="9"/>
  <c r="E347" i="9"/>
  <c r="F347" i="9"/>
  <c r="G347" i="9"/>
  <c r="I347" i="9"/>
  <c r="J347" i="9"/>
  <c r="K347" i="9"/>
  <c r="A348" i="9"/>
  <c r="C348" i="9"/>
  <c r="D348" i="9"/>
  <c r="E348" i="9"/>
  <c r="F348" i="9"/>
  <c r="G348" i="9"/>
  <c r="I348" i="9"/>
  <c r="J348" i="9"/>
  <c r="K348" i="9"/>
  <c r="A349" i="9"/>
  <c r="C349" i="9"/>
  <c r="D349" i="9"/>
  <c r="E349" i="9"/>
  <c r="F349" i="9"/>
  <c r="G349" i="9"/>
  <c r="I349" i="9"/>
  <c r="J349" i="9"/>
  <c r="K349" i="9"/>
  <c r="A350" i="9"/>
  <c r="C350" i="9"/>
  <c r="D350" i="9"/>
  <c r="E350" i="9"/>
  <c r="F350" i="9"/>
  <c r="G350" i="9"/>
  <c r="I350" i="9"/>
  <c r="J350" i="9"/>
  <c r="K350" i="9"/>
  <c r="A351" i="9"/>
  <c r="C351" i="9"/>
  <c r="D351" i="9"/>
  <c r="E351" i="9"/>
  <c r="F351" i="9"/>
  <c r="G351" i="9"/>
  <c r="I351" i="9"/>
  <c r="J351" i="9"/>
  <c r="K351" i="9"/>
  <c r="A352" i="9"/>
  <c r="C352" i="9"/>
  <c r="D352" i="9"/>
  <c r="E352" i="9"/>
  <c r="F352" i="9"/>
  <c r="G352" i="9"/>
  <c r="I352" i="9"/>
  <c r="J352" i="9"/>
  <c r="K352" i="9"/>
  <c r="A353" i="9"/>
  <c r="C353" i="9"/>
  <c r="D353" i="9"/>
  <c r="E353" i="9"/>
  <c r="F353" i="9"/>
  <c r="G353" i="9"/>
  <c r="I353" i="9"/>
  <c r="J353" i="9"/>
  <c r="K353" i="9"/>
  <c r="A354" i="9"/>
  <c r="C354" i="9"/>
  <c r="D354" i="9"/>
  <c r="E354" i="9"/>
  <c r="F354" i="9"/>
  <c r="G354" i="9"/>
  <c r="I354" i="9"/>
  <c r="J354" i="9"/>
  <c r="K354" i="9"/>
  <c r="A355" i="9"/>
  <c r="C355" i="9"/>
  <c r="D355" i="9"/>
  <c r="E355" i="9"/>
  <c r="F355" i="9"/>
  <c r="G355" i="9"/>
  <c r="I355" i="9"/>
  <c r="J355" i="9"/>
  <c r="K355" i="9"/>
  <c r="A356" i="9"/>
  <c r="C356" i="9"/>
  <c r="D356" i="9"/>
  <c r="E356" i="9"/>
  <c r="F356" i="9"/>
  <c r="G356" i="9"/>
  <c r="I356" i="9"/>
  <c r="J356" i="9"/>
  <c r="K356" i="9"/>
  <c r="A357" i="9"/>
  <c r="C357" i="9"/>
  <c r="D357" i="9"/>
  <c r="E357" i="9"/>
  <c r="F357" i="9"/>
  <c r="G357" i="9"/>
  <c r="I357" i="9"/>
  <c r="J357" i="9"/>
  <c r="K357" i="9"/>
  <c r="A358" i="9"/>
  <c r="C358" i="9"/>
  <c r="D358" i="9"/>
  <c r="E358" i="9"/>
  <c r="F358" i="9"/>
  <c r="G358" i="9"/>
  <c r="I358" i="9"/>
  <c r="J358" i="9"/>
  <c r="K358" i="9"/>
  <c r="A359" i="9"/>
  <c r="C359" i="9"/>
  <c r="D359" i="9"/>
  <c r="E359" i="9"/>
  <c r="F359" i="9"/>
  <c r="G359" i="9"/>
  <c r="I359" i="9"/>
  <c r="J359" i="9"/>
  <c r="K359" i="9"/>
  <c r="A360" i="9"/>
  <c r="C360" i="9"/>
  <c r="D360" i="9"/>
  <c r="E360" i="9"/>
  <c r="F360" i="9"/>
  <c r="G360" i="9"/>
  <c r="I360" i="9"/>
  <c r="J360" i="9"/>
  <c r="K360" i="9"/>
  <c r="A361" i="9"/>
  <c r="C361" i="9"/>
  <c r="D361" i="9"/>
  <c r="E361" i="9"/>
  <c r="F361" i="9"/>
  <c r="G361" i="9"/>
  <c r="I361" i="9"/>
  <c r="J361" i="9"/>
  <c r="K361" i="9"/>
  <c r="A362" i="9"/>
  <c r="C362" i="9"/>
  <c r="D362" i="9"/>
  <c r="E362" i="9"/>
  <c r="F362" i="9"/>
  <c r="G362" i="9"/>
  <c r="I362" i="9"/>
  <c r="J362" i="9"/>
  <c r="K362" i="9"/>
  <c r="A363" i="9"/>
  <c r="C363" i="9"/>
  <c r="D363" i="9"/>
  <c r="E363" i="9"/>
  <c r="F363" i="9"/>
  <c r="G363" i="9"/>
  <c r="I363" i="9"/>
  <c r="J363" i="9"/>
  <c r="K363" i="9"/>
  <c r="A364" i="9"/>
  <c r="C364" i="9"/>
  <c r="D364" i="9"/>
  <c r="E364" i="9"/>
  <c r="F364" i="9"/>
  <c r="G364" i="9"/>
  <c r="I364" i="9"/>
  <c r="J364" i="9"/>
  <c r="K364" i="9"/>
  <c r="A365" i="9"/>
  <c r="C365" i="9"/>
  <c r="D365" i="9"/>
  <c r="E365" i="9"/>
  <c r="F365" i="9"/>
  <c r="G365" i="9"/>
  <c r="I365" i="9"/>
  <c r="J365" i="9"/>
  <c r="K365" i="9"/>
  <c r="A366" i="9"/>
  <c r="C366" i="9"/>
  <c r="D366" i="9"/>
  <c r="E366" i="9"/>
  <c r="F366" i="9"/>
  <c r="G366" i="9"/>
  <c r="I366" i="9"/>
  <c r="J366" i="9"/>
  <c r="K366" i="9"/>
  <c r="A367" i="9"/>
  <c r="C367" i="9"/>
  <c r="D367" i="9"/>
  <c r="E367" i="9"/>
  <c r="F367" i="9"/>
  <c r="G367" i="9"/>
  <c r="I367" i="9"/>
  <c r="J367" i="9"/>
  <c r="K367" i="9"/>
  <c r="A368" i="9"/>
  <c r="C368" i="9"/>
  <c r="D368" i="9"/>
  <c r="E368" i="9"/>
  <c r="F368" i="9"/>
  <c r="G368" i="9"/>
  <c r="I368" i="9"/>
  <c r="J368" i="9"/>
  <c r="K368" i="9"/>
  <c r="A369" i="9"/>
  <c r="C369" i="9"/>
  <c r="D369" i="9"/>
  <c r="E369" i="9"/>
  <c r="F369" i="9"/>
  <c r="G369" i="9"/>
  <c r="I369" i="9"/>
  <c r="J369" i="9"/>
  <c r="K369" i="9"/>
  <c r="A370" i="9"/>
  <c r="C370" i="9"/>
  <c r="D370" i="9"/>
  <c r="E370" i="9"/>
  <c r="F370" i="9"/>
  <c r="G370" i="9"/>
  <c r="I370" i="9"/>
  <c r="J370" i="9"/>
  <c r="K370" i="9"/>
  <c r="A371" i="9"/>
  <c r="C371" i="9"/>
  <c r="D371" i="9"/>
  <c r="E371" i="9"/>
  <c r="F371" i="9"/>
  <c r="G371" i="9"/>
  <c r="I371" i="9"/>
  <c r="J371" i="9"/>
  <c r="K371" i="9"/>
  <c r="A372" i="9"/>
  <c r="C372" i="9"/>
  <c r="D372" i="9"/>
  <c r="E372" i="9"/>
  <c r="F372" i="9"/>
  <c r="G372" i="9"/>
  <c r="I372" i="9"/>
  <c r="J372" i="9"/>
  <c r="K372" i="9"/>
  <c r="A373" i="9"/>
  <c r="C373" i="9"/>
  <c r="D373" i="9"/>
  <c r="E373" i="9"/>
  <c r="F373" i="9"/>
  <c r="G373" i="9"/>
  <c r="I373" i="9"/>
  <c r="J373" i="9"/>
  <c r="K373" i="9"/>
  <c r="A374" i="9"/>
  <c r="C374" i="9"/>
  <c r="D374" i="9"/>
  <c r="E374" i="9"/>
  <c r="F374" i="9"/>
  <c r="G374" i="9"/>
  <c r="I374" i="9"/>
  <c r="J374" i="9"/>
  <c r="K374" i="9"/>
  <c r="A375" i="9"/>
  <c r="C375" i="9"/>
  <c r="D375" i="9"/>
  <c r="E375" i="9"/>
  <c r="F375" i="9"/>
  <c r="G375" i="9"/>
  <c r="I375" i="9"/>
  <c r="J375" i="9"/>
  <c r="K375" i="9"/>
  <c r="A376" i="9"/>
  <c r="C376" i="9"/>
  <c r="D376" i="9"/>
  <c r="E376" i="9"/>
  <c r="F376" i="9"/>
  <c r="G376" i="9"/>
  <c r="I376" i="9"/>
  <c r="J376" i="9"/>
  <c r="K376" i="9"/>
  <c r="A377" i="9"/>
  <c r="C377" i="9"/>
  <c r="D377" i="9"/>
  <c r="E377" i="9"/>
  <c r="F377" i="9"/>
  <c r="G377" i="9"/>
  <c r="I377" i="9"/>
  <c r="J377" i="9"/>
  <c r="K377" i="9"/>
  <c r="A378" i="9"/>
  <c r="C378" i="9"/>
  <c r="D378" i="9"/>
  <c r="E378" i="9"/>
  <c r="F378" i="9"/>
  <c r="G378" i="9"/>
  <c r="I378" i="9"/>
  <c r="J378" i="9"/>
  <c r="K378" i="9"/>
  <c r="A379" i="9"/>
  <c r="C379" i="9"/>
  <c r="D379" i="9"/>
  <c r="E379" i="9"/>
  <c r="F379" i="9"/>
  <c r="G379" i="9"/>
  <c r="I379" i="9"/>
  <c r="J379" i="9"/>
  <c r="K379" i="9"/>
  <c r="A380" i="9"/>
  <c r="C380" i="9"/>
  <c r="D380" i="9"/>
  <c r="E380" i="9"/>
  <c r="F380" i="9"/>
  <c r="G380" i="9"/>
  <c r="I380" i="9"/>
  <c r="J380" i="9"/>
  <c r="K380" i="9"/>
  <c r="A381" i="9"/>
  <c r="C381" i="9"/>
  <c r="D381" i="9"/>
  <c r="E381" i="9"/>
  <c r="F381" i="9"/>
  <c r="G381" i="9"/>
  <c r="I381" i="9"/>
  <c r="J381" i="9"/>
  <c r="K381" i="9"/>
  <c r="A382" i="9"/>
  <c r="C382" i="9"/>
  <c r="D382" i="9"/>
  <c r="E382" i="9"/>
  <c r="F382" i="9"/>
  <c r="G382" i="9"/>
  <c r="I382" i="9"/>
  <c r="J382" i="9"/>
  <c r="K382" i="9"/>
  <c r="A383" i="9"/>
  <c r="C383" i="9"/>
  <c r="D383" i="9"/>
  <c r="E383" i="9"/>
  <c r="F383" i="9"/>
  <c r="G383" i="9"/>
  <c r="I383" i="9"/>
  <c r="J383" i="9"/>
  <c r="K383" i="9"/>
  <c r="A384" i="9"/>
  <c r="C384" i="9"/>
  <c r="D384" i="9"/>
  <c r="E384" i="9"/>
  <c r="F384" i="9"/>
  <c r="G384" i="9"/>
  <c r="I384" i="9"/>
  <c r="J384" i="9"/>
  <c r="K384" i="9"/>
  <c r="A385" i="9"/>
  <c r="C385" i="9"/>
  <c r="D385" i="9"/>
  <c r="E385" i="9"/>
  <c r="F385" i="9"/>
  <c r="G385" i="9"/>
  <c r="I385" i="9"/>
  <c r="J385" i="9"/>
  <c r="K385" i="9"/>
  <c r="A386" i="9"/>
  <c r="C386" i="9"/>
  <c r="D386" i="9"/>
  <c r="E386" i="9"/>
  <c r="F386" i="9"/>
  <c r="G386" i="9"/>
  <c r="I386" i="9"/>
  <c r="J386" i="9"/>
  <c r="K386" i="9"/>
  <c r="A387" i="9"/>
  <c r="C387" i="9"/>
  <c r="D387" i="9"/>
  <c r="E387" i="9"/>
  <c r="F387" i="9"/>
  <c r="G387" i="9"/>
  <c r="I387" i="9"/>
  <c r="J387" i="9"/>
  <c r="K387" i="9"/>
  <c r="A388" i="9"/>
  <c r="C388" i="9"/>
  <c r="D388" i="9"/>
  <c r="E388" i="9"/>
  <c r="F388" i="9"/>
  <c r="G388" i="9"/>
  <c r="I388" i="9"/>
  <c r="J388" i="9"/>
  <c r="K388" i="9"/>
  <c r="A389" i="9"/>
  <c r="C389" i="9"/>
  <c r="D389" i="9"/>
  <c r="E389" i="9"/>
  <c r="F389" i="9"/>
  <c r="G389" i="9"/>
  <c r="I389" i="9"/>
  <c r="J389" i="9"/>
  <c r="K389" i="9"/>
  <c r="A390" i="9"/>
  <c r="C390" i="9"/>
  <c r="D390" i="9"/>
  <c r="E390" i="9"/>
  <c r="F390" i="9"/>
  <c r="G390" i="9"/>
  <c r="I390" i="9"/>
  <c r="J390" i="9"/>
  <c r="K390" i="9"/>
  <c r="A391" i="9"/>
  <c r="C391" i="9"/>
  <c r="D391" i="9"/>
  <c r="E391" i="9"/>
  <c r="F391" i="9"/>
  <c r="G391" i="9"/>
  <c r="I391" i="9"/>
  <c r="J391" i="9"/>
  <c r="K391" i="9"/>
  <c r="A392" i="9"/>
  <c r="C392" i="9"/>
  <c r="D392" i="9"/>
  <c r="E392" i="9"/>
  <c r="F392" i="9"/>
  <c r="G392" i="9"/>
  <c r="I392" i="9"/>
  <c r="J392" i="9"/>
  <c r="K392" i="9"/>
  <c r="A393" i="9"/>
  <c r="C393" i="9"/>
  <c r="D393" i="9"/>
  <c r="E393" i="9"/>
  <c r="F393" i="9"/>
  <c r="G393" i="9"/>
  <c r="I393" i="9"/>
  <c r="J393" i="9"/>
  <c r="K393" i="9"/>
  <c r="A394" i="9"/>
  <c r="C394" i="9"/>
  <c r="D394" i="9"/>
  <c r="E394" i="9"/>
  <c r="F394" i="9"/>
  <c r="G394" i="9"/>
  <c r="I394" i="9"/>
  <c r="J394" i="9"/>
  <c r="K394" i="9"/>
  <c r="A395" i="9"/>
  <c r="C395" i="9"/>
  <c r="D395" i="9"/>
  <c r="E395" i="9"/>
  <c r="F395" i="9"/>
  <c r="G395" i="9"/>
  <c r="I395" i="9"/>
  <c r="J395" i="9"/>
  <c r="K395" i="9"/>
  <c r="A396" i="9"/>
  <c r="C396" i="9"/>
  <c r="D396" i="9"/>
  <c r="E396" i="9"/>
  <c r="F396" i="9"/>
  <c r="G396" i="9"/>
  <c r="I396" i="9"/>
  <c r="J396" i="9"/>
  <c r="K396" i="9"/>
  <c r="A397" i="9"/>
  <c r="C397" i="9"/>
  <c r="D397" i="9"/>
  <c r="E397" i="9"/>
  <c r="F397" i="9"/>
  <c r="G397" i="9"/>
  <c r="I397" i="9"/>
  <c r="J397" i="9"/>
  <c r="K397" i="9"/>
  <c r="A398" i="9"/>
  <c r="C398" i="9"/>
  <c r="D398" i="9"/>
  <c r="E398" i="9"/>
  <c r="F398" i="9"/>
  <c r="G398" i="9"/>
  <c r="I398" i="9"/>
  <c r="J398" i="9"/>
  <c r="K398" i="9"/>
  <c r="A399" i="9"/>
  <c r="C399" i="9"/>
  <c r="D399" i="9"/>
  <c r="E399" i="9"/>
  <c r="F399" i="9"/>
  <c r="G399" i="9"/>
  <c r="I399" i="9"/>
  <c r="J399" i="9"/>
  <c r="K399" i="9"/>
  <c r="A400" i="9"/>
  <c r="C400" i="9"/>
  <c r="D400" i="9"/>
  <c r="E400" i="9"/>
  <c r="F400" i="9"/>
  <c r="G400" i="9"/>
  <c r="I400" i="9"/>
  <c r="J400" i="9"/>
  <c r="K400" i="9"/>
  <c r="A401" i="9"/>
  <c r="C401" i="9"/>
  <c r="D401" i="9"/>
  <c r="E401" i="9"/>
  <c r="F401" i="9"/>
  <c r="G401" i="9"/>
  <c r="I401" i="9"/>
  <c r="J401" i="9"/>
  <c r="K401" i="9"/>
  <c r="A402" i="9"/>
  <c r="C402" i="9"/>
  <c r="D402" i="9"/>
  <c r="E402" i="9"/>
  <c r="F402" i="9"/>
  <c r="G402" i="9"/>
  <c r="I402" i="9"/>
  <c r="J402" i="9"/>
  <c r="K402" i="9"/>
  <c r="A403" i="9"/>
  <c r="C403" i="9"/>
  <c r="D403" i="9"/>
  <c r="E403" i="9"/>
  <c r="F403" i="9"/>
  <c r="G403" i="9"/>
  <c r="I403" i="9"/>
  <c r="J403" i="9"/>
  <c r="K403" i="9"/>
  <c r="A404" i="9"/>
  <c r="C404" i="9"/>
  <c r="D404" i="9"/>
  <c r="E404" i="9"/>
  <c r="F404" i="9"/>
  <c r="G404" i="9"/>
  <c r="I404" i="9"/>
  <c r="J404" i="9"/>
  <c r="K404" i="9"/>
  <c r="A405" i="9"/>
  <c r="C405" i="9"/>
  <c r="D405" i="9"/>
  <c r="E405" i="9"/>
  <c r="F405" i="9"/>
  <c r="G405" i="9"/>
  <c r="I405" i="9"/>
  <c r="J405" i="9"/>
  <c r="K405" i="9"/>
  <c r="A406" i="9"/>
  <c r="C406" i="9"/>
  <c r="D406" i="9"/>
  <c r="E406" i="9"/>
  <c r="F406" i="9"/>
  <c r="G406" i="9"/>
  <c r="I406" i="9"/>
  <c r="J406" i="9"/>
  <c r="K406" i="9"/>
  <c r="A407" i="9"/>
  <c r="C407" i="9"/>
  <c r="D407" i="9"/>
  <c r="E407" i="9"/>
  <c r="F407" i="9"/>
  <c r="G407" i="9"/>
  <c r="I407" i="9"/>
  <c r="J407" i="9"/>
  <c r="K407" i="9"/>
  <c r="A408" i="9"/>
  <c r="C408" i="9"/>
  <c r="D408" i="9"/>
  <c r="E408" i="9"/>
  <c r="F408" i="9"/>
  <c r="G408" i="9"/>
  <c r="I408" i="9"/>
  <c r="J408" i="9"/>
  <c r="K408" i="9"/>
  <c r="A409" i="9"/>
  <c r="C409" i="9"/>
  <c r="D409" i="9"/>
  <c r="E409" i="9"/>
  <c r="F409" i="9"/>
  <c r="G409" i="9"/>
  <c r="I409" i="9"/>
  <c r="J409" i="9"/>
  <c r="K409" i="9"/>
  <c r="A410" i="9"/>
  <c r="C410" i="9"/>
  <c r="D410" i="9"/>
  <c r="E410" i="9"/>
  <c r="F410" i="9"/>
  <c r="G410" i="9"/>
  <c r="I410" i="9"/>
  <c r="J410" i="9"/>
  <c r="K410" i="9"/>
  <c r="A411" i="9"/>
  <c r="C411" i="9"/>
  <c r="D411" i="9"/>
  <c r="E411" i="9"/>
  <c r="F411" i="9"/>
  <c r="G411" i="9"/>
  <c r="I411" i="9"/>
  <c r="J411" i="9"/>
  <c r="K411" i="9"/>
  <c r="A412" i="9"/>
  <c r="C412" i="9"/>
  <c r="D412" i="9"/>
  <c r="E412" i="9"/>
  <c r="F412" i="9"/>
  <c r="G412" i="9"/>
  <c r="I412" i="9"/>
  <c r="J412" i="9"/>
  <c r="K412" i="9"/>
  <c r="A413" i="9"/>
  <c r="C413" i="9"/>
  <c r="D413" i="9"/>
  <c r="E413" i="9"/>
  <c r="F413" i="9"/>
  <c r="G413" i="9"/>
  <c r="I413" i="9"/>
  <c r="J413" i="9"/>
  <c r="K413" i="9"/>
  <c r="A414" i="9"/>
  <c r="C414" i="9"/>
  <c r="D414" i="9"/>
  <c r="E414" i="9"/>
  <c r="F414" i="9"/>
  <c r="G414" i="9"/>
  <c r="I414" i="9"/>
  <c r="J414" i="9"/>
  <c r="K414" i="9"/>
  <c r="A415" i="9"/>
  <c r="C415" i="9"/>
  <c r="D415" i="9"/>
  <c r="E415" i="9"/>
  <c r="F415" i="9"/>
  <c r="G415" i="9"/>
  <c r="I415" i="9"/>
  <c r="J415" i="9"/>
  <c r="K415" i="9"/>
  <c r="A416" i="9"/>
  <c r="C416" i="9"/>
  <c r="D416" i="9"/>
  <c r="E416" i="9"/>
  <c r="F416" i="9"/>
  <c r="G416" i="9"/>
  <c r="I416" i="9"/>
  <c r="J416" i="9"/>
  <c r="K416" i="9"/>
  <c r="A417" i="9"/>
  <c r="C417" i="9"/>
  <c r="D417" i="9"/>
  <c r="E417" i="9"/>
  <c r="F417" i="9"/>
  <c r="G417" i="9"/>
  <c r="I417" i="9"/>
  <c r="J417" i="9"/>
  <c r="K417" i="9"/>
  <c r="A418" i="9"/>
  <c r="C418" i="9"/>
  <c r="D418" i="9"/>
  <c r="E418" i="9"/>
  <c r="F418" i="9"/>
  <c r="G418" i="9"/>
  <c r="I418" i="9"/>
  <c r="J418" i="9"/>
  <c r="K418" i="9"/>
  <c r="A419" i="9"/>
  <c r="C419" i="9"/>
  <c r="D419" i="9"/>
  <c r="E419" i="9"/>
  <c r="F419" i="9"/>
  <c r="G419" i="9"/>
  <c r="I419" i="9"/>
  <c r="J419" i="9"/>
  <c r="K419" i="9"/>
  <c r="A420" i="9"/>
  <c r="C420" i="9"/>
  <c r="D420" i="9"/>
  <c r="E420" i="9"/>
  <c r="F420" i="9"/>
  <c r="G420" i="9"/>
  <c r="I420" i="9"/>
  <c r="J420" i="9"/>
  <c r="K420" i="9"/>
  <c r="A421" i="9"/>
  <c r="C421" i="9"/>
  <c r="D421" i="9"/>
  <c r="E421" i="9"/>
  <c r="F421" i="9"/>
  <c r="G421" i="9"/>
  <c r="I421" i="9"/>
  <c r="J421" i="9"/>
  <c r="K421" i="9"/>
  <c r="A422" i="9"/>
  <c r="C422" i="9"/>
  <c r="D422" i="9"/>
  <c r="E422" i="9"/>
  <c r="F422" i="9"/>
  <c r="G422" i="9"/>
  <c r="I422" i="9"/>
  <c r="J422" i="9"/>
  <c r="K422" i="9"/>
  <c r="A423" i="9"/>
  <c r="C423" i="9"/>
  <c r="D423" i="9"/>
  <c r="E423" i="9"/>
  <c r="F423" i="9"/>
  <c r="G423" i="9"/>
  <c r="I423" i="9"/>
  <c r="J423" i="9"/>
  <c r="K423" i="9"/>
  <c r="A424" i="9"/>
  <c r="C424" i="9"/>
  <c r="D424" i="9"/>
  <c r="E424" i="9"/>
  <c r="F424" i="9"/>
  <c r="G424" i="9"/>
  <c r="I424" i="9"/>
  <c r="J424" i="9"/>
  <c r="K424" i="9"/>
  <c r="A425" i="9"/>
  <c r="C425" i="9"/>
  <c r="D425" i="9"/>
  <c r="E425" i="9"/>
  <c r="F425" i="9"/>
  <c r="G425" i="9"/>
  <c r="I425" i="9"/>
  <c r="J425" i="9"/>
  <c r="K425" i="9"/>
  <c r="A426" i="9"/>
  <c r="C426" i="9"/>
  <c r="D426" i="9"/>
  <c r="E426" i="9"/>
  <c r="F426" i="9"/>
  <c r="G426" i="9"/>
  <c r="I426" i="9"/>
  <c r="J426" i="9"/>
  <c r="K426" i="9"/>
  <c r="A427" i="9"/>
  <c r="C427" i="9"/>
  <c r="D427" i="9"/>
  <c r="E427" i="9"/>
  <c r="F427" i="9"/>
  <c r="G427" i="9"/>
  <c r="I427" i="9"/>
  <c r="J427" i="9"/>
  <c r="K427" i="9"/>
  <c r="A428" i="9"/>
  <c r="C428" i="9"/>
  <c r="D428" i="9"/>
  <c r="E428" i="9"/>
  <c r="F428" i="9"/>
  <c r="G428" i="9"/>
  <c r="I428" i="9"/>
  <c r="J428" i="9"/>
  <c r="K428" i="9"/>
  <c r="A429" i="9"/>
  <c r="C429" i="9"/>
  <c r="D429" i="9"/>
  <c r="E429" i="9"/>
  <c r="F429" i="9"/>
  <c r="G429" i="9"/>
  <c r="I429" i="9"/>
  <c r="J429" i="9"/>
  <c r="K429" i="9"/>
  <c r="A430" i="9"/>
  <c r="C430" i="9"/>
  <c r="D430" i="9"/>
  <c r="E430" i="9"/>
  <c r="F430" i="9"/>
  <c r="G430" i="9"/>
  <c r="I430" i="9"/>
  <c r="J430" i="9"/>
  <c r="K430" i="9"/>
  <c r="A431" i="9"/>
  <c r="C431" i="9"/>
  <c r="D431" i="9"/>
  <c r="E431" i="9"/>
  <c r="F431" i="9"/>
  <c r="G431" i="9"/>
  <c r="I431" i="9"/>
  <c r="J431" i="9"/>
  <c r="K431" i="9"/>
  <c r="A432" i="9"/>
  <c r="C432" i="9"/>
  <c r="D432" i="9"/>
  <c r="E432" i="9"/>
  <c r="F432" i="9"/>
  <c r="G432" i="9"/>
  <c r="I432" i="9"/>
  <c r="J432" i="9"/>
  <c r="K432" i="9"/>
  <c r="A433" i="9"/>
  <c r="C433" i="9"/>
  <c r="D433" i="9"/>
  <c r="E433" i="9"/>
  <c r="F433" i="9"/>
  <c r="G433" i="9"/>
  <c r="I433" i="9"/>
  <c r="J433" i="9"/>
  <c r="K433" i="9"/>
  <c r="A434" i="9"/>
  <c r="C434" i="9"/>
  <c r="D434" i="9"/>
  <c r="E434" i="9"/>
  <c r="F434" i="9"/>
  <c r="G434" i="9"/>
  <c r="I434" i="9"/>
  <c r="J434" i="9"/>
  <c r="K434" i="9"/>
  <c r="A435" i="9"/>
  <c r="C435" i="9"/>
  <c r="D435" i="9"/>
  <c r="E435" i="9"/>
  <c r="F435" i="9"/>
  <c r="G435" i="9"/>
  <c r="I435" i="9"/>
  <c r="J435" i="9"/>
  <c r="K435" i="9"/>
  <c r="A436" i="9"/>
  <c r="C436" i="9"/>
  <c r="D436" i="9"/>
  <c r="E436" i="9"/>
  <c r="F436" i="9"/>
  <c r="G436" i="9"/>
  <c r="I436" i="9"/>
  <c r="J436" i="9"/>
  <c r="K436" i="9"/>
  <c r="A437" i="9"/>
  <c r="C437" i="9"/>
  <c r="D437" i="9"/>
  <c r="E437" i="9"/>
  <c r="F437" i="9"/>
  <c r="G437" i="9"/>
  <c r="I437" i="9"/>
  <c r="J437" i="9"/>
  <c r="K437" i="9"/>
  <c r="A438" i="9"/>
  <c r="C438" i="9"/>
  <c r="D438" i="9"/>
  <c r="E438" i="9"/>
  <c r="F438" i="9"/>
  <c r="G438" i="9"/>
  <c r="I438" i="9"/>
  <c r="J438" i="9"/>
  <c r="K438" i="9"/>
  <c r="A439" i="9"/>
  <c r="C439" i="9"/>
  <c r="D439" i="9"/>
  <c r="E439" i="9"/>
  <c r="F439" i="9"/>
  <c r="G439" i="9"/>
  <c r="I439" i="9"/>
  <c r="J439" i="9"/>
  <c r="K439" i="9"/>
  <c r="A440" i="9"/>
  <c r="C440" i="9"/>
  <c r="D440" i="9"/>
  <c r="E440" i="9"/>
  <c r="F440" i="9"/>
  <c r="G440" i="9"/>
  <c r="I440" i="9"/>
  <c r="J440" i="9"/>
  <c r="K440" i="9"/>
  <c r="A441" i="9"/>
  <c r="C441" i="9"/>
  <c r="D441" i="9"/>
  <c r="E441" i="9"/>
  <c r="F441" i="9"/>
  <c r="G441" i="9"/>
  <c r="I441" i="9"/>
  <c r="J441" i="9"/>
  <c r="K441" i="9"/>
  <c r="A442" i="9"/>
  <c r="C442" i="9"/>
  <c r="D442" i="9"/>
  <c r="E442" i="9"/>
  <c r="F442" i="9"/>
  <c r="G442" i="9"/>
  <c r="I442" i="9"/>
  <c r="J442" i="9"/>
  <c r="K442" i="9"/>
  <c r="A443" i="9"/>
  <c r="C443" i="9"/>
  <c r="D443" i="9"/>
  <c r="E443" i="9"/>
  <c r="F443" i="9"/>
  <c r="G443" i="9"/>
  <c r="I443" i="9"/>
  <c r="J443" i="9"/>
  <c r="K443" i="9"/>
  <c r="A444" i="9"/>
  <c r="C444" i="9"/>
  <c r="D444" i="9"/>
  <c r="E444" i="9"/>
  <c r="F444" i="9"/>
  <c r="G444" i="9"/>
  <c r="I444" i="9"/>
  <c r="J444" i="9"/>
  <c r="K444" i="9"/>
  <c r="A445" i="9"/>
  <c r="C445" i="9"/>
  <c r="D445" i="9"/>
  <c r="E445" i="9"/>
  <c r="F445" i="9"/>
  <c r="G445" i="9"/>
  <c r="I445" i="9"/>
  <c r="J445" i="9"/>
  <c r="K445" i="9"/>
  <c r="A446" i="9"/>
  <c r="C446" i="9"/>
  <c r="D446" i="9"/>
  <c r="E446" i="9"/>
  <c r="F446" i="9"/>
  <c r="G446" i="9"/>
  <c r="I446" i="9"/>
  <c r="J446" i="9"/>
  <c r="K446" i="9"/>
  <c r="A447" i="9"/>
  <c r="C447" i="9"/>
  <c r="D447" i="9"/>
  <c r="E447" i="9"/>
  <c r="F447" i="9"/>
  <c r="G447" i="9"/>
  <c r="I447" i="9"/>
  <c r="J447" i="9"/>
  <c r="K447" i="9"/>
  <c r="A448" i="9"/>
  <c r="C448" i="9"/>
  <c r="D448" i="9"/>
  <c r="E448" i="9"/>
  <c r="F448" i="9"/>
  <c r="G448" i="9"/>
  <c r="I448" i="9"/>
  <c r="J448" i="9"/>
  <c r="K448" i="9"/>
  <c r="A449" i="9"/>
  <c r="C449" i="9"/>
  <c r="D449" i="9"/>
  <c r="E449" i="9"/>
  <c r="F449" i="9"/>
  <c r="G449" i="9"/>
  <c r="I449" i="9"/>
  <c r="J449" i="9"/>
  <c r="K449" i="9"/>
  <c r="A450" i="9"/>
  <c r="C450" i="9"/>
  <c r="D450" i="9"/>
  <c r="E450" i="9"/>
  <c r="F450" i="9"/>
  <c r="G450" i="9"/>
  <c r="I450" i="9"/>
  <c r="J450" i="9"/>
  <c r="K450" i="9"/>
  <c r="A451" i="9"/>
  <c r="C451" i="9"/>
  <c r="D451" i="9"/>
  <c r="E451" i="9"/>
  <c r="F451" i="9"/>
  <c r="G451" i="9"/>
  <c r="I451" i="9"/>
  <c r="J451" i="9"/>
  <c r="K451" i="9"/>
  <c r="A452" i="9"/>
  <c r="C452" i="9"/>
  <c r="D452" i="9"/>
  <c r="E452" i="9"/>
  <c r="F452" i="9"/>
  <c r="G452" i="9"/>
  <c r="I452" i="9"/>
  <c r="J452" i="9"/>
  <c r="K452" i="9"/>
  <c r="A453" i="9"/>
  <c r="C453" i="9"/>
  <c r="D453" i="9"/>
  <c r="E453" i="9"/>
  <c r="F453" i="9"/>
  <c r="G453" i="9"/>
  <c r="I453" i="9"/>
  <c r="J453" i="9"/>
  <c r="K453" i="9"/>
  <c r="A454" i="9"/>
  <c r="C454" i="9"/>
  <c r="D454" i="9"/>
  <c r="E454" i="9"/>
  <c r="F454" i="9"/>
  <c r="G454" i="9"/>
  <c r="I454" i="9"/>
  <c r="J454" i="9"/>
  <c r="K454" i="9"/>
  <c r="A455" i="9"/>
  <c r="C455" i="9"/>
  <c r="D455" i="9"/>
  <c r="E455" i="9"/>
  <c r="F455" i="9"/>
  <c r="G455" i="9"/>
  <c r="I455" i="9"/>
  <c r="J455" i="9"/>
  <c r="K455" i="9"/>
  <c r="A456" i="9"/>
  <c r="C456" i="9"/>
  <c r="D456" i="9"/>
  <c r="E456" i="9"/>
  <c r="F456" i="9"/>
  <c r="G456" i="9"/>
  <c r="I456" i="9"/>
  <c r="J456" i="9"/>
  <c r="K456" i="9"/>
  <c r="A457" i="9"/>
  <c r="C457" i="9"/>
  <c r="D457" i="9"/>
  <c r="E457" i="9"/>
  <c r="F457" i="9"/>
  <c r="G457" i="9"/>
  <c r="I457" i="9"/>
  <c r="J457" i="9"/>
  <c r="K457" i="9"/>
  <c r="A458" i="9"/>
  <c r="C458" i="9"/>
  <c r="D458" i="9"/>
  <c r="E458" i="9"/>
  <c r="F458" i="9"/>
  <c r="G458" i="9"/>
  <c r="I458" i="9"/>
  <c r="J458" i="9"/>
  <c r="K458" i="9"/>
  <c r="A459" i="9"/>
  <c r="C459" i="9"/>
  <c r="D459" i="9"/>
  <c r="E459" i="9"/>
  <c r="F459" i="9"/>
  <c r="G459" i="9"/>
  <c r="I459" i="9"/>
  <c r="J459" i="9"/>
  <c r="K459" i="9"/>
  <c r="A460" i="9"/>
  <c r="C460" i="9"/>
  <c r="D460" i="9"/>
  <c r="E460" i="9"/>
  <c r="F460" i="9"/>
  <c r="G460" i="9"/>
  <c r="I460" i="9"/>
  <c r="J460" i="9"/>
  <c r="K460" i="9"/>
  <c r="A461" i="9"/>
  <c r="C461" i="9"/>
  <c r="D461" i="9"/>
  <c r="E461" i="9"/>
  <c r="F461" i="9"/>
  <c r="G461" i="9"/>
  <c r="I461" i="9"/>
  <c r="J461" i="9"/>
  <c r="K461" i="9"/>
  <c r="A462" i="9"/>
  <c r="C462" i="9"/>
  <c r="D462" i="9"/>
  <c r="E462" i="9"/>
  <c r="F462" i="9"/>
  <c r="G462" i="9"/>
  <c r="I462" i="9"/>
  <c r="J462" i="9"/>
  <c r="K462" i="9"/>
  <c r="A463" i="9"/>
  <c r="C463" i="9"/>
  <c r="D463" i="9"/>
  <c r="E463" i="9"/>
  <c r="F463" i="9"/>
  <c r="G463" i="9"/>
  <c r="I463" i="9"/>
  <c r="J463" i="9"/>
  <c r="K463" i="9"/>
  <c r="A464" i="9"/>
  <c r="C464" i="9"/>
  <c r="D464" i="9"/>
  <c r="E464" i="9"/>
  <c r="F464" i="9"/>
  <c r="G464" i="9"/>
  <c r="I464" i="9"/>
  <c r="J464" i="9"/>
  <c r="K464" i="9"/>
  <c r="A465" i="9"/>
  <c r="C465" i="9"/>
  <c r="D465" i="9"/>
  <c r="E465" i="9"/>
  <c r="F465" i="9"/>
  <c r="G465" i="9"/>
  <c r="I465" i="9"/>
  <c r="J465" i="9"/>
  <c r="K465" i="9"/>
  <c r="A466" i="9"/>
  <c r="C466" i="9"/>
  <c r="D466" i="9"/>
  <c r="E466" i="9"/>
  <c r="F466" i="9"/>
  <c r="G466" i="9"/>
  <c r="I466" i="9"/>
  <c r="J466" i="9"/>
  <c r="K466" i="9"/>
  <c r="A467" i="9"/>
  <c r="C467" i="9"/>
  <c r="D467" i="9"/>
  <c r="E467" i="9"/>
  <c r="F467" i="9"/>
  <c r="G467" i="9"/>
  <c r="I467" i="9"/>
  <c r="J467" i="9"/>
  <c r="K467" i="9"/>
  <c r="A468" i="9"/>
  <c r="C468" i="9"/>
  <c r="D468" i="9"/>
  <c r="E468" i="9"/>
  <c r="F468" i="9"/>
  <c r="G468" i="9"/>
  <c r="I468" i="9"/>
  <c r="J468" i="9"/>
  <c r="K468" i="9"/>
  <c r="A469" i="9"/>
  <c r="C469" i="9"/>
  <c r="D469" i="9"/>
  <c r="E469" i="9"/>
  <c r="F469" i="9"/>
  <c r="G469" i="9"/>
  <c r="I469" i="9"/>
  <c r="J469" i="9"/>
  <c r="K469" i="9"/>
  <c r="A470" i="9"/>
  <c r="C470" i="9"/>
  <c r="D470" i="9"/>
  <c r="E470" i="9"/>
  <c r="F470" i="9"/>
  <c r="G470" i="9"/>
  <c r="I470" i="9"/>
  <c r="J470" i="9"/>
  <c r="K470" i="9"/>
  <c r="A471" i="9"/>
  <c r="C471" i="9"/>
  <c r="D471" i="9"/>
  <c r="E471" i="9"/>
  <c r="F471" i="9"/>
  <c r="G471" i="9"/>
  <c r="I471" i="9"/>
  <c r="J471" i="9"/>
  <c r="K471" i="9"/>
  <c r="A472" i="9"/>
  <c r="C472" i="9"/>
  <c r="D472" i="9"/>
  <c r="E472" i="9"/>
  <c r="F472" i="9"/>
  <c r="G472" i="9"/>
  <c r="I472" i="9"/>
  <c r="J472" i="9"/>
  <c r="K472" i="9"/>
  <c r="A473" i="9"/>
  <c r="C473" i="9"/>
  <c r="D473" i="9"/>
  <c r="E473" i="9"/>
  <c r="F473" i="9"/>
  <c r="G473" i="9"/>
  <c r="I473" i="9"/>
  <c r="J473" i="9"/>
  <c r="K473" i="9"/>
  <c r="A474" i="9"/>
  <c r="C474" i="9"/>
  <c r="D474" i="9"/>
  <c r="E474" i="9"/>
  <c r="F474" i="9"/>
  <c r="G474" i="9"/>
  <c r="I474" i="9"/>
  <c r="J474" i="9"/>
  <c r="K474" i="9"/>
  <c r="A475" i="9"/>
  <c r="C475" i="9"/>
  <c r="D475" i="9"/>
  <c r="E475" i="9"/>
  <c r="F475" i="9"/>
  <c r="G475" i="9"/>
  <c r="I475" i="9"/>
  <c r="J475" i="9"/>
  <c r="K475" i="9"/>
  <c r="A476" i="9"/>
  <c r="C476" i="9"/>
  <c r="D476" i="9"/>
  <c r="E476" i="9"/>
  <c r="F476" i="9"/>
  <c r="G476" i="9"/>
  <c r="I476" i="9"/>
  <c r="J476" i="9"/>
  <c r="K476" i="9"/>
  <c r="A477" i="9"/>
  <c r="C477" i="9"/>
  <c r="D477" i="9"/>
  <c r="E477" i="9"/>
  <c r="F477" i="9"/>
  <c r="G477" i="9"/>
  <c r="I477" i="9"/>
  <c r="J477" i="9"/>
  <c r="K477" i="9"/>
  <c r="A478" i="9"/>
  <c r="C478" i="9"/>
  <c r="D478" i="9"/>
  <c r="E478" i="9"/>
  <c r="F478" i="9"/>
  <c r="G478" i="9"/>
  <c r="I478" i="9"/>
  <c r="J478" i="9"/>
  <c r="K478" i="9"/>
  <c r="A479" i="9"/>
  <c r="C479" i="9"/>
  <c r="D479" i="9"/>
  <c r="E479" i="9"/>
  <c r="F479" i="9"/>
  <c r="G479" i="9"/>
  <c r="I479" i="9"/>
  <c r="J479" i="9"/>
  <c r="K479" i="9"/>
  <c r="A480" i="9"/>
  <c r="C480" i="9"/>
  <c r="D480" i="9"/>
  <c r="E480" i="9"/>
  <c r="F480" i="9"/>
  <c r="G480" i="9"/>
  <c r="I480" i="9"/>
  <c r="J480" i="9"/>
  <c r="K480" i="9"/>
  <c r="A481" i="9"/>
  <c r="C481" i="9"/>
  <c r="D481" i="9"/>
  <c r="E481" i="9"/>
  <c r="F481" i="9"/>
  <c r="G481" i="9"/>
  <c r="I481" i="9"/>
  <c r="J481" i="9"/>
  <c r="K481" i="9"/>
  <c r="A482" i="9"/>
  <c r="C482" i="9"/>
  <c r="D482" i="9"/>
  <c r="E482" i="9"/>
  <c r="F482" i="9"/>
  <c r="G482" i="9"/>
  <c r="I482" i="9"/>
  <c r="J482" i="9"/>
  <c r="K482" i="9"/>
  <c r="A483" i="9"/>
  <c r="C483" i="9"/>
  <c r="D483" i="9"/>
  <c r="E483" i="9"/>
  <c r="F483" i="9"/>
  <c r="G483" i="9"/>
  <c r="I483" i="9"/>
  <c r="J483" i="9"/>
  <c r="K483" i="9"/>
  <c r="A484" i="9"/>
  <c r="C484" i="9"/>
  <c r="D484" i="9"/>
  <c r="E484" i="9"/>
  <c r="F484" i="9"/>
  <c r="G484" i="9"/>
  <c r="I484" i="9"/>
  <c r="J484" i="9"/>
  <c r="K484" i="9"/>
  <c r="A485" i="9"/>
  <c r="C485" i="9"/>
  <c r="D485" i="9"/>
  <c r="E485" i="9"/>
  <c r="F485" i="9"/>
  <c r="G485" i="9"/>
  <c r="I485" i="9"/>
  <c r="J485" i="9"/>
  <c r="K485" i="9"/>
  <c r="A486" i="9"/>
  <c r="C486" i="9"/>
  <c r="D486" i="9"/>
  <c r="E486" i="9"/>
  <c r="F486" i="9"/>
  <c r="G486" i="9"/>
  <c r="I486" i="9"/>
  <c r="J486" i="9"/>
  <c r="K486" i="9"/>
  <c r="A487" i="9"/>
  <c r="C487" i="9"/>
  <c r="D487" i="9"/>
  <c r="E487" i="9"/>
  <c r="F487" i="9"/>
  <c r="G487" i="9"/>
  <c r="I487" i="9"/>
  <c r="J487" i="9"/>
  <c r="K487" i="9"/>
  <c r="A488" i="9"/>
  <c r="C488" i="9"/>
  <c r="D488" i="9"/>
  <c r="E488" i="9"/>
  <c r="F488" i="9"/>
  <c r="G488" i="9"/>
  <c r="I488" i="9"/>
  <c r="J488" i="9"/>
  <c r="K488" i="9"/>
  <c r="A489" i="9"/>
  <c r="C489" i="9"/>
  <c r="D489" i="9"/>
  <c r="E489" i="9"/>
  <c r="F489" i="9"/>
  <c r="G489" i="9"/>
  <c r="I489" i="9"/>
  <c r="J489" i="9"/>
  <c r="K489" i="9"/>
  <c r="A490" i="9"/>
  <c r="C490" i="9"/>
  <c r="D490" i="9"/>
  <c r="E490" i="9"/>
  <c r="F490" i="9"/>
  <c r="G490" i="9"/>
  <c r="I490" i="9"/>
  <c r="J490" i="9"/>
  <c r="K490" i="9"/>
  <c r="A491" i="9"/>
  <c r="C491" i="9"/>
  <c r="D491" i="9"/>
  <c r="E491" i="9"/>
  <c r="F491" i="9"/>
  <c r="G491" i="9"/>
  <c r="I491" i="9"/>
  <c r="J491" i="9"/>
  <c r="K491" i="9"/>
  <c r="A492" i="9"/>
  <c r="C492" i="9"/>
  <c r="D492" i="9"/>
  <c r="E492" i="9"/>
  <c r="F492" i="9"/>
  <c r="G492" i="9"/>
  <c r="I492" i="9"/>
  <c r="J492" i="9"/>
  <c r="K492" i="9"/>
  <c r="A493" i="9"/>
  <c r="C493" i="9"/>
  <c r="D493" i="9"/>
  <c r="E493" i="9"/>
  <c r="F493" i="9"/>
  <c r="G493" i="9"/>
  <c r="I493" i="9"/>
  <c r="J493" i="9"/>
  <c r="K493" i="9"/>
  <c r="A494" i="9"/>
  <c r="C494" i="9"/>
  <c r="D494" i="9"/>
  <c r="E494" i="9"/>
  <c r="F494" i="9"/>
  <c r="G494" i="9"/>
  <c r="I494" i="9"/>
  <c r="J494" i="9"/>
  <c r="K494" i="9"/>
  <c r="A495" i="9"/>
  <c r="C495" i="9"/>
  <c r="D495" i="9"/>
  <c r="E495" i="9"/>
  <c r="F495" i="9"/>
  <c r="G495" i="9"/>
  <c r="I495" i="9"/>
  <c r="J495" i="9"/>
  <c r="K495" i="9"/>
  <c r="A496" i="9"/>
  <c r="C496" i="9"/>
  <c r="D496" i="9"/>
  <c r="E496" i="9"/>
  <c r="F496" i="9"/>
  <c r="G496" i="9"/>
  <c r="I496" i="9"/>
  <c r="J496" i="9"/>
  <c r="K496" i="9"/>
  <c r="A497" i="9"/>
  <c r="C497" i="9"/>
  <c r="D497" i="9"/>
  <c r="E497" i="9"/>
  <c r="F497" i="9"/>
  <c r="G497" i="9"/>
  <c r="I497" i="9"/>
  <c r="J497" i="9"/>
  <c r="K497" i="9"/>
  <c r="A498" i="9"/>
  <c r="C498" i="9"/>
  <c r="D498" i="9"/>
  <c r="E498" i="9"/>
  <c r="F498" i="9"/>
  <c r="G498" i="9"/>
  <c r="I498" i="9"/>
  <c r="J498" i="9"/>
  <c r="K498" i="9"/>
  <c r="A499" i="9"/>
  <c r="C499" i="9"/>
  <c r="D499" i="9"/>
  <c r="E499" i="9"/>
  <c r="F499" i="9"/>
  <c r="G499" i="9"/>
  <c r="I499" i="9"/>
  <c r="J499" i="9"/>
  <c r="K499" i="9"/>
  <c r="A500" i="9"/>
  <c r="C500" i="9"/>
  <c r="D500" i="9"/>
  <c r="E500" i="9"/>
  <c r="F500" i="9"/>
  <c r="G500" i="9"/>
  <c r="I500" i="9"/>
  <c r="J500" i="9"/>
  <c r="K500" i="9"/>
  <c r="A501" i="9"/>
  <c r="C501" i="9"/>
  <c r="D501" i="9"/>
  <c r="E501" i="9"/>
  <c r="F501" i="9"/>
  <c r="G501" i="9"/>
  <c r="I501" i="9"/>
  <c r="J501" i="9"/>
  <c r="K501" i="9"/>
  <c r="A502" i="9"/>
  <c r="C502" i="9"/>
  <c r="D502" i="9"/>
  <c r="E502" i="9"/>
  <c r="F502" i="9"/>
  <c r="G502" i="9"/>
  <c r="I502" i="9"/>
  <c r="J502" i="9"/>
  <c r="K502" i="9"/>
  <c r="A503" i="9"/>
  <c r="C503" i="9"/>
  <c r="D503" i="9"/>
  <c r="E503" i="9"/>
  <c r="F503" i="9"/>
  <c r="G503" i="9"/>
  <c r="I503" i="9"/>
  <c r="J503" i="9"/>
  <c r="K503" i="9"/>
  <c r="A504" i="9"/>
  <c r="C504" i="9"/>
  <c r="D504" i="9"/>
  <c r="E504" i="9"/>
  <c r="F504" i="9"/>
  <c r="G504" i="9"/>
  <c r="I504" i="9"/>
  <c r="J504" i="9"/>
  <c r="K504" i="9"/>
  <c r="A505" i="9"/>
  <c r="C505" i="9"/>
  <c r="D505" i="9"/>
  <c r="E505" i="9"/>
  <c r="F505" i="9"/>
  <c r="G505" i="9"/>
  <c r="I505" i="9"/>
  <c r="J505" i="9"/>
  <c r="K505" i="9"/>
  <c r="A506" i="9"/>
  <c r="C506" i="9"/>
  <c r="D506" i="9"/>
  <c r="E506" i="9"/>
  <c r="F506" i="9"/>
  <c r="G506" i="9"/>
  <c r="I506" i="9"/>
  <c r="J506" i="9"/>
  <c r="K506" i="9"/>
  <c r="A507" i="9"/>
  <c r="C507" i="9"/>
  <c r="D507" i="9"/>
  <c r="E507" i="9"/>
  <c r="F507" i="9"/>
  <c r="G507" i="9"/>
  <c r="I507" i="9"/>
  <c r="J507" i="9"/>
  <c r="K507" i="9"/>
  <c r="A508" i="9"/>
  <c r="C508" i="9"/>
  <c r="D508" i="9"/>
  <c r="E508" i="9"/>
  <c r="F508" i="9"/>
  <c r="G508" i="9"/>
  <c r="I508" i="9"/>
  <c r="J508" i="9"/>
  <c r="K508" i="9"/>
  <c r="A509" i="9"/>
  <c r="C509" i="9"/>
  <c r="D509" i="9"/>
  <c r="E509" i="9"/>
  <c r="F509" i="9"/>
  <c r="G509" i="9"/>
  <c r="I509" i="9"/>
  <c r="J509" i="9"/>
  <c r="K509" i="9"/>
  <c r="A510" i="9"/>
  <c r="C510" i="9"/>
  <c r="D510" i="9"/>
  <c r="E510" i="9"/>
  <c r="F510" i="9"/>
  <c r="G510" i="9"/>
  <c r="I510" i="9"/>
  <c r="J510" i="9"/>
  <c r="K510" i="9"/>
  <c r="A511" i="9"/>
  <c r="C511" i="9"/>
  <c r="D511" i="9"/>
  <c r="E511" i="9"/>
  <c r="F511" i="9"/>
  <c r="G511" i="9"/>
  <c r="I511" i="9"/>
  <c r="J511" i="9"/>
  <c r="K511" i="9"/>
  <c r="A512" i="9"/>
  <c r="C512" i="9"/>
  <c r="D512" i="9"/>
  <c r="E512" i="9"/>
  <c r="F512" i="9"/>
  <c r="G512" i="9"/>
  <c r="I512" i="9"/>
  <c r="J512" i="9"/>
  <c r="K512" i="9"/>
  <c r="A513" i="9"/>
  <c r="C513" i="9"/>
  <c r="D513" i="9"/>
  <c r="E513" i="9"/>
  <c r="F513" i="9"/>
  <c r="G513" i="9"/>
  <c r="I513" i="9"/>
  <c r="J513" i="9"/>
  <c r="K513" i="9"/>
  <c r="A514" i="9"/>
  <c r="C514" i="9"/>
  <c r="D514" i="9"/>
  <c r="E514" i="9"/>
  <c r="F514" i="9"/>
  <c r="G514" i="9"/>
  <c r="I514" i="9"/>
  <c r="J514" i="9"/>
  <c r="K514" i="9"/>
  <c r="A515" i="9"/>
  <c r="C515" i="9"/>
  <c r="D515" i="9"/>
  <c r="E515" i="9"/>
  <c r="F515" i="9"/>
  <c r="G515" i="9"/>
  <c r="I515" i="9"/>
  <c r="J515" i="9"/>
  <c r="K515" i="9"/>
  <c r="A516" i="9"/>
  <c r="C516" i="9"/>
  <c r="D516" i="9"/>
  <c r="E516" i="9"/>
  <c r="F516" i="9"/>
  <c r="G516" i="9"/>
  <c r="I516" i="9"/>
  <c r="J516" i="9"/>
  <c r="K516" i="9"/>
  <c r="A517" i="9"/>
  <c r="C517" i="9"/>
  <c r="D517" i="9"/>
  <c r="E517" i="9"/>
  <c r="F517" i="9"/>
  <c r="G517" i="9"/>
  <c r="I517" i="9"/>
  <c r="J517" i="9"/>
  <c r="K517" i="9"/>
  <c r="A518" i="9"/>
  <c r="C518" i="9"/>
  <c r="D518" i="9"/>
  <c r="E518" i="9"/>
  <c r="F518" i="9"/>
  <c r="G518" i="9"/>
  <c r="I518" i="9"/>
  <c r="J518" i="9"/>
  <c r="K518" i="9"/>
  <c r="A519" i="9"/>
  <c r="C519" i="9"/>
  <c r="D519" i="9"/>
  <c r="E519" i="9"/>
  <c r="F519" i="9"/>
  <c r="G519" i="9"/>
  <c r="I519" i="9"/>
  <c r="J519" i="9"/>
  <c r="K519" i="9"/>
  <c r="A520" i="9"/>
  <c r="C520" i="9"/>
  <c r="D520" i="9"/>
  <c r="E520" i="9"/>
  <c r="F520" i="9"/>
  <c r="G520" i="9"/>
  <c r="I520" i="9"/>
  <c r="J520" i="9"/>
  <c r="K520" i="9"/>
  <c r="A521" i="9"/>
  <c r="C521" i="9"/>
  <c r="D521" i="9"/>
  <c r="E521" i="9"/>
  <c r="F521" i="9"/>
  <c r="G521" i="9"/>
  <c r="I521" i="9"/>
  <c r="J521" i="9"/>
  <c r="K521" i="9"/>
  <c r="A522" i="9"/>
  <c r="C522" i="9"/>
  <c r="D522" i="9"/>
  <c r="E522" i="9"/>
  <c r="F522" i="9"/>
  <c r="G522" i="9"/>
  <c r="I522" i="9"/>
  <c r="J522" i="9"/>
  <c r="K522" i="9"/>
  <c r="A523" i="9"/>
  <c r="C523" i="9"/>
  <c r="D523" i="9"/>
  <c r="E523" i="9"/>
  <c r="F523" i="9"/>
  <c r="G523" i="9"/>
  <c r="I523" i="9"/>
  <c r="J523" i="9"/>
  <c r="K523" i="9"/>
  <c r="A524" i="9"/>
  <c r="C524" i="9"/>
  <c r="D524" i="9"/>
  <c r="E524" i="9"/>
  <c r="F524" i="9"/>
  <c r="G524" i="9"/>
  <c r="I524" i="9"/>
  <c r="J524" i="9"/>
  <c r="K524" i="9"/>
  <c r="A525" i="9"/>
  <c r="C525" i="9"/>
  <c r="D525" i="9"/>
  <c r="E525" i="9"/>
  <c r="F525" i="9"/>
  <c r="G525" i="9"/>
  <c r="I525" i="9"/>
  <c r="J525" i="9"/>
  <c r="K525" i="9"/>
  <c r="A526" i="9"/>
  <c r="C526" i="9"/>
  <c r="D526" i="9"/>
  <c r="E526" i="9"/>
  <c r="F526" i="9"/>
  <c r="G526" i="9"/>
  <c r="I526" i="9"/>
  <c r="J526" i="9"/>
  <c r="K526" i="9"/>
  <c r="A527" i="9"/>
  <c r="C527" i="9"/>
  <c r="D527" i="9"/>
  <c r="E527" i="9"/>
  <c r="F527" i="9"/>
  <c r="G527" i="9"/>
  <c r="I527" i="9"/>
  <c r="J527" i="9"/>
  <c r="K527" i="9"/>
  <c r="A528" i="9"/>
  <c r="C528" i="9"/>
  <c r="D528" i="9"/>
  <c r="E528" i="9"/>
  <c r="F528" i="9"/>
  <c r="G528" i="9"/>
  <c r="I528" i="9"/>
  <c r="J528" i="9"/>
  <c r="K528" i="9"/>
  <c r="A529" i="9"/>
  <c r="C529" i="9"/>
  <c r="D529" i="9"/>
  <c r="E529" i="9"/>
  <c r="F529" i="9"/>
  <c r="G529" i="9"/>
  <c r="I529" i="9"/>
  <c r="J529" i="9"/>
  <c r="K529" i="9"/>
  <c r="A530" i="9"/>
  <c r="C530" i="9"/>
  <c r="D530" i="9"/>
  <c r="E530" i="9"/>
  <c r="F530" i="9"/>
  <c r="G530" i="9"/>
  <c r="I530" i="9"/>
  <c r="J530" i="9"/>
  <c r="K530" i="9"/>
  <c r="A531" i="9"/>
  <c r="C531" i="9"/>
  <c r="D531" i="9"/>
  <c r="E531" i="9"/>
  <c r="F531" i="9"/>
  <c r="G531" i="9"/>
  <c r="I531" i="9"/>
  <c r="J531" i="9"/>
  <c r="K531" i="9"/>
  <c r="A532" i="9"/>
  <c r="C532" i="9"/>
  <c r="D532" i="9"/>
  <c r="E532" i="9"/>
  <c r="F532" i="9"/>
  <c r="G532" i="9"/>
  <c r="I532" i="9"/>
  <c r="J532" i="9"/>
  <c r="K532" i="9"/>
  <c r="A533" i="9"/>
  <c r="C533" i="9"/>
  <c r="D533" i="9"/>
  <c r="E533" i="9"/>
  <c r="F533" i="9"/>
  <c r="G533" i="9"/>
  <c r="I533" i="9"/>
  <c r="J533" i="9"/>
  <c r="K533" i="9"/>
  <c r="A534" i="9"/>
  <c r="C534" i="9"/>
  <c r="D534" i="9"/>
  <c r="E534" i="9"/>
  <c r="F534" i="9"/>
  <c r="G534" i="9"/>
  <c r="I534" i="9"/>
  <c r="J534" i="9"/>
  <c r="K534" i="9"/>
  <c r="A535" i="9"/>
  <c r="C535" i="9"/>
  <c r="D535" i="9"/>
  <c r="E535" i="9"/>
  <c r="F535" i="9"/>
  <c r="G535" i="9"/>
  <c r="I535" i="9"/>
  <c r="J535" i="9"/>
  <c r="K535" i="9"/>
  <c r="A536" i="9"/>
  <c r="C536" i="9"/>
  <c r="D536" i="9"/>
  <c r="E536" i="9"/>
  <c r="F536" i="9"/>
  <c r="G536" i="9"/>
  <c r="I536" i="9"/>
  <c r="J536" i="9"/>
  <c r="K536" i="9"/>
  <c r="A537" i="9"/>
  <c r="C537" i="9"/>
  <c r="D537" i="9"/>
  <c r="E537" i="9"/>
  <c r="F537" i="9"/>
  <c r="G537" i="9"/>
  <c r="I537" i="9"/>
  <c r="J537" i="9"/>
  <c r="K537" i="9"/>
  <c r="A538" i="9"/>
  <c r="C538" i="9"/>
  <c r="D538" i="9"/>
  <c r="E538" i="9"/>
  <c r="F538" i="9"/>
  <c r="G538" i="9"/>
  <c r="I538" i="9"/>
  <c r="J538" i="9"/>
  <c r="K538" i="9"/>
  <c r="A539" i="9"/>
  <c r="C539" i="9"/>
  <c r="D539" i="9"/>
  <c r="E539" i="9"/>
  <c r="F539" i="9"/>
  <c r="G539" i="9"/>
  <c r="I539" i="9"/>
  <c r="J539" i="9"/>
  <c r="K539" i="9"/>
  <c r="A540" i="9"/>
  <c r="C540" i="9"/>
  <c r="D540" i="9"/>
  <c r="E540" i="9"/>
  <c r="F540" i="9"/>
  <c r="G540" i="9"/>
  <c r="I540" i="9"/>
  <c r="J540" i="9"/>
  <c r="K540" i="9"/>
  <c r="A541" i="9"/>
  <c r="C541" i="9"/>
  <c r="D541" i="9"/>
  <c r="E541" i="9"/>
  <c r="F541" i="9"/>
  <c r="G541" i="9"/>
  <c r="I541" i="9"/>
  <c r="J541" i="9"/>
  <c r="K541" i="9"/>
  <c r="A542" i="9"/>
  <c r="C542" i="9"/>
  <c r="D542" i="9"/>
  <c r="E542" i="9"/>
  <c r="F542" i="9"/>
  <c r="G542" i="9"/>
  <c r="I542" i="9"/>
  <c r="J542" i="9"/>
  <c r="K542" i="9"/>
  <c r="A543" i="9"/>
  <c r="C543" i="9"/>
  <c r="D543" i="9"/>
  <c r="E543" i="9"/>
  <c r="F543" i="9"/>
  <c r="G543" i="9"/>
  <c r="I543" i="9"/>
  <c r="J543" i="9"/>
  <c r="K543" i="9"/>
  <c r="A544" i="9"/>
  <c r="C544" i="9"/>
  <c r="D544" i="9"/>
  <c r="E544" i="9"/>
  <c r="F544" i="9"/>
  <c r="G544" i="9"/>
  <c r="I544" i="9"/>
  <c r="J544" i="9"/>
  <c r="K544" i="9"/>
  <c r="A545" i="9"/>
  <c r="C545" i="9"/>
  <c r="D545" i="9"/>
  <c r="E545" i="9"/>
  <c r="F545" i="9"/>
  <c r="G545" i="9"/>
  <c r="I545" i="9"/>
  <c r="J545" i="9"/>
  <c r="K545" i="9"/>
  <c r="A546" i="9"/>
  <c r="C546" i="9"/>
  <c r="D546" i="9"/>
  <c r="E546" i="9"/>
  <c r="F546" i="9"/>
  <c r="G546" i="9"/>
  <c r="I546" i="9"/>
  <c r="J546" i="9"/>
  <c r="K546" i="9"/>
  <c r="A547" i="9"/>
  <c r="C547" i="9"/>
  <c r="D547" i="9"/>
  <c r="E547" i="9"/>
  <c r="F547" i="9"/>
  <c r="G547" i="9"/>
  <c r="I547" i="9"/>
  <c r="J547" i="9"/>
  <c r="K547" i="9"/>
  <c r="A548" i="9"/>
  <c r="C548" i="9"/>
  <c r="D548" i="9"/>
  <c r="E548" i="9"/>
  <c r="F548" i="9"/>
  <c r="G548" i="9"/>
  <c r="I548" i="9"/>
  <c r="J548" i="9"/>
  <c r="K548" i="9"/>
  <c r="A549" i="9"/>
  <c r="C549" i="9"/>
  <c r="D549" i="9"/>
  <c r="E549" i="9"/>
  <c r="F549" i="9"/>
  <c r="G549" i="9"/>
  <c r="I549" i="9"/>
  <c r="J549" i="9"/>
  <c r="K549" i="9"/>
  <c r="A550" i="9"/>
  <c r="C550" i="9"/>
  <c r="D550" i="9"/>
  <c r="E550" i="9"/>
  <c r="F550" i="9"/>
  <c r="G550" i="9"/>
  <c r="I550" i="9"/>
  <c r="J550" i="9"/>
  <c r="K550" i="9"/>
  <c r="A551" i="9"/>
  <c r="C551" i="9"/>
  <c r="D551" i="9"/>
  <c r="E551" i="9"/>
  <c r="F551" i="9"/>
  <c r="G551" i="9"/>
  <c r="I551" i="9"/>
  <c r="J551" i="9"/>
  <c r="K551" i="9"/>
  <c r="A552" i="9"/>
  <c r="C552" i="9"/>
  <c r="D552" i="9"/>
  <c r="E552" i="9"/>
  <c r="F552" i="9"/>
  <c r="G552" i="9"/>
  <c r="I552" i="9"/>
  <c r="J552" i="9"/>
  <c r="K552" i="9"/>
  <c r="A553" i="9"/>
  <c r="C553" i="9"/>
  <c r="D553" i="9"/>
  <c r="E553" i="9"/>
  <c r="F553" i="9"/>
  <c r="G553" i="9"/>
  <c r="I553" i="9"/>
  <c r="J553" i="9"/>
  <c r="K553" i="9"/>
  <c r="A554" i="9"/>
  <c r="C554" i="9"/>
  <c r="D554" i="9"/>
  <c r="E554" i="9"/>
  <c r="F554" i="9"/>
  <c r="G554" i="9"/>
  <c r="I554" i="9"/>
  <c r="J554" i="9"/>
  <c r="K554" i="9"/>
  <c r="A555" i="9"/>
  <c r="C555" i="9"/>
  <c r="D555" i="9"/>
  <c r="E555" i="9"/>
  <c r="F555" i="9"/>
  <c r="G555" i="9"/>
  <c r="I555" i="9"/>
  <c r="J555" i="9"/>
  <c r="K555" i="9"/>
  <c r="A556" i="9"/>
  <c r="C556" i="9"/>
  <c r="D556" i="9"/>
  <c r="E556" i="9"/>
  <c r="F556" i="9"/>
  <c r="G556" i="9"/>
  <c r="I556" i="9"/>
  <c r="J556" i="9"/>
  <c r="K556" i="9"/>
  <c r="A557" i="9"/>
  <c r="C557" i="9"/>
  <c r="D557" i="9"/>
  <c r="E557" i="9"/>
  <c r="F557" i="9"/>
  <c r="G557" i="9"/>
  <c r="I557" i="9"/>
  <c r="J557" i="9"/>
  <c r="K557" i="9"/>
  <c r="A558" i="9"/>
  <c r="C558" i="9"/>
  <c r="D558" i="9"/>
  <c r="E558" i="9"/>
  <c r="F558" i="9"/>
  <c r="G558" i="9"/>
  <c r="I558" i="9"/>
  <c r="J558" i="9"/>
  <c r="K558" i="9"/>
  <c r="A559" i="9"/>
  <c r="C559" i="9"/>
  <c r="D559" i="9"/>
  <c r="E559" i="9"/>
  <c r="F559" i="9"/>
  <c r="G559" i="9"/>
  <c r="I559" i="9"/>
  <c r="J559" i="9"/>
  <c r="K559" i="9"/>
  <c r="A560" i="9"/>
  <c r="C560" i="9"/>
  <c r="D560" i="9"/>
  <c r="E560" i="9"/>
  <c r="F560" i="9"/>
  <c r="G560" i="9"/>
  <c r="I560" i="9"/>
  <c r="J560" i="9"/>
  <c r="K560" i="9"/>
  <c r="A561" i="9"/>
  <c r="C561" i="9"/>
  <c r="D561" i="9"/>
  <c r="E561" i="9"/>
  <c r="F561" i="9"/>
  <c r="G561" i="9"/>
  <c r="I561" i="9"/>
  <c r="J561" i="9"/>
  <c r="K561" i="9"/>
  <c r="A562" i="9"/>
  <c r="C562" i="9"/>
  <c r="D562" i="9"/>
  <c r="E562" i="9"/>
  <c r="F562" i="9"/>
  <c r="G562" i="9"/>
  <c r="I562" i="9"/>
  <c r="J562" i="9"/>
  <c r="K562" i="9"/>
  <c r="A563" i="9"/>
  <c r="C563" i="9"/>
  <c r="D563" i="9"/>
  <c r="E563" i="9"/>
  <c r="F563" i="9"/>
  <c r="G563" i="9"/>
  <c r="I563" i="9"/>
  <c r="J563" i="9"/>
  <c r="K563" i="9"/>
  <c r="A564" i="9"/>
  <c r="C564" i="9"/>
  <c r="D564" i="9"/>
  <c r="E564" i="9"/>
  <c r="F564" i="9"/>
  <c r="G564" i="9"/>
  <c r="I564" i="9"/>
  <c r="J564" i="9"/>
  <c r="K564" i="9"/>
  <c r="A565" i="9"/>
  <c r="C565" i="9"/>
  <c r="D565" i="9"/>
  <c r="E565" i="9"/>
  <c r="F565" i="9"/>
  <c r="G565" i="9"/>
  <c r="I565" i="9"/>
  <c r="J565" i="9"/>
  <c r="K565" i="9"/>
  <c r="A566" i="9"/>
  <c r="C566" i="9"/>
  <c r="D566" i="9"/>
  <c r="E566" i="9"/>
  <c r="F566" i="9"/>
  <c r="G566" i="9"/>
  <c r="I566" i="9"/>
  <c r="J566" i="9"/>
  <c r="K566" i="9"/>
  <c r="A567" i="9"/>
  <c r="C567" i="9"/>
  <c r="D567" i="9"/>
  <c r="E567" i="9"/>
  <c r="F567" i="9"/>
  <c r="G567" i="9"/>
  <c r="I567" i="9"/>
  <c r="J567" i="9"/>
  <c r="K567" i="9"/>
  <c r="A568" i="9"/>
  <c r="C568" i="9"/>
  <c r="D568" i="9"/>
  <c r="E568" i="9"/>
  <c r="F568" i="9"/>
  <c r="G568" i="9"/>
  <c r="I568" i="9"/>
  <c r="J568" i="9"/>
  <c r="K568" i="9"/>
  <c r="A569" i="9"/>
  <c r="C569" i="9"/>
  <c r="D569" i="9"/>
  <c r="E569" i="9"/>
  <c r="F569" i="9"/>
  <c r="G569" i="9"/>
  <c r="I569" i="9"/>
  <c r="J569" i="9"/>
  <c r="K569" i="9"/>
  <c r="A570" i="9"/>
  <c r="C570" i="9"/>
  <c r="D570" i="9"/>
  <c r="E570" i="9"/>
  <c r="F570" i="9"/>
  <c r="G570" i="9"/>
  <c r="I570" i="9"/>
  <c r="J570" i="9"/>
  <c r="K570" i="9"/>
  <c r="A571" i="9"/>
  <c r="C571" i="9"/>
  <c r="D571" i="9"/>
  <c r="E571" i="9"/>
  <c r="F571" i="9"/>
  <c r="G571" i="9"/>
  <c r="I571" i="9"/>
  <c r="J571" i="9"/>
  <c r="K571" i="9"/>
  <c r="A572" i="9"/>
  <c r="C572" i="9"/>
  <c r="D572" i="9"/>
  <c r="E572" i="9"/>
  <c r="F572" i="9"/>
  <c r="G572" i="9"/>
  <c r="I572" i="9"/>
  <c r="J572" i="9"/>
  <c r="K572" i="9"/>
  <c r="A573" i="9"/>
  <c r="C573" i="9"/>
  <c r="D573" i="9"/>
  <c r="E573" i="9"/>
  <c r="F573" i="9"/>
  <c r="G573" i="9"/>
  <c r="I573" i="9"/>
  <c r="J573" i="9"/>
  <c r="K573" i="9"/>
  <c r="A574" i="9"/>
  <c r="C574" i="9"/>
  <c r="D574" i="9"/>
  <c r="E574" i="9"/>
  <c r="F574" i="9"/>
  <c r="G574" i="9"/>
  <c r="I574" i="9"/>
  <c r="J574" i="9"/>
  <c r="K574" i="9"/>
  <c r="A575" i="9"/>
  <c r="C575" i="9"/>
  <c r="D575" i="9"/>
  <c r="E575" i="9"/>
  <c r="F575" i="9"/>
  <c r="G575" i="9"/>
  <c r="I575" i="9"/>
  <c r="J575" i="9"/>
  <c r="K575" i="9"/>
  <c r="A576" i="9"/>
  <c r="C576" i="9"/>
  <c r="D576" i="9"/>
  <c r="E576" i="9"/>
  <c r="F576" i="9"/>
  <c r="G576" i="9"/>
  <c r="I576" i="9"/>
  <c r="J576" i="9"/>
  <c r="K576" i="9"/>
  <c r="A577" i="9"/>
  <c r="C577" i="9"/>
  <c r="D577" i="9"/>
  <c r="E577" i="9"/>
  <c r="F577" i="9"/>
  <c r="G577" i="9"/>
  <c r="I577" i="9"/>
  <c r="J577" i="9"/>
  <c r="K577" i="9"/>
  <c r="A578" i="9"/>
  <c r="C578" i="9"/>
  <c r="D578" i="9"/>
  <c r="E578" i="9"/>
  <c r="F578" i="9"/>
  <c r="G578" i="9"/>
  <c r="I578" i="9"/>
  <c r="J578" i="9"/>
  <c r="K578" i="9"/>
  <c r="A579" i="9"/>
  <c r="C579" i="9"/>
  <c r="D579" i="9"/>
  <c r="E579" i="9"/>
  <c r="F579" i="9"/>
  <c r="G579" i="9"/>
  <c r="I579" i="9"/>
  <c r="J579" i="9"/>
  <c r="K579" i="9"/>
  <c r="A580" i="9"/>
  <c r="C580" i="9"/>
  <c r="D580" i="9"/>
  <c r="E580" i="9"/>
  <c r="F580" i="9"/>
  <c r="G580" i="9"/>
  <c r="I580" i="9"/>
  <c r="J580" i="9"/>
  <c r="K580" i="9"/>
  <c r="A581" i="9"/>
  <c r="C581" i="9"/>
  <c r="D581" i="9"/>
  <c r="E581" i="9"/>
  <c r="F581" i="9"/>
  <c r="G581" i="9"/>
  <c r="I581" i="9"/>
  <c r="J581" i="9"/>
  <c r="K581" i="9"/>
  <c r="A582" i="9"/>
  <c r="C582" i="9"/>
  <c r="D582" i="9"/>
  <c r="E582" i="9"/>
  <c r="F582" i="9"/>
  <c r="G582" i="9"/>
  <c r="I582" i="9"/>
  <c r="J582" i="9"/>
  <c r="K582" i="9"/>
  <c r="A583" i="9"/>
  <c r="C583" i="9"/>
  <c r="D583" i="9"/>
  <c r="E583" i="9"/>
  <c r="F583" i="9"/>
  <c r="G583" i="9"/>
  <c r="I583" i="9"/>
  <c r="J583" i="9"/>
  <c r="K583" i="9"/>
  <c r="A584" i="9"/>
  <c r="C584" i="9"/>
  <c r="D584" i="9"/>
  <c r="E584" i="9"/>
  <c r="F584" i="9"/>
  <c r="G584" i="9"/>
  <c r="I584" i="9"/>
  <c r="J584" i="9"/>
  <c r="K584" i="9"/>
  <c r="A585" i="9"/>
  <c r="C585" i="9"/>
  <c r="D585" i="9"/>
  <c r="E585" i="9"/>
  <c r="F585" i="9"/>
  <c r="G585" i="9"/>
  <c r="I585" i="9"/>
  <c r="J585" i="9"/>
  <c r="K585" i="9"/>
  <c r="A586" i="9"/>
  <c r="C586" i="9"/>
  <c r="D586" i="9"/>
  <c r="E586" i="9"/>
  <c r="F586" i="9"/>
  <c r="G586" i="9"/>
  <c r="I586" i="9"/>
  <c r="J586" i="9"/>
  <c r="K586" i="9"/>
  <c r="A587" i="9"/>
  <c r="C587" i="9"/>
  <c r="D587" i="9"/>
  <c r="E587" i="9"/>
  <c r="F587" i="9"/>
  <c r="G587" i="9"/>
  <c r="I587" i="9"/>
  <c r="J587" i="9"/>
  <c r="K587" i="9"/>
  <c r="A588" i="9"/>
  <c r="C588" i="9"/>
  <c r="D588" i="9"/>
  <c r="E588" i="9"/>
  <c r="F588" i="9"/>
  <c r="G588" i="9"/>
  <c r="I588" i="9"/>
  <c r="J588" i="9"/>
  <c r="K588" i="9"/>
  <c r="A589" i="9"/>
  <c r="C589" i="9"/>
  <c r="D589" i="9"/>
  <c r="E589" i="9"/>
  <c r="F589" i="9"/>
  <c r="G589" i="9"/>
  <c r="I589" i="9"/>
  <c r="J589" i="9"/>
  <c r="K589" i="9"/>
  <c r="A590" i="9"/>
  <c r="C590" i="9"/>
  <c r="D590" i="9"/>
  <c r="E590" i="9"/>
  <c r="F590" i="9"/>
  <c r="G590" i="9"/>
  <c r="I590" i="9"/>
  <c r="J590" i="9"/>
  <c r="K590" i="9"/>
  <c r="A591" i="9"/>
  <c r="C591" i="9"/>
  <c r="D591" i="9"/>
  <c r="E591" i="9"/>
  <c r="F591" i="9"/>
  <c r="G591" i="9"/>
  <c r="I591" i="9"/>
  <c r="J591" i="9"/>
  <c r="K591" i="9"/>
  <c r="A592" i="9"/>
  <c r="C592" i="9"/>
  <c r="D592" i="9"/>
  <c r="E592" i="9"/>
  <c r="F592" i="9"/>
  <c r="G592" i="9"/>
  <c r="I592" i="9"/>
  <c r="J592" i="9"/>
  <c r="K592" i="9"/>
  <c r="A593" i="9"/>
  <c r="C593" i="9"/>
  <c r="D593" i="9"/>
  <c r="E593" i="9"/>
  <c r="F593" i="9"/>
  <c r="G593" i="9"/>
  <c r="I593" i="9"/>
  <c r="J593" i="9"/>
  <c r="K593" i="9"/>
  <c r="A594" i="9"/>
  <c r="C594" i="9"/>
  <c r="D594" i="9"/>
  <c r="E594" i="9"/>
  <c r="F594" i="9"/>
  <c r="G594" i="9"/>
  <c r="I594" i="9"/>
  <c r="J594" i="9"/>
  <c r="K594" i="9"/>
  <c r="A595" i="9"/>
  <c r="C595" i="9"/>
  <c r="D595" i="9"/>
  <c r="E595" i="9"/>
  <c r="F595" i="9"/>
  <c r="G595" i="9"/>
  <c r="I595" i="9"/>
  <c r="J595" i="9"/>
  <c r="K595" i="9"/>
  <c r="A596" i="9"/>
  <c r="C596" i="9"/>
  <c r="D596" i="9"/>
  <c r="E596" i="9"/>
  <c r="F596" i="9"/>
  <c r="G596" i="9"/>
  <c r="I596" i="9"/>
  <c r="J596" i="9"/>
  <c r="K596" i="9"/>
  <c r="A597" i="9"/>
  <c r="C597" i="9"/>
  <c r="D597" i="9"/>
  <c r="E597" i="9"/>
  <c r="F597" i="9"/>
  <c r="G597" i="9"/>
  <c r="I597" i="9"/>
  <c r="J597" i="9"/>
  <c r="K597" i="9"/>
  <c r="A598" i="9"/>
  <c r="C598" i="9"/>
  <c r="D598" i="9"/>
  <c r="E598" i="9"/>
  <c r="F598" i="9"/>
  <c r="G598" i="9"/>
  <c r="I598" i="9"/>
  <c r="J598" i="9"/>
  <c r="K598" i="9"/>
  <c r="A599" i="9"/>
  <c r="C599" i="9"/>
  <c r="D599" i="9"/>
  <c r="E599" i="9"/>
  <c r="F599" i="9"/>
  <c r="G599" i="9"/>
  <c r="I599" i="9"/>
  <c r="J599" i="9"/>
  <c r="K599" i="9"/>
  <c r="A600" i="9"/>
  <c r="C600" i="9"/>
  <c r="D600" i="9"/>
  <c r="E600" i="9"/>
  <c r="F600" i="9"/>
  <c r="G600" i="9"/>
  <c r="I600" i="9"/>
  <c r="J600" i="9"/>
  <c r="K600" i="9"/>
  <c r="A601" i="9"/>
  <c r="C601" i="9"/>
  <c r="D601" i="9"/>
  <c r="E601" i="9"/>
  <c r="F601" i="9"/>
  <c r="G601" i="9"/>
  <c r="I601" i="9"/>
  <c r="J601" i="9"/>
  <c r="K601" i="9"/>
  <c r="A602" i="9"/>
  <c r="C602" i="9"/>
  <c r="D602" i="9"/>
  <c r="E602" i="9"/>
  <c r="F602" i="9"/>
  <c r="G602" i="9"/>
  <c r="I602" i="9"/>
  <c r="J602" i="9"/>
  <c r="K602" i="9"/>
  <c r="A603" i="9"/>
  <c r="C603" i="9"/>
  <c r="D603" i="9"/>
  <c r="E603" i="9"/>
  <c r="F603" i="9"/>
  <c r="G603" i="9"/>
  <c r="I603" i="9"/>
  <c r="J603" i="9"/>
  <c r="K603" i="9"/>
  <c r="A604" i="9"/>
  <c r="C604" i="9"/>
  <c r="D604" i="9"/>
  <c r="E604" i="9"/>
  <c r="F604" i="9"/>
  <c r="G604" i="9"/>
  <c r="I604" i="9"/>
  <c r="J604" i="9"/>
  <c r="K604" i="9"/>
  <c r="A605" i="9"/>
  <c r="C605" i="9"/>
  <c r="D605" i="9"/>
  <c r="E605" i="9"/>
  <c r="F605" i="9"/>
  <c r="G605" i="9"/>
  <c r="I605" i="9"/>
  <c r="J605" i="9"/>
  <c r="K605" i="9"/>
  <c r="A606" i="9"/>
  <c r="C606" i="9"/>
  <c r="D606" i="9"/>
  <c r="E606" i="9"/>
  <c r="F606" i="9"/>
  <c r="G606" i="9"/>
  <c r="I606" i="9"/>
  <c r="J606" i="9"/>
  <c r="K606" i="9"/>
  <c r="A607" i="9"/>
  <c r="C607" i="9"/>
  <c r="D607" i="9"/>
  <c r="E607" i="9"/>
  <c r="F607" i="9"/>
  <c r="G607" i="9"/>
  <c r="I607" i="9"/>
  <c r="J607" i="9"/>
  <c r="K607" i="9"/>
  <c r="A608" i="9"/>
  <c r="C608" i="9"/>
  <c r="D608" i="9"/>
  <c r="E608" i="9"/>
  <c r="F608" i="9"/>
  <c r="G608" i="9"/>
  <c r="I608" i="9"/>
  <c r="J608" i="9"/>
  <c r="K608" i="9"/>
  <c r="A609" i="9"/>
  <c r="C609" i="9"/>
  <c r="D609" i="9"/>
  <c r="E609" i="9"/>
  <c r="F609" i="9"/>
  <c r="G609" i="9"/>
  <c r="I609" i="9"/>
  <c r="J609" i="9"/>
  <c r="K609" i="9"/>
  <c r="A610" i="9"/>
  <c r="C610" i="9"/>
  <c r="D610" i="9"/>
  <c r="E610" i="9"/>
  <c r="F610" i="9"/>
  <c r="G610" i="9"/>
  <c r="I610" i="9"/>
  <c r="J610" i="9"/>
  <c r="K610" i="9"/>
  <c r="A611" i="9"/>
  <c r="C611" i="9"/>
  <c r="D611" i="9"/>
  <c r="E611" i="9"/>
  <c r="F611" i="9"/>
  <c r="G611" i="9"/>
  <c r="I611" i="9"/>
  <c r="J611" i="9"/>
  <c r="K611" i="9"/>
  <c r="A612" i="9"/>
  <c r="C612" i="9"/>
  <c r="D612" i="9"/>
  <c r="E612" i="9"/>
  <c r="F612" i="9"/>
  <c r="G612" i="9"/>
  <c r="I612" i="9"/>
  <c r="J612" i="9"/>
  <c r="K612" i="9"/>
  <c r="A613" i="9"/>
  <c r="C613" i="9"/>
  <c r="D613" i="9"/>
  <c r="E613" i="9"/>
  <c r="F613" i="9"/>
  <c r="G613" i="9"/>
  <c r="I613" i="9"/>
  <c r="J613" i="9"/>
  <c r="K613" i="9"/>
  <c r="A614" i="9"/>
  <c r="C614" i="9"/>
  <c r="D614" i="9"/>
  <c r="E614" i="9"/>
  <c r="F614" i="9"/>
  <c r="G614" i="9"/>
  <c r="I614" i="9"/>
  <c r="J614" i="9"/>
  <c r="K614" i="9"/>
  <c r="A615" i="9"/>
  <c r="C615" i="9"/>
  <c r="D615" i="9"/>
  <c r="E615" i="9"/>
  <c r="F615" i="9"/>
  <c r="G615" i="9"/>
  <c r="I615" i="9"/>
  <c r="J615" i="9"/>
  <c r="K615" i="9"/>
  <c r="A616" i="9"/>
  <c r="C616" i="9"/>
  <c r="D616" i="9"/>
  <c r="E616" i="9"/>
  <c r="F616" i="9"/>
  <c r="G616" i="9"/>
  <c r="I616" i="9"/>
  <c r="J616" i="9"/>
  <c r="K616" i="9"/>
  <c r="A617" i="9"/>
  <c r="C617" i="9"/>
  <c r="D617" i="9"/>
  <c r="E617" i="9"/>
  <c r="F617" i="9"/>
  <c r="G617" i="9"/>
  <c r="I617" i="9"/>
  <c r="J617" i="9"/>
  <c r="K617" i="9"/>
  <c r="A618" i="9"/>
  <c r="C618" i="9"/>
  <c r="D618" i="9"/>
  <c r="E618" i="9"/>
  <c r="F618" i="9"/>
  <c r="G618" i="9"/>
  <c r="I618" i="9"/>
  <c r="J618" i="9"/>
  <c r="K618" i="9"/>
  <c r="A619" i="9"/>
  <c r="C619" i="9"/>
  <c r="D619" i="9"/>
  <c r="E619" i="9"/>
  <c r="F619" i="9"/>
  <c r="G619" i="9"/>
  <c r="I619" i="9"/>
  <c r="J619" i="9"/>
  <c r="K619" i="9"/>
  <c r="A620" i="9"/>
  <c r="C620" i="9"/>
  <c r="D620" i="9"/>
  <c r="E620" i="9"/>
  <c r="F620" i="9"/>
  <c r="G620" i="9"/>
  <c r="I620" i="9"/>
  <c r="J620" i="9"/>
  <c r="K620" i="9"/>
  <c r="A621" i="9"/>
  <c r="C621" i="9"/>
  <c r="D621" i="9"/>
  <c r="E621" i="9"/>
  <c r="F621" i="9"/>
  <c r="G621" i="9"/>
  <c r="I621" i="9"/>
  <c r="J621" i="9"/>
  <c r="K621" i="9"/>
  <c r="A622" i="9"/>
  <c r="C622" i="9"/>
  <c r="D622" i="9"/>
  <c r="E622" i="9"/>
  <c r="F622" i="9"/>
  <c r="G622" i="9"/>
  <c r="I622" i="9"/>
  <c r="J622" i="9"/>
  <c r="K622" i="9"/>
  <c r="A623" i="9"/>
  <c r="C623" i="9"/>
  <c r="D623" i="9"/>
  <c r="E623" i="9"/>
  <c r="F623" i="9"/>
  <c r="G623" i="9"/>
  <c r="I623" i="9"/>
  <c r="J623" i="9"/>
  <c r="K623" i="9"/>
  <c r="A624" i="9"/>
  <c r="C624" i="9"/>
  <c r="D624" i="9"/>
  <c r="E624" i="9"/>
  <c r="F624" i="9"/>
  <c r="G624" i="9"/>
  <c r="I624" i="9"/>
  <c r="J624" i="9"/>
  <c r="K624" i="9"/>
  <c r="A625" i="9"/>
  <c r="C625" i="9"/>
  <c r="D625" i="9"/>
  <c r="E625" i="9"/>
  <c r="F625" i="9"/>
  <c r="G625" i="9"/>
  <c r="I625" i="9"/>
  <c r="J625" i="9"/>
  <c r="K625" i="9"/>
  <c r="A626" i="9"/>
  <c r="C626" i="9"/>
  <c r="D626" i="9"/>
  <c r="E626" i="9"/>
  <c r="F626" i="9"/>
  <c r="G626" i="9"/>
  <c r="I626" i="9"/>
  <c r="J626" i="9"/>
  <c r="K626" i="9"/>
  <c r="A627" i="9"/>
  <c r="C627" i="9"/>
  <c r="D627" i="9"/>
  <c r="E627" i="9"/>
  <c r="F627" i="9"/>
  <c r="G627" i="9"/>
  <c r="I627" i="9"/>
  <c r="J627" i="9"/>
  <c r="K627" i="9"/>
  <c r="A628" i="9"/>
  <c r="C628" i="9"/>
  <c r="D628" i="9"/>
  <c r="E628" i="9"/>
  <c r="F628" i="9"/>
  <c r="G628" i="9"/>
  <c r="I628" i="9"/>
  <c r="J628" i="9"/>
  <c r="K628" i="9"/>
  <c r="A629" i="9"/>
  <c r="C629" i="9"/>
  <c r="D629" i="9"/>
  <c r="E629" i="9"/>
  <c r="F629" i="9"/>
  <c r="G629" i="9"/>
  <c r="I629" i="9"/>
  <c r="J629" i="9"/>
  <c r="K629" i="9"/>
  <c r="A630" i="9"/>
  <c r="C630" i="9"/>
  <c r="D630" i="9"/>
  <c r="E630" i="9"/>
  <c r="F630" i="9"/>
  <c r="G630" i="9"/>
  <c r="I630" i="9"/>
  <c r="J630" i="9"/>
  <c r="K630" i="9"/>
  <c r="A631" i="9"/>
  <c r="C631" i="9"/>
  <c r="D631" i="9"/>
  <c r="E631" i="9"/>
  <c r="F631" i="9"/>
  <c r="G631" i="9"/>
  <c r="I631" i="9"/>
  <c r="J631" i="9"/>
  <c r="K631" i="9"/>
  <c r="A632" i="9"/>
  <c r="C632" i="9"/>
  <c r="D632" i="9"/>
  <c r="E632" i="9"/>
  <c r="F632" i="9"/>
  <c r="G632" i="9"/>
  <c r="I632" i="9"/>
  <c r="J632" i="9"/>
  <c r="K632" i="9"/>
  <c r="A633" i="9"/>
  <c r="C633" i="9"/>
  <c r="D633" i="9"/>
  <c r="E633" i="9"/>
  <c r="F633" i="9"/>
  <c r="G633" i="9"/>
  <c r="I633" i="9"/>
  <c r="J633" i="9"/>
  <c r="K633" i="9"/>
  <c r="A634" i="9"/>
  <c r="C634" i="9"/>
  <c r="D634" i="9"/>
  <c r="E634" i="9"/>
  <c r="F634" i="9"/>
  <c r="G634" i="9"/>
  <c r="I634" i="9"/>
  <c r="J634" i="9"/>
  <c r="K634" i="9"/>
  <c r="A635" i="9"/>
  <c r="C635" i="9"/>
  <c r="D635" i="9"/>
  <c r="E635" i="9"/>
  <c r="F635" i="9"/>
  <c r="G635" i="9"/>
  <c r="I635" i="9"/>
  <c r="J635" i="9"/>
  <c r="K635" i="9"/>
  <c r="A636" i="9"/>
  <c r="C636" i="9"/>
  <c r="D636" i="9"/>
  <c r="E636" i="9"/>
  <c r="F636" i="9"/>
  <c r="G636" i="9"/>
  <c r="I636" i="9"/>
  <c r="J636" i="9"/>
  <c r="K636" i="9"/>
  <c r="A637" i="9"/>
  <c r="C637" i="9"/>
  <c r="D637" i="9"/>
  <c r="E637" i="9"/>
  <c r="F637" i="9"/>
  <c r="G637" i="9"/>
  <c r="I637" i="9"/>
  <c r="J637" i="9"/>
  <c r="K637" i="9"/>
  <c r="A638" i="9"/>
  <c r="C638" i="9"/>
  <c r="D638" i="9"/>
  <c r="E638" i="9"/>
  <c r="F638" i="9"/>
  <c r="G638" i="9"/>
  <c r="I638" i="9"/>
  <c r="J638" i="9"/>
  <c r="K638" i="9"/>
  <c r="A639" i="9"/>
  <c r="C639" i="9"/>
  <c r="D639" i="9"/>
  <c r="E639" i="9"/>
  <c r="F639" i="9"/>
  <c r="G639" i="9"/>
  <c r="I639" i="9"/>
  <c r="J639" i="9"/>
  <c r="K639" i="9"/>
  <c r="A640" i="9"/>
  <c r="C640" i="9"/>
  <c r="D640" i="9"/>
  <c r="E640" i="9"/>
  <c r="F640" i="9"/>
  <c r="G640" i="9"/>
  <c r="I640" i="9"/>
  <c r="J640" i="9"/>
  <c r="K640" i="9"/>
  <c r="A641" i="9"/>
  <c r="C641" i="9"/>
  <c r="D641" i="9"/>
  <c r="E641" i="9"/>
  <c r="F641" i="9"/>
  <c r="G641" i="9"/>
  <c r="I641" i="9"/>
  <c r="J641" i="9"/>
  <c r="K641" i="9"/>
  <c r="A642" i="9"/>
  <c r="C642" i="9"/>
  <c r="D642" i="9"/>
  <c r="E642" i="9"/>
  <c r="F642" i="9"/>
  <c r="G642" i="9"/>
  <c r="I642" i="9"/>
  <c r="J642" i="9"/>
  <c r="K642" i="9"/>
  <c r="A643" i="9"/>
  <c r="C643" i="9"/>
  <c r="D643" i="9"/>
  <c r="E643" i="9"/>
  <c r="F643" i="9"/>
  <c r="G643" i="9"/>
  <c r="I643" i="9"/>
  <c r="J643" i="9"/>
  <c r="K643" i="9"/>
  <c r="A644" i="9"/>
  <c r="C644" i="9"/>
  <c r="D644" i="9"/>
  <c r="E644" i="9"/>
  <c r="F644" i="9"/>
  <c r="G644" i="9"/>
  <c r="I644" i="9"/>
  <c r="J644" i="9"/>
  <c r="K644" i="9"/>
  <c r="A645" i="9"/>
  <c r="C645" i="9"/>
  <c r="D645" i="9"/>
  <c r="E645" i="9"/>
  <c r="F645" i="9"/>
  <c r="G645" i="9"/>
  <c r="I645" i="9"/>
  <c r="J645" i="9"/>
  <c r="K645" i="9"/>
  <c r="A646" i="9"/>
  <c r="C646" i="9"/>
  <c r="D646" i="9"/>
  <c r="E646" i="9"/>
  <c r="F646" i="9"/>
  <c r="G646" i="9"/>
  <c r="I646" i="9"/>
  <c r="J646" i="9"/>
  <c r="K646" i="9"/>
  <c r="A647" i="9"/>
  <c r="C647" i="9"/>
  <c r="D647" i="9"/>
  <c r="E647" i="9"/>
  <c r="F647" i="9"/>
  <c r="G647" i="9"/>
  <c r="I647" i="9"/>
  <c r="J647" i="9"/>
  <c r="K647" i="9"/>
  <c r="A648" i="9"/>
  <c r="C648" i="9"/>
  <c r="D648" i="9"/>
  <c r="E648" i="9"/>
  <c r="F648" i="9"/>
  <c r="G648" i="9"/>
  <c r="I648" i="9"/>
  <c r="J648" i="9"/>
  <c r="K648" i="9"/>
  <c r="A649" i="9"/>
  <c r="C649" i="9"/>
  <c r="D649" i="9"/>
  <c r="E649" i="9"/>
  <c r="F649" i="9"/>
  <c r="G649" i="9"/>
  <c r="I649" i="9"/>
  <c r="J649" i="9"/>
  <c r="K649" i="9"/>
  <c r="A650" i="9"/>
  <c r="C650" i="9"/>
  <c r="D650" i="9"/>
  <c r="E650" i="9"/>
  <c r="F650" i="9"/>
  <c r="G650" i="9"/>
  <c r="I650" i="9"/>
  <c r="J650" i="9"/>
  <c r="K650" i="9"/>
  <c r="A651" i="9"/>
  <c r="C651" i="9"/>
  <c r="D651" i="9"/>
  <c r="E651" i="9"/>
  <c r="F651" i="9"/>
  <c r="G651" i="9"/>
  <c r="I651" i="9"/>
  <c r="J651" i="9"/>
  <c r="K651" i="9"/>
  <c r="A652" i="9"/>
  <c r="C652" i="9"/>
  <c r="D652" i="9"/>
  <c r="E652" i="9"/>
  <c r="F652" i="9"/>
  <c r="G652" i="9"/>
  <c r="I652" i="9"/>
  <c r="J652" i="9"/>
  <c r="K652" i="9"/>
  <c r="A653" i="9"/>
  <c r="C653" i="9"/>
  <c r="D653" i="9"/>
  <c r="E653" i="9"/>
  <c r="F653" i="9"/>
  <c r="G653" i="9"/>
  <c r="I653" i="9"/>
  <c r="J653" i="9"/>
  <c r="K653" i="9"/>
  <c r="A654" i="9"/>
  <c r="C654" i="9"/>
  <c r="D654" i="9"/>
  <c r="E654" i="9"/>
  <c r="F654" i="9"/>
  <c r="G654" i="9"/>
  <c r="I654" i="9"/>
  <c r="J654" i="9"/>
  <c r="K654" i="9"/>
  <c r="A655" i="9"/>
  <c r="C655" i="9"/>
  <c r="D655" i="9"/>
  <c r="E655" i="9"/>
  <c r="F655" i="9"/>
  <c r="G655" i="9"/>
  <c r="I655" i="9"/>
  <c r="J655" i="9"/>
  <c r="K655" i="9"/>
  <c r="A656" i="9"/>
  <c r="C656" i="9"/>
  <c r="D656" i="9"/>
  <c r="E656" i="9"/>
  <c r="F656" i="9"/>
  <c r="G656" i="9"/>
  <c r="I656" i="9"/>
  <c r="J656" i="9"/>
  <c r="K656" i="9"/>
  <c r="A657" i="9"/>
  <c r="C657" i="9"/>
  <c r="D657" i="9"/>
  <c r="E657" i="9"/>
  <c r="F657" i="9"/>
  <c r="G657" i="9"/>
  <c r="I657" i="9"/>
  <c r="J657" i="9"/>
  <c r="K657" i="9"/>
  <c r="A658" i="9"/>
  <c r="C658" i="9"/>
  <c r="D658" i="9"/>
  <c r="E658" i="9"/>
  <c r="F658" i="9"/>
  <c r="G658" i="9"/>
  <c r="I658" i="9"/>
  <c r="J658" i="9"/>
  <c r="K658" i="9"/>
  <c r="A659" i="9"/>
  <c r="C659" i="9"/>
  <c r="D659" i="9"/>
  <c r="E659" i="9"/>
  <c r="F659" i="9"/>
  <c r="G659" i="9"/>
  <c r="I659" i="9"/>
  <c r="J659" i="9"/>
  <c r="K659" i="9"/>
  <c r="A660" i="9"/>
  <c r="C660" i="9"/>
  <c r="D660" i="9"/>
  <c r="E660" i="9"/>
  <c r="F660" i="9"/>
  <c r="G660" i="9"/>
  <c r="I660" i="9"/>
  <c r="J660" i="9"/>
  <c r="K660" i="9"/>
  <c r="A661" i="9"/>
  <c r="C661" i="9"/>
  <c r="D661" i="9"/>
  <c r="E661" i="9"/>
  <c r="F661" i="9"/>
  <c r="G661" i="9"/>
  <c r="I661" i="9"/>
  <c r="J661" i="9"/>
  <c r="K661" i="9"/>
  <c r="A662" i="9"/>
  <c r="C662" i="9"/>
  <c r="D662" i="9"/>
  <c r="E662" i="9"/>
  <c r="F662" i="9"/>
  <c r="G662" i="9"/>
  <c r="I662" i="9"/>
  <c r="J662" i="9"/>
  <c r="K662" i="9"/>
  <c r="A663" i="9"/>
  <c r="C663" i="9"/>
  <c r="D663" i="9"/>
  <c r="E663" i="9"/>
  <c r="F663" i="9"/>
  <c r="G663" i="9"/>
  <c r="I663" i="9"/>
  <c r="J663" i="9"/>
  <c r="K663" i="9"/>
  <c r="A664" i="9"/>
  <c r="C664" i="9"/>
  <c r="D664" i="9"/>
  <c r="E664" i="9"/>
  <c r="F664" i="9"/>
  <c r="G664" i="9"/>
  <c r="I664" i="9"/>
  <c r="J664" i="9"/>
  <c r="K664" i="9"/>
  <c r="A665" i="9"/>
  <c r="C665" i="9"/>
  <c r="D665" i="9"/>
  <c r="E665" i="9"/>
  <c r="F665" i="9"/>
  <c r="G665" i="9"/>
  <c r="I665" i="9"/>
  <c r="J665" i="9"/>
  <c r="K665" i="9"/>
  <c r="A666" i="9"/>
  <c r="C666" i="9"/>
  <c r="D666" i="9"/>
  <c r="E666" i="9"/>
  <c r="F666" i="9"/>
  <c r="G666" i="9"/>
  <c r="I666" i="9"/>
  <c r="J666" i="9"/>
  <c r="K666" i="9"/>
  <c r="A667" i="9"/>
  <c r="C667" i="9"/>
  <c r="D667" i="9"/>
  <c r="E667" i="9"/>
  <c r="F667" i="9"/>
  <c r="G667" i="9"/>
  <c r="I667" i="9"/>
  <c r="J667" i="9"/>
  <c r="K667" i="9"/>
  <c r="A668" i="9"/>
  <c r="C668" i="9"/>
  <c r="D668" i="9"/>
  <c r="E668" i="9"/>
  <c r="F668" i="9"/>
  <c r="G668" i="9"/>
  <c r="I668" i="9"/>
  <c r="J668" i="9"/>
  <c r="K668" i="9"/>
  <c r="A669" i="9"/>
  <c r="C669" i="9"/>
  <c r="D669" i="9"/>
  <c r="E669" i="9"/>
  <c r="F669" i="9"/>
  <c r="G669" i="9"/>
  <c r="I669" i="9"/>
  <c r="J669" i="9"/>
  <c r="K669" i="9"/>
  <c r="A670" i="9"/>
  <c r="C670" i="9"/>
  <c r="D670" i="9"/>
  <c r="E670" i="9"/>
  <c r="F670" i="9"/>
  <c r="G670" i="9"/>
  <c r="I670" i="9"/>
  <c r="J670" i="9"/>
  <c r="K670" i="9"/>
  <c r="A671" i="9"/>
  <c r="C671" i="9"/>
  <c r="D671" i="9"/>
  <c r="E671" i="9"/>
  <c r="F671" i="9"/>
  <c r="G671" i="9"/>
  <c r="I671" i="9"/>
  <c r="J671" i="9"/>
  <c r="K671" i="9"/>
  <c r="A672" i="9"/>
  <c r="C672" i="9"/>
  <c r="D672" i="9"/>
  <c r="E672" i="9"/>
  <c r="F672" i="9"/>
  <c r="G672" i="9"/>
  <c r="I672" i="9"/>
  <c r="J672" i="9"/>
  <c r="K672" i="9"/>
  <c r="A673" i="9"/>
  <c r="C673" i="9"/>
  <c r="D673" i="9"/>
  <c r="E673" i="9"/>
  <c r="F673" i="9"/>
  <c r="G673" i="9"/>
  <c r="I673" i="9"/>
  <c r="J673" i="9"/>
  <c r="K673" i="9"/>
  <c r="A674" i="9"/>
  <c r="C674" i="9"/>
  <c r="D674" i="9"/>
  <c r="E674" i="9"/>
  <c r="F674" i="9"/>
  <c r="G674" i="9"/>
  <c r="I674" i="9"/>
  <c r="J674" i="9"/>
  <c r="K674" i="9"/>
  <c r="A675" i="9"/>
  <c r="C675" i="9"/>
  <c r="D675" i="9"/>
  <c r="E675" i="9"/>
  <c r="F675" i="9"/>
  <c r="G675" i="9"/>
  <c r="I675" i="9"/>
  <c r="J675" i="9"/>
  <c r="K675" i="9"/>
  <c r="A676" i="9"/>
  <c r="C676" i="9"/>
  <c r="D676" i="9"/>
  <c r="E676" i="9"/>
  <c r="F676" i="9"/>
  <c r="G676" i="9"/>
  <c r="I676" i="9"/>
  <c r="J676" i="9"/>
  <c r="K676" i="9"/>
  <c r="A677" i="9"/>
  <c r="C677" i="9"/>
  <c r="D677" i="9"/>
  <c r="E677" i="9"/>
  <c r="F677" i="9"/>
  <c r="G677" i="9"/>
  <c r="I677" i="9"/>
  <c r="J677" i="9"/>
  <c r="K677" i="9"/>
  <c r="A678" i="9"/>
  <c r="C678" i="9"/>
  <c r="D678" i="9"/>
  <c r="E678" i="9"/>
  <c r="F678" i="9"/>
  <c r="G678" i="9"/>
  <c r="I678" i="9"/>
  <c r="J678" i="9"/>
  <c r="K678" i="9"/>
  <c r="A679" i="9"/>
  <c r="C679" i="9"/>
  <c r="D679" i="9"/>
  <c r="E679" i="9"/>
  <c r="F679" i="9"/>
  <c r="G679" i="9"/>
  <c r="I679" i="9"/>
  <c r="J679" i="9"/>
  <c r="K679" i="9"/>
  <c r="A680" i="9"/>
  <c r="C680" i="9"/>
  <c r="D680" i="9"/>
  <c r="E680" i="9"/>
  <c r="F680" i="9"/>
  <c r="G680" i="9"/>
  <c r="I680" i="9"/>
  <c r="J680" i="9"/>
  <c r="K680" i="9"/>
  <c r="A681" i="9"/>
  <c r="C681" i="9"/>
  <c r="D681" i="9"/>
  <c r="E681" i="9"/>
  <c r="F681" i="9"/>
  <c r="G681" i="9"/>
  <c r="I681" i="9"/>
  <c r="J681" i="9"/>
  <c r="K681" i="9"/>
  <c r="A682" i="9"/>
  <c r="C682" i="9"/>
  <c r="D682" i="9"/>
  <c r="E682" i="9"/>
  <c r="F682" i="9"/>
  <c r="G682" i="9"/>
  <c r="I682" i="9"/>
  <c r="J682" i="9"/>
  <c r="K682" i="9"/>
  <c r="A683" i="9"/>
  <c r="C683" i="9"/>
  <c r="D683" i="9"/>
  <c r="E683" i="9"/>
  <c r="F683" i="9"/>
  <c r="G683" i="9"/>
  <c r="I683" i="9"/>
  <c r="J683" i="9"/>
  <c r="K683" i="9"/>
  <c r="A684" i="9"/>
  <c r="C684" i="9"/>
  <c r="D684" i="9"/>
  <c r="E684" i="9"/>
  <c r="F684" i="9"/>
  <c r="G684" i="9"/>
  <c r="I684" i="9"/>
  <c r="J684" i="9"/>
  <c r="K684" i="9"/>
  <c r="A685" i="9"/>
  <c r="C685" i="9"/>
  <c r="D685" i="9"/>
  <c r="E685" i="9"/>
  <c r="F685" i="9"/>
  <c r="G685" i="9"/>
  <c r="I685" i="9"/>
  <c r="J685" i="9"/>
  <c r="K685" i="9"/>
  <c r="A686" i="9"/>
  <c r="C686" i="9"/>
  <c r="D686" i="9"/>
  <c r="E686" i="9"/>
  <c r="F686" i="9"/>
  <c r="G686" i="9"/>
  <c r="I686" i="9"/>
  <c r="J686" i="9"/>
  <c r="K686" i="9"/>
  <c r="A687" i="9"/>
  <c r="C687" i="9"/>
  <c r="D687" i="9"/>
  <c r="E687" i="9"/>
  <c r="F687" i="9"/>
  <c r="G687" i="9"/>
  <c r="I687" i="9"/>
  <c r="J687" i="9"/>
  <c r="K687" i="9"/>
  <c r="A688" i="9"/>
  <c r="C688" i="9"/>
  <c r="D688" i="9"/>
  <c r="E688" i="9"/>
  <c r="F688" i="9"/>
  <c r="G688" i="9"/>
  <c r="I688" i="9"/>
  <c r="J688" i="9"/>
  <c r="K688" i="9"/>
  <c r="A689" i="9"/>
  <c r="C689" i="9"/>
  <c r="D689" i="9"/>
  <c r="E689" i="9"/>
  <c r="F689" i="9"/>
  <c r="G689" i="9"/>
  <c r="I689" i="9"/>
  <c r="J689" i="9"/>
  <c r="K689" i="9"/>
  <c r="A690" i="9"/>
  <c r="C690" i="9"/>
  <c r="D690" i="9"/>
  <c r="E690" i="9"/>
  <c r="F690" i="9"/>
  <c r="G690" i="9"/>
  <c r="I690" i="9"/>
  <c r="J690" i="9"/>
  <c r="K690" i="9"/>
  <c r="A691" i="9"/>
  <c r="C691" i="9"/>
  <c r="D691" i="9"/>
  <c r="E691" i="9"/>
  <c r="F691" i="9"/>
  <c r="G691" i="9"/>
  <c r="I691" i="9"/>
  <c r="J691" i="9"/>
  <c r="K691" i="9"/>
  <c r="A692" i="9"/>
  <c r="C692" i="9"/>
  <c r="D692" i="9"/>
  <c r="E692" i="9"/>
  <c r="F692" i="9"/>
  <c r="G692" i="9"/>
  <c r="I692" i="9"/>
  <c r="J692" i="9"/>
  <c r="K692" i="9"/>
  <c r="A693" i="9"/>
  <c r="C693" i="9"/>
  <c r="D693" i="9"/>
  <c r="E693" i="9"/>
  <c r="F693" i="9"/>
  <c r="G693" i="9"/>
  <c r="I693" i="9"/>
  <c r="J693" i="9"/>
  <c r="K693" i="9"/>
  <c r="A694" i="9"/>
  <c r="C694" i="9"/>
  <c r="D694" i="9"/>
  <c r="E694" i="9"/>
  <c r="F694" i="9"/>
  <c r="G694" i="9"/>
  <c r="I694" i="9"/>
  <c r="J694" i="9"/>
  <c r="K694" i="9"/>
  <c r="A695" i="9"/>
  <c r="C695" i="9"/>
  <c r="D695" i="9"/>
  <c r="E695" i="9"/>
  <c r="F695" i="9"/>
  <c r="G695" i="9"/>
  <c r="I695" i="9"/>
  <c r="J695" i="9"/>
  <c r="K695" i="9"/>
  <c r="A696" i="9"/>
  <c r="C696" i="9"/>
  <c r="D696" i="9"/>
  <c r="E696" i="9"/>
  <c r="F696" i="9"/>
  <c r="G696" i="9"/>
  <c r="I696" i="9"/>
  <c r="J696" i="9"/>
  <c r="K696" i="9"/>
  <c r="A697" i="9"/>
  <c r="C697" i="9"/>
  <c r="D697" i="9"/>
  <c r="E697" i="9"/>
  <c r="F697" i="9"/>
  <c r="G697" i="9"/>
  <c r="I697" i="9"/>
  <c r="J697" i="9"/>
  <c r="K697" i="9"/>
  <c r="A698" i="9"/>
  <c r="C698" i="9"/>
  <c r="D698" i="9"/>
  <c r="E698" i="9"/>
  <c r="F698" i="9"/>
  <c r="G698" i="9"/>
  <c r="I698" i="9"/>
  <c r="J698" i="9"/>
  <c r="K698" i="9"/>
  <c r="A699" i="9"/>
  <c r="C699" i="9"/>
  <c r="D699" i="9"/>
  <c r="E699" i="9"/>
  <c r="F699" i="9"/>
  <c r="G699" i="9"/>
  <c r="I699" i="9"/>
  <c r="J699" i="9"/>
  <c r="K699" i="9"/>
  <c r="A700" i="9"/>
  <c r="C700" i="9"/>
  <c r="D700" i="9"/>
  <c r="E700" i="9"/>
  <c r="F700" i="9"/>
  <c r="G700" i="9"/>
  <c r="I700" i="9"/>
  <c r="J700" i="9"/>
  <c r="K700" i="9"/>
  <c r="A701" i="9"/>
  <c r="C701" i="9"/>
  <c r="D701" i="9"/>
  <c r="E701" i="9"/>
  <c r="F701" i="9"/>
  <c r="G701" i="9"/>
  <c r="I701" i="9"/>
  <c r="J701" i="9"/>
  <c r="K701" i="9"/>
  <c r="A702" i="9"/>
  <c r="C702" i="9"/>
  <c r="D702" i="9"/>
  <c r="E702" i="9"/>
  <c r="F702" i="9"/>
  <c r="G702" i="9"/>
  <c r="I702" i="9"/>
  <c r="J702" i="9"/>
  <c r="K702" i="9"/>
  <c r="A703" i="9"/>
  <c r="C703" i="9"/>
  <c r="D703" i="9"/>
  <c r="E703" i="9"/>
  <c r="F703" i="9"/>
  <c r="G703" i="9"/>
  <c r="I703" i="9"/>
  <c r="J703" i="9"/>
  <c r="K703" i="9"/>
  <c r="A704" i="9"/>
  <c r="C704" i="9"/>
  <c r="D704" i="9"/>
  <c r="E704" i="9"/>
  <c r="F704" i="9"/>
  <c r="G704" i="9"/>
  <c r="I704" i="9"/>
  <c r="J704" i="9"/>
  <c r="K704" i="9"/>
  <c r="A705" i="9"/>
  <c r="C705" i="9"/>
  <c r="D705" i="9"/>
  <c r="E705" i="9"/>
  <c r="F705" i="9"/>
  <c r="G705" i="9"/>
  <c r="I705" i="9"/>
  <c r="J705" i="9"/>
  <c r="K705" i="9"/>
  <c r="A706" i="9"/>
  <c r="C706" i="9"/>
  <c r="D706" i="9"/>
  <c r="E706" i="9"/>
  <c r="F706" i="9"/>
  <c r="G706" i="9"/>
  <c r="I706" i="9"/>
  <c r="J706" i="9"/>
  <c r="K706" i="9"/>
  <c r="A707" i="9"/>
  <c r="C707" i="9"/>
  <c r="D707" i="9"/>
  <c r="E707" i="9"/>
  <c r="F707" i="9"/>
  <c r="G707" i="9"/>
  <c r="I707" i="9"/>
  <c r="J707" i="9"/>
  <c r="K707" i="9"/>
  <c r="A708" i="9"/>
  <c r="C708" i="9"/>
  <c r="D708" i="9"/>
  <c r="E708" i="9"/>
  <c r="F708" i="9"/>
  <c r="G708" i="9"/>
  <c r="I708" i="9"/>
  <c r="J708" i="9"/>
  <c r="K708" i="9"/>
  <c r="A709" i="9"/>
  <c r="C709" i="9"/>
  <c r="D709" i="9"/>
  <c r="E709" i="9"/>
  <c r="F709" i="9"/>
  <c r="G709" i="9"/>
  <c r="I709" i="9"/>
  <c r="J709" i="9"/>
  <c r="K709" i="9"/>
  <c r="A710" i="9"/>
  <c r="C710" i="9"/>
  <c r="D710" i="9"/>
  <c r="E710" i="9"/>
  <c r="F710" i="9"/>
  <c r="G710" i="9"/>
  <c r="I710" i="9"/>
  <c r="J710" i="9"/>
  <c r="K710" i="9"/>
  <c r="A711" i="9"/>
  <c r="C711" i="9"/>
  <c r="D711" i="9"/>
  <c r="E711" i="9"/>
  <c r="F711" i="9"/>
  <c r="G711" i="9"/>
  <c r="I711" i="9"/>
  <c r="J711" i="9"/>
  <c r="K711" i="9"/>
  <c r="A712" i="9"/>
  <c r="C712" i="9"/>
  <c r="D712" i="9"/>
  <c r="E712" i="9"/>
  <c r="F712" i="9"/>
  <c r="G712" i="9"/>
  <c r="I712" i="9"/>
  <c r="J712" i="9"/>
  <c r="K712" i="9"/>
  <c r="A713" i="9"/>
  <c r="C713" i="9"/>
  <c r="D713" i="9"/>
  <c r="E713" i="9"/>
  <c r="F713" i="9"/>
  <c r="G713" i="9"/>
  <c r="I713" i="9"/>
  <c r="J713" i="9"/>
  <c r="K713" i="9"/>
  <c r="A714" i="9"/>
  <c r="C714" i="9"/>
  <c r="D714" i="9"/>
  <c r="E714" i="9"/>
  <c r="F714" i="9"/>
  <c r="G714" i="9"/>
  <c r="I714" i="9"/>
  <c r="J714" i="9"/>
  <c r="K714" i="9"/>
  <c r="A715" i="9"/>
  <c r="C715" i="9"/>
  <c r="D715" i="9"/>
  <c r="E715" i="9"/>
  <c r="F715" i="9"/>
  <c r="G715" i="9"/>
  <c r="I715" i="9"/>
  <c r="J715" i="9"/>
  <c r="K715" i="9"/>
  <c r="A716" i="9"/>
  <c r="C716" i="9"/>
  <c r="D716" i="9"/>
  <c r="E716" i="9"/>
  <c r="F716" i="9"/>
  <c r="G716" i="9"/>
  <c r="I716" i="9"/>
  <c r="J716" i="9"/>
  <c r="K716" i="9"/>
  <c r="A717" i="9"/>
  <c r="C717" i="9"/>
  <c r="D717" i="9"/>
  <c r="E717" i="9"/>
  <c r="F717" i="9"/>
  <c r="G717" i="9"/>
  <c r="I717" i="9"/>
  <c r="J717" i="9"/>
  <c r="K717" i="9"/>
  <c r="A718" i="9"/>
  <c r="C718" i="9"/>
  <c r="D718" i="9"/>
  <c r="E718" i="9"/>
  <c r="F718" i="9"/>
  <c r="G718" i="9"/>
  <c r="I718" i="9"/>
  <c r="J718" i="9"/>
  <c r="K718" i="9"/>
  <c r="A719" i="9"/>
  <c r="C719" i="9"/>
  <c r="D719" i="9"/>
  <c r="E719" i="9"/>
  <c r="F719" i="9"/>
  <c r="G719" i="9"/>
  <c r="I719" i="9"/>
  <c r="J719" i="9"/>
  <c r="K719" i="9"/>
  <c r="A720" i="9"/>
  <c r="C720" i="9"/>
  <c r="D720" i="9"/>
  <c r="E720" i="9"/>
  <c r="F720" i="9"/>
  <c r="G720" i="9"/>
  <c r="I720" i="9"/>
  <c r="J720" i="9"/>
  <c r="K720" i="9"/>
  <c r="A721" i="9"/>
  <c r="C721" i="9"/>
  <c r="D721" i="9"/>
  <c r="E721" i="9"/>
  <c r="F721" i="9"/>
  <c r="G721" i="9"/>
  <c r="I721" i="9"/>
  <c r="J721" i="9"/>
  <c r="K721" i="9"/>
  <c r="A722" i="9"/>
  <c r="C722" i="9"/>
  <c r="D722" i="9"/>
  <c r="E722" i="9"/>
  <c r="F722" i="9"/>
  <c r="G722" i="9"/>
  <c r="I722" i="9"/>
  <c r="J722" i="9"/>
  <c r="K722" i="9"/>
  <c r="A723" i="9"/>
  <c r="C723" i="9"/>
  <c r="D723" i="9"/>
  <c r="E723" i="9"/>
  <c r="F723" i="9"/>
  <c r="G723" i="9"/>
  <c r="I723" i="9"/>
  <c r="J723" i="9"/>
  <c r="K723" i="9"/>
  <c r="A724" i="9"/>
  <c r="C724" i="9"/>
  <c r="D724" i="9"/>
  <c r="E724" i="9"/>
  <c r="F724" i="9"/>
  <c r="G724" i="9"/>
  <c r="I724" i="9"/>
  <c r="J724" i="9"/>
  <c r="K724" i="9"/>
  <c r="A725" i="9"/>
  <c r="C725" i="9"/>
  <c r="D725" i="9"/>
  <c r="E725" i="9"/>
  <c r="F725" i="9"/>
  <c r="G725" i="9"/>
  <c r="I725" i="9"/>
  <c r="J725" i="9"/>
  <c r="K725" i="9"/>
  <c r="A726" i="9"/>
  <c r="C726" i="9"/>
  <c r="D726" i="9"/>
  <c r="E726" i="9"/>
  <c r="F726" i="9"/>
  <c r="G726" i="9"/>
  <c r="I726" i="9"/>
  <c r="J726" i="9"/>
  <c r="K726" i="9"/>
  <c r="A727" i="9"/>
  <c r="C727" i="9"/>
  <c r="D727" i="9"/>
  <c r="E727" i="9"/>
  <c r="F727" i="9"/>
  <c r="G727" i="9"/>
  <c r="I727" i="9"/>
  <c r="J727" i="9"/>
  <c r="K727" i="9"/>
  <c r="A728" i="9"/>
  <c r="C728" i="9"/>
  <c r="D728" i="9"/>
  <c r="E728" i="9"/>
  <c r="F728" i="9"/>
  <c r="G728" i="9"/>
  <c r="I728" i="9"/>
  <c r="J728" i="9"/>
  <c r="K728" i="9"/>
  <c r="A729" i="9"/>
  <c r="C729" i="9"/>
  <c r="D729" i="9"/>
  <c r="E729" i="9"/>
  <c r="F729" i="9"/>
  <c r="G729" i="9"/>
  <c r="I729" i="9"/>
  <c r="J729" i="9"/>
  <c r="K729" i="9"/>
  <c r="A730" i="9"/>
  <c r="C730" i="9"/>
  <c r="D730" i="9"/>
  <c r="E730" i="9"/>
  <c r="F730" i="9"/>
  <c r="G730" i="9"/>
  <c r="I730" i="9"/>
  <c r="J730" i="9"/>
  <c r="K730" i="9"/>
  <c r="A731" i="9"/>
  <c r="C731" i="9"/>
  <c r="D731" i="9"/>
  <c r="E731" i="9"/>
  <c r="F731" i="9"/>
  <c r="G731" i="9"/>
  <c r="I731" i="9"/>
  <c r="J731" i="9"/>
  <c r="K731" i="9"/>
  <c r="A732" i="9"/>
  <c r="C732" i="9"/>
  <c r="D732" i="9"/>
  <c r="E732" i="9"/>
  <c r="F732" i="9"/>
  <c r="G732" i="9"/>
  <c r="I732" i="9"/>
  <c r="J732" i="9"/>
  <c r="K732" i="9"/>
  <c r="A733" i="9"/>
  <c r="C733" i="9"/>
  <c r="D733" i="9"/>
  <c r="E733" i="9"/>
  <c r="F733" i="9"/>
  <c r="G733" i="9"/>
  <c r="I733" i="9"/>
  <c r="J733" i="9"/>
  <c r="K733" i="9"/>
  <c r="A734" i="9"/>
  <c r="C734" i="9"/>
  <c r="D734" i="9"/>
  <c r="E734" i="9"/>
  <c r="F734" i="9"/>
  <c r="G734" i="9"/>
  <c r="I734" i="9"/>
  <c r="J734" i="9"/>
  <c r="K734" i="9"/>
  <c r="A735" i="9"/>
  <c r="C735" i="9"/>
  <c r="D735" i="9"/>
  <c r="E735" i="9"/>
  <c r="F735" i="9"/>
  <c r="G735" i="9"/>
  <c r="I735" i="9"/>
  <c r="J735" i="9"/>
  <c r="K735" i="9"/>
  <c r="A736" i="9"/>
  <c r="C736" i="9"/>
  <c r="D736" i="9"/>
  <c r="E736" i="9"/>
  <c r="F736" i="9"/>
  <c r="G736" i="9"/>
  <c r="I736" i="9"/>
  <c r="J736" i="9"/>
  <c r="K736" i="9"/>
  <c r="A737" i="9"/>
  <c r="C737" i="9"/>
  <c r="D737" i="9"/>
  <c r="E737" i="9"/>
  <c r="F737" i="9"/>
  <c r="G737" i="9"/>
  <c r="I737" i="9"/>
  <c r="J737" i="9"/>
  <c r="K737" i="9"/>
  <c r="A738" i="9"/>
  <c r="C738" i="9"/>
  <c r="D738" i="9"/>
  <c r="E738" i="9"/>
  <c r="F738" i="9"/>
  <c r="G738" i="9"/>
  <c r="I738" i="9"/>
  <c r="J738" i="9"/>
  <c r="K738" i="9"/>
  <c r="A739" i="9"/>
  <c r="C739" i="9"/>
  <c r="D739" i="9"/>
  <c r="E739" i="9"/>
  <c r="F739" i="9"/>
  <c r="G739" i="9"/>
  <c r="I739" i="9"/>
  <c r="J739" i="9"/>
  <c r="K739" i="9"/>
  <c r="A740" i="9"/>
  <c r="C740" i="9"/>
  <c r="D740" i="9"/>
  <c r="E740" i="9"/>
  <c r="F740" i="9"/>
  <c r="G740" i="9"/>
  <c r="I740" i="9"/>
  <c r="J740" i="9"/>
  <c r="K740" i="9"/>
  <c r="A741" i="9"/>
  <c r="C741" i="9"/>
  <c r="D741" i="9"/>
  <c r="E741" i="9"/>
  <c r="F741" i="9"/>
  <c r="G741" i="9"/>
  <c r="I741" i="9"/>
  <c r="J741" i="9"/>
  <c r="K741" i="9"/>
  <c r="A742" i="9"/>
  <c r="C742" i="9"/>
  <c r="D742" i="9"/>
  <c r="E742" i="9"/>
  <c r="F742" i="9"/>
  <c r="G742" i="9"/>
  <c r="I742" i="9"/>
  <c r="J742" i="9"/>
  <c r="K742" i="9"/>
  <c r="A743" i="9"/>
  <c r="C743" i="9"/>
  <c r="D743" i="9"/>
  <c r="E743" i="9"/>
  <c r="F743" i="9"/>
  <c r="G743" i="9"/>
  <c r="I743" i="9"/>
  <c r="J743" i="9"/>
  <c r="K743" i="9"/>
  <c r="A744" i="9"/>
  <c r="C744" i="9"/>
  <c r="D744" i="9"/>
  <c r="E744" i="9"/>
  <c r="F744" i="9"/>
  <c r="G744" i="9"/>
  <c r="I744" i="9"/>
  <c r="J744" i="9"/>
  <c r="K744" i="9"/>
  <c r="A745" i="9"/>
  <c r="C745" i="9"/>
  <c r="D745" i="9"/>
  <c r="E745" i="9"/>
  <c r="F745" i="9"/>
  <c r="G745" i="9"/>
  <c r="I745" i="9"/>
  <c r="J745" i="9"/>
  <c r="K745" i="9"/>
  <c r="A746" i="9"/>
  <c r="C746" i="9"/>
  <c r="D746" i="9"/>
  <c r="E746" i="9"/>
  <c r="F746" i="9"/>
  <c r="G746" i="9"/>
  <c r="I746" i="9"/>
  <c r="J746" i="9"/>
  <c r="K746" i="9"/>
  <c r="A747" i="9"/>
  <c r="C747" i="9"/>
  <c r="D747" i="9"/>
  <c r="E747" i="9"/>
  <c r="F747" i="9"/>
  <c r="G747" i="9"/>
  <c r="I747" i="9"/>
  <c r="J747" i="9"/>
  <c r="K747" i="9"/>
  <c r="A748" i="9"/>
  <c r="C748" i="9"/>
  <c r="D748" i="9"/>
  <c r="E748" i="9"/>
  <c r="F748" i="9"/>
  <c r="G748" i="9"/>
  <c r="I748" i="9"/>
  <c r="J748" i="9"/>
  <c r="K748" i="9"/>
  <c r="A749" i="9"/>
  <c r="C749" i="9"/>
  <c r="D749" i="9"/>
  <c r="E749" i="9"/>
  <c r="F749" i="9"/>
  <c r="G749" i="9"/>
  <c r="I749" i="9"/>
  <c r="J749" i="9"/>
  <c r="K749" i="9"/>
  <c r="A750" i="9"/>
  <c r="C750" i="9"/>
  <c r="D750" i="9"/>
  <c r="E750" i="9"/>
  <c r="F750" i="9"/>
  <c r="G750" i="9"/>
  <c r="I750" i="9"/>
  <c r="J750" i="9"/>
  <c r="K750" i="9"/>
  <c r="A751" i="9"/>
  <c r="C751" i="9"/>
  <c r="D751" i="9"/>
  <c r="E751" i="9"/>
  <c r="F751" i="9"/>
  <c r="G751" i="9"/>
  <c r="I751" i="9"/>
  <c r="J751" i="9"/>
  <c r="K751" i="9"/>
  <c r="A752" i="9"/>
  <c r="C752" i="9"/>
  <c r="D752" i="9"/>
  <c r="E752" i="9"/>
  <c r="F752" i="9"/>
  <c r="G752" i="9"/>
  <c r="I752" i="9"/>
  <c r="J752" i="9"/>
  <c r="K752" i="9"/>
  <c r="A753" i="9"/>
  <c r="C753" i="9"/>
  <c r="D753" i="9"/>
  <c r="E753" i="9"/>
  <c r="F753" i="9"/>
  <c r="G753" i="9"/>
  <c r="I753" i="9"/>
  <c r="J753" i="9"/>
  <c r="K753" i="9"/>
  <c r="A754" i="9"/>
  <c r="C754" i="9"/>
  <c r="D754" i="9"/>
  <c r="E754" i="9"/>
  <c r="F754" i="9"/>
  <c r="G754" i="9"/>
  <c r="I754" i="9"/>
  <c r="J754" i="9"/>
  <c r="K754" i="9"/>
  <c r="A755" i="9"/>
  <c r="C755" i="9"/>
  <c r="D755" i="9"/>
  <c r="E755" i="9"/>
  <c r="F755" i="9"/>
  <c r="G755" i="9"/>
  <c r="I755" i="9"/>
  <c r="J755" i="9"/>
  <c r="K755" i="9"/>
  <c r="A756" i="9"/>
  <c r="C756" i="9"/>
  <c r="D756" i="9"/>
  <c r="E756" i="9"/>
  <c r="F756" i="9"/>
  <c r="G756" i="9"/>
  <c r="I756" i="9"/>
  <c r="J756" i="9"/>
  <c r="K756" i="9"/>
  <c r="A757" i="9"/>
  <c r="C757" i="9"/>
  <c r="D757" i="9"/>
  <c r="E757" i="9"/>
  <c r="F757" i="9"/>
  <c r="G757" i="9"/>
  <c r="I757" i="9"/>
  <c r="J757" i="9"/>
  <c r="K757" i="9"/>
  <c r="A758" i="9"/>
  <c r="C758" i="9"/>
  <c r="D758" i="9"/>
  <c r="E758" i="9"/>
  <c r="F758" i="9"/>
  <c r="G758" i="9"/>
  <c r="I758" i="9"/>
  <c r="J758" i="9"/>
  <c r="K758" i="9"/>
  <c r="A759" i="9"/>
  <c r="C759" i="9"/>
  <c r="D759" i="9"/>
  <c r="E759" i="9"/>
  <c r="F759" i="9"/>
  <c r="G759" i="9"/>
  <c r="I759" i="9"/>
  <c r="J759" i="9"/>
  <c r="K759" i="9"/>
  <c r="A760" i="9"/>
  <c r="C760" i="9"/>
  <c r="D760" i="9"/>
  <c r="E760" i="9"/>
  <c r="F760" i="9"/>
  <c r="G760" i="9"/>
  <c r="I760" i="9"/>
  <c r="J760" i="9"/>
  <c r="K760" i="9"/>
  <c r="A761" i="9"/>
  <c r="C761" i="9"/>
  <c r="D761" i="9"/>
  <c r="E761" i="9"/>
  <c r="F761" i="9"/>
  <c r="G761" i="9"/>
  <c r="I761" i="9"/>
  <c r="J761" i="9"/>
  <c r="K761" i="9"/>
  <c r="A762" i="9"/>
  <c r="C762" i="9"/>
  <c r="D762" i="9"/>
  <c r="E762" i="9"/>
  <c r="F762" i="9"/>
  <c r="G762" i="9"/>
  <c r="I762" i="9"/>
  <c r="J762" i="9"/>
  <c r="K762" i="9"/>
  <c r="A763" i="9"/>
  <c r="C763" i="9"/>
  <c r="D763" i="9"/>
  <c r="E763" i="9"/>
  <c r="F763" i="9"/>
  <c r="G763" i="9"/>
  <c r="I763" i="9"/>
  <c r="J763" i="9"/>
  <c r="K763" i="9"/>
  <c r="A764" i="9"/>
  <c r="C764" i="9"/>
  <c r="D764" i="9"/>
  <c r="E764" i="9"/>
  <c r="F764" i="9"/>
  <c r="G764" i="9"/>
  <c r="I764" i="9"/>
  <c r="J764" i="9"/>
  <c r="K764" i="9"/>
  <c r="A765" i="9"/>
  <c r="C765" i="9"/>
  <c r="D765" i="9"/>
  <c r="E765" i="9"/>
  <c r="F765" i="9"/>
  <c r="G765" i="9"/>
  <c r="I765" i="9"/>
  <c r="J765" i="9"/>
  <c r="K765" i="9"/>
  <c r="A766" i="9"/>
  <c r="C766" i="9"/>
  <c r="D766" i="9"/>
  <c r="E766" i="9"/>
  <c r="F766" i="9"/>
  <c r="G766" i="9"/>
  <c r="I766" i="9"/>
  <c r="J766" i="9"/>
  <c r="K766" i="9"/>
  <c r="A767" i="9"/>
  <c r="C767" i="9"/>
  <c r="D767" i="9"/>
  <c r="E767" i="9"/>
  <c r="F767" i="9"/>
  <c r="G767" i="9"/>
  <c r="I767" i="9"/>
  <c r="J767" i="9"/>
  <c r="K767" i="9"/>
  <c r="A768" i="9"/>
  <c r="C768" i="9"/>
  <c r="D768" i="9"/>
  <c r="E768" i="9"/>
  <c r="F768" i="9"/>
  <c r="G768" i="9"/>
  <c r="I768" i="9"/>
  <c r="J768" i="9"/>
  <c r="K768" i="9"/>
  <c r="A769" i="9"/>
  <c r="C769" i="9"/>
  <c r="D769" i="9"/>
  <c r="E769" i="9"/>
  <c r="F769" i="9"/>
  <c r="G769" i="9"/>
  <c r="I769" i="9"/>
  <c r="J769" i="9"/>
  <c r="K769" i="9"/>
  <c r="A770" i="9"/>
  <c r="C770" i="9"/>
  <c r="D770" i="9"/>
  <c r="E770" i="9"/>
  <c r="F770" i="9"/>
  <c r="G770" i="9"/>
  <c r="I770" i="9"/>
  <c r="J770" i="9"/>
  <c r="K770" i="9"/>
  <c r="A771" i="9"/>
  <c r="C771" i="9"/>
  <c r="D771" i="9"/>
  <c r="E771" i="9"/>
  <c r="F771" i="9"/>
  <c r="G771" i="9"/>
  <c r="I771" i="9"/>
  <c r="J771" i="9"/>
  <c r="K771" i="9"/>
  <c r="A772" i="9"/>
  <c r="C772" i="9"/>
  <c r="D772" i="9"/>
  <c r="E772" i="9"/>
  <c r="F772" i="9"/>
  <c r="G772" i="9"/>
  <c r="I772" i="9"/>
  <c r="J772" i="9"/>
  <c r="K772" i="9"/>
  <c r="A773" i="9"/>
  <c r="C773" i="9"/>
  <c r="D773" i="9"/>
  <c r="E773" i="9"/>
  <c r="F773" i="9"/>
  <c r="G773" i="9"/>
  <c r="I773" i="9"/>
  <c r="J773" i="9"/>
  <c r="K773" i="9"/>
  <c r="A774" i="9"/>
  <c r="C774" i="9"/>
  <c r="D774" i="9"/>
  <c r="E774" i="9"/>
  <c r="F774" i="9"/>
  <c r="G774" i="9"/>
  <c r="I774" i="9"/>
  <c r="J774" i="9"/>
  <c r="K774" i="9"/>
  <c r="A775" i="9"/>
  <c r="C775" i="9"/>
  <c r="D775" i="9"/>
  <c r="E775" i="9"/>
  <c r="F775" i="9"/>
  <c r="G775" i="9"/>
  <c r="I775" i="9"/>
  <c r="J775" i="9"/>
  <c r="K775" i="9"/>
  <c r="A776" i="9"/>
  <c r="C776" i="9"/>
  <c r="D776" i="9"/>
  <c r="E776" i="9"/>
  <c r="F776" i="9"/>
  <c r="G776" i="9"/>
  <c r="I776" i="9"/>
  <c r="J776" i="9"/>
  <c r="K776" i="9"/>
  <c r="A777" i="9"/>
  <c r="C777" i="9"/>
  <c r="D777" i="9"/>
  <c r="E777" i="9"/>
  <c r="F777" i="9"/>
  <c r="G777" i="9"/>
  <c r="I777" i="9"/>
  <c r="J777" i="9"/>
  <c r="K777" i="9"/>
  <c r="A778" i="9"/>
  <c r="C778" i="9"/>
  <c r="D778" i="9"/>
  <c r="E778" i="9"/>
  <c r="F778" i="9"/>
  <c r="G778" i="9"/>
  <c r="I778" i="9"/>
  <c r="J778" i="9"/>
  <c r="K778" i="9"/>
  <c r="A779" i="9"/>
  <c r="C779" i="9"/>
  <c r="D779" i="9"/>
  <c r="E779" i="9"/>
  <c r="F779" i="9"/>
  <c r="G779" i="9"/>
  <c r="I779" i="9"/>
  <c r="J779" i="9"/>
  <c r="K779" i="9"/>
  <c r="A780" i="9"/>
  <c r="C780" i="9"/>
  <c r="D780" i="9"/>
  <c r="E780" i="9"/>
  <c r="F780" i="9"/>
  <c r="G780" i="9"/>
  <c r="I780" i="9"/>
  <c r="J780" i="9"/>
  <c r="K780" i="9"/>
  <c r="A781" i="9"/>
  <c r="C781" i="9"/>
  <c r="D781" i="9"/>
  <c r="E781" i="9"/>
  <c r="F781" i="9"/>
  <c r="G781" i="9"/>
  <c r="I781" i="9"/>
  <c r="J781" i="9"/>
  <c r="K781" i="9"/>
  <c r="A782" i="9"/>
  <c r="C782" i="9"/>
  <c r="D782" i="9"/>
  <c r="E782" i="9"/>
  <c r="F782" i="9"/>
  <c r="G782" i="9"/>
  <c r="I782" i="9"/>
  <c r="J782" i="9"/>
  <c r="K782" i="9"/>
  <c r="A783" i="9"/>
  <c r="C783" i="9"/>
  <c r="D783" i="9"/>
  <c r="E783" i="9"/>
  <c r="F783" i="9"/>
  <c r="G783" i="9"/>
  <c r="I783" i="9"/>
  <c r="J783" i="9"/>
  <c r="K783" i="9"/>
  <c r="A784" i="9"/>
  <c r="C784" i="9"/>
  <c r="D784" i="9"/>
  <c r="E784" i="9"/>
  <c r="F784" i="9"/>
  <c r="G784" i="9"/>
  <c r="I784" i="9"/>
  <c r="J784" i="9"/>
  <c r="K784" i="9"/>
  <c r="A785" i="9"/>
  <c r="C785" i="9"/>
  <c r="D785" i="9"/>
  <c r="E785" i="9"/>
  <c r="F785" i="9"/>
  <c r="G785" i="9"/>
  <c r="I785" i="9"/>
  <c r="J785" i="9"/>
  <c r="K785" i="9"/>
  <c r="A786" i="9"/>
  <c r="C786" i="9"/>
  <c r="D786" i="9"/>
  <c r="E786" i="9"/>
  <c r="F786" i="9"/>
  <c r="G786" i="9"/>
  <c r="I786" i="9"/>
  <c r="J786" i="9"/>
  <c r="K786" i="9"/>
  <c r="A787" i="9"/>
  <c r="C787" i="9"/>
  <c r="D787" i="9"/>
  <c r="E787" i="9"/>
  <c r="F787" i="9"/>
  <c r="G787" i="9"/>
  <c r="I787" i="9"/>
  <c r="J787" i="9"/>
  <c r="K787" i="9"/>
  <c r="A788" i="9"/>
  <c r="C788" i="9"/>
  <c r="D788" i="9"/>
  <c r="E788" i="9"/>
  <c r="F788" i="9"/>
  <c r="G788" i="9"/>
  <c r="I788" i="9"/>
  <c r="J788" i="9"/>
  <c r="K788" i="9"/>
  <c r="A789" i="9"/>
  <c r="C789" i="9"/>
  <c r="D789" i="9"/>
  <c r="E789" i="9"/>
  <c r="F789" i="9"/>
  <c r="G789" i="9"/>
  <c r="I789" i="9"/>
  <c r="J789" i="9"/>
  <c r="K789" i="9"/>
  <c r="A790" i="9"/>
  <c r="C790" i="9"/>
  <c r="D790" i="9"/>
  <c r="E790" i="9"/>
  <c r="F790" i="9"/>
  <c r="G790" i="9"/>
  <c r="I790" i="9"/>
  <c r="J790" i="9"/>
  <c r="K790" i="9"/>
  <c r="A791" i="9"/>
  <c r="C791" i="9"/>
  <c r="D791" i="9"/>
  <c r="E791" i="9"/>
  <c r="F791" i="9"/>
  <c r="G791" i="9"/>
  <c r="I791" i="9"/>
  <c r="J791" i="9"/>
  <c r="K791" i="9"/>
  <c r="A792" i="9"/>
  <c r="C792" i="9"/>
  <c r="D792" i="9"/>
  <c r="E792" i="9"/>
  <c r="F792" i="9"/>
  <c r="G792" i="9"/>
  <c r="I792" i="9"/>
  <c r="J792" i="9"/>
  <c r="K792" i="9"/>
  <c r="A793" i="9"/>
  <c r="C793" i="9"/>
  <c r="D793" i="9"/>
  <c r="E793" i="9"/>
  <c r="F793" i="9"/>
  <c r="G793" i="9"/>
  <c r="I793" i="9"/>
  <c r="J793" i="9"/>
  <c r="K793" i="9"/>
  <c r="A794" i="9"/>
  <c r="C794" i="9"/>
  <c r="D794" i="9"/>
  <c r="E794" i="9"/>
  <c r="F794" i="9"/>
  <c r="G794" i="9"/>
  <c r="I794" i="9"/>
  <c r="J794" i="9"/>
  <c r="K794" i="9"/>
  <c r="A795" i="9"/>
  <c r="C795" i="9"/>
  <c r="D795" i="9"/>
  <c r="E795" i="9"/>
  <c r="F795" i="9"/>
  <c r="G795" i="9"/>
  <c r="I795" i="9"/>
  <c r="J795" i="9"/>
  <c r="K795" i="9"/>
  <c r="A796" i="9"/>
  <c r="C796" i="9"/>
  <c r="D796" i="9"/>
  <c r="E796" i="9"/>
  <c r="F796" i="9"/>
  <c r="G796" i="9"/>
  <c r="I796" i="9"/>
  <c r="J796" i="9"/>
  <c r="K796" i="9"/>
  <c r="A797" i="9"/>
  <c r="C797" i="9"/>
  <c r="D797" i="9"/>
  <c r="E797" i="9"/>
  <c r="F797" i="9"/>
  <c r="G797" i="9"/>
  <c r="I797" i="9"/>
  <c r="J797" i="9"/>
  <c r="K797" i="9"/>
  <c r="A798" i="9"/>
  <c r="C798" i="9"/>
  <c r="D798" i="9"/>
  <c r="E798" i="9"/>
  <c r="F798" i="9"/>
  <c r="G798" i="9"/>
  <c r="I798" i="9"/>
  <c r="J798" i="9"/>
  <c r="K798" i="9"/>
  <c r="A799" i="9"/>
  <c r="C799" i="9"/>
  <c r="D799" i="9"/>
  <c r="E799" i="9"/>
  <c r="F799" i="9"/>
  <c r="G799" i="9"/>
  <c r="I799" i="9"/>
  <c r="J799" i="9"/>
  <c r="K799" i="9"/>
  <c r="A800" i="9"/>
  <c r="C800" i="9"/>
  <c r="D800" i="9"/>
  <c r="E800" i="9"/>
  <c r="F800" i="9"/>
  <c r="G800" i="9"/>
  <c r="I800" i="9"/>
  <c r="J800" i="9"/>
  <c r="K800" i="9"/>
  <c r="A801" i="9"/>
  <c r="C801" i="9"/>
  <c r="D801" i="9"/>
  <c r="E801" i="9"/>
  <c r="F801" i="9"/>
  <c r="G801" i="9"/>
  <c r="I801" i="9"/>
  <c r="J801" i="9"/>
  <c r="K801" i="9"/>
  <c r="A802" i="9"/>
  <c r="C802" i="9"/>
  <c r="D802" i="9"/>
  <c r="E802" i="9"/>
  <c r="F802" i="9"/>
  <c r="G802" i="9"/>
  <c r="I802" i="9"/>
  <c r="J802" i="9"/>
  <c r="K802" i="9"/>
  <c r="A803" i="9"/>
  <c r="C803" i="9"/>
  <c r="D803" i="9"/>
  <c r="E803" i="9"/>
  <c r="F803" i="9"/>
  <c r="G803" i="9"/>
  <c r="I803" i="9"/>
  <c r="J803" i="9"/>
  <c r="K803" i="9"/>
  <c r="A804" i="9"/>
  <c r="C804" i="9"/>
  <c r="D804" i="9"/>
  <c r="E804" i="9"/>
  <c r="F804" i="9"/>
  <c r="G804" i="9"/>
  <c r="I804" i="9"/>
  <c r="J804" i="9"/>
  <c r="K804" i="9"/>
  <c r="A805" i="9"/>
  <c r="C805" i="9"/>
  <c r="D805" i="9"/>
  <c r="E805" i="9"/>
  <c r="F805" i="9"/>
  <c r="G805" i="9"/>
  <c r="I805" i="9"/>
  <c r="J805" i="9"/>
  <c r="K805" i="9"/>
  <c r="A806" i="9"/>
  <c r="C806" i="9"/>
  <c r="D806" i="9"/>
  <c r="E806" i="9"/>
  <c r="F806" i="9"/>
  <c r="G806" i="9"/>
  <c r="I806" i="9"/>
  <c r="J806" i="9"/>
  <c r="K806" i="9"/>
  <c r="A807" i="9"/>
  <c r="C807" i="9"/>
  <c r="D807" i="9"/>
  <c r="E807" i="9"/>
  <c r="F807" i="9"/>
  <c r="G807" i="9"/>
  <c r="I807" i="9"/>
  <c r="J807" i="9"/>
  <c r="K807" i="9"/>
  <c r="A808" i="9"/>
  <c r="C808" i="9"/>
  <c r="D808" i="9"/>
  <c r="E808" i="9"/>
  <c r="F808" i="9"/>
  <c r="G808" i="9"/>
  <c r="I808" i="9"/>
  <c r="J808" i="9"/>
  <c r="K808" i="9"/>
  <c r="A809" i="9"/>
  <c r="C809" i="9"/>
  <c r="D809" i="9"/>
  <c r="E809" i="9"/>
  <c r="F809" i="9"/>
  <c r="G809" i="9"/>
  <c r="I809" i="9"/>
  <c r="J809" i="9"/>
  <c r="K809" i="9"/>
  <c r="A810" i="9"/>
  <c r="C810" i="9"/>
  <c r="D810" i="9"/>
  <c r="E810" i="9"/>
  <c r="F810" i="9"/>
  <c r="G810" i="9"/>
  <c r="I810" i="9"/>
  <c r="J810" i="9"/>
  <c r="K810" i="9"/>
  <c r="A811" i="9"/>
  <c r="C811" i="9"/>
  <c r="D811" i="9"/>
  <c r="E811" i="9"/>
  <c r="F811" i="9"/>
  <c r="G811" i="9"/>
  <c r="I811" i="9"/>
  <c r="J811" i="9"/>
  <c r="K811" i="9"/>
  <c r="A812" i="9"/>
  <c r="C812" i="9"/>
  <c r="D812" i="9"/>
  <c r="E812" i="9"/>
  <c r="F812" i="9"/>
  <c r="G812" i="9"/>
  <c r="I812" i="9"/>
  <c r="J812" i="9"/>
  <c r="K812" i="9"/>
  <c r="A813" i="9"/>
  <c r="C813" i="9"/>
  <c r="D813" i="9"/>
  <c r="E813" i="9"/>
  <c r="F813" i="9"/>
  <c r="G813" i="9"/>
  <c r="I813" i="9"/>
  <c r="J813" i="9"/>
  <c r="K813" i="9"/>
  <c r="A814" i="9"/>
  <c r="C814" i="9"/>
  <c r="D814" i="9"/>
  <c r="E814" i="9"/>
  <c r="F814" i="9"/>
  <c r="G814" i="9"/>
  <c r="I814" i="9"/>
  <c r="J814" i="9"/>
  <c r="K814" i="9"/>
  <c r="A815" i="9"/>
  <c r="C815" i="9"/>
  <c r="D815" i="9"/>
  <c r="E815" i="9"/>
  <c r="F815" i="9"/>
  <c r="G815" i="9"/>
  <c r="I815" i="9"/>
  <c r="J815" i="9"/>
  <c r="K815" i="9"/>
  <c r="A816" i="9"/>
  <c r="C816" i="9"/>
  <c r="D816" i="9"/>
  <c r="E816" i="9"/>
  <c r="F816" i="9"/>
  <c r="G816" i="9"/>
  <c r="I816" i="9"/>
  <c r="J816" i="9"/>
  <c r="K816" i="9"/>
  <c r="A817" i="9"/>
  <c r="C817" i="9"/>
  <c r="D817" i="9"/>
  <c r="E817" i="9"/>
  <c r="F817" i="9"/>
  <c r="G817" i="9"/>
  <c r="I817" i="9"/>
  <c r="J817" i="9"/>
  <c r="K817" i="9"/>
  <c r="A818" i="9"/>
  <c r="C818" i="9"/>
  <c r="D818" i="9"/>
  <c r="E818" i="9"/>
  <c r="F818" i="9"/>
  <c r="G818" i="9"/>
  <c r="I818" i="9"/>
  <c r="J818" i="9"/>
  <c r="K818" i="9"/>
  <c r="A819" i="9"/>
  <c r="C819" i="9"/>
  <c r="D819" i="9"/>
  <c r="E819" i="9"/>
  <c r="F819" i="9"/>
  <c r="G819" i="9"/>
  <c r="I819" i="9"/>
  <c r="J819" i="9"/>
  <c r="K819" i="9"/>
  <c r="A820" i="9"/>
  <c r="C820" i="9"/>
  <c r="D820" i="9"/>
  <c r="E820" i="9"/>
  <c r="F820" i="9"/>
  <c r="G820" i="9"/>
  <c r="I820" i="9"/>
  <c r="J820" i="9"/>
  <c r="K820" i="9"/>
  <c r="A821" i="9"/>
  <c r="C821" i="9"/>
  <c r="D821" i="9"/>
  <c r="E821" i="9"/>
  <c r="F821" i="9"/>
  <c r="G821" i="9"/>
  <c r="I821" i="9"/>
  <c r="J821" i="9"/>
  <c r="K821" i="9"/>
  <c r="A822" i="9"/>
  <c r="C822" i="9"/>
  <c r="D822" i="9"/>
  <c r="E822" i="9"/>
  <c r="F822" i="9"/>
  <c r="G822" i="9"/>
  <c r="I822" i="9"/>
  <c r="J822" i="9"/>
  <c r="K822" i="9"/>
  <c r="A823" i="9"/>
  <c r="C823" i="9"/>
  <c r="D823" i="9"/>
  <c r="E823" i="9"/>
  <c r="F823" i="9"/>
  <c r="G823" i="9"/>
  <c r="I823" i="9"/>
  <c r="J823" i="9"/>
  <c r="K823" i="9"/>
  <c r="A824" i="9"/>
  <c r="C824" i="9"/>
  <c r="D824" i="9"/>
  <c r="E824" i="9"/>
  <c r="F824" i="9"/>
  <c r="G824" i="9"/>
  <c r="I824" i="9"/>
  <c r="J824" i="9"/>
  <c r="K824" i="9"/>
  <c r="A825" i="9"/>
  <c r="C825" i="9"/>
  <c r="D825" i="9"/>
  <c r="E825" i="9"/>
  <c r="F825" i="9"/>
  <c r="G825" i="9"/>
  <c r="I825" i="9"/>
  <c r="J825" i="9"/>
  <c r="K825" i="9"/>
  <c r="A826" i="9"/>
  <c r="C826" i="9"/>
  <c r="D826" i="9"/>
  <c r="E826" i="9"/>
  <c r="F826" i="9"/>
  <c r="G826" i="9"/>
  <c r="I826" i="9"/>
  <c r="J826" i="9"/>
  <c r="K826" i="9"/>
  <c r="A827" i="9"/>
  <c r="C827" i="9"/>
  <c r="D827" i="9"/>
  <c r="E827" i="9"/>
  <c r="F827" i="9"/>
  <c r="G827" i="9"/>
  <c r="I827" i="9"/>
  <c r="J827" i="9"/>
  <c r="K827" i="9"/>
  <c r="A828" i="9"/>
  <c r="C828" i="9"/>
  <c r="D828" i="9"/>
  <c r="E828" i="9"/>
  <c r="F828" i="9"/>
  <c r="G828" i="9"/>
  <c r="I828" i="9"/>
  <c r="J828" i="9"/>
  <c r="K828" i="9"/>
  <c r="A829" i="9"/>
  <c r="C829" i="9"/>
  <c r="D829" i="9"/>
  <c r="E829" i="9"/>
  <c r="F829" i="9"/>
  <c r="G829" i="9"/>
  <c r="I829" i="9"/>
  <c r="J829" i="9"/>
  <c r="K829" i="9"/>
  <c r="A830" i="9"/>
  <c r="C830" i="9"/>
  <c r="D830" i="9"/>
  <c r="E830" i="9"/>
  <c r="F830" i="9"/>
  <c r="G830" i="9"/>
  <c r="I830" i="9"/>
  <c r="J830" i="9"/>
  <c r="K830" i="9"/>
  <c r="A831" i="9"/>
  <c r="C831" i="9"/>
  <c r="D831" i="9"/>
  <c r="E831" i="9"/>
  <c r="F831" i="9"/>
  <c r="G831" i="9"/>
  <c r="I831" i="9"/>
  <c r="J831" i="9"/>
  <c r="K831" i="9"/>
  <c r="A832" i="9"/>
  <c r="C832" i="9"/>
  <c r="D832" i="9"/>
  <c r="E832" i="9"/>
  <c r="F832" i="9"/>
  <c r="G832" i="9"/>
  <c r="I832" i="9"/>
  <c r="J832" i="9"/>
  <c r="K832" i="9"/>
  <c r="A833" i="9"/>
  <c r="C833" i="9"/>
  <c r="D833" i="9"/>
  <c r="E833" i="9"/>
  <c r="F833" i="9"/>
  <c r="G833" i="9"/>
  <c r="I833" i="9"/>
  <c r="J833" i="9"/>
  <c r="K833" i="9"/>
  <c r="A834" i="9"/>
  <c r="C834" i="9"/>
  <c r="D834" i="9"/>
  <c r="E834" i="9"/>
  <c r="F834" i="9"/>
  <c r="G834" i="9"/>
  <c r="I834" i="9"/>
  <c r="J834" i="9"/>
  <c r="K834" i="9"/>
  <c r="A835" i="9"/>
  <c r="C835" i="9"/>
  <c r="D835" i="9"/>
  <c r="E835" i="9"/>
  <c r="F835" i="9"/>
  <c r="G835" i="9"/>
  <c r="I835" i="9"/>
  <c r="J835" i="9"/>
  <c r="K835" i="9"/>
  <c r="A836" i="9"/>
  <c r="C836" i="9"/>
  <c r="D836" i="9"/>
  <c r="E836" i="9"/>
  <c r="F836" i="9"/>
  <c r="G836" i="9"/>
  <c r="I836" i="9"/>
  <c r="J836" i="9"/>
  <c r="K836" i="9"/>
  <c r="A837" i="9"/>
  <c r="C837" i="9"/>
  <c r="D837" i="9"/>
  <c r="E837" i="9"/>
  <c r="F837" i="9"/>
  <c r="G837" i="9"/>
  <c r="I837" i="9"/>
  <c r="J837" i="9"/>
  <c r="K837" i="9"/>
  <c r="A838" i="9"/>
  <c r="C838" i="9"/>
  <c r="D838" i="9"/>
  <c r="E838" i="9"/>
  <c r="F838" i="9"/>
  <c r="G838" i="9"/>
  <c r="I838" i="9"/>
  <c r="J838" i="9"/>
  <c r="K838" i="9"/>
  <c r="A839" i="9"/>
  <c r="C839" i="9"/>
  <c r="D839" i="9"/>
  <c r="E839" i="9"/>
  <c r="F839" i="9"/>
  <c r="G839" i="9"/>
  <c r="I839" i="9"/>
  <c r="J839" i="9"/>
  <c r="K839" i="9"/>
  <c r="A840" i="9"/>
  <c r="C840" i="9"/>
  <c r="D840" i="9"/>
  <c r="E840" i="9"/>
  <c r="F840" i="9"/>
  <c r="G840" i="9"/>
  <c r="I840" i="9"/>
  <c r="J840" i="9"/>
  <c r="K840" i="9"/>
  <c r="A841" i="9"/>
  <c r="C841" i="9"/>
  <c r="D841" i="9"/>
  <c r="E841" i="9"/>
  <c r="F841" i="9"/>
  <c r="G841" i="9"/>
  <c r="I841" i="9"/>
  <c r="J841" i="9"/>
  <c r="K841" i="9"/>
  <c r="A842" i="9"/>
  <c r="C842" i="9"/>
  <c r="D842" i="9"/>
  <c r="E842" i="9"/>
  <c r="F842" i="9"/>
  <c r="G842" i="9"/>
  <c r="I842" i="9"/>
  <c r="J842" i="9"/>
  <c r="K842" i="9"/>
  <c r="A843" i="9"/>
  <c r="C843" i="9"/>
  <c r="D843" i="9"/>
  <c r="E843" i="9"/>
  <c r="F843" i="9"/>
  <c r="G843" i="9"/>
  <c r="I843" i="9"/>
  <c r="J843" i="9"/>
  <c r="K843" i="9"/>
  <c r="A844" i="9"/>
  <c r="C844" i="9"/>
  <c r="D844" i="9"/>
  <c r="E844" i="9"/>
  <c r="F844" i="9"/>
  <c r="G844" i="9"/>
  <c r="I844" i="9"/>
  <c r="J844" i="9"/>
  <c r="K844" i="9"/>
  <c r="A845" i="9"/>
  <c r="C845" i="9"/>
  <c r="D845" i="9"/>
  <c r="E845" i="9"/>
  <c r="F845" i="9"/>
  <c r="G845" i="9"/>
  <c r="I845" i="9"/>
  <c r="J845" i="9"/>
  <c r="K845" i="9"/>
  <c r="A846" i="9"/>
  <c r="C846" i="9"/>
  <c r="D846" i="9"/>
  <c r="E846" i="9"/>
  <c r="F846" i="9"/>
  <c r="G846" i="9"/>
  <c r="I846" i="9"/>
  <c r="J846" i="9"/>
  <c r="K846" i="9"/>
  <c r="A847" i="9"/>
  <c r="C847" i="9"/>
  <c r="D847" i="9"/>
  <c r="E847" i="9"/>
  <c r="F847" i="9"/>
  <c r="G847" i="9"/>
  <c r="I847" i="9"/>
  <c r="J847" i="9"/>
  <c r="K847" i="9"/>
  <c r="A848" i="9"/>
  <c r="C848" i="9"/>
  <c r="D848" i="9"/>
  <c r="E848" i="9"/>
  <c r="F848" i="9"/>
  <c r="G848" i="9"/>
  <c r="I848" i="9"/>
  <c r="J848" i="9"/>
  <c r="K848" i="9"/>
  <c r="A849" i="9"/>
  <c r="C849" i="9"/>
  <c r="D849" i="9"/>
  <c r="E849" i="9"/>
  <c r="F849" i="9"/>
  <c r="G849" i="9"/>
  <c r="I849" i="9"/>
  <c r="J849" i="9"/>
  <c r="K849" i="9"/>
  <c r="A850" i="9"/>
  <c r="C850" i="9"/>
  <c r="D850" i="9"/>
  <c r="E850" i="9"/>
  <c r="F850" i="9"/>
  <c r="G850" i="9"/>
  <c r="I850" i="9"/>
  <c r="J850" i="9"/>
  <c r="K850" i="9"/>
  <c r="A851" i="9"/>
  <c r="C851" i="9"/>
  <c r="D851" i="9"/>
  <c r="E851" i="9"/>
  <c r="F851" i="9"/>
  <c r="G851" i="9"/>
  <c r="I851" i="9"/>
  <c r="J851" i="9"/>
  <c r="K851" i="9"/>
  <c r="A852" i="9"/>
  <c r="C852" i="9"/>
  <c r="D852" i="9"/>
  <c r="E852" i="9"/>
  <c r="F852" i="9"/>
  <c r="G852" i="9"/>
  <c r="I852" i="9"/>
  <c r="J852" i="9"/>
  <c r="K852" i="9"/>
  <c r="A853" i="9"/>
  <c r="C853" i="9"/>
  <c r="D853" i="9"/>
  <c r="E853" i="9"/>
  <c r="F853" i="9"/>
  <c r="G853" i="9"/>
  <c r="I853" i="9"/>
  <c r="J853" i="9"/>
  <c r="K853" i="9"/>
  <c r="A854" i="9"/>
  <c r="C854" i="9"/>
  <c r="D854" i="9"/>
  <c r="E854" i="9"/>
  <c r="F854" i="9"/>
  <c r="G854" i="9"/>
  <c r="I854" i="9"/>
  <c r="J854" i="9"/>
  <c r="K854" i="9"/>
  <c r="A855" i="9"/>
  <c r="C855" i="9"/>
  <c r="D855" i="9"/>
  <c r="E855" i="9"/>
  <c r="F855" i="9"/>
  <c r="G855" i="9"/>
  <c r="I855" i="9"/>
  <c r="J855" i="9"/>
  <c r="K855" i="9"/>
  <c r="A856" i="9"/>
  <c r="C856" i="9"/>
  <c r="D856" i="9"/>
  <c r="E856" i="9"/>
  <c r="F856" i="9"/>
  <c r="G856" i="9"/>
  <c r="I856" i="9"/>
  <c r="J856" i="9"/>
  <c r="K856" i="9"/>
  <c r="A857" i="9"/>
  <c r="C857" i="9"/>
  <c r="D857" i="9"/>
  <c r="E857" i="9"/>
  <c r="F857" i="9"/>
  <c r="G857" i="9"/>
  <c r="I857" i="9"/>
  <c r="J857" i="9"/>
  <c r="K857" i="9"/>
  <c r="A858" i="9"/>
  <c r="C858" i="9"/>
  <c r="D858" i="9"/>
  <c r="E858" i="9"/>
  <c r="F858" i="9"/>
  <c r="G858" i="9"/>
  <c r="I858" i="9"/>
  <c r="J858" i="9"/>
  <c r="K858" i="9"/>
  <c r="A859" i="9"/>
  <c r="C859" i="9"/>
  <c r="D859" i="9"/>
  <c r="E859" i="9"/>
  <c r="F859" i="9"/>
  <c r="G859" i="9"/>
  <c r="I859" i="9"/>
  <c r="J859" i="9"/>
  <c r="K859" i="9"/>
  <c r="A860" i="9"/>
  <c r="C860" i="9"/>
  <c r="D860" i="9"/>
  <c r="E860" i="9"/>
  <c r="F860" i="9"/>
  <c r="G860" i="9"/>
  <c r="I860" i="9"/>
  <c r="J860" i="9"/>
  <c r="K860" i="9"/>
  <c r="A861" i="9"/>
  <c r="C861" i="9"/>
  <c r="D861" i="9"/>
  <c r="E861" i="9"/>
  <c r="F861" i="9"/>
  <c r="G861" i="9"/>
  <c r="I861" i="9"/>
  <c r="J861" i="9"/>
  <c r="K861" i="9"/>
  <c r="A862" i="9"/>
  <c r="C862" i="9"/>
  <c r="D862" i="9"/>
  <c r="E862" i="9"/>
  <c r="F862" i="9"/>
  <c r="G862" i="9"/>
  <c r="I862" i="9"/>
  <c r="J862" i="9"/>
  <c r="K862" i="9"/>
  <c r="A863" i="9"/>
  <c r="C863" i="9"/>
  <c r="D863" i="9"/>
  <c r="E863" i="9"/>
  <c r="F863" i="9"/>
  <c r="G863" i="9"/>
  <c r="I863" i="9"/>
  <c r="J863" i="9"/>
  <c r="K863" i="9"/>
  <c r="A864" i="9"/>
  <c r="C864" i="9"/>
  <c r="D864" i="9"/>
  <c r="E864" i="9"/>
  <c r="F864" i="9"/>
  <c r="G864" i="9"/>
  <c r="I864" i="9"/>
  <c r="J864" i="9"/>
  <c r="K864" i="9"/>
  <c r="A865" i="9"/>
  <c r="C865" i="9"/>
  <c r="D865" i="9"/>
  <c r="E865" i="9"/>
  <c r="F865" i="9"/>
  <c r="G865" i="9"/>
  <c r="I865" i="9"/>
  <c r="J865" i="9"/>
  <c r="K865" i="9"/>
  <c r="A866" i="9"/>
  <c r="C866" i="9"/>
  <c r="D866" i="9"/>
  <c r="E866" i="9"/>
  <c r="F866" i="9"/>
  <c r="G866" i="9"/>
  <c r="I866" i="9"/>
  <c r="J866" i="9"/>
  <c r="K866" i="9"/>
  <c r="A867" i="9"/>
  <c r="C867" i="9"/>
  <c r="D867" i="9"/>
  <c r="E867" i="9"/>
  <c r="F867" i="9"/>
  <c r="G867" i="9"/>
  <c r="I867" i="9"/>
  <c r="J867" i="9"/>
  <c r="K867" i="9"/>
  <c r="A868" i="9"/>
  <c r="C868" i="9"/>
  <c r="D868" i="9"/>
  <c r="E868" i="9"/>
  <c r="F868" i="9"/>
  <c r="G868" i="9"/>
  <c r="I868" i="9"/>
  <c r="J868" i="9"/>
  <c r="K868" i="9"/>
  <c r="A869" i="9"/>
  <c r="C869" i="9"/>
  <c r="D869" i="9"/>
  <c r="E869" i="9"/>
  <c r="F869" i="9"/>
  <c r="G869" i="9"/>
  <c r="I869" i="9"/>
  <c r="J869" i="9"/>
  <c r="K869" i="9"/>
  <c r="A870" i="9"/>
  <c r="C870" i="9"/>
  <c r="D870" i="9"/>
  <c r="E870" i="9"/>
  <c r="F870" i="9"/>
  <c r="G870" i="9"/>
  <c r="I870" i="9"/>
  <c r="J870" i="9"/>
  <c r="K870" i="9"/>
  <c r="A871" i="9"/>
  <c r="C871" i="9"/>
  <c r="D871" i="9"/>
  <c r="E871" i="9"/>
  <c r="F871" i="9"/>
  <c r="G871" i="9"/>
  <c r="I871" i="9"/>
  <c r="J871" i="9"/>
  <c r="K871" i="9"/>
  <c r="A872" i="9"/>
  <c r="C872" i="9"/>
  <c r="D872" i="9"/>
  <c r="E872" i="9"/>
  <c r="F872" i="9"/>
  <c r="G872" i="9"/>
  <c r="I872" i="9"/>
  <c r="J872" i="9"/>
  <c r="K872" i="9"/>
  <c r="A873" i="9"/>
  <c r="C873" i="9"/>
  <c r="D873" i="9"/>
  <c r="E873" i="9"/>
  <c r="F873" i="9"/>
  <c r="G873" i="9"/>
  <c r="I873" i="9"/>
  <c r="J873" i="9"/>
  <c r="K873" i="9"/>
  <c r="A874" i="9"/>
  <c r="C874" i="9"/>
  <c r="D874" i="9"/>
  <c r="E874" i="9"/>
  <c r="F874" i="9"/>
  <c r="G874" i="9"/>
  <c r="I874" i="9"/>
  <c r="J874" i="9"/>
  <c r="K874" i="9"/>
  <c r="A875" i="9"/>
  <c r="C875" i="9"/>
  <c r="D875" i="9"/>
  <c r="E875" i="9"/>
  <c r="F875" i="9"/>
  <c r="G875" i="9"/>
  <c r="I875" i="9"/>
  <c r="J875" i="9"/>
  <c r="K875" i="9"/>
  <c r="A876" i="9"/>
  <c r="C876" i="9"/>
  <c r="D876" i="9"/>
  <c r="E876" i="9"/>
  <c r="F876" i="9"/>
  <c r="G876" i="9"/>
  <c r="I876" i="9"/>
  <c r="J876" i="9"/>
  <c r="K876" i="9"/>
  <c r="A877" i="9"/>
  <c r="C877" i="9"/>
  <c r="D877" i="9"/>
  <c r="E877" i="9"/>
  <c r="F877" i="9"/>
  <c r="G877" i="9"/>
  <c r="I877" i="9"/>
  <c r="J877" i="9"/>
  <c r="K877" i="9"/>
  <c r="A878" i="9"/>
  <c r="C878" i="9"/>
  <c r="D878" i="9"/>
  <c r="E878" i="9"/>
  <c r="F878" i="9"/>
  <c r="G878" i="9"/>
  <c r="I878" i="9"/>
  <c r="J878" i="9"/>
  <c r="K878" i="9"/>
  <c r="A879" i="9"/>
  <c r="C879" i="9"/>
  <c r="D879" i="9"/>
  <c r="E879" i="9"/>
  <c r="F879" i="9"/>
  <c r="G879" i="9"/>
  <c r="I879" i="9"/>
  <c r="J879" i="9"/>
  <c r="K879" i="9"/>
  <c r="A880" i="9"/>
  <c r="C880" i="9"/>
  <c r="D880" i="9"/>
  <c r="E880" i="9"/>
  <c r="F880" i="9"/>
  <c r="G880" i="9"/>
  <c r="I880" i="9"/>
  <c r="J880" i="9"/>
  <c r="K880" i="9"/>
  <c r="A881" i="9"/>
  <c r="C881" i="9"/>
  <c r="D881" i="9"/>
  <c r="E881" i="9"/>
  <c r="F881" i="9"/>
  <c r="G881" i="9"/>
  <c r="I881" i="9"/>
  <c r="J881" i="9"/>
  <c r="K881" i="9"/>
  <c r="A882" i="9"/>
  <c r="C882" i="9"/>
  <c r="D882" i="9"/>
  <c r="E882" i="9"/>
  <c r="F882" i="9"/>
  <c r="G882" i="9"/>
  <c r="I882" i="9"/>
  <c r="J882" i="9"/>
  <c r="K882" i="9"/>
  <c r="A883" i="9"/>
  <c r="C883" i="9"/>
  <c r="D883" i="9"/>
  <c r="E883" i="9"/>
  <c r="F883" i="9"/>
  <c r="G883" i="9"/>
  <c r="I883" i="9"/>
  <c r="J883" i="9"/>
  <c r="K883" i="9"/>
  <c r="A884" i="9"/>
  <c r="C884" i="9"/>
  <c r="D884" i="9"/>
  <c r="E884" i="9"/>
  <c r="F884" i="9"/>
  <c r="G884" i="9"/>
  <c r="I884" i="9"/>
  <c r="J884" i="9"/>
  <c r="K884" i="9"/>
  <c r="A885" i="9"/>
  <c r="C885" i="9"/>
  <c r="D885" i="9"/>
  <c r="E885" i="9"/>
  <c r="F885" i="9"/>
  <c r="G885" i="9"/>
  <c r="I885" i="9"/>
  <c r="J885" i="9"/>
  <c r="K885" i="9"/>
  <c r="A886" i="9"/>
  <c r="C886" i="9"/>
  <c r="D886" i="9"/>
  <c r="E886" i="9"/>
  <c r="F886" i="9"/>
  <c r="G886" i="9"/>
  <c r="I886" i="9"/>
  <c r="J886" i="9"/>
  <c r="K886" i="9"/>
  <c r="A887" i="9"/>
  <c r="C887" i="9"/>
  <c r="D887" i="9"/>
  <c r="E887" i="9"/>
  <c r="F887" i="9"/>
  <c r="G887" i="9"/>
  <c r="I887" i="9"/>
  <c r="J887" i="9"/>
  <c r="K887" i="9"/>
  <c r="A888" i="9"/>
  <c r="C888" i="9"/>
  <c r="D888" i="9"/>
  <c r="E888" i="9"/>
  <c r="F888" i="9"/>
  <c r="G888" i="9"/>
  <c r="I888" i="9"/>
  <c r="J888" i="9"/>
  <c r="K888" i="9"/>
  <c r="A889" i="9"/>
  <c r="C889" i="9"/>
  <c r="D889" i="9"/>
  <c r="E889" i="9"/>
  <c r="F889" i="9"/>
  <c r="G889" i="9"/>
  <c r="I889" i="9"/>
  <c r="J889" i="9"/>
  <c r="K889" i="9"/>
  <c r="A890" i="9"/>
  <c r="C890" i="9"/>
  <c r="D890" i="9"/>
  <c r="E890" i="9"/>
  <c r="F890" i="9"/>
  <c r="G890" i="9"/>
  <c r="I890" i="9"/>
  <c r="J890" i="9"/>
  <c r="K890" i="9"/>
  <c r="A891" i="9"/>
  <c r="C891" i="9"/>
  <c r="D891" i="9"/>
  <c r="E891" i="9"/>
  <c r="F891" i="9"/>
  <c r="G891" i="9"/>
  <c r="I891" i="9"/>
  <c r="J891" i="9"/>
  <c r="K891" i="9"/>
  <c r="A892" i="9"/>
  <c r="C892" i="9"/>
  <c r="D892" i="9"/>
  <c r="E892" i="9"/>
  <c r="F892" i="9"/>
  <c r="G892" i="9"/>
  <c r="I892" i="9"/>
  <c r="J892" i="9"/>
  <c r="K892" i="9"/>
  <c r="A893" i="9"/>
  <c r="C893" i="9"/>
  <c r="D893" i="9"/>
  <c r="E893" i="9"/>
  <c r="F893" i="9"/>
  <c r="G893" i="9"/>
  <c r="I893" i="9"/>
  <c r="J893" i="9"/>
  <c r="K893" i="9"/>
  <c r="A894" i="9"/>
  <c r="C894" i="9"/>
  <c r="D894" i="9"/>
  <c r="E894" i="9"/>
  <c r="F894" i="9"/>
  <c r="G894" i="9"/>
  <c r="I894" i="9"/>
  <c r="J894" i="9"/>
  <c r="K894" i="9"/>
  <c r="A895" i="9"/>
  <c r="C895" i="9"/>
  <c r="D895" i="9"/>
  <c r="E895" i="9"/>
  <c r="F895" i="9"/>
  <c r="G895" i="9"/>
  <c r="I895" i="9"/>
  <c r="J895" i="9"/>
  <c r="K895" i="9"/>
  <c r="A896" i="9"/>
  <c r="C896" i="9"/>
  <c r="D896" i="9"/>
  <c r="E896" i="9"/>
  <c r="F896" i="9"/>
  <c r="G896" i="9"/>
  <c r="I896" i="9"/>
  <c r="J896" i="9"/>
  <c r="K896" i="9"/>
  <c r="A897" i="9"/>
  <c r="C897" i="9"/>
  <c r="D897" i="9"/>
  <c r="E897" i="9"/>
  <c r="F897" i="9"/>
  <c r="G897" i="9"/>
  <c r="I897" i="9"/>
  <c r="J897" i="9"/>
  <c r="K897" i="9"/>
  <c r="A898" i="9"/>
  <c r="C898" i="9"/>
  <c r="D898" i="9"/>
  <c r="E898" i="9"/>
  <c r="F898" i="9"/>
  <c r="G898" i="9"/>
  <c r="I898" i="9"/>
  <c r="J898" i="9"/>
  <c r="K898" i="9"/>
  <c r="A899" i="9"/>
  <c r="C899" i="9"/>
  <c r="D899" i="9"/>
  <c r="E899" i="9"/>
  <c r="F899" i="9"/>
  <c r="G899" i="9"/>
  <c r="I899" i="9"/>
  <c r="J899" i="9"/>
  <c r="K899" i="9"/>
  <c r="A900" i="9"/>
  <c r="C900" i="9"/>
  <c r="D900" i="9"/>
  <c r="E900" i="9"/>
  <c r="F900" i="9"/>
  <c r="G900" i="9"/>
  <c r="I900" i="9"/>
  <c r="J900" i="9"/>
  <c r="K900" i="9"/>
  <c r="A901" i="9"/>
  <c r="C901" i="9"/>
  <c r="D901" i="9"/>
  <c r="E901" i="9"/>
  <c r="F901" i="9"/>
  <c r="G901" i="9"/>
  <c r="I901" i="9"/>
  <c r="J901" i="9"/>
  <c r="K901" i="9"/>
  <c r="A902" i="9"/>
  <c r="C902" i="9"/>
  <c r="D902" i="9"/>
  <c r="E902" i="9"/>
  <c r="F902" i="9"/>
  <c r="G902" i="9"/>
  <c r="I902" i="9"/>
  <c r="J902" i="9"/>
  <c r="K902" i="9"/>
  <c r="A903" i="9"/>
  <c r="C903" i="9"/>
  <c r="D903" i="9"/>
  <c r="E903" i="9"/>
  <c r="F903" i="9"/>
  <c r="G903" i="9"/>
  <c r="I903" i="9"/>
  <c r="J903" i="9"/>
  <c r="K903" i="9"/>
  <c r="A904" i="9"/>
  <c r="C904" i="9"/>
  <c r="D904" i="9"/>
  <c r="E904" i="9"/>
  <c r="F904" i="9"/>
  <c r="G904" i="9"/>
  <c r="I904" i="9"/>
  <c r="J904" i="9"/>
  <c r="K904" i="9"/>
  <c r="A905" i="9"/>
  <c r="C905" i="9"/>
  <c r="D905" i="9"/>
  <c r="E905" i="9"/>
  <c r="F905" i="9"/>
  <c r="G905" i="9"/>
  <c r="I905" i="9"/>
  <c r="J905" i="9"/>
  <c r="K905" i="9"/>
  <c r="A906" i="9"/>
  <c r="C906" i="9"/>
  <c r="D906" i="9"/>
  <c r="E906" i="9"/>
  <c r="F906" i="9"/>
  <c r="G906" i="9"/>
  <c r="I906" i="9"/>
  <c r="J906" i="9"/>
  <c r="K906" i="9"/>
  <c r="A907" i="9"/>
  <c r="C907" i="9"/>
  <c r="D907" i="9"/>
  <c r="E907" i="9"/>
  <c r="F907" i="9"/>
  <c r="G907" i="9"/>
  <c r="I907" i="9"/>
  <c r="J907" i="9"/>
  <c r="K907" i="9"/>
  <c r="A908" i="9"/>
  <c r="C908" i="9"/>
  <c r="D908" i="9"/>
  <c r="E908" i="9"/>
  <c r="F908" i="9"/>
  <c r="G908" i="9"/>
  <c r="I908" i="9"/>
  <c r="J908" i="9"/>
  <c r="K908" i="9"/>
  <c r="A909" i="9"/>
  <c r="C909" i="9"/>
  <c r="D909" i="9"/>
  <c r="E909" i="9"/>
  <c r="F909" i="9"/>
  <c r="G909" i="9"/>
  <c r="I909" i="9"/>
  <c r="J909" i="9"/>
  <c r="K909" i="9"/>
  <c r="A910" i="9"/>
  <c r="C910" i="9"/>
  <c r="D910" i="9"/>
  <c r="E910" i="9"/>
  <c r="F910" i="9"/>
  <c r="G910" i="9"/>
  <c r="I910" i="9"/>
  <c r="J910" i="9"/>
  <c r="K910" i="9"/>
  <c r="A911" i="9"/>
  <c r="C911" i="9"/>
  <c r="D911" i="9"/>
  <c r="E911" i="9"/>
  <c r="F911" i="9"/>
  <c r="G911" i="9"/>
  <c r="I911" i="9"/>
  <c r="J911" i="9"/>
  <c r="K911" i="9"/>
  <c r="A912" i="9"/>
  <c r="C912" i="9"/>
  <c r="D912" i="9"/>
  <c r="E912" i="9"/>
  <c r="F912" i="9"/>
  <c r="G912" i="9"/>
  <c r="I912" i="9"/>
  <c r="J912" i="9"/>
  <c r="K912" i="9"/>
  <c r="A913" i="9"/>
  <c r="C913" i="9"/>
  <c r="D913" i="9"/>
  <c r="E913" i="9"/>
  <c r="F913" i="9"/>
  <c r="G913" i="9"/>
  <c r="I913" i="9"/>
  <c r="J913" i="9"/>
  <c r="K913" i="9"/>
  <c r="A914" i="9"/>
  <c r="C914" i="9"/>
  <c r="D914" i="9"/>
  <c r="E914" i="9"/>
  <c r="F914" i="9"/>
  <c r="G914" i="9"/>
  <c r="I914" i="9"/>
  <c r="J914" i="9"/>
  <c r="K914" i="9"/>
  <c r="A915" i="9"/>
  <c r="C915" i="9"/>
  <c r="D915" i="9"/>
  <c r="E915" i="9"/>
  <c r="F915" i="9"/>
  <c r="G915" i="9"/>
  <c r="I915" i="9"/>
  <c r="J915" i="9"/>
  <c r="K915" i="9"/>
  <c r="A916" i="9"/>
  <c r="C916" i="9"/>
  <c r="D916" i="9"/>
  <c r="E916" i="9"/>
  <c r="F916" i="9"/>
  <c r="G916" i="9"/>
  <c r="I916" i="9"/>
  <c r="J916" i="9"/>
  <c r="K916" i="9"/>
  <c r="A917" i="9"/>
  <c r="C917" i="9"/>
  <c r="D917" i="9"/>
  <c r="E917" i="9"/>
  <c r="F917" i="9"/>
  <c r="G917" i="9"/>
  <c r="I917" i="9"/>
  <c r="J917" i="9"/>
  <c r="K917" i="9"/>
  <c r="A918" i="9"/>
  <c r="C918" i="9"/>
  <c r="D918" i="9"/>
  <c r="E918" i="9"/>
  <c r="F918" i="9"/>
  <c r="G918" i="9"/>
  <c r="I918" i="9"/>
  <c r="J918" i="9"/>
  <c r="K918" i="9"/>
  <c r="A919" i="9"/>
  <c r="C919" i="9"/>
  <c r="D919" i="9"/>
  <c r="E919" i="9"/>
  <c r="F919" i="9"/>
  <c r="G919" i="9"/>
  <c r="I919" i="9"/>
  <c r="J919" i="9"/>
  <c r="K919" i="9"/>
  <c r="A920" i="9"/>
  <c r="C920" i="9"/>
  <c r="D920" i="9"/>
  <c r="E920" i="9"/>
  <c r="F920" i="9"/>
  <c r="G920" i="9"/>
  <c r="I920" i="9"/>
  <c r="J920" i="9"/>
  <c r="K920" i="9"/>
  <c r="A921" i="9"/>
  <c r="C921" i="9"/>
  <c r="D921" i="9"/>
  <c r="E921" i="9"/>
  <c r="F921" i="9"/>
  <c r="G921" i="9"/>
  <c r="I921" i="9"/>
  <c r="J921" i="9"/>
  <c r="K921" i="9"/>
  <c r="A922" i="9"/>
  <c r="C922" i="9"/>
  <c r="D922" i="9"/>
  <c r="E922" i="9"/>
  <c r="F922" i="9"/>
  <c r="G922" i="9"/>
  <c r="I922" i="9"/>
  <c r="J922" i="9"/>
  <c r="K922" i="9"/>
  <c r="A923" i="9"/>
  <c r="C923" i="9"/>
  <c r="D923" i="9"/>
  <c r="E923" i="9"/>
  <c r="F923" i="9"/>
  <c r="G923" i="9"/>
  <c r="I923" i="9"/>
  <c r="J923" i="9"/>
  <c r="K923" i="9"/>
  <c r="A2" i="8"/>
  <c r="C2" i="8"/>
  <c r="D2" i="8"/>
  <c r="E2" i="8"/>
  <c r="F2" i="8"/>
  <c r="G2" i="8"/>
  <c r="I2" i="8"/>
  <c r="J2" i="8"/>
  <c r="K2" i="8"/>
  <c r="A3" i="8"/>
  <c r="C3" i="8"/>
  <c r="D3" i="8"/>
  <c r="E3" i="8"/>
  <c r="F3" i="8"/>
  <c r="G3" i="8"/>
  <c r="I3" i="8"/>
  <c r="J3" i="8"/>
  <c r="K3" i="8"/>
  <c r="A4" i="8"/>
  <c r="C4" i="8"/>
  <c r="D4" i="8"/>
  <c r="E4" i="8"/>
  <c r="F4" i="8"/>
  <c r="G4" i="8"/>
  <c r="I4" i="8"/>
  <c r="J4" i="8"/>
  <c r="K4" i="8"/>
  <c r="A5" i="8"/>
  <c r="C5" i="8"/>
  <c r="D5" i="8"/>
  <c r="E5" i="8"/>
  <c r="F5" i="8"/>
  <c r="G5" i="8"/>
  <c r="I5" i="8"/>
  <c r="J5" i="8"/>
  <c r="K5" i="8"/>
  <c r="A6" i="8"/>
  <c r="C6" i="8"/>
  <c r="D6" i="8"/>
  <c r="E6" i="8"/>
  <c r="F6" i="8"/>
  <c r="G6" i="8"/>
  <c r="I6" i="8"/>
  <c r="J6" i="8"/>
  <c r="K6" i="8"/>
  <c r="A7" i="8"/>
  <c r="C7" i="8"/>
  <c r="D7" i="8"/>
  <c r="E7" i="8"/>
  <c r="F7" i="8"/>
  <c r="G7" i="8"/>
  <c r="I7" i="8"/>
  <c r="J7" i="8"/>
  <c r="K7" i="8"/>
  <c r="A8" i="8"/>
  <c r="C8" i="8"/>
  <c r="D8" i="8"/>
  <c r="E8" i="8"/>
  <c r="F8" i="8"/>
  <c r="G8" i="8"/>
  <c r="I8" i="8"/>
  <c r="J8" i="8"/>
  <c r="K8" i="8"/>
  <c r="A9" i="8"/>
  <c r="C9" i="8"/>
  <c r="D9" i="8"/>
  <c r="E9" i="8"/>
  <c r="F9" i="8"/>
  <c r="G9" i="8"/>
  <c r="I9" i="8"/>
  <c r="J9" i="8"/>
  <c r="K9" i="8"/>
  <c r="A10" i="8"/>
  <c r="C10" i="8"/>
  <c r="D10" i="8"/>
  <c r="E10" i="8"/>
  <c r="F10" i="8"/>
  <c r="G10" i="8"/>
  <c r="I10" i="8"/>
  <c r="J10" i="8"/>
  <c r="K10" i="8"/>
  <c r="A11" i="8"/>
  <c r="C11" i="8"/>
  <c r="D11" i="8"/>
  <c r="E11" i="8"/>
  <c r="F11" i="8"/>
  <c r="G11" i="8"/>
  <c r="I11" i="8"/>
  <c r="J11" i="8"/>
  <c r="K11" i="8"/>
  <c r="A12" i="8"/>
  <c r="C12" i="8"/>
  <c r="D12" i="8"/>
  <c r="E12" i="8"/>
  <c r="F12" i="8"/>
  <c r="G12" i="8"/>
  <c r="I12" i="8"/>
  <c r="J12" i="8"/>
  <c r="K12" i="8"/>
  <c r="A13" i="8"/>
  <c r="C13" i="8"/>
  <c r="D13" i="8"/>
  <c r="E13" i="8"/>
  <c r="F13" i="8"/>
  <c r="G13" i="8"/>
  <c r="I13" i="8"/>
  <c r="J13" i="8"/>
  <c r="K13" i="8"/>
  <c r="A14" i="8"/>
  <c r="C14" i="8"/>
  <c r="D14" i="8"/>
  <c r="E14" i="8"/>
  <c r="F14" i="8"/>
  <c r="G14" i="8"/>
  <c r="I14" i="8"/>
  <c r="J14" i="8"/>
  <c r="K14" i="8"/>
  <c r="A15" i="8"/>
  <c r="C15" i="8"/>
  <c r="D15" i="8"/>
  <c r="E15" i="8"/>
  <c r="F15" i="8"/>
  <c r="G15" i="8"/>
  <c r="I15" i="8"/>
  <c r="J15" i="8"/>
  <c r="K15" i="8"/>
  <c r="A16" i="8"/>
  <c r="C16" i="8"/>
  <c r="D16" i="8"/>
  <c r="E16" i="8"/>
  <c r="F16" i="8"/>
  <c r="G16" i="8"/>
  <c r="I16" i="8"/>
  <c r="J16" i="8"/>
  <c r="K16" i="8"/>
  <c r="A17" i="8"/>
  <c r="C17" i="8"/>
  <c r="D17" i="8"/>
  <c r="E17" i="8"/>
  <c r="F17" i="8"/>
  <c r="G17" i="8"/>
  <c r="I17" i="8"/>
  <c r="J17" i="8"/>
  <c r="K17" i="8"/>
  <c r="A18" i="8"/>
  <c r="C18" i="8"/>
  <c r="D18" i="8"/>
  <c r="E18" i="8"/>
  <c r="F18" i="8"/>
  <c r="G18" i="8"/>
  <c r="I18" i="8"/>
  <c r="J18" i="8"/>
  <c r="K18" i="8"/>
  <c r="A19" i="8"/>
  <c r="C19" i="8"/>
  <c r="D19" i="8"/>
  <c r="E19" i="8"/>
  <c r="F19" i="8"/>
  <c r="G19" i="8"/>
  <c r="I19" i="8"/>
  <c r="J19" i="8"/>
  <c r="K19" i="8"/>
  <c r="A20" i="8"/>
  <c r="C20" i="8"/>
  <c r="D20" i="8"/>
  <c r="E20" i="8"/>
  <c r="F20" i="8"/>
  <c r="G20" i="8"/>
  <c r="I20" i="8"/>
  <c r="J20" i="8"/>
  <c r="K20" i="8"/>
  <c r="A21" i="8"/>
  <c r="C21" i="8"/>
  <c r="D21" i="8"/>
  <c r="E21" i="8"/>
  <c r="F21" i="8"/>
  <c r="G21" i="8"/>
  <c r="I21" i="8"/>
  <c r="J21" i="8"/>
  <c r="K21" i="8"/>
  <c r="A22" i="8"/>
  <c r="C22" i="8"/>
  <c r="D22" i="8"/>
  <c r="E22" i="8"/>
  <c r="F22" i="8"/>
  <c r="G22" i="8"/>
  <c r="I22" i="8"/>
  <c r="J22" i="8"/>
  <c r="K22" i="8"/>
  <c r="A23" i="8"/>
  <c r="C23" i="8"/>
  <c r="D23" i="8"/>
  <c r="E23" i="8"/>
  <c r="F23" i="8"/>
  <c r="G23" i="8"/>
  <c r="I23" i="8"/>
  <c r="J23" i="8"/>
  <c r="K23" i="8"/>
  <c r="A24" i="8"/>
  <c r="C24" i="8"/>
  <c r="D24" i="8"/>
  <c r="E24" i="8"/>
  <c r="F24" i="8"/>
  <c r="G24" i="8"/>
  <c r="I24" i="8"/>
  <c r="J24" i="8"/>
  <c r="K24" i="8"/>
  <c r="A25" i="8"/>
  <c r="C25" i="8"/>
  <c r="D25" i="8"/>
  <c r="E25" i="8"/>
  <c r="F25" i="8"/>
  <c r="G25" i="8"/>
  <c r="I25" i="8"/>
  <c r="J25" i="8"/>
  <c r="K25" i="8"/>
  <c r="A26" i="8"/>
  <c r="C26" i="8"/>
  <c r="D26" i="8"/>
  <c r="E26" i="8"/>
  <c r="F26" i="8"/>
  <c r="G26" i="8"/>
  <c r="I26" i="8"/>
  <c r="J26" i="8"/>
  <c r="K26" i="8"/>
  <c r="A27" i="8"/>
  <c r="C27" i="8"/>
  <c r="D27" i="8"/>
  <c r="E27" i="8"/>
  <c r="F27" i="8"/>
  <c r="G27" i="8"/>
  <c r="I27" i="8"/>
  <c r="J27" i="8"/>
  <c r="K27" i="8"/>
  <c r="A28" i="8"/>
  <c r="C28" i="8"/>
  <c r="D28" i="8"/>
  <c r="E28" i="8"/>
  <c r="F28" i="8"/>
  <c r="G28" i="8"/>
  <c r="I28" i="8"/>
  <c r="J28" i="8"/>
  <c r="K28" i="8"/>
  <c r="A29" i="8"/>
  <c r="C29" i="8"/>
  <c r="D29" i="8"/>
  <c r="E29" i="8"/>
  <c r="F29" i="8"/>
  <c r="G29" i="8"/>
  <c r="I29" i="8"/>
  <c r="J29" i="8"/>
  <c r="K29" i="8"/>
  <c r="A30" i="8"/>
  <c r="C30" i="8"/>
  <c r="D30" i="8"/>
  <c r="E30" i="8"/>
  <c r="F30" i="8"/>
  <c r="G30" i="8"/>
  <c r="I30" i="8"/>
  <c r="J30" i="8"/>
  <c r="K30" i="8"/>
  <c r="A31" i="8"/>
  <c r="C31" i="8"/>
  <c r="D31" i="8"/>
  <c r="E31" i="8"/>
  <c r="F31" i="8"/>
  <c r="G31" i="8"/>
  <c r="I31" i="8"/>
  <c r="J31" i="8"/>
  <c r="K31" i="8"/>
  <c r="A32" i="8"/>
  <c r="C32" i="8"/>
  <c r="D32" i="8"/>
  <c r="E32" i="8"/>
  <c r="F32" i="8"/>
  <c r="G32" i="8"/>
  <c r="I32" i="8"/>
  <c r="J32" i="8"/>
  <c r="K32" i="8"/>
  <c r="A33" i="8"/>
  <c r="C33" i="8"/>
  <c r="D33" i="8"/>
  <c r="E33" i="8"/>
  <c r="F33" i="8"/>
  <c r="G33" i="8"/>
  <c r="I33" i="8"/>
  <c r="J33" i="8"/>
  <c r="K33" i="8"/>
  <c r="A34" i="8"/>
  <c r="C34" i="8"/>
  <c r="D34" i="8"/>
  <c r="E34" i="8"/>
  <c r="F34" i="8"/>
  <c r="G34" i="8"/>
  <c r="I34" i="8"/>
  <c r="J34" i="8"/>
  <c r="K34" i="8"/>
  <c r="A35" i="8"/>
  <c r="C35" i="8"/>
  <c r="D35" i="8"/>
  <c r="E35" i="8"/>
  <c r="F35" i="8"/>
  <c r="G35" i="8"/>
  <c r="I35" i="8"/>
  <c r="J35" i="8"/>
  <c r="K35" i="8"/>
  <c r="A36" i="8"/>
  <c r="C36" i="8"/>
  <c r="D36" i="8"/>
  <c r="E36" i="8"/>
  <c r="F36" i="8"/>
  <c r="G36" i="8"/>
  <c r="I36" i="8"/>
  <c r="J36" i="8"/>
  <c r="K36" i="8"/>
  <c r="A37" i="8"/>
  <c r="C37" i="8"/>
  <c r="D37" i="8"/>
  <c r="E37" i="8"/>
  <c r="F37" i="8"/>
  <c r="G37" i="8"/>
  <c r="I37" i="8"/>
  <c r="J37" i="8"/>
  <c r="K37" i="8"/>
  <c r="A38" i="8"/>
  <c r="C38" i="8"/>
  <c r="D38" i="8"/>
  <c r="E38" i="8"/>
  <c r="F38" i="8"/>
  <c r="G38" i="8"/>
  <c r="I38" i="8"/>
  <c r="J38" i="8"/>
  <c r="K38" i="8"/>
  <c r="A39" i="8"/>
  <c r="C39" i="8"/>
  <c r="D39" i="8"/>
  <c r="E39" i="8"/>
  <c r="F39" i="8"/>
  <c r="G39" i="8"/>
  <c r="I39" i="8"/>
  <c r="J39" i="8"/>
  <c r="K39" i="8"/>
  <c r="A40" i="8"/>
  <c r="C40" i="8"/>
  <c r="D40" i="8"/>
  <c r="E40" i="8"/>
  <c r="F40" i="8"/>
  <c r="G40" i="8"/>
  <c r="I40" i="8"/>
  <c r="J40" i="8"/>
  <c r="K40" i="8"/>
  <c r="A41" i="8"/>
  <c r="C41" i="8"/>
  <c r="D41" i="8"/>
  <c r="E41" i="8"/>
  <c r="F41" i="8"/>
  <c r="G41" i="8"/>
  <c r="I41" i="8"/>
  <c r="J41" i="8"/>
  <c r="K41" i="8"/>
  <c r="A42" i="8"/>
  <c r="C42" i="8"/>
  <c r="D42" i="8"/>
  <c r="E42" i="8"/>
  <c r="F42" i="8"/>
  <c r="G42" i="8"/>
  <c r="I42" i="8"/>
  <c r="J42" i="8"/>
  <c r="K42" i="8"/>
  <c r="A43" i="8"/>
  <c r="C43" i="8"/>
  <c r="D43" i="8"/>
  <c r="E43" i="8"/>
  <c r="F43" i="8"/>
  <c r="G43" i="8"/>
  <c r="I43" i="8"/>
  <c r="J43" i="8"/>
  <c r="K43" i="8"/>
  <c r="A44" i="8"/>
  <c r="C44" i="8"/>
  <c r="D44" i="8"/>
  <c r="E44" i="8"/>
  <c r="F44" i="8"/>
  <c r="G44" i="8"/>
  <c r="I44" i="8"/>
  <c r="J44" i="8"/>
  <c r="K44" i="8"/>
  <c r="A45" i="8"/>
  <c r="C45" i="8"/>
  <c r="D45" i="8"/>
  <c r="E45" i="8"/>
  <c r="F45" i="8"/>
  <c r="G45" i="8"/>
  <c r="I45" i="8"/>
  <c r="J45" i="8"/>
  <c r="K45" i="8"/>
  <c r="A46" i="8"/>
  <c r="C46" i="8"/>
  <c r="D46" i="8"/>
  <c r="E46" i="8"/>
  <c r="F46" i="8"/>
  <c r="G46" i="8"/>
  <c r="I46" i="8"/>
  <c r="J46" i="8"/>
  <c r="K46" i="8"/>
  <c r="A47" i="8"/>
  <c r="C47" i="8"/>
  <c r="D47" i="8"/>
  <c r="E47" i="8"/>
  <c r="F47" i="8"/>
  <c r="G47" i="8"/>
  <c r="I47" i="8"/>
  <c r="J47" i="8"/>
  <c r="K47" i="8"/>
  <c r="A48" i="8"/>
  <c r="C48" i="8"/>
  <c r="D48" i="8"/>
  <c r="E48" i="8"/>
  <c r="F48" i="8"/>
  <c r="G48" i="8"/>
  <c r="I48" i="8"/>
  <c r="J48" i="8"/>
  <c r="K48" i="8"/>
  <c r="A49" i="8"/>
  <c r="C49" i="8"/>
  <c r="D49" i="8"/>
  <c r="E49" i="8"/>
  <c r="F49" i="8"/>
  <c r="G49" i="8"/>
  <c r="I49" i="8"/>
  <c r="J49" i="8"/>
  <c r="K49" i="8"/>
  <c r="A50" i="8"/>
  <c r="C50" i="8"/>
  <c r="D50" i="8"/>
  <c r="E50" i="8"/>
  <c r="F50" i="8"/>
  <c r="G50" i="8"/>
  <c r="I50" i="8"/>
  <c r="J50" i="8"/>
  <c r="K50" i="8"/>
  <c r="A51" i="8"/>
  <c r="C51" i="8"/>
  <c r="D51" i="8"/>
  <c r="E51" i="8"/>
  <c r="F51" i="8"/>
  <c r="G51" i="8"/>
  <c r="I51" i="8"/>
  <c r="J51" i="8"/>
  <c r="K51" i="8"/>
  <c r="A52" i="8"/>
  <c r="C52" i="8"/>
  <c r="D52" i="8"/>
  <c r="E52" i="8"/>
  <c r="F52" i="8"/>
  <c r="G52" i="8"/>
  <c r="I52" i="8"/>
  <c r="J52" i="8"/>
  <c r="K52" i="8"/>
  <c r="A53" i="8"/>
  <c r="C53" i="8"/>
  <c r="D53" i="8"/>
  <c r="E53" i="8"/>
  <c r="F53" i="8"/>
  <c r="G53" i="8"/>
  <c r="I53" i="8"/>
  <c r="J53" i="8"/>
  <c r="K53" i="8"/>
  <c r="A54" i="8"/>
  <c r="C54" i="8"/>
  <c r="D54" i="8"/>
  <c r="E54" i="8"/>
  <c r="F54" i="8"/>
  <c r="G54" i="8"/>
  <c r="I54" i="8"/>
  <c r="J54" i="8"/>
  <c r="K54" i="8"/>
  <c r="A55" i="8"/>
  <c r="C55" i="8"/>
  <c r="D55" i="8"/>
  <c r="E55" i="8"/>
  <c r="F55" i="8"/>
  <c r="G55" i="8"/>
  <c r="I55" i="8"/>
  <c r="J55" i="8"/>
  <c r="K55" i="8"/>
  <c r="A56" i="8"/>
  <c r="C56" i="8"/>
  <c r="D56" i="8"/>
  <c r="E56" i="8"/>
  <c r="F56" i="8"/>
  <c r="G56" i="8"/>
  <c r="I56" i="8"/>
  <c r="J56" i="8"/>
  <c r="K56" i="8"/>
  <c r="A57" i="8"/>
  <c r="C57" i="8"/>
  <c r="D57" i="8"/>
  <c r="E57" i="8"/>
  <c r="F57" i="8"/>
  <c r="G57" i="8"/>
  <c r="I57" i="8"/>
  <c r="J57" i="8"/>
  <c r="K57" i="8"/>
  <c r="A58" i="8"/>
  <c r="C58" i="8"/>
  <c r="D58" i="8"/>
  <c r="E58" i="8"/>
  <c r="F58" i="8"/>
  <c r="G58" i="8"/>
  <c r="I58" i="8"/>
  <c r="J58" i="8"/>
  <c r="K58" i="8"/>
  <c r="A59" i="8"/>
  <c r="C59" i="8"/>
  <c r="D59" i="8"/>
  <c r="E59" i="8"/>
  <c r="F59" i="8"/>
  <c r="G59" i="8"/>
  <c r="I59" i="8"/>
  <c r="J59" i="8"/>
  <c r="K59" i="8"/>
  <c r="A60" i="8"/>
  <c r="C60" i="8"/>
  <c r="D60" i="8"/>
  <c r="E60" i="8"/>
  <c r="F60" i="8"/>
  <c r="G60" i="8"/>
  <c r="I60" i="8"/>
  <c r="J60" i="8"/>
  <c r="K60" i="8"/>
  <c r="A61" i="8"/>
  <c r="C61" i="8"/>
  <c r="D61" i="8"/>
  <c r="E61" i="8"/>
  <c r="F61" i="8"/>
  <c r="G61" i="8"/>
  <c r="I61" i="8"/>
  <c r="J61" i="8"/>
  <c r="K61" i="8"/>
  <c r="A62" i="8"/>
  <c r="C62" i="8"/>
  <c r="D62" i="8"/>
  <c r="E62" i="8"/>
  <c r="F62" i="8"/>
  <c r="G62" i="8"/>
  <c r="I62" i="8"/>
  <c r="J62" i="8"/>
  <c r="K62" i="8"/>
  <c r="A63" i="8"/>
  <c r="C63" i="8"/>
  <c r="D63" i="8"/>
  <c r="E63" i="8"/>
  <c r="F63" i="8"/>
  <c r="G63" i="8"/>
  <c r="I63" i="8"/>
  <c r="J63" i="8"/>
  <c r="K63" i="8"/>
  <c r="A64" i="8"/>
  <c r="C64" i="8"/>
  <c r="D64" i="8"/>
  <c r="E64" i="8"/>
  <c r="F64" i="8"/>
  <c r="G64" i="8"/>
  <c r="I64" i="8"/>
  <c r="J64" i="8"/>
  <c r="K64" i="8"/>
  <c r="A65" i="8"/>
  <c r="C65" i="8"/>
  <c r="D65" i="8"/>
  <c r="E65" i="8"/>
  <c r="F65" i="8"/>
  <c r="G65" i="8"/>
  <c r="I65" i="8"/>
  <c r="J65" i="8"/>
  <c r="K65" i="8"/>
  <c r="A66" i="8"/>
  <c r="C66" i="8"/>
  <c r="D66" i="8"/>
  <c r="E66" i="8"/>
  <c r="F66" i="8"/>
  <c r="G66" i="8"/>
  <c r="I66" i="8"/>
  <c r="J66" i="8"/>
  <c r="K66" i="8"/>
  <c r="A67" i="8"/>
  <c r="C67" i="8"/>
  <c r="D67" i="8"/>
  <c r="E67" i="8"/>
  <c r="F67" i="8"/>
  <c r="G67" i="8"/>
  <c r="I67" i="8"/>
  <c r="J67" i="8"/>
  <c r="K67" i="8"/>
  <c r="A68" i="8"/>
  <c r="C68" i="8"/>
  <c r="D68" i="8"/>
  <c r="E68" i="8"/>
  <c r="F68" i="8"/>
  <c r="G68" i="8"/>
  <c r="I68" i="8"/>
  <c r="J68" i="8"/>
  <c r="K68" i="8"/>
  <c r="A69" i="8"/>
  <c r="C69" i="8"/>
  <c r="D69" i="8"/>
  <c r="E69" i="8"/>
  <c r="F69" i="8"/>
  <c r="G69" i="8"/>
  <c r="I69" i="8"/>
  <c r="J69" i="8"/>
  <c r="K69" i="8"/>
  <c r="A70" i="8"/>
  <c r="C70" i="8"/>
  <c r="D70" i="8"/>
  <c r="E70" i="8"/>
  <c r="F70" i="8"/>
  <c r="G70" i="8"/>
  <c r="I70" i="8"/>
  <c r="J70" i="8"/>
  <c r="K70" i="8"/>
  <c r="A71" i="8"/>
  <c r="C71" i="8"/>
  <c r="D71" i="8"/>
  <c r="E71" i="8"/>
  <c r="F71" i="8"/>
  <c r="G71" i="8"/>
  <c r="I71" i="8"/>
  <c r="J71" i="8"/>
  <c r="K71" i="8"/>
  <c r="A72" i="8"/>
  <c r="C72" i="8"/>
  <c r="D72" i="8"/>
  <c r="E72" i="8"/>
  <c r="F72" i="8"/>
  <c r="G72" i="8"/>
  <c r="I72" i="8"/>
  <c r="J72" i="8"/>
  <c r="K72" i="8"/>
  <c r="A73" i="8"/>
  <c r="C73" i="8"/>
  <c r="D73" i="8"/>
  <c r="E73" i="8"/>
  <c r="F73" i="8"/>
  <c r="G73" i="8"/>
  <c r="I73" i="8"/>
  <c r="J73" i="8"/>
  <c r="K73" i="8"/>
  <c r="A74" i="8"/>
  <c r="C74" i="8"/>
  <c r="D74" i="8"/>
  <c r="E74" i="8"/>
  <c r="F74" i="8"/>
  <c r="G74" i="8"/>
  <c r="I74" i="8"/>
  <c r="J74" i="8"/>
  <c r="K74" i="8"/>
  <c r="A75" i="8"/>
  <c r="C75" i="8"/>
  <c r="D75" i="8"/>
  <c r="E75" i="8"/>
  <c r="F75" i="8"/>
  <c r="G75" i="8"/>
  <c r="I75" i="8"/>
  <c r="J75" i="8"/>
  <c r="K75" i="8"/>
  <c r="A76" i="8"/>
  <c r="C76" i="8"/>
  <c r="D76" i="8"/>
  <c r="E76" i="8"/>
  <c r="F76" i="8"/>
  <c r="G76" i="8"/>
  <c r="I76" i="8"/>
  <c r="J76" i="8"/>
  <c r="K76" i="8"/>
  <c r="A77" i="8"/>
  <c r="C77" i="8"/>
  <c r="D77" i="8"/>
  <c r="E77" i="8"/>
  <c r="F77" i="8"/>
  <c r="G77" i="8"/>
  <c r="I77" i="8"/>
  <c r="J77" i="8"/>
  <c r="K77" i="8"/>
  <c r="A78" i="8"/>
  <c r="C78" i="8"/>
  <c r="D78" i="8"/>
  <c r="E78" i="8"/>
  <c r="F78" i="8"/>
  <c r="G78" i="8"/>
  <c r="I78" i="8"/>
  <c r="J78" i="8"/>
  <c r="K78" i="8"/>
  <c r="A79" i="8"/>
  <c r="C79" i="8"/>
  <c r="D79" i="8"/>
  <c r="E79" i="8"/>
  <c r="F79" i="8"/>
  <c r="G79" i="8"/>
  <c r="I79" i="8"/>
  <c r="J79" i="8"/>
  <c r="K79" i="8"/>
  <c r="A80" i="8"/>
  <c r="C80" i="8"/>
  <c r="D80" i="8"/>
  <c r="E80" i="8"/>
  <c r="F80" i="8"/>
  <c r="G80" i="8"/>
  <c r="I80" i="8"/>
  <c r="J80" i="8"/>
  <c r="K80" i="8"/>
  <c r="A81" i="8"/>
  <c r="C81" i="8"/>
  <c r="D81" i="8"/>
  <c r="E81" i="8"/>
  <c r="F81" i="8"/>
  <c r="G81" i="8"/>
  <c r="I81" i="8"/>
  <c r="J81" i="8"/>
  <c r="K81" i="8"/>
  <c r="A82" i="8"/>
  <c r="C82" i="8"/>
  <c r="D82" i="8"/>
  <c r="E82" i="8"/>
  <c r="F82" i="8"/>
  <c r="G82" i="8"/>
  <c r="I82" i="8"/>
  <c r="J82" i="8"/>
  <c r="K82" i="8"/>
  <c r="A83" i="8"/>
  <c r="C83" i="8"/>
  <c r="D83" i="8"/>
  <c r="E83" i="8"/>
  <c r="F83" i="8"/>
  <c r="G83" i="8"/>
  <c r="I83" i="8"/>
  <c r="J83" i="8"/>
  <c r="K83" i="8"/>
  <c r="A84" i="8"/>
  <c r="C84" i="8"/>
  <c r="D84" i="8"/>
  <c r="E84" i="8"/>
  <c r="F84" i="8"/>
  <c r="G84" i="8"/>
  <c r="I84" i="8"/>
  <c r="J84" i="8"/>
  <c r="K84" i="8"/>
  <c r="A85" i="8"/>
  <c r="C85" i="8"/>
  <c r="D85" i="8"/>
  <c r="E85" i="8"/>
  <c r="F85" i="8"/>
  <c r="G85" i="8"/>
  <c r="I85" i="8"/>
  <c r="J85" i="8"/>
  <c r="K85" i="8"/>
  <c r="A86" i="8"/>
  <c r="C86" i="8"/>
  <c r="D86" i="8"/>
  <c r="E86" i="8"/>
  <c r="F86" i="8"/>
  <c r="G86" i="8"/>
  <c r="I86" i="8"/>
  <c r="J86" i="8"/>
  <c r="K86" i="8"/>
  <c r="A87" i="8"/>
  <c r="C87" i="8"/>
  <c r="D87" i="8"/>
  <c r="E87" i="8"/>
  <c r="F87" i="8"/>
  <c r="G87" i="8"/>
  <c r="I87" i="8"/>
  <c r="J87" i="8"/>
  <c r="K87" i="8"/>
  <c r="A88" i="8"/>
  <c r="C88" i="8"/>
  <c r="D88" i="8"/>
  <c r="E88" i="8"/>
  <c r="F88" i="8"/>
  <c r="G88" i="8"/>
  <c r="I88" i="8"/>
  <c r="J88" i="8"/>
  <c r="K88" i="8"/>
  <c r="A89" i="8"/>
  <c r="C89" i="8"/>
  <c r="D89" i="8"/>
  <c r="E89" i="8"/>
  <c r="F89" i="8"/>
  <c r="G89" i="8"/>
  <c r="I89" i="8"/>
  <c r="J89" i="8"/>
  <c r="K89" i="8"/>
  <c r="A90" i="8"/>
  <c r="C90" i="8"/>
  <c r="D90" i="8"/>
  <c r="E90" i="8"/>
  <c r="F90" i="8"/>
  <c r="G90" i="8"/>
  <c r="I90" i="8"/>
  <c r="J90" i="8"/>
  <c r="K90" i="8"/>
  <c r="A91" i="8"/>
  <c r="C91" i="8"/>
  <c r="D91" i="8"/>
  <c r="E91" i="8"/>
  <c r="F91" i="8"/>
  <c r="G91" i="8"/>
  <c r="I91" i="8"/>
  <c r="J91" i="8"/>
  <c r="K91" i="8"/>
  <c r="A92" i="8"/>
  <c r="C92" i="8"/>
  <c r="D92" i="8"/>
  <c r="E92" i="8"/>
  <c r="F92" i="8"/>
  <c r="G92" i="8"/>
  <c r="I92" i="8"/>
  <c r="J92" i="8"/>
  <c r="K92" i="8"/>
  <c r="A93" i="8"/>
  <c r="C93" i="8"/>
  <c r="D93" i="8"/>
  <c r="E93" i="8"/>
  <c r="F93" i="8"/>
  <c r="G93" i="8"/>
  <c r="I93" i="8"/>
  <c r="J93" i="8"/>
  <c r="K93" i="8"/>
  <c r="A94" i="8"/>
  <c r="C94" i="8"/>
  <c r="D94" i="8"/>
  <c r="E94" i="8"/>
  <c r="F94" i="8"/>
  <c r="G94" i="8"/>
  <c r="I94" i="8"/>
  <c r="J94" i="8"/>
  <c r="K94" i="8"/>
  <c r="A95" i="8"/>
  <c r="C95" i="8"/>
  <c r="D95" i="8"/>
  <c r="E95" i="8"/>
  <c r="F95" i="8"/>
  <c r="G95" i="8"/>
  <c r="I95" i="8"/>
  <c r="J95" i="8"/>
  <c r="K95" i="8"/>
  <c r="A96" i="8"/>
  <c r="C96" i="8"/>
  <c r="D96" i="8"/>
  <c r="E96" i="8"/>
  <c r="F96" i="8"/>
  <c r="G96" i="8"/>
  <c r="I96" i="8"/>
  <c r="J96" i="8"/>
  <c r="K96" i="8"/>
  <c r="A97" i="8"/>
  <c r="C97" i="8"/>
  <c r="D97" i="8"/>
  <c r="E97" i="8"/>
  <c r="F97" i="8"/>
  <c r="G97" i="8"/>
  <c r="I97" i="8"/>
  <c r="J97" i="8"/>
  <c r="K97" i="8"/>
  <c r="A98" i="8"/>
  <c r="C98" i="8"/>
  <c r="D98" i="8"/>
  <c r="E98" i="8"/>
  <c r="F98" i="8"/>
  <c r="G98" i="8"/>
  <c r="I98" i="8"/>
  <c r="J98" i="8"/>
  <c r="K98" i="8"/>
  <c r="A99" i="8"/>
  <c r="C99" i="8"/>
  <c r="D99" i="8"/>
  <c r="E99" i="8"/>
  <c r="F99" i="8"/>
  <c r="G99" i="8"/>
  <c r="I99" i="8"/>
  <c r="J99" i="8"/>
  <c r="K99" i="8"/>
  <c r="A100" i="8"/>
  <c r="C100" i="8"/>
  <c r="D100" i="8"/>
  <c r="E100" i="8"/>
  <c r="F100" i="8"/>
  <c r="G100" i="8"/>
  <c r="I100" i="8"/>
  <c r="J100" i="8"/>
  <c r="K100" i="8"/>
  <c r="A101" i="8"/>
  <c r="C101" i="8"/>
  <c r="D101" i="8"/>
  <c r="E101" i="8"/>
  <c r="F101" i="8"/>
  <c r="G101" i="8"/>
  <c r="I101" i="8"/>
  <c r="J101" i="8"/>
  <c r="K101" i="8"/>
  <c r="A102" i="8"/>
  <c r="C102" i="8"/>
  <c r="D102" i="8"/>
  <c r="E102" i="8"/>
  <c r="F102" i="8"/>
  <c r="G102" i="8"/>
  <c r="I102" i="8"/>
  <c r="J102" i="8"/>
  <c r="K102" i="8"/>
  <c r="A103" i="8"/>
  <c r="C103" i="8"/>
  <c r="D103" i="8"/>
  <c r="E103" i="8"/>
  <c r="F103" i="8"/>
  <c r="G103" i="8"/>
  <c r="I103" i="8"/>
  <c r="J103" i="8"/>
  <c r="K103" i="8"/>
  <c r="A104" i="8"/>
  <c r="C104" i="8"/>
  <c r="D104" i="8"/>
  <c r="E104" i="8"/>
  <c r="F104" i="8"/>
  <c r="G104" i="8"/>
  <c r="I104" i="8"/>
  <c r="J104" i="8"/>
  <c r="K104" i="8"/>
  <c r="A105" i="8"/>
  <c r="C105" i="8"/>
  <c r="D105" i="8"/>
  <c r="E105" i="8"/>
  <c r="F105" i="8"/>
  <c r="G105" i="8"/>
  <c r="I105" i="8"/>
  <c r="J105" i="8"/>
  <c r="K105" i="8"/>
  <c r="A106" i="8"/>
  <c r="C106" i="8"/>
  <c r="D106" i="8"/>
  <c r="E106" i="8"/>
  <c r="F106" i="8"/>
  <c r="G106" i="8"/>
  <c r="I106" i="8"/>
  <c r="J106" i="8"/>
  <c r="K106" i="8"/>
  <c r="A107" i="8"/>
  <c r="C107" i="8"/>
  <c r="D107" i="8"/>
  <c r="E107" i="8"/>
  <c r="F107" i="8"/>
  <c r="G107" i="8"/>
  <c r="I107" i="8"/>
  <c r="J107" i="8"/>
  <c r="K107" i="8"/>
  <c r="A108" i="8"/>
  <c r="C108" i="8"/>
  <c r="D108" i="8"/>
  <c r="E108" i="8"/>
  <c r="F108" i="8"/>
  <c r="G108" i="8"/>
  <c r="I108" i="8"/>
  <c r="J108" i="8"/>
  <c r="K108" i="8"/>
  <c r="A109" i="8"/>
  <c r="C109" i="8"/>
  <c r="D109" i="8"/>
  <c r="E109" i="8"/>
  <c r="F109" i="8"/>
  <c r="G109" i="8"/>
  <c r="I109" i="8"/>
  <c r="J109" i="8"/>
  <c r="K109" i="8"/>
  <c r="A110" i="8"/>
  <c r="C110" i="8"/>
  <c r="D110" i="8"/>
  <c r="E110" i="8"/>
  <c r="F110" i="8"/>
  <c r="G110" i="8"/>
  <c r="I110" i="8"/>
  <c r="J110" i="8"/>
  <c r="K110" i="8"/>
  <c r="A111" i="8"/>
  <c r="C111" i="8"/>
  <c r="D111" i="8"/>
  <c r="E111" i="8"/>
  <c r="F111" i="8"/>
  <c r="G111" i="8"/>
  <c r="I111" i="8"/>
  <c r="J111" i="8"/>
  <c r="K111" i="8"/>
  <c r="A112" i="8"/>
  <c r="C112" i="8"/>
  <c r="D112" i="8"/>
  <c r="E112" i="8"/>
  <c r="F112" i="8"/>
  <c r="G112" i="8"/>
  <c r="I112" i="8"/>
  <c r="J112" i="8"/>
  <c r="K112" i="8"/>
  <c r="A113" i="8"/>
  <c r="C113" i="8"/>
  <c r="D113" i="8"/>
  <c r="E113" i="8"/>
  <c r="F113" i="8"/>
  <c r="G113" i="8"/>
  <c r="I113" i="8"/>
  <c r="J113" i="8"/>
  <c r="K113" i="8"/>
  <c r="A114" i="8"/>
  <c r="C114" i="8"/>
  <c r="D114" i="8"/>
  <c r="E114" i="8"/>
  <c r="F114" i="8"/>
  <c r="G114" i="8"/>
  <c r="I114" i="8"/>
  <c r="J114" i="8"/>
  <c r="K114" i="8"/>
  <c r="A115" i="8"/>
  <c r="C115" i="8"/>
  <c r="D115" i="8"/>
  <c r="E115" i="8"/>
  <c r="F115" i="8"/>
  <c r="G115" i="8"/>
  <c r="I115" i="8"/>
  <c r="J115" i="8"/>
  <c r="K115" i="8"/>
  <c r="A116" i="8"/>
  <c r="C116" i="8"/>
  <c r="D116" i="8"/>
  <c r="E116" i="8"/>
  <c r="F116" i="8"/>
  <c r="G116" i="8"/>
  <c r="I116" i="8"/>
  <c r="J116" i="8"/>
  <c r="K116" i="8"/>
  <c r="A117" i="8"/>
  <c r="C117" i="8"/>
  <c r="D117" i="8"/>
  <c r="E117" i="8"/>
  <c r="F117" i="8"/>
  <c r="G117" i="8"/>
  <c r="I117" i="8"/>
  <c r="J117" i="8"/>
  <c r="K117" i="8"/>
  <c r="A118" i="8"/>
  <c r="C118" i="8"/>
  <c r="D118" i="8"/>
  <c r="E118" i="8"/>
  <c r="F118" i="8"/>
  <c r="G118" i="8"/>
  <c r="I118" i="8"/>
  <c r="J118" i="8"/>
  <c r="K118" i="8"/>
  <c r="A119" i="8"/>
  <c r="C119" i="8"/>
  <c r="D119" i="8"/>
  <c r="E119" i="8"/>
  <c r="F119" i="8"/>
  <c r="G119" i="8"/>
  <c r="I119" i="8"/>
  <c r="J119" i="8"/>
  <c r="K119" i="8"/>
  <c r="A120" i="8"/>
  <c r="C120" i="8"/>
  <c r="D120" i="8"/>
  <c r="E120" i="8"/>
  <c r="F120" i="8"/>
  <c r="G120" i="8"/>
  <c r="I120" i="8"/>
  <c r="J120" i="8"/>
  <c r="K120" i="8"/>
  <c r="A121" i="8"/>
  <c r="C121" i="8"/>
  <c r="D121" i="8"/>
  <c r="E121" i="8"/>
  <c r="F121" i="8"/>
  <c r="G121" i="8"/>
  <c r="I121" i="8"/>
  <c r="J121" i="8"/>
  <c r="K121" i="8"/>
  <c r="A122" i="8"/>
  <c r="C122" i="8"/>
  <c r="D122" i="8"/>
  <c r="E122" i="8"/>
  <c r="F122" i="8"/>
  <c r="G122" i="8"/>
  <c r="I122" i="8"/>
  <c r="J122" i="8"/>
  <c r="K122" i="8"/>
  <c r="A123" i="8"/>
  <c r="C123" i="8"/>
  <c r="D123" i="8"/>
  <c r="E123" i="8"/>
  <c r="F123" i="8"/>
  <c r="G123" i="8"/>
  <c r="I123" i="8"/>
  <c r="J123" i="8"/>
  <c r="K123" i="8"/>
  <c r="A124" i="8"/>
  <c r="C124" i="8"/>
  <c r="D124" i="8"/>
  <c r="E124" i="8"/>
  <c r="F124" i="8"/>
  <c r="G124" i="8"/>
  <c r="I124" i="8"/>
  <c r="J124" i="8"/>
  <c r="K124" i="8"/>
  <c r="A125" i="8"/>
  <c r="C125" i="8"/>
  <c r="D125" i="8"/>
  <c r="E125" i="8"/>
  <c r="F125" i="8"/>
  <c r="G125" i="8"/>
  <c r="I125" i="8"/>
  <c r="J125" i="8"/>
  <c r="K125" i="8"/>
  <c r="A126" i="8"/>
  <c r="C126" i="8"/>
  <c r="D126" i="8"/>
  <c r="E126" i="8"/>
  <c r="F126" i="8"/>
  <c r="G126" i="8"/>
  <c r="I126" i="8"/>
  <c r="J126" i="8"/>
  <c r="K126" i="8"/>
  <c r="A127" i="8"/>
  <c r="C127" i="8"/>
  <c r="D127" i="8"/>
  <c r="E127" i="8"/>
  <c r="F127" i="8"/>
  <c r="G127" i="8"/>
  <c r="I127" i="8"/>
  <c r="J127" i="8"/>
  <c r="K127" i="8"/>
  <c r="A128" i="8"/>
  <c r="C128" i="8"/>
  <c r="D128" i="8"/>
  <c r="E128" i="8"/>
  <c r="F128" i="8"/>
  <c r="G128" i="8"/>
  <c r="I128" i="8"/>
  <c r="J128" i="8"/>
  <c r="K128" i="8"/>
  <c r="A129" i="8"/>
  <c r="C129" i="8"/>
  <c r="D129" i="8"/>
  <c r="E129" i="8"/>
  <c r="F129" i="8"/>
  <c r="G129" i="8"/>
  <c r="I129" i="8"/>
  <c r="J129" i="8"/>
  <c r="K129" i="8"/>
  <c r="A130" i="8"/>
  <c r="C130" i="8"/>
  <c r="D130" i="8"/>
  <c r="E130" i="8"/>
  <c r="F130" i="8"/>
  <c r="G130" i="8"/>
  <c r="I130" i="8"/>
  <c r="J130" i="8"/>
  <c r="K130" i="8"/>
  <c r="A131" i="8"/>
  <c r="C131" i="8"/>
  <c r="D131" i="8"/>
  <c r="E131" i="8"/>
  <c r="F131" i="8"/>
  <c r="G131" i="8"/>
  <c r="I131" i="8"/>
  <c r="J131" i="8"/>
  <c r="K131" i="8"/>
  <c r="A132" i="8"/>
  <c r="C132" i="8"/>
  <c r="D132" i="8"/>
  <c r="E132" i="8"/>
  <c r="F132" i="8"/>
  <c r="G132" i="8"/>
  <c r="I132" i="8"/>
  <c r="J132" i="8"/>
  <c r="K132" i="8"/>
  <c r="A133" i="8"/>
  <c r="C133" i="8"/>
  <c r="D133" i="8"/>
  <c r="E133" i="8"/>
  <c r="F133" i="8"/>
  <c r="G133" i="8"/>
  <c r="I133" i="8"/>
  <c r="J133" i="8"/>
  <c r="K133" i="8"/>
  <c r="A134" i="8"/>
  <c r="C134" i="8"/>
  <c r="D134" i="8"/>
  <c r="E134" i="8"/>
  <c r="F134" i="8"/>
  <c r="G134" i="8"/>
  <c r="I134" i="8"/>
  <c r="J134" i="8"/>
  <c r="K134" i="8"/>
  <c r="A135" i="8"/>
  <c r="C135" i="8"/>
  <c r="D135" i="8"/>
  <c r="E135" i="8"/>
  <c r="F135" i="8"/>
  <c r="G135" i="8"/>
  <c r="I135" i="8"/>
  <c r="J135" i="8"/>
  <c r="K135" i="8"/>
  <c r="A136" i="8"/>
  <c r="C136" i="8"/>
  <c r="D136" i="8"/>
  <c r="E136" i="8"/>
  <c r="F136" i="8"/>
  <c r="G136" i="8"/>
  <c r="I136" i="8"/>
  <c r="J136" i="8"/>
  <c r="K136" i="8"/>
  <c r="A137" i="8"/>
  <c r="C137" i="8"/>
  <c r="D137" i="8"/>
  <c r="E137" i="8"/>
  <c r="F137" i="8"/>
  <c r="G137" i="8"/>
  <c r="I137" i="8"/>
  <c r="J137" i="8"/>
  <c r="K137" i="8"/>
  <c r="A138" i="8"/>
  <c r="C138" i="8"/>
  <c r="D138" i="8"/>
  <c r="E138" i="8"/>
  <c r="F138" i="8"/>
  <c r="G138" i="8"/>
  <c r="I138" i="8"/>
  <c r="J138" i="8"/>
  <c r="K138" i="8"/>
  <c r="A139" i="8"/>
  <c r="C139" i="8"/>
  <c r="D139" i="8"/>
  <c r="E139" i="8"/>
  <c r="F139" i="8"/>
  <c r="G139" i="8"/>
  <c r="I139" i="8"/>
  <c r="J139" i="8"/>
  <c r="K139" i="8"/>
  <c r="A140" i="8"/>
  <c r="C140" i="8"/>
  <c r="D140" i="8"/>
  <c r="E140" i="8"/>
  <c r="F140" i="8"/>
  <c r="G140" i="8"/>
  <c r="I140" i="8"/>
  <c r="J140" i="8"/>
  <c r="K140" i="8"/>
  <c r="A141" i="8"/>
  <c r="C141" i="8"/>
  <c r="D141" i="8"/>
  <c r="E141" i="8"/>
  <c r="F141" i="8"/>
  <c r="G141" i="8"/>
  <c r="I141" i="8"/>
  <c r="J141" i="8"/>
  <c r="K141" i="8"/>
  <c r="A142" i="8"/>
  <c r="C142" i="8"/>
  <c r="D142" i="8"/>
  <c r="E142" i="8"/>
  <c r="F142" i="8"/>
  <c r="G142" i="8"/>
  <c r="I142" i="8"/>
  <c r="J142" i="8"/>
  <c r="K142" i="8"/>
  <c r="A143" i="8"/>
  <c r="C143" i="8"/>
  <c r="D143" i="8"/>
  <c r="E143" i="8"/>
  <c r="F143" i="8"/>
  <c r="G143" i="8"/>
  <c r="I143" i="8"/>
  <c r="J143" i="8"/>
  <c r="K143" i="8"/>
  <c r="A144" i="8"/>
  <c r="C144" i="8"/>
  <c r="D144" i="8"/>
  <c r="E144" i="8"/>
  <c r="F144" i="8"/>
  <c r="G144" i="8"/>
  <c r="I144" i="8"/>
  <c r="J144" i="8"/>
  <c r="K144" i="8"/>
  <c r="A145" i="8"/>
  <c r="C145" i="8"/>
  <c r="D145" i="8"/>
  <c r="E145" i="8"/>
  <c r="F145" i="8"/>
  <c r="G145" i="8"/>
  <c r="I145" i="8"/>
  <c r="J145" i="8"/>
  <c r="K145" i="8"/>
  <c r="A146" i="8"/>
  <c r="C146" i="8"/>
  <c r="D146" i="8"/>
  <c r="E146" i="8"/>
  <c r="F146" i="8"/>
  <c r="G146" i="8"/>
  <c r="I146" i="8"/>
  <c r="J146" i="8"/>
  <c r="K146" i="8"/>
  <c r="A147" i="8"/>
  <c r="C147" i="8"/>
  <c r="D147" i="8"/>
  <c r="E147" i="8"/>
  <c r="F147" i="8"/>
  <c r="G147" i="8"/>
  <c r="I147" i="8"/>
  <c r="J147" i="8"/>
  <c r="K147" i="8"/>
  <c r="A148" i="8"/>
  <c r="C148" i="8"/>
  <c r="D148" i="8"/>
  <c r="E148" i="8"/>
  <c r="F148" i="8"/>
  <c r="G148" i="8"/>
  <c r="I148" i="8"/>
  <c r="J148" i="8"/>
  <c r="K148" i="8"/>
  <c r="A149" i="8"/>
  <c r="C149" i="8"/>
  <c r="D149" i="8"/>
  <c r="E149" i="8"/>
  <c r="F149" i="8"/>
  <c r="G149" i="8"/>
  <c r="I149" i="8"/>
  <c r="J149" i="8"/>
  <c r="K149" i="8"/>
  <c r="A150" i="8"/>
  <c r="C150" i="8"/>
  <c r="D150" i="8"/>
  <c r="E150" i="8"/>
  <c r="F150" i="8"/>
  <c r="G150" i="8"/>
  <c r="I150" i="8"/>
  <c r="J150" i="8"/>
  <c r="K150" i="8"/>
  <c r="A151" i="8"/>
  <c r="C151" i="8"/>
  <c r="D151" i="8"/>
  <c r="E151" i="8"/>
  <c r="F151" i="8"/>
  <c r="G151" i="8"/>
  <c r="I151" i="8"/>
  <c r="J151" i="8"/>
  <c r="K151" i="8"/>
  <c r="A152" i="8"/>
  <c r="C152" i="8"/>
  <c r="D152" i="8"/>
  <c r="E152" i="8"/>
  <c r="F152" i="8"/>
  <c r="G152" i="8"/>
  <c r="I152" i="8"/>
  <c r="J152" i="8"/>
  <c r="K152" i="8"/>
  <c r="A153" i="8"/>
  <c r="C153" i="8"/>
  <c r="D153" i="8"/>
  <c r="E153" i="8"/>
  <c r="F153" i="8"/>
  <c r="G153" i="8"/>
  <c r="I153" i="8"/>
  <c r="J153" i="8"/>
  <c r="K153" i="8"/>
  <c r="A154" i="8"/>
  <c r="C154" i="8"/>
  <c r="D154" i="8"/>
  <c r="E154" i="8"/>
  <c r="F154" i="8"/>
  <c r="G154" i="8"/>
  <c r="I154" i="8"/>
  <c r="J154" i="8"/>
  <c r="K154" i="8"/>
  <c r="A155" i="8"/>
  <c r="C155" i="8"/>
  <c r="D155" i="8"/>
  <c r="E155" i="8"/>
  <c r="F155" i="8"/>
  <c r="G155" i="8"/>
  <c r="I155" i="8"/>
  <c r="J155" i="8"/>
  <c r="K155" i="8"/>
  <c r="A156" i="8"/>
  <c r="C156" i="8"/>
  <c r="D156" i="8"/>
  <c r="E156" i="8"/>
  <c r="F156" i="8"/>
  <c r="G156" i="8"/>
  <c r="I156" i="8"/>
  <c r="J156" i="8"/>
  <c r="K156" i="8"/>
  <c r="A157" i="8"/>
  <c r="C157" i="8"/>
  <c r="D157" i="8"/>
  <c r="E157" i="8"/>
  <c r="F157" i="8"/>
  <c r="G157" i="8"/>
  <c r="I157" i="8"/>
  <c r="J157" i="8"/>
  <c r="K157" i="8"/>
  <c r="A158" i="8"/>
  <c r="C158" i="8"/>
  <c r="D158" i="8"/>
  <c r="E158" i="8"/>
  <c r="F158" i="8"/>
  <c r="G158" i="8"/>
  <c r="I158" i="8"/>
  <c r="J158" i="8"/>
  <c r="K158" i="8"/>
  <c r="A159" i="8"/>
  <c r="C159" i="8"/>
  <c r="D159" i="8"/>
  <c r="E159" i="8"/>
  <c r="F159" i="8"/>
  <c r="G159" i="8"/>
  <c r="I159" i="8"/>
  <c r="J159" i="8"/>
  <c r="K159" i="8"/>
  <c r="A160" i="8"/>
  <c r="C160" i="8"/>
  <c r="D160" i="8"/>
  <c r="E160" i="8"/>
  <c r="F160" i="8"/>
  <c r="G160" i="8"/>
  <c r="I160" i="8"/>
  <c r="J160" i="8"/>
  <c r="K160" i="8"/>
  <c r="A161" i="8"/>
  <c r="C161" i="8"/>
  <c r="D161" i="8"/>
  <c r="E161" i="8"/>
  <c r="F161" i="8"/>
  <c r="G161" i="8"/>
  <c r="I161" i="8"/>
  <c r="J161" i="8"/>
  <c r="K161" i="8"/>
  <c r="A162" i="8"/>
  <c r="C162" i="8"/>
  <c r="D162" i="8"/>
  <c r="E162" i="8"/>
  <c r="F162" i="8"/>
  <c r="G162" i="8"/>
  <c r="I162" i="8"/>
  <c r="J162" i="8"/>
  <c r="K162" i="8"/>
  <c r="A163" i="8"/>
  <c r="C163" i="8"/>
  <c r="D163" i="8"/>
  <c r="E163" i="8"/>
  <c r="F163" i="8"/>
  <c r="G163" i="8"/>
  <c r="I163" i="8"/>
  <c r="J163" i="8"/>
  <c r="K163" i="8"/>
  <c r="A164" i="8"/>
  <c r="C164" i="8"/>
  <c r="D164" i="8"/>
  <c r="E164" i="8"/>
  <c r="F164" i="8"/>
  <c r="G164" i="8"/>
  <c r="I164" i="8"/>
  <c r="J164" i="8"/>
  <c r="K164" i="8"/>
  <c r="A165" i="8"/>
  <c r="C165" i="8"/>
  <c r="D165" i="8"/>
  <c r="E165" i="8"/>
  <c r="F165" i="8"/>
  <c r="G165" i="8"/>
  <c r="I165" i="8"/>
  <c r="J165" i="8"/>
  <c r="K165" i="8"/>
  <c r="A166" i="8"/>
  <c r="C166" i="8"/>
  <c r="D166" i="8"/>
  <c r="E166" i="8"/>
  <c r="F166" i="8"/>
  <c r="G166" i="8"/>
  <c r="I166" i="8"/>
  <c r="J166" i="8"/>
  <c r="K166" i="8"/>
  <c r="A167" i="8"/>
  <c r="C167" i="8"/>
  <c r="D167" i="8"/>
  <c r="E167" i="8"/>
  <c r="F167" i="8"/>
  <c r="G167" i="8"/>
  <c r="I167" i="8"/>
  <c r="J167" i="8"/>
  <c r="K167" i="8"/>
  <c r="A168" i="8"/>
  <c r="C168" i="8"/>
  <c r="D168" i="8"/>
  <c r="E168" i="8"/>
  <c r="F168" i="8"/>
  <c r="G168" i="8"/>
  <c r="I168" i="8"/>
  <c r="J168" i="8"/>
  <c r="K168" i="8"/>
  <c r="A169" i="8"/>
  <c r="C169" i="8"/>
  <c r="D169" i="8"/>
  <c r="E169" i="8"/>
  <c r="F169" i="8"/>
  <c r="G169" i="8"/>
  <c r="I169" i="8"/>
  <c r="J169" i="8"/>
  <c r="K169" i="8"/>
  <c r="A170" i="8"/>
  <c r="C170" i="8"/>
  <c r="D170" i="8"/>
  <c r="E170" i="8"/>
  <c r="F170" i="8"/>
  <c r="G170" i="8"/>
  <c r="I170" i="8"/>
  <c r="J170" i="8"/>
  <c r="K170" i="8"/>
  <c r="A171" i="8"/>
  <c r="C171" i="8"/>
  <c r="D171" i="8"/>
  <c r="E171" i="8"/>
  <c r="F171" i="8"/>
  <c r="G171" i="8"/>
  <c r="I171" i="8"/>
  <c r="J171" i="8"/>
  <c r="K171" i="8"/>
  <c r="A172" i="8"/>
  <c r="C172" i="8"/>
  <c r="D172" i="8"/>
  <c r="E172" i="8"/>
  <c r="F172" i="8"/>
  <c r="G172" i="8"/>
  <c r="I172" i="8"/>
  <c r="J172" i="8"/>
  <c r="K172" i="8"/>
  <c r="A173" i="8"/>
  <c r="C173" i="8"/>
  <c r="D173" i="8"/>
  <c r="E173" i="8"/>
  <c r="F173" i="8"/>
  <c r="G173" i="8"/>
  <c r="I173" i="8"/>
  <c r="J173" i="8"/>
  <c r="K173" i="8"/>
  <c r="A174" i="8"/>
  <c r="C174" i="8"/>
  <c r="D174" i="8"/>
  <c r="E174" i="8"/>
  <c r="F174" i="8"/>
  <c r="G174" i="8"/>
  <c r="I174" i="8"/>
  <c r="J174" i="8"/>
  <c r="K174" i="8"/>
  <c r="A175" i="8"/>
  <c r="C175" i="8"/>
  <c r="D175" i="8"/>
  <c r="E175" i="8"/>
  <c r="F175" i="8"/>
  <c r="G175" i="8"/>
  <c r="I175" i="8"/>
  <c r="J175" i="8"/>
  <c r="K175" i="8"/>
  <c r="A176" i="8"/>
  <c r="C176" i="8"/>
  <c r="D176" i="8"/>
  <c r="E176" i="8"/>
  <c r="F176" i="8"/>
  <c r="G176" i="8"/>
  <c r="I176" i="8"/>
  <c r="J176" i="8"/>
  <c r="K176" i="8"/>
  <c r="A177" i="8"/>
  <c r="C177" i="8"/>
  <c r="D177" i="8"/>
  <c r="E177" i="8"/>
  <c r="F177" i="8"/>
  <c r="G177" i="8"/>
  <c r="I177" i="8"/>
  <c r="J177" i="8"/>
  <c r="K177" i="8"/>
  <c r="A178" i="8"/>
  <c r="C178" i="8"/>
  <c r="D178" i="8"/>
  <c r="E178" i="8"/>
  <c r="F178" i="8"/>
  <c r="G178" i="8"/>
  <c r="I178" i="8"/>
  <c r="J178" i="8"/>
  <c r="K178" i="8"/>
  <c r="A179" i="8"/>
  <c r="C179" i="8"/>
  <c r="D179" i="8"/>
  <c r="E179" i="8"/>
  <c r="F179" i="8"/>
  <c r="G179" i="8"/>
  <c r="I179" i="8"/>
  <c r="J179" i="8"/>
  <c r="K179" i="8"/>
  <c r="A180" i="8"/>
  <c r="C180" i="8"/>
  <c r="D180" i="8"/>
  <c r="E180" i="8"/>
  <c r="F180" i="8"/>
  <c r="G180" i="8"/>
  <c r="I180" i="8"/>
  <c r="J180" i="8"/>
  <c r="K180" i="8"/>
  <c r="A181" i="8"/>
  <c r="C181" i="8"/>
  <c r="D181" i="8"/>
  <c r="E181" i="8"/>
  <c r="F181" i="8"/>
  <c r="G181" i="8"/>
  <c r="I181" i="8"/>
  <c r="J181" i="8"/>
  <c r="K181" i="8"/>
  <c r="A182" i="8"/>
  <c r="C182" i="8"/>
  <c r="D182" i="8"/>
  <c r="E182" i="8"/>
  <c r="F182" i="8"/>
  <c r="G182" i="8"/>
  <c r="I182" i="8"/>
  <c r="J182" i="8"/>
  <c r="K182" i="8"/>
  <c r="A183" i="8"/>
  <c r="C183" i="8"/>
  <c r="D183" i="8"/>
  <c r="E183" i="8"/>
  <c r="F183" i="8"/>
  <c r="G183" i="8"/>
  <c r="I183" i="8"/>
  <c r="J183" i="8"/>
  <c r="K183" i="8"/>
  <c r="A184" i="8"/>
  <c r="C184" i="8"/>
  <c r="D184" i="8"/>
  <c r="E184" i="8"/>
  <c r="F184" i="8"/>
  <c r="G184" i="8"/>
  <c r="I184" i="8"/>
  <c r="J184" i="8"/>
  <c r="K184" i="8"/>
  <c r="A185" i="8"/>
  <c r="C185" i="8"/>
  <c r="D185" i="8"/>
  <c r="E185" i="8"/>
  <c r="F185" i="8"/>
  <c r="G185" i="8"/>
  <c r="I185" i="8"/>
  <c r="J185" i="8"/>
  <c r="K185" i="8"/>
  <c r="A186" i="8"/>
  <c r="C186" i="8"/>
  <c r="D186" i="8"/>
  <c r="E186" i="8"/>
  <c r="F186" i="8"/>
  <c r="G186" i="8"/>
  <c r="I186" i="8"/>
  <c r="J186" i="8"/>
  <c r="K186" i="8"/>
  <c r="A187" i="8"/>
  <c r="C187" i="8"/>
  <c r="D187" i="8"/>
  <c r="E187" i="8"/>
  <c r="F187" i="8"/>
  <c r="G187" i="8"/>
  <c r="I187" i="8"/>
  <c r="J187" i="8"/>
  <c r="K187" i="8"/>
  <c r="A188" i="8"/>
  <c r="C188" i="8"/>
  <c r="D188" i="8"/>
  <c r="E188" i="8"/>
  <c r="F188" i="8"/>
  <c r="G188" i="8"/>
  <c r="I188" i="8"/>
  <c r="J188" i="8"/>
  <c r="K188" i="8"/>
  <c r="A189" i="8"/>
  <c r="C189" i="8"/>
  <c r="D189" i="8"/>
  <c r="E189" i="8"/>
  <c r="F189" i="8"/>
  <c r="G189" i="8"/>
  <c r="I189" i="8"/>
  <c r="J189" i="8"/>
  <c r="K189" i="8"/>
  <c r="A190" i="8"/>
  <c r="C190" i="8"/>
  <c r="D190" i="8"/>
  <c r="E190" i="8"/>
  <c r="F190" i="8"/>
  <c r="G190" i="8"/>
  <c r="I190" i="8"/>
  <c r="J190" i="8"/>
  <c r="K190" i="8"/>
  <c r="A191" i="8"/>
  <c r="C191" i="8"/>
  <c r="D191" i="8"/>
  <c r="E191" i="8"/>
  <c r="F191" i="8"/>
  <c r="G191" i="8"/>
  <c r="I191" i="8"/>
  <c r="J191" i="8"/>
  <c r="K191" i="8"/>
  <c r="A192" i="8"/>
  <c r="C192" i="8"/>
  <c r="D192" i="8"/>
  <c r="E192" i="8"/>
  <c r="F192" i="8"/>
  <c r="G192" i="8"/>
  <c r="I192" i="8"/>
  <c r="J192" i="8"/>
  <c r="K192" i="8"/>
  <c r="A193" i="8"/>
  <c r="C193" i="8"/>
  <c r="D193" i="8"/>
  <c r="E193" i="8"/>
  <c r="F193" i="8"/>
  <c r="G193" i="8"/>
  <c r="I193" i="8"/>
  <c r="J193" i="8"/>
  <c r="K193" i="8"/>
  <c r="A194" i="8"/>
  <c r="C194" i="8"/>
  <c r="D194" i="8"/>
  <c r="E194" i="8"/>
  <c r="F194" i="8"/>
  <c r="G194" i="8"/>
  <c r="I194" i="8"/>
  <c r="J194" i="8"/>
  <c r="K194" i="8"/>
  <c r="A195" i="8"/>
  <c r="C195" i="8"/>
  <c r="D195" i="8"/>
  <c r="E195" i="8"/>
  <c r="F195" i="8"/>
  <c r="G195" i="8"/>
  <c r="I195" i="8"/>
  <c r="J195" i="8"/>
  <c r="K195" i="8"/>
  <c r="A196" i="8"/>
  <c r="C196" i="8"/>
  <c r="D196" i="8"/>
  <c r="E196" i="8"/>
  <c r="F196" i="8"/>
  <c r="G196" i="8"/>
  <c r="I196" i="8"/>
  <c r="J196" i="8"/>
  <c r="K196" i="8"/>
  <c r="A197" i="8"/>
  <c r="C197" i="8"/>
  <c r="D197" i="8"/>
  <c r="E197" i="8"/>
  <c r="F197" i="8"/>
  <c r="G197" i="8"/>
  <c r="I197" i="8"/>
  <c r="J197" i="8"/>
  <c r="K197" i="8"/>
  <c r="A198" i="8"/>
  <c r="C198" i="8"/>
  <c r="D198" i="8"/>
  <c r="E198" i="8"/>
  <c r="F198" i="8"/>
  <c r="G198" i="8"/>
  <c r="I198" i="8"/>
  <c r="J198" i="8"/>
  <c r="K198" i="8"/>
  <c r="A199" i="8"/>
  <c r="C199" i="8"/>
  <c r="D199" i="8"/>
  <c r="E199" i="8"/>
  <c r="F199" i="8"/>
  <c r="G199" i="8"/>
  <c r="I199" i="8"/>
  <c r="J199" i="8"/>
  <c r="K199" i="8"/>
  <c r="A200" i="8"/>
  <c r="C200" i="8"/>
  <c r="D200" i="8"/>
  <c r="E200" i="8"/>
  <c r="F200" i="8"/>
  <c r="G200" i="8"/>
  <c r="I200" i="8"/>
  <c r="J200" i="8"/>
  <c r="K200" i="8"/>
  <c r="A201" i="8"/>
  <c r="C201" i="8"/>
  <c r="D201" i="8"/>
  <c r="E201" i="8"/>
  <c r="F201" i="8"/>
  <c r="G201" i="8"/>
  <c r="I201" i="8"/>
  <c r="J201" i="8"/>
  <c r="K201" i="8"/>
  <c r="A202" i="8"/>
  <c r="C202" i="8"/>
  <c r="D202" i="8"/>
  <c r="E202" i="8"/>
  <c r="F202" i="8"/>
  <c r="G202" i="8"/>
  <c r="I202" i="8"/>
  <c r="J202" i="8"/>
  <c r="K202" i="8"/>
  <c r="A203" i="8"/>
  <c r="C203" i="8"/>
  <c r="D203" i="8"/>
  <c r="E203" i="8"/>
  <c r="F203" i="8"/>
  <c r="G203" i="8"/>
  <c r="I203" i="8"/>
  <c r="J203" i="8"/>
  <c r="K203" i="8"/>
  <c r="A204" i="8"/>
  <c r="C204" i="8"/>
  <c r="D204" i="8"/>
  <c r="E204" i="8"/>
  <c r="F204" i="8"/>
  <c r="G204" i="8"/>
  <c r="I204" i="8"/>
  <c r="J204" i="8"/>
  <c r="K204" i="8"/>
  <c r="A205" i="8"/>
  <c r="C205" i="8"/>
  <c r="D205" i="8"/>
  <c r="E205" i="8"/>
  <c r="F205" i="8"/>
  <c r="G205" i="8"/>
  <c r="I205" i="8"/>
  <c r="J205" i="8"/>
  <c r="K205" i="8"/>
  <c r="A206" i="8"/>
  <c r="C206" i="8"/>
  <c r="D206" i="8"/>
  <c r="E206" i="8"/>
  <c r="F206" i="8"/>
  <c r="G206" i="8"/>
  <c r="I206" i="8"/>
  <c r="J206" i="8"/>
  <c r="K206" i="8"/>
  <c r="A207" i="8"/>
  <c r="C207" i="8"/>
  <c r="D207" i="8"/>
  <c r="E207" i="8"/>
  <c r="F207" i="8"/>
  <c r="G207" i="8"/>
  <c r="I207" i="8"/>
  <c r="J207" i="8"/>
  <c r="K207" i="8"/>
  <c r="A208" i="8"/>
  <c r="C208" i="8"/>
  <c r="D208" i="8"/>
  <c r="E208" i="8"/>
  <c r="F208" i="8"/>
  <c r="G208" i="8"/>
  <c r="I208" i="8"/>
  <c r="J208" i="8"/>
  <c r="K208" i="8"/>
  <c r="A209" i="8"/>
  <c r="C209" i="8"/>
  <c r="D209" i="8"/>
  <c r="E209" i="8"/>
  <c r="F209" i="8"/>
  <c r="G209" i="8"/>
  <c r="I209" i="8"/>
  <c r="J209" i="8"/>
  <c r="K209" i="8"/>
  <c r="A210" i="8"/>
  <c r="C210" i="8"/>
  <c r="D210" i="8"/>
  <c r="E210" i="8"/>
  <c r="F210" i="8"/>
  <c r="G210" i="8"/>
  <c r="I210" i="8"/>
  <c r="J210" i="8"/>
  <c r="K210" i="8"/>
  <c r="A211" i="8"/>
  <c r="C211" i="8"/>
  <c r="D211" i="8"/>
  <c r="E211" i="8"/>
  <c r="F211" i="8"/>
  <c r="G211" i="8"/>
  <c r="I211" i="8"/>
  <c r="J211" i="8"/>
  <c r="K211" i="8"/>
  <c r="A212" i="8"/>
  <c r="C212" i="8"/>
  <c r="D212" i="8"/>
  <c r="E212" i="8"/>
  <c r="F212" i="8"/>
  <c r="G212" i="8"/>
  <c r="I212" i="8"/>
  <c r="J212" i="8"/>
  <c r="K212" i="8"/>
  <c r="A213" i="8"/>
  <c r="C213" i="8"/>
  <c r="D213" i="8"/>
  <c r="E213" i="8"/>
  <c r="F213" i="8"/>
  <c r="G213" i="8"/>
  <c r="I213" i="8"/>
  <c r="J213" i="8"/>
  <c r="K213" i="8"/>
  <c r="A214" i="8"/>
  <c r="C214" i="8"/>
  <c r="D214" i="8"/>
  <c r="E214" i="8"/>
  <c r="F214" i="8"/>
  <c r="G214" i="8"/>
  <c r="I214" i="8"/>
  <c r="J214" i="8"/>
  <c r="K214" i="8"/>
  <c r="A215" i="8"/>
  <c r="C215" i="8"/>
  <c r="D215" i="8"/>
  <c r="E215" i="8"/>
  <c r="F215" i="8"/>
  <c r="G215" i="8"/>
  <c r="I215" i="8"/>
  <c r="J215" i="8"/>
  <c r="K215" i="8"/>
  <c r="A216" i="8"/>
  <c r="C216" i="8"/>
  <c r="D216" i="8"/>
  <c r="E216" i="8"/>
  <c r="F216" i="8"/>
  <c r="G216" i="8"/>
  <c r="I216" i="8"/>
  <c r="J216" i="8"/>
  <c r="K216" i="8"/>
  <c r="A217" i="8"/>
  <c r="C217" i="8"/>
  <c r="D217" i="8"/>
  <c r="E217" i="8"/>
  <c r="F217" i="8"/>
  <c r="G217" i="8"/>
  <c r="I217" i="8"/>
  <c r="J217" i="8"/>
  <c r="K217" i="8"/>
  <c r="A218" i="8"/>
  <c r="C218" i="8"/>
  <c r="D218" i="8"/>
  <c r="E218" i="8"/>
  <c r="F218" i="8"/>
  <c r="G218" i="8"/>
  <c r="I218" i="8"/>
  <c r="J218" i="8"/>
  <c r="K218" i="8"/>
  <c r="A219" i="8"/>
  <c r="C219" i="8"/>
  <c r="D219" i="8"/>
  <c r="E219" i="8"/>
  <c r="F219" i="8"/>
  <c r="G219" i="8"/>
  <c r="I219" i="8"/>
  <c r="J219" i="8"/>
  <c r="K219" i="8"/>
  <c r="A220" i="8"/>
  <c r="C220" i="8"/>
  <c r="D220" i="8"/>
  <c r="E220" i="8"/>
  <c r="F220" i="8"/>
  <c r="G220" i="8"/>
  <c r="I220" i="8"/>
  <c r="J220" i="8"/>
  <c r="K220" i="8"/>
  <c r="A221" i="8"/>
  <c r="C221" i="8"/>
  <c r="D221" i="8"/>
  <c r="E221" i="8"/>
  <c r="F221" i="8"/>
  <c r="G221" i="8"/>
  <c r="I221" i="8"/>
  <c r="J221" i="8"/>
  <c r="K221" i="8"/>
  <c r="A222" i="8"/>
  <c r="C222" i="8"/>
  <c r="D222" i="8"/>
  <c r="E222" i="8"/>
  <c r="F222" i="8"/>
  <c r="G222" i="8"/>
  <c r="I222" i="8"/>
  <c r="J222" i="8"/>
  <c r="K222" i="8"/>
  <c r="A223" i="8"/>
  <c r="C223" i="8"/>
  <c r="D223" i="8"/>
  <c r="E223" i="8"/>
  <c r="F223" i="8"/>
  <c r="G223" i="8"/>
  <c r="I223" i="8"/>
  <c r="J223" i="8"/>
  <c r="K223" i="8"/>
  <c r="A224" i="8"/>
  <c r="C224" i="8"/>
  <c r="D224" i="8"/>
  <c r="E224" i="8"/>
  <c r="F224" i="8"/>
  <c r="G224" i="8"/>
  <c r="I224" i="8"/>
  <c r="J224" i="8"/>
  <c r="K224" i="8"/>
  <c r="A225" i="8"/>
  <c r="C225" i="8"/>
  <c r="D225" i="8"/>
  <c r="E225" i="8"/>
  <c r="F225" i="8"/>
  <c r="G225" i="8"/>
  <c r="I225" i="8"/>
  <c r="J225" i="8"/>
  <c r="K225" i="8"/>
  <c r="A226" i="8"/>
  <c r="C226" i="8"/>
  <c r="D226" i="8"/>
  <c r="E226" i="8"/>
  <c r="F226" i="8"/>
  <c r="G226" i="8"/>
  <c r="I226" i="8"/>
  <c r="J226" i="8"/>
  <c r="K226" i="8"/>
  <c r="A227" i="8"/>
  <c r="C227" i="8"/>
  <c r="D227" i="8"/>
  <c r="E227" i="8"/>
  <c r="F227" i="8"/>
  <c r="G227" i="8"/>
  <c r="I227" i="8"/>
  <c r="J227" i="8"/>
  <c r="K227" i="8"/>
  <c r="A228" i="8"/>
  <c r="C228" i="8"/>
  <c r="D228" i="8"/>
  <c r="E228" i="8"/>
  <c r="F228" i="8"/>
  <c r="G228" i="8"/>
  <c r="I228" i="8"/>
  <c r="J228" i="8"/>
  <c r="K228" i="8"/>
  <c r="A229" i="8"/>
  <c r="C229" i="8"/>
  <c r="D229" i="8"/>
  <c r="E229" i="8"/>
  <c r="F229" i="8"/>
  <c r="G229" i="8"/>
  <c r="I229" i="8"/>
  <c r="J229" i="8"/>
  <c r="K229" i="8"/>
  <c r="A230" i="8"/>
  <c r="C230" i="8"/>
  <c r="D230" i="8"/>
  <c r="E230" i="8"/>
  <c r="F230" i="8"/>
  <c r="G230" i="8"/>
  <c r="I230" i="8"/>
  <c r="J230" i="8"/>
  <c r="K230" i="8"/>
  <c r="A231" i="8"/>
  <c r="C231" i="8"/>
  <c r="D231" i="8"/>
  <c r="E231" i="8"/>
  <c r="F231" i="8"/>
  <c r="G231" i="8"/>
  <c r="I231" i="8"/>
  <c r="J231" i="8"/>
  <c r="K231" i="8"/>
  <c r="A232" i="8"/>
  <c r="C232" i="8"/>
  <c r="D232" i="8"/>
  <c r="E232" i="8"/>
  <c r="F232" i="8"/>
  <c r="G232" i="8"/>
  <c r="I232" i="8"/>
  <c r="J232" i="8"/>
  <c r="K232" i="8"/>
  <c r="A233" i="8"/>
  <c r="C233" i="8"/>
  <c r="D233" i="8"/>
  <c r="E233" i="8"/>
  <c r="F233" i="8"/>
  <c r="G233" i="8"/>
  <c r="I233" i="8"/>
  <c r="J233" i="8"/>
  <c r="K233" i="8"/>
  <c r="A234" i="8"/>
  <c r="C234" i="8"/>
  <c r="D234" i="8"/>
  <c r="E234" i="8"/>
  <c r="F234" i="8"/>
  <c r="G234" i="8"/>
  <c r="I234" i="8"/>
  <c r="J234" i="8"/>
  <c r="K234" i="8"/>
  <c r="A235" i="8"/>
  <c r="C235" i="8"/>
  <c r="D235" i="8"/>
  <c r="E235" i="8"/>
  <c r="F235" i="8"/>
  <c r="G235" i="8"/>
  <c r="I235" i="8"/>
  <c r="J235" i="8"/>
  <c r="K235" i="8"/>
  <c r="A236" i="8"/>
  <c r="C236" i="8"/>
  <c r="D236" i="8"/>
  <c r="E236" i="8"/>
  <c r="F236" i="8"/>
  <c r="G236" i="8"/>
  <c r="I236" i="8"/>
  <c r="J236" i="8"/>
  <c r="K236" i="8"/>
  <c r="A237" i="8"/>
  <c r="C237" i="8"/>
  <c r="D237" i="8"/>
  <c r="E237" i="8"/>
  <c r="F237" i="8"/>
  <c r="G237" i="8"/>
  <c r="I237" i="8"/>
  <c r="J237" i="8"/>
  <c r="K237" i="8"/>
  <c r="A238" i="8"/>
  <c r="C238" i="8"/>
  <c r="D238" i="8"/>
  <c r="E238" i="8"/>
  <c r="F238" i="8"/>
  <c r="G238" i="8"/>
  <c r="I238" i="8"/>
  <c r="J238" i="8"/>
  <c r="K238" i="8"/>
  <c r="A239" i="8"/>
  <c r="C239" i="8"/>
  <c r="D239" i="8"/>
  <c r="E239" i="8"/>
  <c r="F239" i="8"/>
  <c r="G239" i="8"/>
  <c r="I239" i="8"/>
  <c r="J239" i="8"/>
  <c r="K239" i="8"/>
  <c r="A240" i="8"/>
  <c r="C240" i="8"/>
  <c r="D240" i="8"/>
  <c r="E240" i="8"/>
  <c r="F240" i="8"/>
  <c r="G240" i="8"/>
  <c r="I240" i="8"/>
  <c r="J240" i="8"/>
  <c r="K240" i="8"/>
  <c r="A241" i="8"/>
  <c r="C241" i="8"/>
  <c r="D241" i="8"/>
  <c r="E241" i="8"/>
  <c r="F241" i="8"/>
  <c r="G241" i="8"/>
  <c r="I241" i="8"/>
  <c r="J241" i="8"/>
  <c r="K241" i="8"/>
  <c r="A242" i="8"/>
  <c r="C242" i="8"/>
  <c r="D242" i="8"/>
  <c r="E242" i="8"/>
  <c r="F242" i="8"/>
  <c r="G242" i="8"/>
  <c r="I242" i="8"/>
  <c r="J242" i="8"/>
  <c r="K242" i="8"/>
  <c r="A243" i="8"/>
  <c r="C243" i="8"/>
  <c r="D243" i="8"/>
  <c r="E243" i="8"/>
  <c r="F243" i="8"/>
  <c r="G243" i="8"/>
  <c r="I243" i="8"/>
  <c r="J243" i="8"/>
  <c r="K243" i="8"/>
  <c r="A244" i="8"/>
  <c r="C244" i="8"/>
  <c r="D244" i="8"/>
  <c r="E244" i="8"/>
  <c r="F244" i="8"/>
  <c r="G244" i="8"/>
  <c r="I244" i="8"/>
  <c r="J244" i="8"/>
  <c r="K244" i="8"/>
  <c r="A245" i="8"/>
  <c r="C245" i="8"/>
  <c r="D245" i="8"/>
  <c r="E245" i="8"/>
  <c r="F245" i="8"/>
  <c r="G245" i="8"/>
  <c r="I245" i="8"/>
  <c r="J245" i="8"/>
  <c r="K245" i="8"/>
  <c r="A246" i="8"/>
  <c r="C246" i="8"/>
  <c r="D246" i="8"/>
  <c r="E246" i="8"/>
  <c r="F246" i="8"/>
  <c r="G246" i="8"/>
  <c r="I246" i="8"/>
  <c r="J246" i="8"/>
  <c r="K246" i="8"/>
  <c r="A247" i="8"/>
  <c r="C247" i="8"/>
  <c r="D247" i="8"/>
  <c r="E247" i="8"/>
  <c r="F247" i="8"/>
  <c r="G247" i="8"/>
  <c r="I247" i="8"/>
  <c r="J247" i="8"/>
  <c r="K247" i="8"/>
  <c r="A248" i="8"/>
  <c r="C248" i="8"/>
  <c r="D248" i="8"/>
  <c r="E248" i="8"/>
  <c r="F248" i="8"/>
  <c r="G248" i="8"/>
  <c r="I248" i="8"/>
  <c r="J248" i="8"/>
  <c r="K248" i="8"/>
  <c r="A249" i="8"/>
  <c r="C249" i="8"/>
  <c r="D249" i="8"/>
  <c r="E249" i="8"/>
  <c r="F249" i="8"/>
  <c r="G249" i="8"/>
  <c r="I249" i="8"/>
  <c r="J249" i="8"/>
  <c r="K249" i="8"/>
  <c r="A250" i="8"/>
  <c r="C250" i="8"/>
  <c r="D250" i="8"/>
  <c r="E250" i="8"/>
  <c r="F250" i="8"/>
  <c r="G250" i="8"/>
  <c r="I250" i="8"/>
  <c r="J250" i="8"/>
  <c r="K250" i="8"/>
  <c r="A251" i="8"/>
  <c r="C251" i="8"/>
  <c r="D251" i="8"/>
  <c r="E251" i="8"/>
  <c r="F251" i="8"/>
  <c r="G251" i="8"/>
  <c r="I251" i="8"/>
  <c r="J251" i="8"/>
  <c r="K251" i="8"/>
  <c r="A252" i="8"/>
  <c r="C252" i="8"/>
  <c r="D252" i="8"/>
  <c r="E252" i="8"/>
  <c r="F252" i="8"/>
  <c r="G252" i="8"/>
  <c r="I252" i="8"/>
  <c r="J252" i="8"/>
  <c r="K252" i="8"/>
  <c r="A253" i="8"/>
  <c r="C253" i="8"/>
  <c r="D253" i="8"/>
  <c r="E253" i="8"/>
  <c r="F253" i="8"/>
  <c r="G253" i="8"/>
  <c r="I253" i="8"/>
  <c r="J253" i="8"/>
  <c r="K253" i="8"/>
  <c r="A254" i="8"/>
  <c r="C254" i="8"/>
  <c r="D254" i="8"/>
  <c r="E254" i="8"/>
  <c r="F254" i="8"/>
  <c r="G254" i="8"/>
  <c r="I254" i="8"/>
  <c r="J254" i="8"/>
  <c r="K254" i="8"/>
  <c r="A255" i="8"/>
  <c r="C255" i="8"/>
  <c r="D255" i="8"/>
  <c r="E255" i="8"/>
  <c r="F255" i="8"/>
  <c r="G255" i="8"/>
  <c r="I255" i="8"/>
  <c r="J255" i="8"/>
  <c r="K255" i="8"/>
  <c r="A256" i="8"/>
  <c r="C256" i="8"/>
  <c r="D256" i="8"/>
  <c r="E256" i="8"/>
  <c r="F256" i="8"/>
  <c r="G256" i="8"/>
  <c r="I256" i="8"/>
  <c r="J256" i="8"/>
  <c r="K256" i="8"/>
  <c r="A257" i="8"/>
  <c r="C257" i="8"/>
  <c r="D257" i="8"/>
  <c r="E257" i="8"/>
  <c r="F257" i="8"/>
  <c r="G257" i="8"/>
  <c r="I257" i="8"/>
  <c r="J257" i="8"/>
  <c r="K257" i="8"/>
  <c r="A258" i="8"/>
  <c r="C258" i="8"/>
  <c r="D258" i="8"/>
  <c r="E258" i="8"/>
  <c r="F258" i="8"/>
  <c r="G258" i="8"/>
  <c r="I258" i="8"/>
  <c r="J258" i="8"/>
  <c r="K258" i="8"/>
  <c r="A259" i="8"/>
  <c r="C259" i="8"/>
  <c r="D259" i="8"/>
  <c r="E259" i="8"/>
  <c r="F259" i="8"/>
  <c r="G259" i="8"/>
  <c r="I259" i="8"/>
  <c r="J259" i="8"/>
  <c r="K259" i="8"/>
  <c r="A260" i="8"/>
  <c r="C260" i="8"/>
  <c r="D260" i="8"/>
  <c r="E260" i="8"/>
  <c r="F260" i="8"/>
  <c r="G260" i="8"/>
  <c r="I260" i="8"/>
  <c r="J260" i="8"/>
  <c r="K260" i="8"/>
  <c r="A261" i="8"/>
  <c r="C261" i="8"/>
  <c r="D261" i="8"/>
  <c r="E261" i="8"/>
  <c r="F261" i="8"/>
  <c r="G261" i="8"/>
  <c r="I261" i="8"/>
  <c r="J261" i="8"/>
  <c r="K261" i="8"/>
  <c r="A262" i="8"/>
  <c r="C262" i="8"/>
  <c r="D262" i="8"/>
  <c r="E262" i="8"/>
  <c r="F262" i="8"/>
  <c r="G262" i="8"/>
  <c r="I262" i="8"/>
  <c r="J262" i="8"/>
  <c r="K262" i="8"/>
  <c r="A263" i="8"/>
  <c r="C263" i="8"/>
  <c r="D263" i="8"/>
  <c r="E263" i="8"/>
  <c r="F263" i="8"/>
  <c r="G263" i="8"/>
  <c r="I263" i="8"/>
  <c r="J263" i="8"/>
  <c r="K263" i="8"/>
  <c r="A264" i="8"/>
  <c r="C264" i="8"/>
  <c r="D264" i="8"/>
  <c r="E264" i="8"/>
  <c r="F264" i="8"/>
  <c r="G264" i="8"/>
  <c r="I264" i="8"/>
  <c r="J264" i="8"/>
  <c r="K264" i="8"/>
  <c r="A265" i="8"/>
  <c r="C265" i="8"/>
  <c r="D265" i="8"/>
  <c r="E265" i="8"/>
  <c r="F265" i="8"/>
  <c r="G265" i="8"/>
  <c r="I265" i="8"/>
  <c r="J265" i="8"/>
  <c r="K265" i="8"/>
  <c r="A266" i="8"/>
  <c r="C266" i="8"/>
  <c r="D266" i="8"/>
  <c r="E266" i="8"/>
  <c r="F266" i="8"/>
  <c r="G266" i="8"/>
  <c r="I266" i="8"/>
  <c r="J266" i="8"/>
  <c r="K266" i="8"/>
  <c r="A267" i="8"/>
  <c r="C267" i="8"/>
  <c r="D267" i="8"/>
  <c r="E267" i="8"/>
  <c r="F267" i="8"/>
  <c r="G267" i="8"/>
  <c r="I267" i="8"/>
  <c r="J267" i="8"/>
  <c r="K267" i="8"/>
  <c r="A268" i="8"/>
  <c r="C268" i="8"/>
  <c r="D268" i="8"/>
  <c r="E268" i="8"/>
  <c r="F268" i="8"/>
  <c r="G268" i="8"/>
  <c r="I268" i="8"/>
  <c r="J268" i="8"/>
  <c r="K268" i="8"/>
  <c r="A269" i="8"/>
  <c r="C269" i="8"/>
  <c r="D269" i="8"/>
  <c r="E269" i="8"/>
  <c r="F269" i="8"/>
  <c r="G269" i="8"/>
  <c r="I269" i="8"/>
  <c r="J269" i="8"/>
  <c r="K269" i="8"/>
  <c r="A270" i="8"/>
  <c r="C270" i="8"/>
  <c r="D270" i="8"/>
  <c r="E270" i="8"/>
  <c r="F270" i="8"/>
  <c r="G270" i="8"/>
  <c r="I270" i="8"/>
  <c r="J270" i="8"/>
  <c r="K270" i="8"/>
  <c r="A271" i="8"/>
  <c r="C271" i="8"/>
  <c r="D271" i="8"/>
  <c r="E271" i="8"/>
  <c r="F271" i="8"/>
  <c r="G271" i="8"/>
  <c r="I271" i="8"/>
  <c r="J271" i="8"/>
  <c r="K271" i="8"/>
  <c r="A272" i="8"/>
  <c r="C272" i="8"/>
  <c r="D272" i="8"/>
  <c r="E272" i="8"/>
  <c r="F272" i="8"/>
  <c r="G272" i="8"/>
  <c r="I272" i="8"/>
  <c r="J272" i="8"/>
  <c r="K272" i="8"/>
  <c r="A273" i="8"/>
  <c r="C273" i="8"/>
  <c r="D273" i="8"/>
  <c r="E273" i="8"/>
  <c r="F273" i="8"/>
  <c r="G273" i="8"/>
  <c r="I273" i="8"/>
  <c r="J273" i="8"/>
  <c r="K273" i="8"/>
  <c r="A274" i="8"/>
  <c r="C274" i="8"/>
  <c r="D274" i="8"/>
  <c r="E274" i="8"/>
  <c r="F274" i="8"/>
  <c r="G274" i="8"/>
  <c r="I274" i="8"/>
  <c r="J274" i="8"/>
  <c r="K274" i="8"/>
  <c r="A275" i="8"/>
  <c r="C275" i="8"/>
  <c r="D275" i="8"/>
  <c r="E275" i="8"/>
  <c r="F275" i="8"/>
  <c r="G275" i="8"/>
  <c r="I275" i="8"/>
  <c r="J275" i="8"/>
  <c r="K275" i="8"/>
  <c r="A276" i="8"/>
  <c r="C276" i="8"/>
  <c r="D276" i="8"/>
  <c r="E276" i="8"/>
  <c r="F276" i="8"/>
  <c r="G276" i="8"/>
  <c r="I276" i="8"/>
  <c r="J276" i="8"/>
  <c r="K276" i="8"/>
  <c r="A277" i="8"/>
  <c r="C277" i="8"/>
  <c r="D277" i="8"/>
  <c r="E277" i="8"/>
  <c r="F277" i="8"/>
  <c r="G277" i="8"/>
  <c r="I277" i="8"/>
  <c r="J277" i="8"/>
  <c r="K277" i="8"/>
  <c r="A278" i="8"/>
  <c r="C278" i="8"/>
  <c r="D278" i="8"/>
  <c r="E278" i="8"/>
  <c r="F278" i="8"/>
  <c r="G278" i="8"/>
  <c r="I278" i="8"/>
  <c r="J278" i="8"/>
  <c r="K278" i="8"/>
  <c r="A279" i="8"/>
  <c r="C279" i="8"/>
  <c r="D279" i="8"/>
  <c r="E279" i="8"/>
  <c r="F279" i="8"/>
  <c r="G279" i="8"/>
  <c r="I279" i="8"/>
  <c r="J279" i="8"/>
  <c r="K279" i="8"/>
  <c r="A280" i="8"/>
  <c r="C280" i="8"/>
  <c r="D280" i="8"/>
  <c r="E280" i="8"/>
  <c r="F280" i="8"/>
  <c r="G280" i="8"/>
  <c r="I280" i="8"/>
  <c r="J280" i="8"/>
  <c r="K280" i="8"/>
  <c r="A281" i="8"/>
  <c r="C281" i="8"/>
  <c r="D281" i="8"/>
  <c r="E281" i="8"/>
  <c r="F281" i="8"/>
  <c r="G281" i="8"/>
  <c r="I281" i="8"/>
  <c r="J281" i="8"/>
  <c r="K281" i="8"/>
  <c r="A282" i="8"/>
  <c r="C282" i="8"/>
  <c r="D282" i="8"/>
  <c r="E282" i="8"/>
  <c r="F282" i="8"/>
  <c r="G282" i="8"/>
  <c r="I282" i="8"/>
  <c r="J282" i="8"/>
  <c r="K282" i="8"/>
  <c r="A283" i="8"/>
  <c r="C283" i="8"/>
  <c r="D283" i="8"/>
  <c r="E283" i="8"/>
  <c r="F283" i="8"/>
  <c r="G283" i="8"/>
  <c r="I283" i="8"/>
  <c r="J283" i="8"/>
  <c r="K283" i="8"/>
  <c r="A284" i="8"/>
  <c r="C284" i="8"/>
  <c r="D284" i="8"/>
  <c r="E284" i="8"/>
  <c r="F284" i="8"/>
  <c r="G284" i="8"/>
  <c r="I284" i="8"/>
  <c r="J284" i="8"/>
  <c r="K284" i="8"/>
  <c r="A285" i="8"/>
  <c r="C285" i="8"/>
  <c r="D285" i="8"/>
  <c r="E285" i="8"/>
  <c r="F285" i="8"/>
  <c r="G285" i="8"/>
  <c r="I285" i="8"/>
  <c r="J285" i="8"/>
  <c r="K285" i="8"/>
  <c r="A286" i="8"/>
  <c r="C286" i="8"/>
  <c r="D286" i="8"/>
  <c r="E286" i="8"/>
  <c r="F286" i="8"/>
  <c r="G286" i="8"/>
  <c r="I286" i="8"/>
  <c r="J286" i="8"/>
  <c r="K286" i="8"/>
  <c r="A287" i="8"/>
  <c r="C287" i="8"/>
  <c r="D287" i="8"/>
  <c r="E287" i="8"/>
  <c r="F287" i="8"/>
  <c r="G287" i="8"/>
  <c r="I287" i="8"/>
  <c r="J287" i="8"/>
  <c r="K287" i="8"/>
  <c r="A288" i="8"/>
  <c r="C288" i="8"/>
  <c r="D288" i="8"/>
  <c r="E288" i="8"/>
  <c r="F288" i="8"/>
  <c r="G288" i="8"/>
  <c r="I288" i="8"/>
  <c r="J288" i="8"/>
  <c r="K288" i="8"/>
  <c r="A289" i="8"/>
  <c r="C289" i="8"/>
  <c r="D289" i="8"/>
  <c r="E289" i="8"/>
  <c r="F289" i="8"/>
  <c r="G289" i="8"/>
  <c r="I289" i="8"/>
  <c r="J289" i="8"/>
  <c r="K289" i="8"/>
  <c r="A290" i="8"/>
  <c r="C290" i="8"/>
  <c r="D290" i="8"/>
  <c r="E290" i="8"/>
  <c r="F290" i="8"/>
  <c r="G290" i="8"/>
  <c r="I290" i="8"/>
  <c r="J290" i="8"/>
  <c r="K290" i="8"/>
  <c r="A291" i="8"/>
  <c r="C291" i="8"/>
  <c r="D291" i="8"/>
  <c r="E291" i="8"/>
  <c r="F291" i="8"/>
  <c r="G291" i="8"/>
  <c r="I291" i="8"/>
  <c r="J291" i="8"/>
  <c r="K291" i="8"/>
  <c r="A292" i="8"/>
  <c r="C292" i="8"/>
  <c r="D292" i="8"/>
  <c r="E292" i="8"/>
  <c r="F292" i="8"/>
  <c r="G292" i="8"/>
  <c r="I292" i="8"/>
  <c r="J292" i="8"/>
  <c r="K292" i="8"/>
  <c r="A293" i="8"/>
  <c r="C293" i="8"/>
  <c r="D293" i="8"/>
  <c r="E293" i="8"/>
  <c r="F293" i="8"/>
  <c r="G293" i="8"/>
  <c r="I293" i="8"/>
  <c r="J293" i="8"/>
  <c r="K293" i="8"/>
  <c r="A294" i="8"/>
  <c r="C294" i="8"/>
  <c r="D294" i="8"/>
  <c r="E294" i="8"/>
  <c r="F294" i="8"/>
  <c r="G294" i="8"/>
  <c r="I294" i="8"/>
  <c r="J294" i="8"/>
  <c r="K294" i="8"/>
  <c r="A295" i="8"/>
  <c r="C295" i="8"/>
  <c r="D295" i="8"/>
  <c r="E295" i="8"/>
  <c r="F295" i="8"/>
  <c r="G295" i="8"/>
  <c r="I295" i="8"/>
  <c r="J295" i="8"/>
  <c r="K295" i="8"/>
  <c r="A296" i="8"/>
  <c r="C296" i="8"/>
  <c r="D296" i="8"/>
  <c r="E296" i="8"/>
  <c r="F296" i="8"/>
  <c r="G296" i="8"/>
  <c r="I296" i="8"/>
  <c r="J296" i="8"/>
  <c r="K296" i="8"/>
  <c r="A297" i="8"/>
  <c r="C297" i="8"/>
  <c r="D297" i="8"/>
  <c r="E297" i="8"/>
  <c r="F297" i="8"/>
  <c r="G297" i="8"/>
  <c r="I297" i="8"/>
  <c r="J297" i="8"/>
  <c r="K297" i="8"/>
  <c r="A298" i="8"/>
  <c r="C298" i="8"/>
  <c r="D298" i="8"/>
  <c r="E298" i="8"/>
  <c r="F298" i="8"/>
  <c r="G298" i="8"/>
  <c r="I298" i="8"/>
  <c r="J298" i="8"/>
  <c r="K298" i="8"/>
  <c r="A299" i="8"/>
  <c r="C299" i="8"/>
  <c r="D299" i="8"/>
  <c r="E299" i="8"/>
  <c r="F299" i="8"/>
  <c r="G299" i="8"/>
  <c r="I299" i="8"/>
  <c r="J299" i="8"/>
  <c r="K299" i="8"/>
  <c r="A300" i="8"/>
  <c r="C300" i="8"/>
  <c r="D300" i="8"/>
  <c r="E300" i="8"/>
  <c r="F300" i="8"/>
  <c r="G300" i="8"/>
  <c r="I300" i="8"/>
  <c r="J300" i="8"/>
  <c r="K300" i="8"/>
  <c r="A301" i="8"/>
  <c r="C301" i="8"/>
  <c r="D301" i="8"/>
  <c r="E301" i="8"/>
  <c r="F301" i="8"/>
  <c r="G301" i="8"/>
  <c r="I301" i="8"/>
  <c r="J301" i="8"/>
  <c r="K301" i="8"/>
  <c r="A302" i="8"/>
  <c r="C302" i="8"/>
  <c r="D302" i="8"/>
  <c r="E302" i="8"/>
  <c r="F302" i="8"/>
  <c r="G302" i="8"/>
  <c r="I302" i="8"/>
  <c r="J302" i="8"/>
  <c r="K302" i="8"/>
  <c r="A303" i="8"/>
  <c r="C303" i="8"/>
  <c r="D303" i="8"/>
  <c r="E303" i="8"/>
  <c r="F303" i="8"/>
  <c r="G303" i="8"/>
  <c r="I303" i="8"/>
  <c r="J303" i="8"/>
  <c r="K303" i="8"/>
  <c r="A304" i="8"/>
  <c r="C304" i="8"/>
  <c r="D304" i="8"/>
  <c r="E304" i="8"/>
  <c r="F304" i="8"/>
  <c r="G304" i="8"/>
  <c r="I304" i="8"/>
  <c r="J304" i="8"/>
  <c r="K304" i="8"/>
  <c r="A305" i="8"/>
  <c r="C305" i="8"/>
  <c r="D305" i="8"/>
  <c r="E305" i="8"/>
  <c r="F305" i="8"/>
  <c r="G305" i="8"/>
  <c r="I305" i="8"/>
  <c r="J305" i="8"/>
  <c r="K305" i="8"/>
  <c r="A306" i="8"/>
  <c r="C306" i="8"/>
  <c r="D306" i="8"/>
  <c r="E306" i="8"/>
  <c r="F306" i="8"/>
  <c r="G306" i="8"/>
  <c r="I306" i="8"/>
  <c r="J306" i="8"/>
  <c r="K306" i="8"/>
  <c r="A307" i="8"/>
  <c r="C307" i="8"/>
  <c r="D307" i="8"/>
  <c r="E307" i="8"/>
  <c r="F307" i="8"/>
  <c r="G307" i="8"/>
  <c r="I307" i="8"/>
  <c r="J307" i="8"/>
  <c r="K307" i="8"/>
  <c r="A308" i="8"/>
  <c r="C308" i="8"/>
  <c r="D308" i="8"/>
  <c r="E308" i="8"/>
  <c r="F308" i="8"/>
  <c r="G308" i="8"/>
  <c r="I308" i="8"/>
  <c r="J308" i="8"/>
  <c r="K308" i="8"/>
  <c r="A309" i="8"/>
  <c r="C309" i="8"/>
  <c r="D309" i="8"/>
  <c r="E309" i="8"/>
  <c r="F309" i="8"/>
  <c r="G309" i="8"/>
  <c r="I309" i="8"/>
  <c r="J309" i="8"/>
  <c r="K309" i="8"/>
  <c r="A310" i="8"/>
  <c r="C310" i="8"/>
  <c r="D310" i="8"/>
  <c r="E310" i="8"/>
  <c r="F310" i="8"/>
  <c r="G310" i="8"/>
  <c r="I310" i="8"/>
  <c r="J310" i="8"/>
  <c r="K310" i="8"/>
  <c r="A311" i="8"/>
  <c r="C311" i="8"/>
  <c r="D311" i="8"/>
  <c r="E311" i="8"/>
  <c r="F311" i="8"/>
  <c r="G311" i="8"/>
  <c r="I311" i="8"/>
  <c r="J311" i="8"/>
  <c r="K311" i="8"/>
  <c r="A312" i="8"/>
  <c r="C312" i="8"/>
  <c r="D312" i="8"/>
  <c r="E312" i="8"/>
  <c r="F312" i="8"/>
  <c r="G312" i="8"/>
  <c r="I312" i="8"/>
  <c r="J312" i="8"/>
  <c r="K312" i="8"/>
  <c r="A313" i="8"/>
  <c r="C313" i="8"/>
  <c r="D313" i="8"/>
  <c r="E313" i="8"/>
  <c r="F313" i="8"/>
  <c r="G313" i="8"/>
  <c r="I313" i="8"/>
  <c r="J313" i="8"/>
  <c r="K313" i="8"/>
  <c r="A314" i="8"/>
  <c r="C314" i="8"/>
  <c r="D314" i="8"/>
  <c r="E314" i="8"/>
  <c r="F314" i="8"/>
  <c r="G314" i="8"/>
  <c r="I314" i="8"/>
  <c r="J314" i="8"/>
  <c r="K314" i="8"/>
  <c r="A315" i="8"/>
  <c r="C315" i="8"/>
  <c r="D315" i="8"/>
  <c r="E315" i="8"/>
  <c r="F315" i="8"/>
  <c r="G315" i="8"/>
  <c r="I315" i="8"/>
  <c r="J315" i="8"/>
  <c r="K315" i="8"/>
  <c r="A316" i="8"/>
  <c r="C316" i="8"/>
  <c r="D316" i="8"/>
  <c r="E316" i="8"/>
  <c r="F316" i="8"/>
  <c r="G316" i="8"/>
  <c r="I316" i="8"/>
  <c r="J316" i="8"/>
  <c r="K316" i="8"/>
  <c r="A317" i="8"/>
  <c r="C317" i="8"/>
  <c r="D317" i="8"/>
  <c r="E317" i="8"/>
  <c r="F317" i="8"/>
  <c r="G317" i="8"/>
  <c r="I317" i="8"/>
  <c r="J317" i="8"/>
  <c r="K317" i="8"/>
  <c r="A318" i="8"/>
  <c r="C318" i="8"/>
  <c r="D318" i="8"/>
  <c r="E318" i="8"/>
  <c r="F318" i="8"/>
  <c r="G318" i="8"/>
  <c r="I318" i="8"/>
  <c r="J318" i="8"/>
  <c r="K318" i="8"/>
  <c r="A319" i="8"/>
  <c r="C319" i="8"/>
  <c r="D319" i="8"/>
  <c r="E319" i="8"/>
  <c r="F319" i="8"/>
  <c r="G319" i="8"/>
  <c r="I319" i="8"/>
  <c r="J319" i="8"/>
  <c r="K319" i="8"/>
  <c r="A320" i="8"/>
  <c r="C320" i="8"/>
  <c r="D320" i="8"/>
  <c r="E320" i="8"/>
  <c r="F320" i="8"/>
  <c r="G320" i="8"/>
  <c r="I320" i="8"/>
  <c r="J320" i="8"/>
  <c r="K320" i="8"/>
  <c r="A321" i="8"/>
  <c r="C321" i="8"/>
  <c r="D321" i="8"/>
  <c r="E321" i="8"/>
  <c r="F321" i="8"/>
  <c r="G321" i="8"/>
  <c r="I321" i="8"/>
  <c r="J321" i="8"/>
  <c r="K321" i="8"/>
  <c r="A322" i="8"/>
  <c r="C322" i="8"/>
  <c r="D322" i="8"/>
  <c r="E322" i="8"/>
  <c r="F322" i="8"/>
  <c r="G322" i="8"/>
  <c r="I322" i="8"/>
  <c r="J322" i="8"/>
  <c r="K322" i="8"/>
  <c r="A323" i="8"/>
  <c r="C323" i="8"/>
  <c r="D323" i="8"/>
  <c r="E323" i="8"/>
  <c r="F323" i="8"/>
  <c r="G323" i="8"/>
  <c r="I323" i="8"/>
  <c r="J323" i="8"/>
  <c r="K323" i="8"/>
  <c r="A324" i="8"/>
  <c r="C324" i="8"/>
  <c r="D324" i="8"/>
  <c r="E324" i="8"/>
  <c r="F324" i="8"/>
  <c r="G324" i="8"/>
  <c r="I324" i="8"/>
  <c r="J324" i="8"/>
  <c r="K324" i="8"/>
  <c r="A325" i="8"/>
  <c r="C325" i="8"/>
  <c r="D325" i="8"/>
  <c r="E325" i="8"/>
  <c r="F325" i="8"/>
  <c r="G325" i="8"/>
  <c r="I325" i="8"/>
  <c r="J325" i="8"/>
  <c r="K325" i="8"/>
  <c r="A326" i="8"/>
  <c r="C326" i="8"/>
  <c r="D326" i="8"/>
  <c r="E326" i="8"/>
  <c r="F326" i="8"/>
  <c r="G326" i="8"/>
  <c r="I326" i="8"/>
  <c r="J326" i="8"/>
  <c r="K326" i="8"/>
  <c r="A327" i="8"/>
  <c r="C327" i="8"/>
  <c r="D327" i="8"/>
  <c r="E327" i="8"/>
  <c r="F327" i="8"/>
  <c r="G327" i="8"/>
  <c r="I327" i="8"/>
  <c r="J327" i="8"/>
  <c r="K327" i="8"/>
  <c r="A328" i="8"/>
  <c r="C328" i="8"/>
  <c r="D328" i="8"/>
  <c r="E328" i="8"/>
  <c r="F328" i="8"/>
  <c r="G328" i="8"/>
  <c r="I328" i="8"/>
  <c r="J328" i="8"/>
  <c r="K328" i="8"/>
  <c r="A329" i="8"/>
  <c r="C329" i="8"/>
  <c r="D329" i="8"/>
  <c r="E329" i="8"/>
  <c r="F329" i="8"/>
  <c r="G329" i="8"/>
  <c r="I329" i="8"/>
  <c r="J329" i="8"/>
  <c r="K329" i="8"/>
  <c r="A330" i="8"/>
  <c r="C330" i="8"/>
  <c r="D330" i="8"/>
  <c r="E330" i="8"/>
  <c r="F330" i="8"/>
  <c r="G330" i="8"/>
  <c r="I330" i="8"/>
  <c r="J330" i="8"/>
  <c r="K330" i="8"/>
  <c r="A331" i="8"/>
  <c r="C331" i="8"/>
  <c r="D331" i="8"/>
  <c r="E331" i="8"/>
  <c r="F331" i="8"/>
  <c r="G331" i="8"/>
  <c r="I331" i="8"/>
  <c r="J331" i="8"/>
  <c r="K331" i="8"/>
  <c r="A332" i="8"/>
  <c r="C332" i="8"/>
  <c r="D332" i="8"/>
  <c r="E332" i="8"/>
  <c r="F332" i="8"/>
  <c r="G332" i="8"/>
  <c r="I332" i="8"/>
  <c r="J332" i="8"/>
  <c r="K332" i="8"/>
  <c r="A333" i="8"/>
  <c r="C333" i="8"/>
  <c r="D333" i="8"/>
  <c r="E333" i="8"/>
  <c r="F333" i="8"/>
  <c r="G333" i="8"/>
  <c r="I333" i="8"/>
  <c r="J333" i="8"/>
  <c r="K333" i="8"/>
  <c r="A334" i="8"/>
  <c r="C334" i="8"/>
  <c r="D334" i="8"/>
  <c r="E334" i="8"/>
  <c r="F334" i="8"/>
  <c r="G334" i="8"/>
  <c r="I334" i="8"/>
  <c r="J334" i="8"/>
  <c r="K334" i="8"/>
  <c r="A335" i="8"/>
  <c r="C335" i="8"/>
  <c r="D335" i="8"/>
  <c r="E335" i="8"/>
  <c r="F335" i="8"/>
  <c r="G335" i="8"/>
  <c r="I335" i="8"/>
  <c r="J335" i="8"/>
  <c r="K335" i="8"/>
  <c r="A336" i="8"/>
  <c r="C336" i="8"/>
  <c r="D336" i="8"/>
  <c r="E336" i="8"/>
  <c r="F336" i="8"/>
  <c r="G336" i="8"/>
  <c r="I336" i="8"/>
  <c r="J336" i="8"/>
  <c r="K336" i="8"/>
  <c r="A337" i="8"/>
  <c r="C337" i="8"/>
  <c r="D337" i="8"/>
  <c r="E337" i="8"/>
  <c r="F337" i="8"/>
  <c r="G337" i="8"/>
  <c r="I337" i="8"/>
  <c r="J337" i="8"/>
  <c r="K337" i="8"/>
  <c r="A338" i="8"/>
  <c r="C338" i="8"/>
  <c r="D338" i="8"/>
  <c r="E338" i="8"/>
  <c r="F338" i="8"/>
  <c r="G338" i="8"/>
  <c r="I338" i="8"/>
  <c r="J338" i="8"/>
  <c r="K338" i="8"/>
  <c r="A339" i="8"/>
  <c r="C339" i="8"/>
  <c r="D339" i="8"/>
  <c r="E339" i="8"/>
  <c r="F339" i="8"/>
  <c r="G339" i="8"/>
  <c r="I339" i="8"/>
  <c r="J339" i="8"/>
  <c r="K339" i="8"/>
  <c r="A340" i="8"/>
  <c r="C340" i="8"/>
  <c r="D340" i="8"/>
  <c r="E340" i="8"/>
  <c r="F340" i="8"/>
  <c r="G340" i="8"/>
  <c r="I340" i="8"/>
  <c r="J340" i="8"/>
  <c r="K340" i="8"/>
  <c r="A341" i="8"/>
  <c r="C341" i="8"/>
  <c r="D341" i="8"/>
  <c r="E341" i="8"/>
  <c r="F341" i="8"/>
  <c r="G341" i="8"/>
  <c r="I341" i="8"/>
  <c r="J341" i="8"/>
  <c r="K341" i="8"/>
  <c r="A342" i="8"/>
  <c r="C342" i="8"/>
  <c r="D342" i="8"/>
  <c r="E342" i="8"/>
  <c r="F342" i="8"/>
  <c r="G342" i="8"/>
  <c r="I342" i="8"/>
  <c r="J342" i="8"/>
  <c r="K342" i="8"/>
  <c r="A343" i="8"/>
  <c r="C343" i="8"/>
  <c r="D343" i="8"/>
  <c r="E343" i="8"/>
  <c r="F343" i="8"/>
  <c r="G343" i="8"/>
  <c r="I343" i="8"/>
  <c r="J343" i="8"/>
  <c r="K343" i="8"/>
  <c r="A344" i="8"/>
  <c r="C344" i="8"/>
  <c r="D344" i="8"/>
  <c r="E344" i="8"/>
  <c r="F344" i="8"/>
  <c r="G344" i="8"/>
  <c r="I344" i="8"/>
  <c r="J344" i="8"/>
  <c r="K344" i="8"/>
  <c r="A345" i="8"/>
  <c r="C345" i="8"/>
  <c r="D345" i="8"/>
  <c r="E345" i="8"/>
  <c r="F345" i="8"/>
  <c r="G345" i="8"/>
  <c r="I345" i="8"/>
  <c r="J345" i="8"/>
  <c r="K345" i="8"/>
  <c r="A346" i="8"/>
  <c r="C346" i="8"/>
  <c r="D346" i="8"/>
  <c r="E346" i="8"/>
  <c r="F346" i="8"/>
  <c r="G346" i="8"/>
  <c r="I346" i="8"/>
  <c r="J346" i="8"/>
  <c r="K346" i="8"/>
  <c r="A347" i="8"/>
  <c r="C347" i="8"/>
  <c r="D347" i="8"/>
  <c r="E347" i="8"/>
  <c r="F347" i="8"/>
  <c r="G347" i="8"/>
  <c r="I347" i="8"/>
  <c r="J347" i="8"/>
  <c r="K347" i="8"/>
  <c r="A348" i="8"/>
  <c r="C348" i="8"/>
  <c r="D348" i="8"/>
  <c r="E348" i="8"/>
  <c r="F348" i="8"/>
  <c r="G348" i="8"/>
  <c r="I348" i="8"/>
  <c r="J348" i="8"/>
  <c r="K348" i="8"/>
  <c r="A349" i="8"/>
  <c r="C349" i="8"/>
  <c r="D349" i="8"/>
  <c r="E349" i="8"/>
  <c r="F349" i="8"/>
  <c r="G349" i="8"/>
  <c r="I349" i="8"/>
  <c r="J349" i="8"/>
  <c r="K349" i="8"/>
  <c r="A350" i="8"/>
  <c r="C350" i="8"/>
  <c r="D350" i="8"/>
  <c r="E350" i="8"/>
  <c r="F350" i="8"/>
  <c r="G350" i="8"/>
  <c r="I350" i="8"/>
  <c r="J350" i="8"/>
  <c r="K350" i="8"/>
  <c r="A351" i="8"/>
  <c r="C351" i="8"/>
  <c r="D351" i="8"/>
  <c r="E351" i="8"/>
  <c r="F351" i="8"/>
  <c r="G351" i="8"/>
  <c r="I351" i="8"/>
  <c r="J351" i="8"/>
  <c r="K351" i="8"/>
  <c r="A352" i="8"/>
  <c r="C352" i="8"/>
  <c r="D352" i="8"/>
  <c r="E352" i="8"/>
  <c r="F352" i="8"/>
  <c r="G352" i="8"/>
  <c r="I352" i="8"/>
  <c r="J352" i="8"/>
  <c r="K352" i="8"/>
  <c r="A353" i="8"/>
  <c r="C353" i="8"/>
  <c r="D353" i="8"/>
  <c r="E353" i="8"/>
  <c r="F353" i="8"/>
  <c r="G353" i="8"/>
  <c r="I353" i="8"/>
  <c r="J353" i="8"/>
  <c r="K353" i="8"/>
  <c r="A354" i="8"/>
  <c r="C354" i="8"/>
  <c r="D354" i="8"/>
  <c r="E354" i="8"/>
  <c r="F354" i="8"/>
  <c r="G354" i="8"/>
  <c r="I354" i="8"/>
  <c r="J354" i="8"/>
  <c r="K354" i="8"/>
  <c r="A355" i="8"/>
  <c r="C355" i="8"/>
  <c r="D355" i="8"/>
  <c r="E355" i="8"/>
  <c r="F355" i="8"/>
  <c r="G355" i="8"/>
  <c r="I355" i="8"/>
  <c r="J355" i="8"/>
  <c r="K355" i="8"/>
  <c r="A356" i="8"/>
  <c r="C356" i="8"/>
  <c r="D356" i="8"/>
  <c r="E356" i="8"/>
  <c r="F356" i="8"/>
  <c r="G356" i="8"/>
  <c r="I356" i="8"/>
  <c r="J356" i="8"/>
  <c r="K356" i="8"/>
  <c r="A357" i="8"/>
  <c r="C357" i="8"/>
  <c r="D357" i="8"/>
  <c r="E357" i="8"/>
  <c r="F357" i="8"/>
  <c r="G357" i="8"/>
  <c r="I357" i="8"/>
  <c r="J357" i="8"/>
  <c r="K357" i="8"/>
  <c r="A358" i="8"/>
  <c r="C358" i="8"/>
  <c r="D358" i="8"/>
  <c r="E358" i="8"/>
  <c r="F358" i="8"/>
  <c r="G358" i="8"/>
  <c r="I358" i="8"/>
  <c r="J358" i="8"/>
  <c r="K358" i="8"/>
  <c r="A359" i="8"/>
  <c r="C359" i="8"/>
  <c r="D359" i="8"/>
  <c r="E359" i="8"/>
  <c r="F359" i="8"/>
  <c r="G359" i="8"/>
  <c r="I359" i="8"/>
  <c r="J359" i="8"/>
  <c r="K359" i="8"/>
  <c r="A360" i="8"/>
  <c r="C360" i="8"/>
  <c r="D360" i="8"/>
  <c r="E360" i="8"/>
  <c r="F360" i="8"/>
  <c r="G360" i="8"/>
  <c r="I360" i="8"/>
  <c r="J360" i="8"/>
  <c r="K360" i="8"/>
  <c r="A361" i="8"/>
  <c r="C361" i="8"/>
  <c r="D361" i="8"/>
  <c r="E361" i="8"/>
  <c r="F361" i="8"/>
  <c r="G361" i="8"/>
  <c r="I361" i="8"/>
  <c r="J361" i="8"/>
  <c r="K361" i="8"/>
  <c r="A362" i="8"/>
  <c r="C362" i="8"/>
  <c r="D362" i="8"/>
  <c r="E362" i="8"/>
  <c r="F362" i="8"/>
  <c r="G362" i="8"/>
  <c r="I362" i="8"/>
  <c r="J362" i="8"/>
  <c r="K362" i="8"/>
  <c r="A363" i="8"/>
  <c r="C363" i="8"/>
  <c r="D363" i="8"/>
  <c r="E363" i="8"/>
  <c r="F363" i="8"/>
  <c r="G363" i="8"/>
  <c r="I363" i="8"/>
  <c r="J363" i="8"/>
  <c r="K363" i="8"/>
  <c r="A364" i="8"/>
  <c r="C364" i="8"/>
  <c r="D364" i="8"/>
  <c r="E364" i="8"/>
  <c r="F364" i="8"/>
  <c r="G364" i="8"/>
  <c r="I364" i="8"/>
  <c r="J364" i="8"/>
  <c r="K364" i="8"/>
  <c r="A365" i="8"/>
  <c r="C365" i="8"/>
  <c r="D365" i="8"/>
  <c r="E365" i="8"/>
  <c r="F365" i="8"/>
  <c r="G365" i="8"/>
  <c r="I365" i="8"/>
  <c r="J365" i="8"/>
  <c r="K365" i="8"/>
  <c r="A366" i="8"/>
  <c r="C366" i="8"/>
  <c r="D366" i="8"/>
  <c r="E366" i="8"/>
  <c r="F366" i="8"/>
  <c r="G366" i="8"/>
  <c r="I366" i="8"/>
  <c r="J366" i="8"/>
  <c r="K366" i="8"/>
  <c r="A367" i="8"/>
  <c r="C367" i="8"/>
  <c r="D367" i="8"/>
  <c r="E367" i="8"/>
  <c r="F367" i="8"/>
  <c r="G367" i="8"/>
  <c r="I367" i="8"/>
  <c r="J367" i="8"/>
  <c r="K367" i="8"/>
  <c r="A368" i="8"/>
  <c r="C368" i="8"/>
  <c r="D368" i="8"/>
  <c r="E368" i="8"/>
  <c r="F368" i="8"/>
  <c r="G368" i="8"/>
  <c r="I368" i="8"/>
  <c r="J368" i="8"/>
  <c r="K368" i="8"/>
  <c r="A369" i="8"/>
  <c r="C369" i="8"/>
  <c r="D369" i="8"/>
  <c r="E369" i="8"/>
  <c r="F369" i="8"/>
  <c r="G369" i="8"/>
  <c r="I369" i="8"/>
  <c r="J369" i="8"/>
  <c r="K369" i="8"/>
  <c r="A370" i="8"/>
  <c r="C370" i="8"/>
  <c r="D370" i="8"/>
  <c r="E370" i="8"/>
  <c r="F370" i="8"/>
  <c r="G370" i="8"/>
  <c r="I370" i="8"/>
  <c r="J370" i="8"/>
  <c r="K370" i="8"/>
  <c r="A371" i="8"/>
  <c r="C371" i="8"/>
  <c r="D371" i="8"/>
  <c r="E371" i="8"/>
  <c r="F371" i="8"/>
  <c r="G371" i="8"/>
  <c r="I371" i="8"/>
  <c r="J371" i="8"/>
  <c r="K371" i="8"/>
  <c r="A372" i="8"/>
  <c r="C372" i="8"/>
  <c r="D372" i="8"/>
  <c r="E372" i="8"/>
  <c r="F372" i="8"/>
  <c r="G372" i="8"/>
  <c r="I372" i="8"/>
  <c r="J372" i="8"/>
  <c r="K372" i="8"/>
  <c r="A373" i="8"/>
  <c r="C373" i="8"/>
  <c r="D373" i="8"/>
  <c r="E373" i="8"/>
  <c r="F373" i="8"/>
  <c r="G373" i="8"/>
  <c r="I373" i="8"/>
  <c r="J373" i="8"/>
  <c r="K373" i="8"/>
  <c r="A374" i="8"/>
  <c r="C374" i="8"/>
  <c r="D374" i="8"/>
  <c r="E374" i="8"/>
  <c r="F374" i="8"/>
  <c r="G374" i="8"/>
  <c r="I374" i="8"/>
  <c r="J374" i="8"/>
  <c r="K374" i="8"/>
  <c r="A375" i="8"/>
  <c r="C375" i="8"/>
  <c r="D375" i="8"/>
  <c r="E375" i="8"/>
  <c r="F375" i="8"/>
  <c r="G375" i="8"/>
  <c r="I375" i="8"/>
  <c r="J375" i="8"/>
  <c r="K375" i="8"/>
  <c r="A376" i="8"/>
  <c r="C376" i="8"/>
  <c r="D376" i="8"/>
  <c r="E376" i="8"/>
  <c r="F376" i="8"/>
  <c r="G376" i="8"/>
  <c r="I376" i="8"/>
  <c r="J376" i="8"/>
  <c r="K376" i="8"/>
  <c r="A377" i="8"/>
  <c r="C377" i="8"/>
  <c r="D377" i="8"/>
  <c r="E377" i="8"/>
  <c r="F377" i="8"/>
  <c r="G377" i="8"/>
  <c r="I377" i="8"/>
  <c r="J377" i="8"/>
  <c r="K377" i="8"/>
  <c r="A378" i="8"/>
  <c r="C378" i="8"/>
  <c r="D378" i="8"/>
  <c r="E378" i="8"/>
  <c r="F378" i="8"/>
  <c r="G378" i="8"/>
  <c r="I378" i="8"/>
  <c r="J378" i="8"/>
  <c r="K378" i="8"/>
  <c r="A379" i="8"/>
  <c r="C379" i="8"/>
  <c r="D379" i="8"/>
  <c r="E379" i="8"/>
  <c r="F379" i="8"/>
  <c r="G379" i="8"/>
  <c r="I379" i="8"/>
  <c r="J379" i="8"/>
  <c r="K379" i="8"/>
  <c r="A380" i="8"/>
  <c r="C380" i="8"/>
  <c r="D380" i="8"/>
  <c r="E380" i="8"/>
  <c r="F380" i="8"/>
  <c r="G380" i="8"/>
  <c r="I380" i="8"/>
  <c r="J380" i="8"/>
  <c r="K380" i="8"/>
  <c r="A381" i="8"/>
  <c r="C381" i="8"/>
  <c r="D381" i="8"/>
  <c r="E381" i="8"/>
  <c r="F381" i="8"/>
  <c r="G381" i="8"/>
  <c r="I381" i="8"/>
  <c r="J381" i="8"/>
  <c r="K381" i="8"/>
  <c r="A382" i="8"/>
  <c r="C382" i="8"/>
  <c r="D382" i="8"/>
  <c r="E382" i="8"/>
  <c r="F382" i="8"/>
  <c r="G382" i="8"/>
  <c r="I382" i="8"/>
  <c r="J382" i="8"/>
  <c r="K382" i="8"/>
  <c r="A383" i="8"/>
  <c r="C383" i="8"/>
  <c r="D383" i="8"/>
  <c r="E383" i="8"/>
  <c r="F383" i="8"/>
  <c r="G383" i="8"/>
  <c r="I383" i="8"/>
  <c r="J383" i="8"/>
  <c r="K383" i="8"/>
  <c r="A384" i="8"/>
  <c r="C384" i="8"/>
  <c r="D384" i="8"/>
  <c r="E384" i="8"/>
  <c r="F384" i="8"/>
  <c r="G384" i="8"/>
  <c r="I384" i="8"/>
  <c r="J384" i="8"/>
  <c r="K384" i="8"/>
  <c r="A385" i="8"/>
  <c r="C385" i="8"/>
  <c r="D385" i="8"/>
  <c r="E385" i="8"/>
  <c r="F385" i="8"/>
  <c r="G385" i="8"/>
  <c r="I385" i="8"/>
  <c r="J385" i="8"/>
  <c r="K385" i="8"/>
  <c r="A386" i="8"/>
  <c r="C386" i="8"/>
  <c r="D386" i="8"/>
  <c r="E386" i="8"/>
  <c r="F386" i="8"/>
  <c r="G386" i="8"/>
  <c r="I386" i="8"/>
  <c r="J386" i="8"/>
  <c r="K386" i="8"/>
  <c r="A387" i="8"/>
  <c r="C387" i="8"/>
  <c r="D387" i="8"/>
  <c r="E387" i="8"/>
  <c r="F387" i="8"/>
  <c r="G387" i="8"/>
  <c r="I387" i="8"/>
  <c r="J387" i="8"/>
  <c r="K387" i="8"/>
  <c r="A388" i="8"/>
  <c r="C388" i="8"/>
  <c r="D388" i="8"/>
  <c r="E388" i="8"/>
  <c r="F388" i="8"/>
  <c r="G388" i="8"/>
  <c r="I388" i="8"/>
  <c r="J388" i="8"/>
  <c r="K388" i="8"/>
  <c r="A389" i="8"/>
  <c r="C389" i="8"/>
  <c r="D389" i="8"/>
  <c r="E389" i="8"/>
  <c r="F389" i="8"/>
  <c r="G389" i="8"/>
  <c r="I389" i="8"/>
  <c r="J389" i="8"/>
  <c r="K389" i="8"/>
  <c r="A390" i="8"/>
  <c r="C390" i="8"/>
  <c r="D390" i="8"/>
  <c r="E390" i="8"/>
  <c r="F390" i="8"/>
  <c r="G390" i="8"/>
  <c r="I390" i="8"/>
  <c r="J390" i="8"/>
  <c r="K390" i="8"/>
  <c r="A391" i="8"/>
  <c r="C391" i="8"/>
  <c r="D391" i="8"/>
  <c r="E391" i="8"/>
  <c r="F391" i="8"/>
  <c r="G391" i="8"/>
  <c r="I391" i="8"/>
  <c r="J391" i="8"/>
  <c r="K391" i="8"/>
  <c r="A392" i="8"/>
  <c r="C392" i="8"/>
  <c r="D392" i="8"/>
  <c r="E392" i="8"/>
  <c r="F392" i="8"/>
  <c r="G392" i="8"/>
  <c r="I392" i="8"/>
  <c r="J392" i="8"/>
  <c r="K392" i="8"/>
  <c r="A393" i="8"/>
  <c r="C393" i="8"/>
  <c r="D393" i="8"/>
  <c r="E393" i="8"/>
  <c r="F393" i="8"/>
  <c r="G393" i="8"/>
  <c r="I393" i="8"/>
  <c r="J393" i="8"/>
  <c r="K393" i="8"/>
  <c r="A394" i="8"/>
  <c r="C394" i="8"/>
  <c r="D394" i="8"/>
  <c r="E394" i="8"/>
  <c r="F394" i="8"/>
  <c r="G394" i="8"/>
  <c r="I394" i="8"/>
  <c r="J394" i="8"/>
  <c r="K394" i="8"/>
  <c r="A395" i="8"/>
  <c r="C395" i="8"/>
  <c r="D395" i="8"/>
  <c r="E395" i="8"/>
  <c r="F395" i="8"/>
  <c r="G395" i="8"/>
  <c r="I395" i="8"/>
  <c r="J395" i="8"/>
  <c r="K395" i="8"/>
  <c r="A396" i="8"/>
  <c r="C396" i="8"/>
  <c r="D396" i="8"/>
  <c r="E396" i="8"/>
  <c r="F396" i="8"/>
  <c r="G396" i="8"/>
  <c r="I396" i="8"/>
  <c r="J396" i="8"/>
  <c r="K396" i="8"/>
  <c r="A397" i="8"/>
  <c r="C397" i="8"/>
  <c r="D397" i="8"/>
  <c r="E397" i="8"/>
  <c r="F397" i="8"/>
  <c r="G397" i="8"/>
  <c r="I397" i="8"/>
  <c r="J397" i="8"/>
  <c r="K397" i="8"/>
  <c r="A398" i="8"/>
  <c r="C398" i="8"/>
  <c r="D398" i="8"/>
  <c r="E398" i="8"/>
  <c r="F398" i="8"/>
  <c r="G398" i="8"/>
  <c r="I398" i="8"/>
  <c r="J398" i="8"/>
  <c r="K398" i="8"/>
  <c r="A399" i="8"/>
  <c r="C399" i="8"/>
  <c r="D399" i="8"/>
  <c r="E399" i="8"/>
  <c r="F399" i="8"/>
  <c r="G399" i="8"/>
  <c r="I399" i="8"/>
  <c r="J399" i="8"/>
  <c r="K399" i="8"/>
  <c r="A400" i="8"/>
  <c r="C400" i="8"/>
  <c r="D400" i="8"/>
  <c r="E400" i="8"/>
  <c r="F400" i="8"/>
  <c r="G400" i="8"/>
  <c r="I400" i="8"/>
  <c r="J400" i="8"/>
  <c r="K400" i="8"/>
  <c r="A401" i="8"/>
  <c r="C401" i="8"/>
  <c r="D401" i="8"/>
  <c r="E401" i="8"/>
  <c r="F401" i="8"/>
  <c r="G401" i="8"/>
  <c r="I401" i="8"/>
  <c r="J401" i="8"/>
  <c r="K401" i="8"/>
  <c r="A402" i="8"/>
  <c r="C402" i="8"/>
  <c r="D402" i="8"/>
  <c r="E402" i="8"/>
  <c r="F402" i="8"/>
  <c r="G402" i="8"/>
  <c r="I402" i="8"/>
  <c r="J402" i="8"/>
  <c r="K402" i="8"/>
  <c r="A403" i="8"/>
  <c r="C403" i="8"/>
  <c r="D403" i="8"/>
  <c r="E403" i="8"/>
  <c r="F403" i="8"/>
  <c r="G403" i="8"/>
  <c r="I403" i="8"/>
  <c r="J403" i="8"/>
  <c r="K403" i="8"/>
  <c r="A404" i="8"/>
  <c r="C404" i="8"/>
  <c r="D404" i="8"/>
  <c r="E404" i="8"/>
  <c r="F404" i="8"/>
  <c r="G404" i="8"/>
  <c r="I404" i="8"/>
  <c r="J404" i="8"/>
  <c r="K404" i="8"/>
  <c r="A405" i="8"/>
  <c r="C405" i="8"/>
  <c r="D405" i="8"/>
  <c r="E405" i="8"/>
  <c r="F405" i="8"/>
  <c r="G405" i="8"/>
  <c r="I405" i="8"/>
  <c r="J405" i="8"/>
  <c r="K405" i="8"/>
  <c r="A406" i="8"/>
  <c r="C406" i="8"/>
  <c r="D406" i="8"/>
  <c r="E406" i="8"/>
  <c r="F406" i="8"/>
  <c r="G406" i="8"/>
  <c r="I406" i="8"/>
  <c r="J406" i="8"/>
  <c r="K406" i="8"/>
  <c r="A407" i="8"/>
  <c r="C407" i="8"/>
  <c r="D407" i="8"/>
  <c r="E407" i="8"/>
  <c r="F407" i="8"/>
  <c r="G407" i="8"/>
  <c r="I407" i="8"/>
  <c r="J407" i="8"/>
  <c r="K407" i="8"/>
  <c r="A408" i="8"/>
  <c r="C408" i="8"/>
  <c r="D408" i="8"/>
  <c r="E408" i="8"/>
  <c r="F408" i="8"/>
  <c r="G408" i="8"/>
  <c r="I408" i="8"/>
  <c r="J408" i="8"/>
  <c r="K408" i="8"/>
  <c r="A409" i="8"/>
  <c r="C409" i="8"/>
  <c r="D409" i="8"/>
  <c r="E409" i="8"/>
  <c r="F409" i="8"/>
  <c r="G409" i="8"/>
  <c r="I409" i="8"/>
  <c r="J409" i="8"/>
  <c r="K409" i="8"/>
  <c r="A410" i="8"/>
  <c r="C410" i="8"/>
  <c r="D410" i="8"/>
  <c r="E410" i="8"/>
  <c r="F410" i="8"/>
  <c r="G410" i="8"/>
  <c r="I410" i="8"/>
  <c r="J410" i="8"/>
  <c r="K410" i="8"/>
  <c r="A411" i="8"/>
  <c r="C411" i="8"/>
  <c r="D411" i="8"/>
  <c r="E411" i="8"/>
  <c r="F411" i="8"/>
  <c r="G411" i="8"/>
  <c r="I411" i="8"/>
  <c r="J411" i="8"/>
  <c r="K411" i="8"/>
  <c r="A412" i="8"/>
  <c r="C412" i="8"/>
  <c r="D412" i="8"/>
  <c r="E412" i="8"/>
  <c r="F412" i="8"/>
  <c r="G412" i="8"/>
  <c r="I412" i="8"/>
  <c r="J412" i="8"/>
  <c r="K412" i="8"/>
  <c r="A413" i="8"/>
  <c r="C413" i="8"/>
  <c r="D413" i="8"/>
  <c r="E413" i="8"/>
  <c r="F413" i="8"/>
  <c r="G413" i="8"/>
  <c r="I413" i="8"/>
  <c r="J413" i="8"/>
  <c r="K413" i="8"/>
  <c r="A414" i="8"/>
  <c r="C414" i="8"/>
  <c r="D414" i="8"/>
  <c r="E414" i="8"/>
  <c r="F414" i="8"/>
  <c r="G414" i="8"/>
  <c r="I414" i="8"/>
  <c r="J414" i="8"/>
  <c r="K414" i="8"/>
  <c r="A415" i="8"/>
  <c r="C415" i="8"/>
  <c r="D415" i="8"/>
  <c r="E415" i="8"/>
  <c r="F415" i="8"/>
  <c r="G415" i="8"/>
  <c r="I415" i="8"/>
  <c r="J415" i="8"/>
  <c r="K415" i="8"/>
  <c r="A416" i="8"/>
  <c r="C416" i="8"/>
  <c r="D416" i="8"/>
  <c r="E416" i="8"/>
  <c r="F416" i="8"/>
  <c r="G416" i="8"/>
  <c r="I416" i="8"/>
  <c r="J416" i="8"/>
  <c r="K416" i="8"/>
  <c r="A417" i="8"/>
  <c r="C417" i="8"/>
  <c r="D417" i="8"/>
  <c r="E417" i="8"/>
  <c r="F417" i="8"/>
  <c r="G417" i="8"/>
  <c r="I417" i="8"/>
  <c r="J417" i="8"/>
  <c r="K417" i="8"/>
  <c r="A418" i="8"/>
  <c r="C418" i="8"/>
  <c r="D418" i="8"/>
  <c r="E418" i="8"/>
  <c r="F418" i="8"/>
  <c r="G418" i="8"/>
  <c r="I418" i="8"/>
  <c r="J418" i="8"/>
  <c r="K418" i="8"/>
  <c r="A419" i="8"/>
  <c r="C419" i="8"/>
  <c r="D419" i="8"/>
  <c r="E419" i="8"/>
  <c r="F419" i="8"/>
  <c r="G419" i="8"/>
  <c r="I419" i="8"/>
  <c r="J419" i="8"/>
  <c r="K419" i="8"/>
  <c r="A420" i="8"/>
  <c r="C420" i="8"/>
  <c r="D420" i="8"/>
  <c r="E420" i="8"/>
  <c r="F420" i="8"/>
  <c r="G420" i="8"/>
  <c r="I420" i="8"/>
  <c r="J420" i="8"/>
  <c r="K420" i="8"/>
  <c r="A421" i="8"/>
  <c r="C421" i="8"/>
  <c r="D421" i="8"/>
  <c r="E421" i="8"/>
  <c r="F421" i="8"/>
  <c r="G421" i="8"/>
  <c r="I421" i="8"/>
  <c r="J421" i="8"/>
  <c r="K421" i="8"/>
  <c r="A422" i="8"/>
  <c r="C422" i="8"/>
  <c r="D422" i="8"/>
  <c r="E422" i="8"/>
  <c r="F422" i="8"/>
  <c r="G422" i="8"/>
  <c r="I422" i="8"/>
  <c r="J422" i="8"/>
  <c r="K422" i="8"/>
  <c r="A423" i="8"/>
  <c r="C423" i="8"/>
  <c r="D423" i="8"/>
  <c r="E423" i="8"/>
  <c r="F423" i="8"/>
  <c r="G423" i="8"/>
  <c r="I423" i="8"/>
  <c r="J423" i="8"/>
  <c r="K423" i="8"/>
  <c r="A424" i="8"/>
  <c r="C424" i="8"/>
  <c r="D424" i="8"/>
  <c r="E424" i="8"/>
  <c r="F424" i="8"/>
  <c r="G424" i="8"/>
  <c r="I424" i="8"/>
  <c r="J424" i="8"/>
  <c r="K424" i="8"/>
  <c r="A425" i="8"/>
  <c r="C425" i="8"/>
  <c r="D425" i="8"/>
  <c r="E425" i="8"/>
  <c r="F425" i="8"/>
  <c r="G425" i="8"/>
  <c r="I425" i="8"/>
  <c r="J425" i="8"/>
  <c r="K425" i="8"/>
  <c r="A426" i="8"/>
  <c r="C426" i="8"/>
  <c r="D426" i="8"/>
  <c r="E426" i="8"/>
  <c r="F426" i="8"/>
  <c r="G426" i="8"/>
  <c r="I426" i="8"/>
  <c r="J426" i="8"/>
  <c r="K426" i="8"/>
  <c r="A427" i="8"/>
  <c r="C427" i="8"/>
  <c r="D427" i="8"/>
  <c r="E427" i="8"/>
  <c r="F427" i="8"/>
  <c r="G427" i="8"/>
  <c r="I427" i="8"/>
  <c r="J427" i="8"/>
  <c r="K427" i="8"/>
  <c r="A428" i="8"/>
  <c r="C428" i="8"/>
  <c r="D428" i="8"/>
  <c r="E428" i="8"/>
  <c r="F428" i="8"/>
  <c r="G428" i="8"/>
  <c r="I428" i="8"/>
  <c r="J428" i="8"/>
  <c r="K428" i="8"/>
  <c r="A429" i="8"/>
  <c r="C429" i="8"/>
  <c r="D429" i="8"/>
  <c r="E429" i="8"/>
  <c r="F429" i="8"/>
  <c r="G429" i="8"/>
  <c r="I429" i="8"/>
  <c r="J429" i="8"/>
  <c r="K429" i="8"/>
  <c r="A430" i="8"/>
  <c r="C430" i="8"/>
  <c r="D430" i="8"/>
  <c r="E430" i="8"/>
  <c r="F430" i="8"/>
  <c r="G430" i="8"/>
  <c r="I430" i="8"/>
  <c r="J430" i="8"/>
  <c r="K430" i="8"/>
  <c r="A431" i="8"/>
  <c r="C431" i="8"/>
  <c r="D431" i="8"/>
  <c r="E431" i="8"/>
  <c r="F431" i="8"/>
  <c r="G431" i="8"/>
  <c r="I431" i="8"/>
  <c r="J431" i="8"/>
  <c r="K431" i="8"/>
  <c r="A432" i="8"/>
  <c r="C432" i="8"/>
  <c r="D432" i="8"/>
  <c r="E432" i="8"/>
  <c r="F432" i="8"/>
  <c r="G432" i="8"/>
  <c r="I432" i="8"/>
  <c r="J432" i="8"/>
  <c r="K432" i="8"/>
  <c r="A433" i="8"/>
  <c r="C433" i="8"/>
  <c r="D433" i="8"/>
  <c r="E433" i="8"/>
  <c r="F433" i="8"/>
  <c r="G433" i="8"/>
  <c r="I433" i="8"/>
  <c r="J433" i="8"/>
  <c r="K433" i="8"/>
  <c r="A434" i="8"/>
  <c r="C434" i="8"/>
  <c r="D434" i="8"/>
  <c r="E434" i="8"/>
  <c r="F434" i="8"/>
  <c r="G434" i="8"/>
  <c r="I434" i="8"/>
  <c r="J434" i="8"/>
  <c r="K434" i="8"/>
  <c r="A435" i="8"/>
  <c r="C435" i="8"/>
  <c r="D435" i="8"/>
  <c r="E435" i="8"/>
  <c r="F435" i="8"/>
  <c r="G435" i="8"/>
  <c r="I435" i="8"/>
  <c r="J435" i="8"/>
  <c r="K435" i="8"/>
  <c r="A436" i="8"/>
  <c r="C436" i="8"/>
  <c r="D436" i="8"/>
  <c r="E436" i="8"/>
  <c r="F436" i="8"/>
  <c r="G436" i="8"/>
  <c r="I436" i="8"/>
  <c r="J436" i="8"/>
  <c r="K436" i="8"/>
  <c r="A437" i="8"/>
  <c r="C437" i="8"/>
  <c r="D437" i="8"/>
  <c r="E437" i="8"/>
  <c r="F437" i="8"/>
  <c r="G437" i="8"/>
  <c r="I437" i="8"/>
  <c r="J437" i="8"/>
  <c r="K437" i="8"/>
  <c r="A438" i="8"/>
  <c r="C438" i="8"/>
  <c r="D438" i="8"/>
  <c r="E438" i="8"/>
  <c r="F438" i="8"/>
  <c r="G438" i="8"/>
  <c r="I438" i="8"/>
  <c r="J438" i="8"/>
  <c r="K438" i="8"/>
  <c r="A439" i="8"/>
  <c r="C439" i="8"/>
  <c r="D439" i="8"/>
  <c r="E439" i="8"/>
  <c r="F439" i="8"/>
  <c r="G439" i="8"/>
  <c r="I439" i="8"/>
  <c r="J439" i="8"/>
  <c r="K439" i="8"/>
  <c r="A440" i="8"/>
  <c r="C440" i="8"/>
  <c r="D440" i="8"/>
  <c r="E440" i="8"/>
  <c r="F440" i="8"/>
  <c r="G440" i="8"/>
  <c r="I440" i="8"/>
  <c r="J440" i="8"/>
  <c r="K440" i="8"/>
  <c r="A441" i="8"/>
  <c r="C441" i="8"/>
  <c r="D441" i="8"/>
  <c r="E441" i="8"/>
  <c r="F441" i="8"/>
  <c r="G441" i="8"/>
  <c r="I441" i="8"/>
  <c r="J441" i="8"/>
  <c r="K441" i="8"/>
  <c r="A442" i="8"/>
  <c r="C442" i="8"/>
  <c r="D442" i="8"/>
  <c r="E442" i="8"/>
  <c r="F442" i="8"/>
  <c r="G442" i="8"/>
  <c r="I442" i="8"/>
  <c r="J442" i="8"/>
  <c r="K442" i="8"/>
  <c r="A443" i="8"/>
  <c r="C443" i="8"/>
  <c r="D443" i="8"/>
  <c r="E443" i="8"/>
  <c r="F443" i="8"/>
  <c r="G443" i="8"/>
  <c r="I443" i="8"/>
  <c r="J443" i="8"/>
  <c r="K443" i="8"/>
  <c r="A444" i="8"/>
  <c r="C444" i="8"/>
  <c r="D444" i="8"/>
  <c r="E444" i="8"/>
  <c r="F444" i="8"/>
  <c r="G444" i="8"/>
  <c r="I444" i="8"/>
  <c r="J444" i="8"/>
  <c r="K444" i="8"/>
  <c r="A445" i="8"/>
  <c r="C445" i="8"/>
  <c r="D445" i="8"/>
  <c r="E445" i="8"/>
  <c r="F445" i="8"/>
  <c r="G445" i="8"/>
  <c r="I445" i="8"/>
  <c r="J445" i="8"/>
  <c r="K445" i="8"/>
  <c r="A446" i="8"/>
  <c r="C446" i="8"/>
  <c r="D446" i="8"/>
  <c r="E446" i="8"/>
  <c r="F446" i="8"/>
  <c r="G446" i="8"/>
  <c r="I446" i="8"/>
  <c r="J446" i="8"/>
  <c r="K446" i="8"/>
  <c r="A447" i="8"/>
  <c r="C447" i="8"/>
  <c r="D447" i="8"/>
  <c r="E447" i="8"/>
  <c r="F447" i="8"/>
  <c r="G447" i="8"/>
  <c r="I447" i="8"/>
  <c r="J447" i="8"/>
  <c r="K447" i="8"/>
  <c r="A448" i="8"/>
  <c r="C448" i="8"/>
  <c r="D448" i="8"/>
  <c r="E448" i="8"/>
  <c r="F448" i="8"/>
  <c r="G448" i="8"/>
  <c r="I448" i="8"/>
  <c r="J448" i="8"/>
  <c r="K448" i="8"/>
  <c r="A449" i="8"/>
  <c r="C449" i="8"/>
  <c r="D449" i="8"/>
  <c r="E449" i="8"/>
  <c r="F449" i="8"/>
  <c r="G449" i="8"/>
  <c r="I449" i="8"/>
  <c r="J449" i="8"/>
  <c r="K449" i="8"/>
  <c r="A450" i="8"/>
  <c r="C450" i="8"/>
  <c r="D450" i="8"/>
  <c r="E450" i="8"/>
  <c r="F450" i="8"/>
  <c r="G450" i="8"/>
  <c r="I450" i="8"/>
  <c r="J450" i="8"/>
  <c r="K450" i="8"/>
  <c r="A451" i="8"/>
  <c r="C451" i="8"/>
  <c r="D451" i="8"/>
  <c r="E451" i="8"/>
  <c r="F451" i="8"/>
  <c r="G451" i="8"/>
  <c r="I451" i="8"/>
  <c r="J451" i="8"/>
  <c r="K451" i="8"/>
  <c r="A452" i="8"/>
  <c r="C452" i="8"/>
  <c r="D452" i="8"/>
  <c r="E452" i="8"/>
  <c r="F452" i="8"/>
  <c r="G452" i="8"/>
  <c r="I452" i="8"/>
  <c r="J452" i="8"/>
  <c r="K452" i="8"/>
  <c r="A453" i="8"/>
  <c r="C453" i="8"/>
  <c r="D453" i="8"/>
  <c r="E453" i="8"/>
  <c r="F453" i="8"/>
  <c r="G453" i="8"/>
  <c r="I453" i="8"/>
  <c r="J453" i="8"/>
  <c r="K453" i="8"/>
  <c r="A454" i="8"/>
  <c r="C454" i="8"/>
  <c r="D454" i="8"/>
  <c r="E454" i="8"/>
  <c r="F454" i="8"/>
  <c r="G454" i="8"/>
  <c r="I454" i="8"/>
  <c r="J454" i="8"/>
  <c r="K454" i="8"/>
  <c r="A455" i="8"/>
  <c r="C455" i="8"/>
  <c r="D455" i="8"/>
  <c r="E455" i="8"/>
  <c r="F455" i="8"/>
  <c r="G455" i="8"/>
  <c r="I455" i="8"/>
  <c r="J455" i="8"/>
  <c r="K455" i="8"/>
  <c r="A456" i="8"/>
  <c r="C456" i="8"/>
  <c r="D456" i="8"/>
  <c r="E456" i="8"/>
  <c r="F456" i="8"/>
  <c r="G456" i="8"/>
  <c r="I456" i="8"/>
  <c r="J456" i="8"/>
  <c r="K456" i="8"/>
  <c r="A457" i="8"/>
  <c r="C457" i="8"/>
  <c r="D457" i="8"/>
  <c r="E457" i="8"/>
  <c r="F457" i="8"/>
  <c r="G457" i="8"/>
  <c r="I457" i="8"/>
  <c r="J457" i="8"/>
  <c r="K457" i="8"/>
  <c r="A458" i="8"/>
  <c r="C458" i="8"/>
  <c r="D458" i="8"/>
  <c r="E458" i="8"/>
  <c r="F458" i="8"/>
  <c r="G458" i="8"/>
  <c r="I458" i="8"/>
  <c r="J458" i="8"/>
  <c r="K458" i="8"/>
  <c r="A459" i="8"/>
  <c r="C459" i="8"/>
  <c r="D459" i="8"/>
  <c r="E459" i="8"/>
  <c r="F459" i="8"/>
  <c r="G459" i="8"/>
  <c r="I459" i="8"/>
  <c r="J459" i="8"/>
  <c r="K459" i="8"/>
  <c r="A460" i="8"/>
  <c r="C460" i="8"/>
  <c r="D460" i="8"/>
  <c r="E460" i="8"/>
  <c r="F460" i="8"/>
  <c r="G460" i="8"/>
  <c r="I460" i="8"/>
  <c r="J460" i="8"/>
  <c r="K460" i="8"/>
  <c r="A461" i="8"/>
  <c r="C461" i="8"/>
  <c r="D461" i="8"/>
  <c r="E461" i="8"/>
  <c r="F461" i="8"/>
  <c r="G461" i="8"/>
  <c r="I461" i="8"/>
  <c r="J461" i="8"/>
  <c r="K461" i="8"/>
  <c r="A462" i="8"/>
  <c r="C462" i="8"/>
  <c r="D462" i="8"/>
  <c r="E462" i="8"/>
  <c r="F462" i="8"/>
  <c r="G462" i="8"/>
  <c r="I462" i="8"/>
  <c r="J462" i="8"/>
  <c r="K462" i="8"/>
  <c r="A463" i="8"/>
  <c r="C463" i="8"/>
  <c r="D463" i="8"/>
  <c r="E463" i="8"/>
  <c r="F463" i="8"/>
  <c r="G463" i="8"/>
  <c r="I463" i="8"/>
  <c r="J463" i="8"/>
  <c r="K463" i="8"/>
  <c r="A464" i="8"/>
  <c r="C464" i="8"/>
  <c r="D464" i="8"/>
  <c r="E464" i="8"/>
  <c r="F464" i="8"/>
  <c r="G464" i="8"/>
  <c r="I464" i="8"/>
  <c r="J464" i="8"/>
  <c r="K464" i="8"/>
  <c r="A465" i="8"/>
  <c r="C465" i="8"/>
  <c r="D465" i="8"/>
  <c r="E465" i="8"/>
  <c r="F465" i="8"/>
  <c r="G465" i="8"/>
  <c r="I465" i="8"/>
  <c r="J465" i="8"/>
  <c r="K465" i="8"/>
  <c r="A466" i="8"/>
  <c r="C466" i="8"/>
  <c r="D466" i="8"/>
  <c r="E466" i="8"/>
  <c r="F466" i="8"/>
  <c r="G466" i="8"/>
  <c r="I466" i="8"/>
  <c r="J466" i="8"/>
  <c r="K466" i="8"/>
  <c r="A467" i="8"/>
  <c r="C467" i="8"/>
  <c r="D467" i="8"/>
  <c r="E467" i="8"/>
  <c r="F467" i="8"/>
  <c r="G467" i="8"/>
  <c r="I467" i="8"/>
  <c r="J467" i="8"/>
  <c r="K467" i="8"/>
  <c r="A468" i="8"/>
  <c r="C468" i="8"/>
  <c r="D468" i="8"/>
  <c r="E468" i="8"/>
  <c r="F468" i="8"/>
  <c r="G468" i="8"/>
  <c r="I468" i="8"/>
  <c r="J468" i="8"/>
  <c r="K468" i="8"/>
  <c r="A469" i="8"/>
  <c r="C469" i="8"/>
  <c r="D469" i="8"/>
  <c r="E469" i="8"/>
  <c r="F469" i="8"/>
  <c r="G469" i="8"/>
  <c r="I469" i="8"/>
  <c r="J469" i="8"/>
  <c r="K469" i="8"/>
  <c r="A470" i="8"/>
  <c r="C470" i="8"/>
  <c r="D470" i="8"/>
  <c r="E470" i="8"/>
  <c r="F470" i="8"/>
  <c r="G470" i="8"/>
  <c r="I470" i="8"/>
  <c r="J470" i="8"/>
  <c r="K470" i="8"/>
  <c r="A471" i="8"/>
  <c r="C471" i="8"/>
  <c r="D471" i="8"/>
  <c r="E471" i="8"/>
  <c r="F471" i="8"/>
  <c r="G471" i="8"/>
  <c r="I471" i="8"/>
  <c r="J471" i="8"/>
  <c r="K471" i="8"/>
  <c r="A472" i="8"/>
  <c r="C472" i="8"/>
  <c r="D472" i="8"/>
  <c r="E472" i="8"/>
  <c r="F472" i="8"/>
  <c r="G472" i="8"/>
  <c r="I472" i="8"/>
  <c r="J472" i="8"/>
  <c r="K472" i="8"/>
  <c r="A473" i="8"/>
  <c r="C473" i="8"/>
  <c r="D473" i="8"/>
  <c r="E473" i="8"/>
  <c r="F473" i="8"/>
  <c r="G473" i="8"/>
  <c r="I473" i="8"/>
  <c r="J473" i="8"/>
  <c r="K473" i="8"/>
  <c r="A474" i="8"/>
  <c r="C474" i="8"/>
  <c r="D474" i="8"/>
  <c r="E474" i="8"/>
  <c r="F474" i="8"/>
  <c r="G474" i="8"/>
  <c r="I474" i="8"/>
  <c r="J474" i="8"/>
  <c r="K474" i="8"/>
  <c r="A475" i="8"/>
  <c r="C475" i="8"/>
  <c r="D475" i="8"/>
  <c r="E475" i="8"/>
  <c r="F475" i="8"/>
  <c r="G475" i="8"/>
  <c r="I475" i="8"/>
  <c r="J475" i="8"/>
  <c r="K475" i="8"/>
  <c r="A476" i="8"/>
  <c r="C476" i="8"/>
  <c r="D476" i="8"/>
  <c r="E476" i="8"/>
  <c r="F476" i="8"/>
  <c r="G476" i="8"/>
  <c r="I476" i="8"/>
  <c r="J476" i="8"/>
  <c r="K476" i="8"/>
  <c r="A477" i="8"/>
  <c r="C477" i="8"/>
  <c r="D477" i="8"/>
  <c r="E477" i="8"/>
  <c r="F477" i="8"/>
  <c r="G477" i="8"/>
  <c r="I477" i="8"/>
  <c r="J477" i="8"/>
  <c r="K477" i="8"/>
  <c r="A478" i="8"/>
  <c r="C478" i="8"/>
  <c r="D478" i="8"/>
  <c r="E478" i="8"/>
  <c r="F478" i="8"/>
  <c r="G478" i="8"/>
  <c r="I478" i="8"/>
  <c r="J478" i="8"/>
  <c r="K478" i="8"/>
  <c r="A479" i="8"/>
  <c r="C479" i="8"/>
  <c r="D479" i="8"/>
  <c r="E479" i="8"/>
  <c r="F479" i="8"/>
  <c r="G479" i="8"/>
  <c r="I479" i="8"/>
  <c r="J479" i="8"/>
  <c r="K479" i="8"/>
  <c r="A480" i="8"/>
  <c r="C480" i="8"/>
  <c r="D480" i="8"/>
  <c r="E480" i="8"/>
  <c r="F480" i="8"/>
  <c r="G480" i="8"/>
  <c r="I480" i="8"/>
  <c r="J480" i="8"/>
  <c r="K480" i="8"/>
  <c r="A481" i="8"/>
  <c r="C481" i="8"/>
  <c r="D481" i="8"/>
  <c r="E481" i="8"/>
  <c r="F481" i="8"/>
  <c r="G481" i="8"/>
  <c r="I481" i="8"/>
  <c r="J481" i="8"/>
  <c r="K481" i="8"/>
  <c r="A482" i="8"/>
  <c r="C482" i="8"/>
  <c r="D482" i="8"/>
  <c r="E482" i="8"/>
  <c r="F482" i="8"/>
  <c r="G482" i="8"/>
  <c r="I482" i="8"/>
  <c r="J482" i="8"/>
  <c r="K482" i="8"/>
  <c r="A483" i="8"/>
  <c r="C483" i="8"/>
  <c r="D483" i="8"/>
  <c r="E483" i="8"/>
  <c r="F483" i="8"/>
  <c r="G483" i="8"/>
  <c r="I483" i="8"/>
  <c r="J483" i="8"/>
  <c r="K483" i="8"/>
  <c r="A484" i="8"/>
  <c r="C484" i="8"/>
  <c r="D484" i="8"/>
  <c r="E484" i="8"/>
  <c r="F484" i="8"/>
  <c r="G484" i="8"/>
  <c r="I484" i="8"/>
  <c r="J484" i="8"/>
  <c r="K484" i="8"/>
  <c r="A485" i="8"/>
  <c r="C485" i="8"/>
  <c r="D485" i="8"/>
  <c r="E485" i="8"/>
  <c r="F485" i="8"/>
  <c r="G485" i="8"/>
  <c r="I485" i="8"/>
  <c r="J485" i="8"/>
  <c r="K485" i="8"/>
  <c r="A486" i="8"/>
  <c r="C486" i="8"/>
  <c r="D486" i="8"/>
  <c r="E486" i="8"/>
  <c r="F486" i="8"/>
  <c r="G486" i="8"/>
  <c r="I486" i="8"/>
  <c r="J486" i="8"/>
  <c r="K486" i="8"/>
  <c r="A487" i="8"/>
  <c r="C487" i="8"/>
  <c r="D487" i="8"/>
  <c r="E487" i="8"/>
  <c r="F487" i="8"/>
  <c r="G487" i="8"/>
  <c r="I487" i="8"/>
  <c r="J487" i="8"/>
  <c r="K487" i="8"/>
  <c r="A488" i="8"/>
  <c r="C488" i="8"/>
  <c r="D488" i="8"/>
  <c r="E488" i="8"/>
  <c r="F488" i="8"/>
  <c r="G488" i="8"/>
  <c r="I488" i="8"/>
  <c r="J488" i="8"/>
  <c r="K488" i="8"/>
  <c r="A489" i="8"/>
  <c r="C489" i="8"/>
  <c r="D489" i="8"/>
  <c r="E489" i="8"/>
  <c r="F489" i="8"/>
  <c r="G489" i="8"/>
  <c r="I489" i="8"/>
  <c r="J489" i="8"/>
  <c r="K489" i="8"/>
  <c r="A490" i="8"/>
  <c r="C490" i="8"/>
  <c r="D490" i="8"/>
  <c r="E490" i="8"/>
  <c r="F490" i="8"/>
  <c r="G490" i="8"/>
  <c r="I490" i="8"/>
  <c r="J490" i="8"/>
  <c r="K490" i="8"/>
  <c r="A491" i="8"/>
  <c r="C491" i="8"/>
  <c r="D491" i="8"/>
  <c r="E491" i="8"/>
  <c r="F491" i="8"/>
  <c r="G491" i="8"/>
  <c r="I491" i="8"/>
  <c r="J491" i="8"/>
  <c r="K491" i="8"/>
  <c r="A492" i="8"/>
  <c r="C492" i="8"/>
  <c r="D492" i="8"/>
  <c r="E492" i="8"/>
  <c r="F492" i="8"/>
  <c r="G492" i="8"/>
  <c r="I492" i="8"/>
  <c r="J492" i="8"/>
  <c r="K492" i="8"/>
  <c r="A493" i="8"/>
  <c r="C493" i="8"/>
  <c r="D493" i="8"/>
  <c r="E493" i="8"/>
  <c r="F493" i="8"/>
  <c r="G493" i="8"/>
  <c r="I493" i="8"/>
  <c r="J493" i="8"/>
  <c r="K493" i="8"/>
  <c r="A494" i="8"/>
  <c r="C494" i="8"/>
  <c r="D494" i="8"/>
  <c r="E494" i="8"/>
  <c r="F494" i="8"/>
  <c r="G494" i="8"/>
  <c r="I494" i="8"/>
  <c r="J494" i="8"/>
  <c r="K494" i="8"/>
  <c r="A495" i="8"/>
  <c r="C495" i="8"/>
  <c r="D495" i="8"/>
  <c r="E495" i="8"/>
  <c r="F495" i="8"/>
  <c r="G495" i="8"/>
  <c r="I495" i="8"/>
  <c r="J495" i="8"/>
  <c r="K495" i="8"/>
  <c r="A496" i="8"/>
  <c r="C496" i="8"/>
  <c r="D496" i="8"/>
  <c r="E496" i="8"/>
  <c r="F496" i="8"/>
  <c r="G496" i="8"/>
  <c r="I496" i="8"/>
  <c r="J496" i="8"/>
  <c r="K496" i="8"/>
  <c r="A497" i="8"/>
  <c r="C497" i="8"/>
  <c r="D497" i="8"/>
  <c r="E497" i="8"/>
  <c r="F497" i="8"/>
  <c r="G497" i="8"/>
  <c r="I497" i="8"/>
  <c r="J497" i="8"/>
  <c r="K497" i="8"/>
  <c r="A498" i="8"/>
  <c r="C498" i="8"/>
  <c r="D498" i="8"/>
  <c r="E498" i="8"/>
  <c r="F498" i="8"/>
  <c r="G498" i="8"/>
  <c r="I498" i="8"/>
  <c r="J498" i="8"/>
  <c r="K498" i="8"/>
  <c r="A499" i="8"/>
  <c r="C499" i="8"/>
  <c r="D499" i="8"/>
  <c r="E499" i="8"/>
  <c r="F499" i="8"/>
  <c r="G499" i="8"/>
  <c r="I499" i="8"/>
  <c r="J499" i="8"/>
  <c r="K499" i="8"/>
  <c r="A500" i="8"/>
  <c r="C500" i="8"/>
  <c r="D500" i="8"/>
  <c r="E500" i="8"/>
  <c r="F500" i="8"/>
  <c r="G500" i="8"/>
  <c r="I500" i="8"/>
  <c r="J500" i="8"/>
  <c r="K500" i="8"/>
  <c r="A501" i="8"/>
  <c r="C501" i="8"/>
  <c r="D501" i="8"/>
  <c r="E501" i="8"/>
  <c r="F501" i="8"/>
  <c r="G501" i="8"/>
  <c r="I501" i="8"/>
  <c r="J501" i="8"/>
  <c r="K501" i="8"/>
  <c r="A502" i="8"/>
  <c r="C502" i="8"/>
  <c r="D502" i="8"/>
  <c r="E502" i="8"/>
  <c r="F502" i="8"/>
  <c r="G502" i="8"/>
  <c r="I502" i="8"/>
  <c r="J502" i="8"/>
  <c r="K502" i="8"/>
  <c r="A503" i="8"/>
  <c r="C503" i="8"/>
  <c r="D503" i="8"/>
  <c r="E503" i="8"/>
  <c r="F503" i="8"/>
  <c r="G503" i="8"/>
  <c r="I503" i="8"/>
  <c r="J503" i="8"/>
  <c r="K503" i="8"/>
  <c r="A504" i="8"/>
  <c r="C504" i="8"/>
  <c r="D504" i="8"/>
  <c r="E504" i="8"/>
  <c r="F504" i="8"/>
  <c r="G504" i="8"/>
  <c r="I504" i="8"/>
  <c r="J504" i="8"/>
  <c r="K504" i="8"/>
  <c r="A505" i="8"/>
  <c r="C505" i="8"/>
  <c r="D505" i="8"/>
  <c r="E505" i="8"/>
  <c r="F505" i="8"/>
  <c r="G505" i="8"/>
  <c r="I505" i="8"/>
  <c r="J505" i="8"/>
  <c r="K505" i="8"/>
  <c r="A506" i="8"/>
  <c r="C506" i="8"/>
  <c r="D506" i="8"/>
  <c r="E506" i="8"/>
  <c r="F506" i="8"/>
  <c r="G506" i="8"/>
  <c r="I506" i="8"/>
  <c r="J506" i="8"/>
  <c r="K506" i="8"/>
  <c r="A507" i="8"/>
  <c r="C507" i="8"/>
  <c r="D507" i="8"/>
  <c r="E507" i="8"/>
  <c r="F507" i="8"/>
  <c r="G507" i="8"/>
  <c r="I507" i="8"/>
  <c r="J507" i="8"/>
  <c r="K507" i="8"/>
  <c r="A508" i="8"/>
  <c r="C508" i="8"/>
  <c r="D508" i="8"/>
  <c r="E508" i="8"/>
  <c r="F508" i="8"/>
  <c r="G508" i="8"/>
  <c r="I508" i="8"/>
  <c r="J508" i="8"/>
  <c r="K508" i="8"/>
  <c r="A509" i="8"/>
  <c r="C509" i="8"/>
  <c r="D509" i="8"/>
  <c r="E509" i="8"/>
  <c r="F509" i="8"/>
  <c r="G509" i="8"/>
  <c r="I509" i="8"/>
  <c r="J509" i="8"/>
  <c r="K509" i="8"/>
  <c r="A510" i="8"/>
  <c r="C510" i="8"/>
  <c r="D510" i="8"/>
  <c r="E510" i="8"/>
  <c r="F510" i="8"/>
  <c r="G510" i="8"/>
  <c r="I510" i="8"/>
  <c r="J510" i="8"/>
  <c r="K510" i="8"/>
  <c r="A511" i="8"/>
  <c r="C511" i="8"/>
  <c r="D511" i="8"/>
  <c r="E511" i="8"/>
  <c r="F511" i="8"/>
  <c r="G511" i="8"/>
  <c r="I511" i="8"/>
  <c r="J511" i="8"/>
  <c r="K511" i="8"/>
  <c r="A512" i="8"/>
  <c r="C512" i="8"/>
  <c r="D512" i="8"/>
  <c r="E512" i="8"/>
  <c r="F512" i="8"/>
  <c r="G512" i="8"/>
  <c r="I512" i="8"/>
  <c r="J512" i="8"/>
  <c r="K512" i="8"/>
  <c r="A513" i="8"/>
  <c r="C513" i="8"/>
  <c r="D513" i="8"/>
  <c r="E513" i="8"/>
  <c r="F513" i="8"/>
  <c r="G513" i="8"/>
  <c r="I513" i="8"/>
  <c r="J513" i="8"/>
  <c r="K513" i="8"/>
  <c r="A514" i="8"/>
  <c r="C514" i="8"/>
  <c r="D514" i="8"/>
  <c r="E514" i="8"/>
  <c r="F514" i="8"/>
  <c r="G514" i="8"/>
  <c r="I514" i="8"/>
  <c r="J514" i="8"/>
  <c r="K514" i="8"/>
  <c r="A515" i="8"/>
  <c r="C515" i="8"/>
  <c r="D515" i="8"/>
  <c r="E515" i="8"/>
  <c r="F515" i="8"/>
  <c r="G515" i="8"/>
  <c r="I515" i="8"/>
  <c r="J515" i="8"/>
  <c r="K515" i="8"/>
  <c r="A516" i="8"/>
  <c r="C516" i="8"/>
  <c r="D516" i="8"/>
  <c r="E516" i="8"/>
  <c r="F516" i="8"/>
  <c r="G516" i="8"/>
  <c r="I516" i="8"/>
  <c r="J516" i="8"/>
  <c r="K516" i="8"/>
  <c r="A517" i="8"/>
  <c r="C517" i="8"/>
  <c r="D517" i="8"/>
  <c r="E517" i="8"/>
  <c r="F517" i="8"/>
  <c r="G517" i="8"/>
  <c r="I517" i="8"/>
  <c r="J517" i="8"/>
  <c r="K517" i="8"/>
  <c r="A518" i="8"/>
  <c r="C518" i="8"/>
  <c r="D518" i="8"/>
  <c r="E518" i="8"/>
  <c r="F518" i="8"/>
  <c r="G518" i="8"/>
  <c r="I518" i="8"/>
  <c r="J518" i="8"/>
  <c r="K518" i="8"/>
  <c r="A519" i="8"/>
  <c r="C519" i="8"/>
  <c r="D519" i="8"/>
  <c r="E519" i="8"/>
  <c r="F519" i="8"/>
  <c r="G519" i="8"/>
  <c r="I519" i="8"/>
  <c r="J519" i="8"/>
  <c r="K519" i="8"/>
  <c r="A520" i="8"/>
  <c r="C520" i="8"/>
  <c r="D520" i="8"/>
  <c r="E520" i="8"/>
  <c r="F520" i="8"/>
  <c r="G520" i="8"/>
  <c r="I520" i="8"/>
  <c r="J520" i="8"/>
  <c r="K520" i="8"/>
  <c r="A521" i="8"/>
  <c r="C521" i="8"/>
  <c r="D521" i="8"/>
  <c r="E521" i="8"/>
  <c r="F521" i="8"/>
  <c r="G521" i="8"/>
  <c r="I521" i="8"/>
  <c r="J521" i="8"/>
  <c r="K521" i="8"/>
  <c r="A522" i="8"/>
  <c r="C522" i="8"/>
  <c r="D522" i="8"/>
  <c r="E522" i="8"/>
  <c r="F522" i="8"/>
  <c r="G522" i="8"/>
  <c r="I522" i="8"/>
  <c r="J522" i="8"/>
  <c r="K522" i="8"/>
  <c r="A523" i="8"/>
  <c r="C523" i="8"/>
  <c r="D523" i="8"/>
  <c r="E523" i="8"/>
  <c r="F523" i="8"/>
  <c r="G523" i="8"/>
  <c r="I523" i="8"/>
  <c r="J523" i="8"/>
  <c r="K523" i="8"/>
  <c r="A524" i="8"/>
  <c r="C524" i="8"/>
  <c r="D524" i="8"/>
  <c r="E524" i="8"/>
  <c r="F524" i="8"/>
  <c r="G524" i="8"/>
  <c r="I524" i="8"/>
  <c r="J524" i="8"/>
  <c r="K524" i="8"/>
  <c r="A525" i="8"/>
  <c r="C525" i="8"/>
  <c r="D525" i="8"/>
  <c r="E525" i="8"/>
  <c r="F525" i="8"/>
  <c r="G525" i="8"/>
  <c r="I525" i="8"/>
  <c r="J525" i="8"/>
  <c r="K525" i="8"/>
  <c r="A526" i="8"/>
  <c r="C526" i="8"/>
  <c r="D526" i="8"/>
  <c r="E526" i="8"/>
  <c r="F526" i="8"/>
  <c r="G526" i="8"/>
  <c r="I526" i="8"/>
  <c r="J526" i="8"/>
  <c r="K526" i="8"/>
  <c r="A527" i="8"/>
  <c r="C527" i="8"/>
  <c r="D527" i="8"/>
  <c r="E527" i="8"/>
  <c r="F527" i="8"/>
  <c r="G527" i="8"/>
  <c r="I527" i="8"/>
  <c r="J527" i="8"/>
  <c r="K527" i="8"/>
  <c r="A528" i="8"/>
  <c r="C528" i="8"/>
  <c r="D528" i="8"/>
  <c r="E528" i="8"/>
  <c r="F528" i="8"/>
  <c r="G528" i="8"/>
  <c r="I528" i="8"/>
  <c r="J528" i="8"/>
  <c r="K528" i="8"/>
  <c r="A529" i="8"/>
  <c r="C529" i="8"/>
  <c r="D529" i="8"/>
  <c r="E529" i="8"/>
  <c r="F529" i="8"/>
  <c r="G529" i="8"/>
  <c r="I529" i="8"/>
  <c r="J529" i="8"/>
  <c r="K529" i="8"/>
  <c r="A530" i="8"/>
  <c r="C530" i="8"/>
  <c r="D530" i="8"/>
  <c r="E530" i="8"/>
  <c r="F530" i="8"/>
  <c r="G530" i="8"/>
  <c r="I530" i="8"/>
  <c r="J530" i="8"/>
  <c r="K530" i="8"/>
  <c r="A531" i="8"/>
  <c r="C531" i="8"/>
  <c r="D531" i="8"/>
  <c r="E531" i="8"/>
  <c r="F531" i="8"/>
  <c r="G531" i="8"/>
  <c r="I531" i="8"/>
  <c r="J531" i="8"/>
  <c r="K531" i="8"/>
  <c r="A532" i="8"/>
  <c r="C532" i="8"/>
  <c r="D532" i="8"/>
  <c r="E532" i="8"/>
  <c r="F532" i="8"/>
  <c r="G532" i="8"/>
  <c r="I532" i="8"/>
  <c r="J532" i="8"/>
  <c r="K532" i="8"/>
  <c r="A533" i="8"/>
  <c r="C533" i="8"/>
  <c r="D533" i="8"/>
  <c r="E533" i="8"/>
  <c r="F533" i="8"/>
  <c r="G533" i="8"/>
  <c r="I533" i="8"/>
  <c r="J533" i="8"/>
  <c r="K533" i="8"/>
  <c r="A534" i="8"/>
  <c r="C534" i="8"/>
  <c r="D534" i="8"/>
  <c r="E534" i="8"/>
  <c r="F534" i="8"/>
  <c r="G534" i="8"/>
  <c r="I534" i="8"/>
  <c r="J534" i="8"/>
  <c r="K534" i="8"/>
  <c r="A535" i="8"/>
  <c r="C535" i="8"/>
  <c r="D535" i="8"/>
  <c r="E535" i="8"/>
  <c r="F535" i="8"/>
  <c r="G535" i="8"/>
  <c r="I535" i="8"/>
  <c r="J535" i="8"/>
  <c r="K535" i="8"/>
  <c r="A536" i="8"/>
  <c r="C536" i="8"/>
  <c r="D536" i="8"/>
  <c r="E536" i="8"/>
  <c r="F536" i="8"/>
  <c r="G536" i="8"/>
  <c r="I536" i="8"/>
  <c r="J536" i="8"/>
  <c r="K536" i="8"/>
  <c r="A537" i="8"/>
  <c r="C537" i="8"/>
  <c r="D537" i="8"/>
  <c r="E537" i="8"/>
  <c r="F537" i="8"/>
  <c r="G537" i="8"/>
  <c r="I537" i="8"/>
  <c r="J537" i="8"/>
  <c r="K537" i="8"/>
  <c r="A538" i="8"/>
  <c r="C538" i="8"/>
  <c r="D538" i="8"/>
  <c r="E538" i="8"/>
  <c r="F538" i="8"/>
  <c r="G538" i="8"/>
  <c r="I538" i="8"/>
  <c r="J538" i="8"/>
  <c r="K538" i="8"/>
  <c r="A539" i="8"/>
  <c r="C539" i="8"/>
  <c r="D539" i="8"/>
  <c r="E539" i="8"/>
  <c r="F539" i="8"/>
  <c r="G539" i="8"/>
  <c r="I539" i="8"/>
  <c r="J539" i="8"/>
  <c r="K539" i="8"/>
  <c r="A540" i="8"/>
  <c r="C540" i="8"/>
  <c r="D540" i="8"/>
  <c r="E540" i="8"/>
  <c r="F540" i="8"/>
  <c r="G540" i="8"/>
  <c r="I540" i="8"/>
  <c r="J540" i="8"/>
  <c r="K540" i="8"/>
  <c r="A541" i="8"/>
  <c r="C541" i="8"/>
  <c r="D541" i="8"/>
  <c r="E541" i="8"/>
  <c r="F541" i="8"/>
  <c r="G541" i="8"/>
  <c r="I541" i="8"/>
  <c r="J541" i="8"/>
  <c r="K541" i="8"/>
  <c r="A542" i="8"/>
  <c r="C542" i="8"/>
  <c r="D542" i="8"/>
  <c r="E542" i="8"/>
  <c r="F542" i="8"/>
  <c r="G542" i="8"/>
  <c r="I542" i="8"/>
  <c r="J542" i="8"/>
  <c r="K542" i="8"/>
  <c r="A543" i="8"/>
  <c r="C543" i="8"/>
  <c r="D543" i="8"/>
  <c r="E543" i="8"/>
  <c r="F543" i="8"/>
  <c r="G543" i="8"/>
  <c r="I543" i="8"/>
  <c r="J543" i="8"/>
  <c r="K543" i="8"/>
  <c r="A544" i="8"/>
  <c r="C544" i="8"/>
  <c r="D544" i="8"/>
  <c r="E544" i="8"/>
  <c r="F544" i="8"/>
  <c r="G544" i="8"/>
  <c r="I544" i="8"/>
  <c r="J544" i="8"/>
  <c r="K544" i="8"/>
  <c r="A545" i="8"/>
  <c r="C545" i="8"/>
  <c r="D545" i="8"/>
  <c r="E545" i="8"/>
  <c r="F545" i="8"/>
  <c r="G545" i="8"/>
  <c r="I545" i="8"/>
  <c r="J545" i="8"/>
  <c r="K545" i="8"/>
  <c r="A546" i="8"/>
  <c r="C546" i="8"/>
  <c r="D546" i="8"/>
  <c r="E546" i="8"/>
  <c r="F546" i="8"/>
  <c r="G546" i="8"/>
  <c r="I546" i="8"/>
  <c r="J546" i="8"/>
  <c r="K546" i="8"/>
  <c r="A547" i="8"/>
  <c r="C547" i="8"/>
  <c r="D547" i="8"/>
  <c r="E547" i="8"/>
  <c r="F547" i="8"/>
  <c r="G547" i="8"/>
  <c r="I547" i="8"/>
  <c r="J547" i="8"/>
  <c r="K547" i="8"/>
  <c r="A548" i="8"/>
  <c r="C548" i="8"/>
  <c r="D548" i="8"/>
  <c r="E548" i="8"/>
  <c r="F548" i="8"/>
  <c r="G548" i="8"/>
  <c r="I548" i="8"/>
  <c r="J548" i="8"/>
  <c r="K548" i="8"/>
  <c r="A549" i="8"/>
  <c r="C549" i="8"/>
  <c r="D549" i="8"/>
  <c r="E549" i="8"/>
  <c r="F549" i="8"/>
  <c r="G549" i="8"/>
  <c r="I549" i="8"/>
  <c r="J549" i="8"/>
  <c r="K549" i="8"/>
  <c r="A550" i="8"/>
  <c r="C550" i="8"/>
  <c r="D550" i="8"/>
  <c r="E550" i="8"/>
  <c r="F550" i="8"/>
  <c r="G550" i="8"/>
  <c r="I550" i="8"/>
  <c r="J550" i="8"/>
  <c r="K550" i="8"/>
  <c r="A551" i="8"/>
  <c r="C551" i="8"/>
  <c r="D551" i="8"/>
  <c r="E551" i="8"/>
  <c r="F551" i="8"/>
  <c r="G551" i="8"/>
  <c r="I551" i="8"/>
  <c r="J551" i="8"/>
  <c r="K551" i="8"/>
  <c r="A552" i="8"/>
  <c r="C552" i="8"/>
  <c r="D552" i="8"/>
  <c r="E552" i="8"/>
  <c r="F552" i="8"/>
  <c r="G552" i="8"/>
  <c r="I552" i="8"/>
  <c r="J552" i="8"/>
  <c r="K552" i="8"/>
  <c r="A553" i="8"/>
  <c r="C553" i="8"/>
  <c r="D553" i="8"/>
  <c r="E553" i="8"/>
  <c r="F553" i="8"/>
  <c r="G553" i="8"/>
  <c r="I553" i="8"/>
  <c r="J553" i="8"/>
  <c r="K553" i="8"/>
  <c r="A554" i="8"/>
  <c r="C554" i="8"/>
  <c r="D554" i="8"/>
  <c r="E554" i="8"/>
  <c r="F554" i="8"/>
  <c r="G554" i="8"/>
  <c r="I554" i="8"/>
  <c r="J554" i="8"/>
  <c r="K554" i="8"/>
  <c r="A555" i="8"/>
  <c r="C555" i="8"/>
  <c r="D555" i="8"/>
  <c r="E555" i="8"/>
  <c r="F555" i="8"/>
  <c r="G555" i="8"/>
  <c r="I555" i="8"/>
  <c r="J555" i="8"/>
  <c r="K555" i="8"/>
  <c r="A556" i="8"/>
  <c r="C556" i="8"/>
  <c r="D556" i="8"/>
  <c r="E556" i="8"/>
  <c r="F556" i="8"/>
  <c r="G556" i="8"/>
  <c r="I556" i="8"/>
  <c r="J556" i="8"/>
  <c r="K556" i="8"/>
  <c r="A557" i="8"/>
  <c r="C557" i="8"/>
  <c r="D557" i="8"/>
  <c r="E557" i="8"/>
  <c r="F557" i="8"/>
  <c r="G557" i="8"/>
  <c r="I557" i="8"/>
  <c r="J557" i="8"/>
  <c r="K557" i="8"/>
  <c r="A558" i="8"/>
  <c r="C558" i="8"/>
  <c r="D558" i="8"/>
  <c r="E558" i="8"/>
  <c r="F558" i="8"/>
  <c r="G558" i="8"/>
  <c r="I558" i="8"/>
  <c r="J558" i="8"/>
  <c r="K558" i="8"/>
  <c r="A559" i="8"/>
  <c r="C559" i="8"/>
  <c r="D559" i="8"/>
  <c r="E559" i="8"/>
  <c r="F559" i="8"/>
  <c r="G559" i="8"/>
  <c r="I559" i="8"/>
  <c r="J559" i="8"/>
  <c r="K559" i="8"/>
  <c r="A560" i="8"/>
  <c r="C560" i="8"/>
  <c r="D560" i="8"/>
  <c r="E560" i="8"/>
  <c r="F560" i="8"/>
  <c r="G560" i="8"/>
  <c r="I560" i="8"/>
  <c r="J560" i="8"/>
  <c r="K560" i="8"/>
  <c r="A561" i="8"/>
  <c r="C561" i="8"/>
  <c r="D561" i="8"/>
  <c r="E561" i="8"/>
  <c r="F561" i="8"/>
  <c r="G561" i="8"/>
  <c r="I561" i="8"/>
  <c r="J561" i="8"/>
  <c r="K561" i="8"/>
  <c r="A562" i="8"/>
  <c r="C562" i="8"/>
  <c r="D562" i="8"/>
  <c r="E562" i="8"/>
  <c r="F562" i="8"/>
  <c r="G562" i="8"/>
  <c r="I562" i="8"/>
  <c r="J562" i="8"/>
  <c r="K562" i="8"/>
  <c r="A563" i="8"/>
  <c r="C563" i="8"/>
  <c r="D563" i="8"/>
  <c r="E563" i="8"/>
  <c r="F563" i="8"/>
  <c r="G563" i="8"/>
  <c r="I563" i="8"/>
  <c r="J563" i="8"/>
  <c r="K563" i="8"/>
  <c r="A564" i="8"/>
  <c r="C564" i="8"/>
  <c r="D564" i="8"/>
  <c r="E564" i="8"/>
  <c r="F564" i="8"/>
  <c r="G564" i="8"/>
  <c r="I564" i="8"/>
  <c r="J564" i="8"/>
  <c r="K564" i="8"/>
  <c r="A565" i="8"/>
  <c r="C565" i="8"/>
  <c r="D565" i="8"/>
  <c r="E565" i="8"/>
  <c r="F565" i="8"/>
  <c r="G565" i="8"/>
  <c r="I565" i="8"/>
  <c r="J565" i="8"/>
  <c r="K565" i="8"/>
  <c r="A566" i="8"/>
  <c r="C566" i="8"/>
  <c r="D566" i="8"/>
  <c r="E566" i="8"/>
  <c r="F566" i="8"/>
  <c r="G566" i="8"/>
  <c r="I566" i="8"/>
  <c r="J566" i="8"/>
  <c r="K566" i="8"/>
  <c r="A567" i="8"/>
  <c r="C567" i="8"/>
  <c r="D567" i="8"/>
  <c r="E567" i="8"/>
  <c r="F567" i="8"/>
  <c r="G567" i="8"/>
  <c r="I567" i="8"/>
  <c r="J567" i="8"/>
  <c r="K567" i="8"/>
  <c r="A568" i="8"/>
  <c r="C568" i="8"/>
  <c r="D568" i="8"/>
  <c r="E568" i="8"/>
  <c r="F568" i="8"/>
  <c r="G568" i="8"/>
  <c r="I568" i="8"/>
  <c r="J568" i="8"/>
  <c r="K568" i="8"/>
  <c r="A569" i="8"/>
  <c r="C569" i="8"/>
  <c r="D569" i="8"/>
  <c r="E569" i="8"/>
  <c r="F569" i="8"/>
  <c r="G569" i="8"/>
  <c r="I569" i="8"/>
  <c r="J569" i="8"/>
  <c r="K569" i="8"/>
  <c r="A570" i="8"/>
  <c r="C570" i="8"/>
  <c r="D570" i="8"/>
  <c r="E570" i="8"/>
  <c r="F570" i="8"/>
  <c r="G570" i="8"/>
  <c r="I570" i="8"/>
  <c r="J570" i="8"/>
  <c r="K570" i="8"/>
  <c r="A571" i="8"/>
  <c r="C571" i="8"/>
  <c r="D571" i="8"/>
  <c r="E571" i="8"/>
  <c r="F571" i="8"/>
  <c r="G571" i="8"/>
  <c r="I571" i="8"/>
  <c r="J571" i="8"/>
  <c r="K571" i="8"/>
  <c r="A572" i="8"/>
  <c r="C572" i="8"/>
  <c r="D572" i="8"/>
  <c r="E572" i="8"/>
  <c r="F572" i="8"/>
  <c r="G572" i="8"/>
  <c r="I572" i="8"/>
  <c r="J572" i="8"/>
  <c r="K572" i="8"/>
  <c r="A573" i="8"/>
  <c r="C573" i="8"/>
  <c r="D573" i="8"/>
  <c r="E573" i="8"/>
  <c r="F573" i="8"/>
  <c r="G573" i="8"/>
  <c r="I573" i="8"/>
  <c r="J573" i="8"/>
  <c r="K573" i="8"/>
  <c r="A574" i="8"/>
  <c r="C574" i="8"/>
  <c r="D574" i="8"/>
  <c r="E574" i="8"/>
  <c r="F574" i="8"/>
  <c r="G574" i="8"/>
  <c r="I574" i="8"/>
  <c r="J574" i="8"/>
  <c r="K574" i="8"/>
  <c r="A575" i="8"/>
  <c r="C575" i="8"/>
  <c r="D575" i="8"/>
  <c r="E575" i="8"/>
  <c r="F575" i="8"/>
  <c r="G575" i="8"/>
  <c r="I575" i="8"/>
  <c r="J575" i="8"/>
  <c r="K575" i="8"/>
  <c r="A576" i="8"/>
  <c r="C576" i="8"/>
  <c r="D576" i="8"/>
  <c r="E576" i="8"/>
  <c r="F576" i="8"/>
  <c r="G576" i="8"/>
  <c r="I576" i="8"/>
  <c r="J576" i="8"/>
  <c r="K576" i="8"/>
  <c r="A577" i="8"/>
  <c r="C577" i="8"/>
  <c r="D577" i="8"/>
  <c r="E577" i="8"/>
  <c r="F577" i="8"/>
  <c r="G577" i="8"/>
  <c r="I577" i="8"/>
  <c r="J577" i="8"/>
  <c r="K577" i="8"/>
  <c r="A578" i="8"/>
  <c r="C578" i="8"/>
  <c r="D578" i="8"/>
  <c r="E578" i="8"/>
  <c r="F578" i="8"/>
  <c r="G578" i="8"/>
  <c r="I578" i="8"/>
  <c r="J578" i="8"/>
  <c r="K578" i="8"/>
  <c r="A579" i="8"/>
  <c r="C579" i="8"/>
  <c r="D579" i="8"/>
  <c r="E579" i="8"/>
  <c r="F579" i="8"/>
  <c r="G579" i="8"/>
  <c r="I579" i="8"/>
  <c r="J579" i="8"/>
  <c r="K579" i="8"/>
  <c r="A580" i="8"/>
  <c r="C580" i="8"/>
  <c r="D580" i="8"/>
  <c r="E580" i="8"/>
  <c r="F580" i="8"/>
  <c r="G580" i="8"/>
  <c r="I580" i="8"/>
  <c r="J580" i="8"/>
  <c r="K580" i="8"/>
  <c r="A581" i="8"/>
  <c r="C581" i="8"/>
  <c r="D581" i="8"/>
  <c r="E581" i="8"/>
  <c r="F581" i="8"/>
  <c r="G581" i="8"/>
  <c r="I581" i="8"/>
  <c r="J581" i="8"/>
  <c r="K581" i="8"/>
  <c r="A582" i="8"/>
  <c r="C582" i="8"/>
  <c r="D582" i="8"/>
  <c r="E582" i="8"/>
  <c r="F582" i="8"/>
  <c r="G582" i="8"/>
  <c r="I582" i="8"/>
  <c r="J582" i="8"/>
  <c r="K582" i="8"/>
  <c r="A583" i="8"/>
  <c r="C583" i="8"/>
  <c r="D583" i="8"/>
  <c r="E583" i="8"/>
  <c r="F583" i="8"/>
  <c r="G583" i="8"/>
  <c r="I583" i="8"/>
  <c r="J583" i="8"/>
  <c r="K583" i="8"/>
  <c r="A584" i="8"/>
  <c r="C584" i="8"/>
  <c r="D584" i="8"/>
  <c r="E584" i="8"/>
  <c r="F584" i="8"/>
  <c r="G584" i="8"/>
  <c r="I584" i="8"/>
  <c r="J584" i="8"/>
  <c r="K584" i="8"/>
  <c r="A585" i="8"/>
  <c r="C585" i="8"/>
  <c r="D585" i="8"/>
  <c r="E585" i="8"/>
  <c r="F585" i="8"/>
  <c r="G585" i="8"/>
  <c r="I585" i="8"/>
  <c r="J585" i="8"/>
  <c r="K585" i="8"/>
  <c r="A586" i="8"/>
  <c r="C586" i="8"/>
  <c r="D586" i="8"/>
  <c r="E586" i="8"/>
  <c r="F586" i="8"/>
  <c r="G586" i="8"/>
  <c r="I586" i="8"/>
  <c r="J586" i="8"/>
  <c r="K586" i="8"/>
  <c r="A587" i="8"/>
  <c r="C587" i="8"/>
  <c r="D587" i="8"/>
  <c r="E587" i="8"/>
  <c r="F587" i="8"/>
  <c r="G587" i="8"/>
  <c r="I587" i="8"/>
  <c r="J587" i="8"/>
  <c r="K587" i="8"/>
  <c r="A588" i="8"/>
  <c r="C588" i="8"/>
  <c r="D588" i="8"/>
  <c r="E588" i="8"/>
  <c r="F588" i="8"/>
  <c r="G588" i="8"/>
  <c r="I588" i="8"/>
  <c r="J588" i="8"/>
  <c r="K588" i="8"/>
  <c r="A589" i="8"/>
  <c r="C589" i="8"/>
  <c r="D589" i="8"/>
  <c r="E589" i="8"/>
  <c r="F589" i="8"/>
  <c r="G589" i="8"/>
  <c r="I589" i="8"/>
  <c r="J589" i="8"/>
  <c r="K589" i="8"/>
  <c r="A590" i="8"/>
  <c r="C590" i="8"/>
  <c r="D590" i="8"/>
  <c r="E590" i="8"/>
  <c r="F590" i="8"/>
  <c r="G590" i="8"/>
  <c r="I590" i="8"/>
  <c r="J590" i="8"/>
  <c r="K590" i="8"/>
  <c r="A591" i="8"/>
  <c r="C591" i="8"/>
  <c r="D591" i="8"/>
  <c r="E591" i="8"/>
  <c r="F591" i="8"/>
  <c r="G591" i="8"/>
  <c r="I591" i="8"/>
  <c r="J591" i="8"/>
  <c r="K591" i="8"/>
  <c r="A592" i="8"/>
  <c r="C592" i="8"/>
  <c r="D592" i="8"/>
  <c r="E592" i="8"/>
  <c r="F592" i="8"/>
  <c r="G592" i="8"/>
  <c r="I592" i="8"/>
  <c r="J592" i="8"/>
  <c r="K592" i="8"/>
  <c r="A593" i="8"/>
  <c r="C593" i="8"/>
  <c r="D593" i="8"/>
  <c r="E593" i="8"/>
  <c r="F593" i="8"/>
  <c r="G593" i="8"/>
  <c r="I593" i="8"/>
  <c r="J593" i="8"/>
  <c r="K593" i="8"/>
  <c r="A594" i="8"/>
  <c r="C594" i="8"/>
  <c r="D594" i="8"/>
  <c r="E594" i="8"/>
  <c r="F594" i="8"/>
  <c r="G594" i="8"/>
  <c r="I594" i="8"/>
  <c r="J594" i="8"/>
  <c r="K594" i="8"/>
  <c r="A595" i="8"/>
  <c r="C595" i="8"/>
  <c r="D595" i="8"/>
  <c r="E595" i="8"/>
  <c r="F595" i="8"/>
  <c r="G595" i="8"/>
  <c r="I595" i="8"/>
  <c r="J595" i="8"/>
  <c r="K595" i="8"/>
  <c r="A596" i="8"/>
  <c r="C596" i="8"/>
  <c r="D596" i="8"/>
  <c r="E596" i="8"/>
  <c r="F596" i="8"/>
  <c r="G596" i="8"/>
  <c r="I596" i="8"/>
  <c r="J596" i="8"/>
  <c r="K596" i="8"/>
  <c r="A597" i="8"/>
  <c r="C597" i="8"/>
  <c r="D597" i="8"/>
  <c r="E597" i="8"/>
  <c r="F597" i="8"/>
  <c r="G597" i="8"/>
  <c r="I597" i="8"/>
  <c r="J597" i="8"/>
  <c r="K597" i="8"/>
  <c r="A598" i="8"/>
  <c r="C598" i="8"/>
  <c r="D598" i="8"/>
  <c r="E598" i="8"/>
  <c r="F598" i="8"/>
  <c r="G598" i="8"/>
  <c r="I598" i="8"/>
  <c r="J598" i="8"/>
  <c r="K598" i="8"/>
  <c r="A599" i="8"/>
  <c r="C599" i="8"/>
  <c r="D599" i="8"/>
  <c r="E599" i="8"/>
  <c r="F599" i="8"/>
  <c r="G599" i="8"/>
  <c r="I599" i="8"/>
  <c r="J599" i="8"/>
  <c r="K599" i="8"/>
  <c r="A600" i="8"/>
  <c r="C600" i="8"/>
  <c r="D600" i="8"/>
  <c r="E600" i="8"/>
  <c r="F600" i="8"/>
  <c r="G600" i="8"/>
  <c r="I600" i="8"/>
  <c r="J600" i="8"/>
  <c r="K600" i="8"/>
  <c r="A601" i="8"/>
  <c r="C601" i="8"/>
  <c r="D601" i="8"/>
  <c r="E601" i="8"/>
  <c r="F601" i="8"/>
  <c r="G601" i="8"/>
  <c r="I601" i="8"/>
  <c r="J601" i="8"/>
  <c r="K601" i="8"/>
  <c r="A602" i="8"/>
  <c r="C602" i="8"/>
  <c r="D602" i="8"/>
  <c r="E602" i="8"/>
  <c r="F602" i="8"/>
  <c r="G602" i="8"/>
  <c r="I602" i="8"/>
  <c r="J602" i="8"/>
  <c r="K602" i="8"/>
  <c r="A603" i="8"/>
  <c r="C603" i="8"/>
  <c r="D603" i="8"/>
  <c r="E603" i="8"/>
  <c r="F603" i="8"/>
  <c r="G603" i="8"/>
  <c r="I603" i="8"/>
  <c r="J603" i="8"/>
  <c r="K603" i="8"/>
  <c r="A604" i="8"/>
  <c r="C604" i="8"/>
  <c r="D604" i="8"/>
  <c r="E604" i="8"/>
  <c r="F604" i="8"/>
  <c r="G604" i="8"/>
  <c r="I604" i="8"/>
  <c r="J604" i="8"/>
  <c r="K604" i="8"/>
  <c r="A605" i="8"/>
  <c r="C605" i="8"/>
  <c r="D605" i="8"/>
  <c r="E605" i="8"/>
  <c r="F605" i="8"/>
  <c r="G605" i="8"/>
  <c r="I605" i="8"/>
  <c r="J605" i="8"/>
  <c r="K605" i="8"/>
  <c r="A606" i="8"/>
  <c r="C606" i="8"/>
  <c r="D606" i="8"/>
  <c r="E606" i="8"/>
  <c r="F606" i="8"/>
  <c r="G606" i="8"/>
  <c r="I606" i="8"/>
  <c r="J606" i="8"/>
  <c r="K606" i="8"/>
  <c r="A607" i="8"/>
  <c r="C607" i="8"/>
  <c r="D607" i="8"/>
  <c r="E607" i="8"/>
  <c r="F607" i="8"/>
  <c r="G607" i="8"/>
  <c r="I607" i="8"/>
  <c r="J607" i="8"/>
  <c r="K607" i="8"/>
  <c r="A608" i="8"/>
  <c r="C608" i="8"/>
  <c r="D608" i="8"/>
  <c r="E608" i="8"/>
  <c r="F608" i="8"/>
  <c r="G608" i="8"/>
  <c r="I608" i="8"/>
  <c r="J608" i="8"/>
  <c r="K608" i="8"/>
  <c r="A609" i="8"/>
  <c r="C609" i="8"/>
  <c r="D609" i="8"/>
  <c r="E609" i="8"/>
  <c r="F609" i="8"/>
  <c r="G609" i="8"/>
  <c r="I609" i="8"/>
  <c r="J609" i="8"/>
  <c r="K609" i="8"/>
  <c r="A610" i="8"/>
  <c r="C610" i="8"/>
  <c r="D610" i="8"/>
  <c r="E610" i="8"/>
  <c r="F610" i="8"/>
  <c r="G610" i="8"/>
  <c r="I610" i="8"/>
  <c r="J610" i="8"/>
  <c r="K610" i="8"/>
  <c r="A611" i="8"/>
  <c r="C611" i="8"/>
  <c r="D611" i="8"/>
  <c r="E611" i="8"/>
  <c r="F611" i="8"/>
  <c r="G611" i="8"/>
  <c r="I611" i="8"/>
  <c r="J611" i="8"/>
  <c r="K611" i="8"/>
  <c r="A612" i="8"/>
  <c r="C612" i="8"/>
  <c r="D612" i="8"/>
  <c r="E612" i="8"/>
  <c r="F612" i="8"/>
  <c r="G612" i="8"/>
  <c r="I612" i="8"/>
  <c r="J612" i="8"/>
  <c r="K612" i="8"/>
  <c r="A613" i="8"/>
  <c r="C613" i="8"/>
  <c r="D613" i="8"/>
  <c r="E613" i="8"/>
  <c r="F613" i="8"/>
  <c r="G613" i="8"/>
  <c r="I613" i="8"/>
  <c r="J613" i="8"/>
  <c r="K613" i="8"/>
  <c r="A614" i="8"/>
  <c r="C614" i="8"/>
  <c r="D614" i="8"/>
  <c r="E614" i="8"/>
  <c r="F614" i="8"/>
  <c r="G614" i="8"/>
  <c r="I614" i="8"/>
  <c r="J614" i="8"/>
  <c r="K614" i="8"/>
  <c r="A615" i="8"/>
  <c r="C615" i="8"/>
  <c r="D615" i="8"/>
  <c r="E615" i="8"/>
  <c r="F615" i="8"/>
  <c r="G615" i="8"/>
  <c r="I615" i="8"/>
  <c r="J615" i="8"/>
  <c r="K615" i="8"/>
  <c r="A616" i="8"/>
  <c r="C616" i="8"/>
  <c r="D616" i="8"/>
  <c r="E616" i="8"/>
  <c r="F616" i="8"/>
  <c r="G616" i="8"/>
  <c r="I616" i="8"/>
  <c r="J616" i="8"/>
  <c r="K616" i="8"/>
  <c r="A617" i="8"/>
  <c r="C617" i="8"/>
  <c r="D617" i="8"/>
  <c r="E617" i="8"/>
  <c r="F617" i="8"/>
  <c r="G617" i="8"/>
  <c r="I617" i="8"/>
  <c r="J617" i="8"/>
  <c r="K617" i="8"/>
  <c r="A618" i="8"/>
  <c r="C618" i="8"/>
  <c r="D618" i="8"/>
  <c r="E618" i="8"/>
  <c r="F618" i="8"/>
  <c r="G618" i="8"/>
  <c r="I618" i="8"/>
  <c r="J618" i="8"/>
  <c r="K618" i="8"/>
  <c r="A619" i="8"/>
  <c r="C619" i="8"/>
  <c r="D619" i="8"/>
  <c r="E619" i="8"/>
  <c r="F619" i="8"/>
  <c r="G619" i="8"/>
  <c r="I619" i="8"/>
  <c r="J619" i="8"/>
  <c r="K619" i="8"/>
  <c r="A620" i="8"/>
  <c r="C620" i="8"/>
  <c r="D620" i="8"/>
  <c r="E620" i="8"/>
  <c r="F620" i="8"/>
  <c r="G620" i="8"/>
  <c r="I620" i="8"/>
  <c r="J620" i="8"/>
  <c r="K620" i="8"/>
  <c r="A621" i="8"/>
  <c r="C621" i="8"/>
  <c r="D621" i="8"/>
  <c r="E621" i="8"/>
  <c r="F621" i="8"/>
  <c r="G621" i="8"/>
  <c r="I621" i="8"/>
  <c r="J621" i="8"/>
  <c r="K621" i="8"/>
  <c r="A622" i="8"/>
  <c r="C622" i="8"/>
  <c r="D622" i="8"/>
  <c r="E622" i="8"/>
  <c r="F622" i="8"/>
  <c r="G622" i="8"/>
  <c r="I622" i="8"/>
  <c r="J622" i="8"/>
  <c r="K622" i="8"/>
  <c r="A623" i="8"/>
  <c r="C623" i="8"/>
  <c r="D623" i="8"/>
  <c r="E623" i="8"/>
  <c r="F623" i="8"/>
  <c r="G623" i="8"/>
  <c r="I623" i="8"/>
  <c r="J623" i="8"/>
  <c r="K623" i="8"/>
  <c r="A624" i="8"/>
  <c r="C624" i="8"/>
  <c r="D624" i="8"/>
  <c r="E624" i="8"/>
  <c r="F624" i="8"/>
  <c r="G624" i="8"/>
  <c r="I624" i="8"/>
  <c r="J624" i="8"/>
  <c r="K624" i="8"/>
  <c r="A625" i="8"/>
  <c r="C625" i="8"/>
  <c r="D625" i="8"/>
  <c r="E625" i="8"/>
  <c r="F625" i="8"/>
  <c r="G625" i="8"/>
  <c r="I625" i="8"/>
  <c r="J625" i="8"/>
  <c r="K625" i="8"/>
  <c r="A626" i="8"/>
  <c r="C626" i="8"/>
  <c r="D626" i="8"/>
  <c r="E626" i="8"/>
  <c r="F626" i="8"/>
  <c r="G626" i="8"/>
  <c r="I626" i="8"/>
  <c r="J626" i="8"/>
  <c r="K626" i="8"/>
  <c r="A627" i="8"/>
  <c r="C627" i="8"/>
  <c r="D627" i="8"/>
  <c r="E627" i="8"/>
  <c r="F627" i="8"/>
  <c r="G627" i="8"/>
  <c r="I627" i="8"/>
  <c r="J627" i="8"/>
  <c r="K627" i="8"/>
  <c r="A628" i="8"/>
  <c r="C628" i="8"/>
  <c r="D628" i="8"/>
  <c r="E628" i="8"/>
  <c r="F628" i="8"/>
  <c r="G628" i="8"/>
  <c r="I628" i="8"/>
  <c r="J628" i="8"/>
  <c r="K628" i="8"/>
  <c r="A629" i="8"/>
  <c r="C629" i="8"/>
  <c r="D629" i="8"/>
  <c r="E629" i="8"/>
  <c r="F629" i="8"/>
  <c r="G629" i="8"/>
  <c r="I629" i="8"/>
  <c r="J629" i="8"/>
  <c r="K629" i="8"/>
  <c r="A630" i="8"/>
  <c r="C630" i="8"/>
  <c r="D630" i="8"/>
  <c r="E630" i="8"/>
  <c r="F630" i="8"/>
  <c r="G630" i="8"/>
  <c r="I630" i="8"/>
  <c r="J630" i="8"/>
  <c r="K630" i="8"/>
  <c r="A631" i="8"/>
  <c r="C631" i="8"/>
  <c r="D631" i="8"/>
  <c r="E631" i="8"/>
  <c r="F631" i="8"/>
  <c r="G631" i="8"/>
  <c r="I631" i="8"/>
  <c r="J631" i="8"/>
  <c r="K631" i="8"/>
  <c r="A632" i="8"/>
  <c r="C632" i="8"/>
  <c r="D632" i="8"/>
  <c r="E632" i="8"/>
  <c r="F632" i="8"/>
  <c r="G632" i="8"/>
  <c r="I632" i="8"/>
  <c r="J632" i="8"/>
  <c r="K632" i="8"/>
  <c r="A633" i="8"/>
  <c r="C633" i="8"/>
  <c r="D633" i="8"/>
  <c r="E633" i="8"/>
  <c r="F633" i="8"/>
  <c r="G633" i="8"/>
  <c r="I633" i="8"/>
  <c r="J633" i="8"/>
  <c r="K633" i="8"/>
  <c r="A634" i="8"/>
  <c r="C634" i="8"/>
  <c r="D634" i="8"/>
  <c r="E634" i="8"/>
  <c r="F634" i="8"/>
  <c r="G634" i="8"/>
  <c r="I634" i="8"/>
  <c r="J634" i="8"/>
  <c r="K634" i="8"/>
  <c r="A635" i="8"/>
  <c r="C635" i="8"/>
  <c r="D635" i="8"/>
  <c r="E635" i="8"/>
  <c r="F635" i="8"/>
  <c r="G635" i="8"/>
  <c r="I635" i="8"/>
  <c r="J635" i="8"/>
  <c r="K635" i="8"/>
  <c r="A636" i="8"/>
  <c r="C636" i="8"/>
  <c r="D636" i="8"/>
  <c r="E636" i="8"/>
  <c r="F636" i="8"/>
  <c r="G636" i="8"/>
  <c r="I636" i="8"/>
  <c r="J636" i="8"/>
  <c r="K636" i="8"/>
  <c r="A637" i="8"/>
  <c r="C637" i="8"/>
  <c r="D637" i="8"/>
  <c r="E637" i="8"/>
  <c r="F637" i="8"/>
  <c r="G637" i="8"/>
  <c r="I637" i="8"/>
  <c r="J637" i="8"/>
  <c r="K637" i="8"/>
  <c r="A638" i="8"/>
  <c r="C638" i="8"/>
  <c r="D638" i="8"/>
  <c r="E638" i="8"/>
  <c r="F638" i="8"/>
  <c r="G638" i="8"/>
  <c r="I638" i="8"/>
  <c r="J638" i="8"/>
  <c r="K638" i="8"/>
  <c r="A639" i="8"/>
  <c r="C639" i="8"/>
  <c r="D639" i="8"/>
  <c r="E639" i="8"/>
  <c r="F639" i="8"/>
  <c r="G639" i="8"/>
  <c r="I639" i="8"/>
  <c r="J639" i="8"/>
  <c r="K639" i="8"/>
  <c r="A640" i="8"/>
  <c r="C640" i="8"/>
  <c r="D640" i="8"/>
  <c r="E640" i="8"/>
  <c r="F640" i="8"/>
  <c r="G640" i="8"/>
  <c r="I640" i="8"/>
  <c r="J640" i="8"/>
  <c r="K640" i="8"/>
  <c r="A641" i="8"/>
  <c r="C641" i="8"/>
  <c r="D641" i="8"/>
  <c r="E641" i="8"/>
  <c r="F641" i="8"/>
  <c r="G641" i="8"/>
  <c r="I641" i="8"/>
  <c r="J641" i="8"/>
  <c r="K641" i="8"/>
  <c r="A642" i="8"/>
  <c r="C642" i="8"/>
  <c r="D642" i="8"/>
  <c r="E642" i="8"/>
  <c r="F642" i="8"/>
  <c r="G642" i="8"/>
  <c r="I642" i="8"/>
  <c r="J642" i="8"/>
  <c r="K642" i="8"/>
  <c r="A643" i="8"/>
  <c r="C643" i="8"/>
  <c r="D643" i="8"/>
  <c r="E643" i="8"/>
  <c r="F643" i="8"/>
  <c r="G643" i="8"/>
  <c r="I643" i="8"/>
  <c r="J643" i="8"/>
  <c r="K643" i="8"/>
  <c r="A644" i="8"/>
  <c r="C644" i="8"/>
  <c r="D644" i="8"/>
  <c r="E644" i="8"/>
  <c r="F644" i="8"/>
  <c r="G644" i="8"/>
  <c r="I644" i="8"/>
  <c r="J644" i="8"/>
  <c r="K644" i="8"/>
  <c r="A645" i="8"/>
  <c r="C645" i="8"/>
  <c r="D645" i="8"/>
  <c r="E645" i="8"/>
  <c r="F645" i="8"/>
  <c r="G645" i="8"/>
  <c r="I645" i="8"/>
  <c r="J645" i="8"/>
  <c r="K645" i="8"/>
  <c r="A646" i="8"/>
  <c r="C646" i="8"/>
  <c r="D646" i="8"/>
  <c r="E646" i="8"/>
  <c r="F646" i="8"/>
  <c r="G646" i="8"/>
  <c r="I646" i="8"/>
  <c r="J646" i="8"/>
  <c r="K646" i="8"/>
  <c r="A647" i="8"/>
  <c r="C647" i="8"/>
  <c r="D647" i="8"/>
  <c r="E647" i="8"/>
  <c r="F647" i="8"/>
  <c r="G647" i="8"/>
  <c r="I647" i="8"/>
  <c r="J647" i="8"/>
  <c r="K647" i="8"/>
  <c r="A648" i="8"/>
  <c r="C648" i="8"/>
  <c r="D648" i="8"/>
  <c r="E648" i="8"/>
  <c r="F648" i="8"/>
  <c r="G648" i="8"/>
  <c r="I648" i="8"/>
  <c r="J648" i="8"/>
  <c r="K648" i="8"/>
  <c r="A649" i="8"/>
  <c r="C649" i="8"/>
  <c r="D649" i="8"/>
  <c r="E649" i="8"/>
  <c r="F649" i="8"/>
  <c r="G649" i="8"/>
  <c r="I649" i="8"/>
  <c r="J649" i="8"/>
  <c r="K649" i="8"/>
  <c r="A650" i="8"/>
  <c r="C650" i="8"/>
  <c r="D650" i="8"/>
  <c r="E650" i="8"/>
  <c r="F650" i="8"/>
  <c r="G650" i="8"/>
  <c r="I650" i="8"/>
  <c r="J650" i="8"/>
  <c r="K650" i="8"/>
  <c r="A651" i="8"/>
  <c r="C651" i="8"/>
  <c r="D651" i="8"/>
  <c r="E651" i="8"/>
  <c r="F651" i="8"/>
  <c r="G651" i="8"/>
  <c r="I651" i="8"/>
  <c r="J651" i="8"/>
  <c r="K651" i="8"/>
  <c r="A652" i="8"/>
  <c r="C652" i="8"/>
  <c r="D652" i="8"/>
  <c r="E652" i="8"/>
  <c r="F652" i="8"/>
  <c r="G652" i="8"/>
  <c r="I652" i="8"/>
  <c r="J652" i="8"/>
  <c r="K652" i="8"/>
  <c r="A653" i="8"/>
  <c r="C653" i="8"/>
  <c r="D653" i="8"/>
  <c r="E653" i="8"/>
  <c r="F653" i="8"/>
  <c r="G653" i="8"/>
  <c r="I653" i="8"/>
  <c r="J653" i="8"/>
  <c r="K653" i="8"/>
  <c r="A654" i="8"/>
  <c r="C654" i="8"/>
  <c r="D654" i="8"/>
  <c r="E654" i="8"/>
  <c r="F654" i="8"/>
  <c r="G654" i="8"/>
  <c r="I654" i="8"/>
  <c r="J654" i="8"/>
  <c r="K654" i="8"/>
  <c r="A655" i="8"/>
  <c r="C655" i="8"/>
  <c r="D655" i="8"/>
  <c r="E655" i="8"/>
  <c r="F655" i="8"/>
  <c r="G655" i="8"/>
  <c r="I655" i="8"/>
  <c r="J655" i="8"/>
  <c r="K655" i="8"/>
  <c r="A656" i="8"/>
  <c r="C656" i="8"/>
  <c r="D656" i="8"/>
  <c r="E656" i="8"/>
  <c r="F656" i="8"/>
  <c r="G656" i="8"/>
  <c r="I656" i="8"/>
  <c r="J656" i="8"/>
  <c r="K656" i="8"/>
  <c r="A657" i="8"/>
  <c r="C657" i="8"/>
  <c r="D657" i="8"/>
  <c r="E657" i="8"/>
  <c r="F657" i="8"/>
  <c r="G657" i="8"/>
  <c r="I657" i="8"/>
  <c r="J657" i="8"/>
  <c r="K657" i="8"/>
  <c r="A658" i="8"/>
  <c r="C658" i="8"/>
  <c r="D658" i="8"/>
  <c r="E658" i="8"/>
  <c r="F658" i="8"/>
  <c r="G658" i="8"/>
  <c r="I658" i="8"/>
  <c r="J658" i="8"/>
  <c r="K658" i="8"/>
  <c r="A659" i="8"/>
  <c r="C659" i="8"/>
  <c r="D659" i="8"/>
  <c r="E659" i="8"/>
  <c r="F659" i="8"/>
  <c r="G659" i="8"/>
  <c r="I659" i="8"/>
  <c r="J659" i="8"/>
  <c r="K659" i="8"/>
  <c r="A660" i="8"/>
  <c r="C660" i="8"/>
  <c r="D660" i="8"/>
  <c r="E660" i="8"/>
  <c r="F660" i="8"/>
  <c r="G660" i="8"/>
  <c r="I660" i="8"/>
  <c r="J660" i="8"/>
  <c r="K660" i="8"/>
  <c r="A661" i="8"/>
  <c r="C661" i="8"/>
  <c r="D661" i="8"/>
  <c r="E661" i="8"/>
  <c r="F661" i="8"/>
  <c r="G661" i="8"/>
  <c r="I661" i="8"/>
  <c r="J661" i="8"/>
  <c r="K661" i="8"/>
  <c r="A662" i="8"/>
  <c r="C662" i="8"/>
  <c r="D662" i="8"/>
  <c r="E662" i="8"/>
  <c r="F662" i="8"/>
  <c r="G662" i="8"/>
  <c r="I662" i="8"/>
  <c r="J662" i="8"/>
  <c r="K662" i="8"/>
  <c r="A663" i="8"/>
  <c r="C663" i="8"/>
  <c r="D663" i="8"/>
  <c r="E663" i="8"/>
  <c r="F663" i="8"/>
  <c r="G663" i="8"/>
  <c r="I663" i="8"/>
  <c r="J663" i="8"/>
  <c r="K663" i="8"/>
  <c r="A664" i="8"/>
  <c r="C664" i="8"/>
  <c r="D664" i="8"/>
  <c r="E664" i="8"/>
  <c r="F664" i="8"/>
  <c r="G664" i="8"/>
  <c r="I664" i="8"/>
  <c r="J664" i="8"/>
  <c r="K664" i="8"/>
  <c r="A665" i="8"/>
  <c r="C665" i="8"/>
  <c r="D665" i="8"/>
  <c r="E665" i="8"/>
  <c r="F665" i="8"/>
  <c r="G665" i="8"/>
  <c r="I665" i="8"/>
  <c r="J665" i="8"/>
  <c r="K665" i="8"/>
  <c r="A666" i="8"/>
  <c r="C666" i="8"/>
  <c r="D666" i="8"/>
  <c r="E666" i="8"/>
  <c r="F666" i="8"/>
  <c r="G666" i="8"/>
  <c r="I666" i="8"/>
  <c r="J666" i="8"/>
  <c r="K666" i="8"/>
  <c r="A2" i="7"/>
  <c r="C2" i="7"/>
  <c r="D2" i="7"/>
  <c r="E2" i="7"/>
  <c r="F2" i="7"/>
  <c r="G2" i="7"/>
  <c r="I2" i="7"/>
  <c r="J2" i="7"/>
  <c r="K2" i="7"/>
  <c r="A3" i="7"/>
  <c r="C3" i="7"/>
  <c r="D3" i="7"/>
  <c r="E3" i="7"/>
  <c r="F3" i="7"/>
  <c r="G3" i="7"/>
  <c r="I3" i="7"/>
  <c r="J3" i="7"/>
  <c r="K3" i="7"/>
  <c r="A4" i="7"/>
  <c r="C4" i="7"/>
  <c r="D4" i="7"/>
  <c r="E4" i="7"/>
  <c r="F4" i="7"/>
  <c r="G4" i="7"/>
  <c r="I4" i="7"/>
  <c r="J4" i="7"/>
  <c r="K4" i="7"/>
  <c r="A5" i="7"/>
  <c r="C5" i="7"/>
  <c r="D5" i="7"/>
  <c r="E5" i="7"/>
  <c r="F5" i="7"/>
  <c r="G5" i="7"/>
  <c r="I5" i="7"/>
  <c r="J5" i="7"/>
  <c r="K5" i="7"/>
  <c r="A6" i="7"/>
  <c r="C6" i="7"/>
  <c r="D6" i="7"/>
  <c r="E6" i="7"/>
  <c r="F6" i="7"/>
  <c r="G6" i="7"/>
  <c r="I6" i="7"/>
  <c r="J6" i="7"/>
  <c r="K6" i="7"/>
  <c r="A7" i="7"/>
  <c r="C7" i="7"/>
  <c r="D7" i="7"/>
  <c r="E7" i="7"/>
  <c r="F7" i="7"/>
  <c r="G7" i="7"/>
  <c r="I7" i="7"/>
  <c r="J7" i="7"/>
  <c r="K7" i="7"/>
  <c r="A8" i="7"/>
  <c r="C8" i="7"/>
  <c r="D8" i="7"/>
  <c r="E8" i="7"/>
  <c r="F8" i="7"/>
  <c r="G8" i="7"/>
  <c r="I8" i="7"/>
  <c r="J8" i="7"/>
  <c r="K8" i="7"/>
  <c r="A9" i="7"/>
  <c r="C9" i="7"/>
  <c r="D9" i="7"/>
  <c r="E9" i="7"/>
  <c r="F9" i="7"/>
  <c r="G9" i="7"/>
  <c r="I9" i="7"/>
  <c r="J9" i="7"/>
  <c r="K9" i="7"/>
  <c r="A10" i="7"/>
  <c r="C10" i="7"/>
  <c r="D10" i="7"/>
  <c r="E10" i="7"/>
  <c r="F10" i="7"/>
  <c r="G10" i="7"/>
  <c r="I10" i="7"/>
  <c r="J10" i="7"/>
  <c r="K10" i="7"/>
  <c r="A11" i="7"/>
  <c r="C11" i="7"/>
  <c r="D11" i="7"/>
  <c r="E11" i="7"/>
  <c r="F11" i="7"/>
  <c r="G11" i="7"/>
  <c r="I11" i="7"/>
  <c r="J11" i="7"/>
  <c r="K11" i="7"/>
  <c r="A12" i="7"/>
  <c r="C12" i="7"/>
  <c r="D12" i="7"/>
  <c r="E12" i="7"/>
  <c r="F12" i="7"/>
  <c r="G12" i="7"/>
  <c r="I12" i="7"/>
  <c r="J12" i="7"/>
  <c r="K12" i="7"/>
  <c r="A13" i="7"/>
  <c r="C13" i="7"/>
  <c r="D13" i="7"/>
  <c r="E13" i="7"/>
  <c r="F13" i="7"/>
  <c r="G13" i="7"/>
  <c r="I13" i="7"/>
  <c r="J13" i="7"/>
  <c r="K13" i="7"/>
  <c r="A14" i="7"/>
  <c r="C14" i="7"/>
  <c r="D14" i="7"/>
  <c r="E14" i="7"/>
  <c r="F14" i="7"/>
  <c r="G14" i="7"/>
  <c r="I14" i="7"/>
  <c r="J14" i="7"/>
  <c r="K14" i="7"/>
  <c r="A15" i="7"/>
  <c r="C15" i="7"/>
  <c r="D15" i="7"/>
  <c r="E15" i="7"/>
  <c r="F15" i="7"/>
  <c r="G15" i="7"/>
  <c r="I15" i="7"/>
  <c r="J15" i="7"/>
  <c r="K15" i="7"/>
  <c r="A16" i="7"/>
  <c r="C16" i="7"/>
  <c r="D16" i="7"/>
  <c r="E16" i="7"/>
  <c r="F16" i="7"/>
  <c r="G16" i="7"/>
  <c r="I16" i="7"/>
  <c r="J16" i="7"/>
  <c r="K16" i="7"/>
  <c r="A17" i="7"/>
  <c r="C17" i="7"/>
  <c r="D17" i="7"/>
  <c r="E17" i="7"/>
  <c r="F17" i="7"/>
  <c r="G17" i="7"/>
  <c r="I17" i="7"/>
  <c r="J17" i="7"/>
  <c r="K17" i="7"/>
  <c r="A18" i="7"/>
  <c r="C18" i="7"/>
  <c r="D18" i="7"/>
  <c r="E18" i="7"/>
  <c r="F18" i="7"/>
  <c r="G18" i="7"/>
  <c r="I18" i="7"/>
  <c r="J18" i="7"/>
  <c r="K18" i="7"/>
  <c r="A19" i="7"/>
  <c r="C19" i="7"/>
  <c r="D19" i="7"/>
  <c r="E19" i="7"/>
  <c r="F19" i="7"/>
  <c r="G19" i="7"/>
  <c r="I19" i="7"/>
  <c r="J19" i="7"/>
  <c r="K19" i="7"/>
  <c r="A20" i="7"/>
  <c r="C20" i="7"/>
  <c r="D20" i="7"/>
  <c r="E20" i="7"/>
  <c r="F20" i="7"/>
  <c r="G20" i="7"/>
  <c r="I20" i="7"/>
  <c r="J20" i="7"/>
  <c r="K20" i="7"/>
  <c r="A21" i="7"/>
  <c r="C21" i="7"/>
  <c r="D21" i="7"/>
  <c r="E21" i="7"/>
  <c r="F21" i="7"/>
  <c r="G21" i="7"/>
  <c r="I21" i="7"/>
  <c r="J21" i="7"/>
  <c r="K21" i="7"/>
  <c r="A22" i="7"/>
  <c r="C22" i="7"/>
  <c r="D22" i="7"/>
  <c r="E22" i="7"/>
  <c r="F22" i="7"/>
  <c r="G22" i="7"/>
  <c r="I22" i="7"/>
  <c r="J22" i="7"/>
  <c r="K22" i="7"/>
  <c r="A23" i="7"/>
  <c r="C23" i="7"/>
  <c r="D23" i="7"/>
  <c r="E23" i="7"/>
  <c r="F23" i="7"/>
  <c r="G23" i="7"/>
  <c r="I23" i="7"/>
  <c r="J23" i="7"/>
  <c r="K23" i="7"/>
  <c r="A24" i="7"/>
  <c r="C24" i="7"/>
  <c r="D24" i="7"/>
  <c r="E24" i="7"/>
  <c r="F24" i="7"/>
  <c r="G24" i="7"/>
  <c r="I24" i="7"/>
  <c r="J24" i="7"/>
  <c r="K24" i="7"/>
  <c r="A25" i="7"/>
  <c r="C25" i="7"/>
  <c r="D25" i="7"/>
  <c r="E25" i="7"/>
  <c r="F25" i="7"/>
  <c r="G25" i="7"/>
  <c r="I25" i="7"/>
  <c r="J25" i="7"/>
  <c r="K25" i="7"/>
  <c r="A26" i="7"/>
  <c r="C26" i="7"/>
  <c r="D26" i="7"/>
  <c r="E26" i="7"/>
  <c r="F26" i="7"/>
  <c r="G26" i="7"/>
  <c r="I26" i="7"/>
  <c r="J26" i="7"/>
  <c r="K26" i="7"/>
  <c r="A27" i="7"/>
  <c r="C27" i="7"/>
  <c r="D27" i="7"/>
  <c r="E27" i="7"/>
  <c r="F27" i="7"/>
  <c r="G27" i="7"/>
  <c r="I27" i="7"/>
  <c r="J27" i="7"/>
  <c r="K27" i="7"/>
  <c r="A28" i="7"/>
  <c r="C28" i="7"/>
  <c r="D28" i="7"/>
  <c r="E28" i="7"/>
  <c r="F28" i="7"/>
  <c r="G28" i="7"/>
  <c r="I28" i="7"/>
  <c r="J28" i="7"/>
  <c r="K28" i="7"/>
  <c r="A29" i="7"/>
  <c r="C29" i="7"/>
  <c r="D29" i="7"/>
  <c r="E29" i="7"/>
  <c r="F29" i="7"/>
  <c r="G29" i="7"/>
  <c r="I29" i="7"/>
  <c r="J29" i="7"/>
  <c r="K29" i="7"/>
  <c r="A30" i="7"/>
  <c r="C30" i="7"/>
  <c r="D30" i="7"/>
  <c r="E30" i="7"/>
  <c r="F30" i="7"/>
  <c r="G30" i="7"/>
  <c r="I30" i="7"/>
  <c r="J30" i="7"/>
  <c r="K30" i="7"/>
  <c r="A31" i="7"/>
  <c r="C31" i="7"/>
  <c r="D31" i="7"/>
  <c r="E31" i="7"/>
  <c r="F31" i="7"/>
  <c r="G31" i="7"/>
  <c r="I31" i="7"/>
  <c r="J31" i="7"/>
  <c r="K31" i="7"/>
  <c r="A32" i="7"/>
  <c r="C32" i="7"/>
  <c r="D32" i="7"/>
  <c r="E32" i="7"/>
  <c r="F32" i="7"/>
  <c r="G32" i="7"/>
  <c r="I32" i="7"/>
  <c r="J32" i="7"/>
  <c r="K32" i="7"/>
  <c r="A33" i="7"/>
  <c r="C33" i="7"/>
  <c r="D33" i="7"/>
  <c r="E33" i="7"/>
  <c r="F33" i="7"/>
  <c r="G33" i="7"/>
  <c r="I33" i="7"/>
  <c r="J33" i="7"/>
  <c r="K33" i="7"/>
  <c r="A34" i="7"/>
  <c r="C34" i="7"/>
  <c r="D34" i="7"/>
  <c r="E34" i="7"/>
  <c r="F34" i="7"/>
  <c r="G34" i="7"/>
  <c r="I34" i="7"/>
  <c r="J34" i="7"/>
  <c r="K34" i="7"/>
  <c r="A35" i="7"/>
  <c r="C35" i="7"/>
  <c r="D35" i="7"/>
  <c r="E35" i="7"/>
  <c r="F35" i="7"/>
  <c r="G35" i="7"/>
  <c r="I35" i="7"/>
  <c r="J35" i="7"/>
  <c r="K35" i="7"/>
  <c r="A36" i="7"/>
  <c r="C36" i="7"/>
  <c r="D36" i="7"/>
  <c r="E36" i="7"/>
  <c r="F36" i="7"/>
  <c r="G36" i="7"/>
  <c r="I36" i="7"/>
  <c r="J36" i="7"/>
  <c r="K36" i="7"/>
  <c r="A37" i="7"/>
  <c r="C37" i="7"/>
  <c r="D37" i="7"/>
  <c r="E37" i="7"/>
  <c r="F37" i="7"/>
  <c r="G37" i="7"/>
  <c r="I37" i="7"/>
  <c r="J37" i="7"/>
  <c r="K37" i="7"/>
  <c r="A38" i="7"/>
  <c r="C38" i="7"/>
  <c r="D38" i="7"/>
  <c r="E38" i="7"/>
  <c r="F38" i="7"/>
  <c r="G38" i="7"/>
  <c r="I38" i="7"/>
  <c r="J38" i="7"/>
  <c r="K38" i="7"/>
  <c r="A39" i="7"/>
  <c r="C39" i="7"/>
  <c r="D39" i="7"/>
  <c r="E39" i="7"/>
  <c r="F39" i="7"/>
  <c r="G39" i="7"/>
  <c r="I39" i="7"/>
  <c r="J39" i="7"/>
  <c r="K39" i="7"/>
  <c r="A40" i="7"/>
  <c r="C40" i="7"/>
  <c r="D40" i="7"/>
  <c r="E40" i="7"/>
  <c r="F40" i="7"/>
  <c r="G40" i="7"/>
  <c r="I40" i="7"/>
  <c r="J40" i="7"/>
  <c r="K40" i="7"/>
  <c r="A41" i="7"/>
  <c r="C41" i="7"/>
  <c r="D41" i="7"/>
  <c r="E41" i="7"/>
  <c r="F41" i="7"/>
  <c r="G41" i="7"/>
  <c r="I41" i="7"/>
  <c r="J41" i="7"/>
  <c r="K41" i="7"/>
  <c r="A42" i="7"/>
  <c r="C42" i="7"/>
  <c r="D42" i="7"/>
  <c r="E42" i="7"/>
  <c r="F42" i="7"/>
  <c r="G42" i="7"/>
  <c r="I42" i="7"/>
  <c r="J42" i="7"/>
  <c r="K42" i="7"/>
  <c r="A43" i="7"/>
  <c r="C43" i="7"/>
  <c r="D43" i="7"/>
  <c r="E43" i="7"/>
  <c r="F43" i="7"/>
  <c r="G43" i="7"/>
  <c r="I43" i="7"/>
  <c r="J43" i="7"/>
  <c r="K43" i="7"/>
  <c r="A44" i="7"/>
  <c r="C44" i="7"/>
  <c r="D44" i="7"/>
  <c r="E44" i="7"/>
  <c r="F44" i="7"/>
  <c r="G44" i="7"/>
  <c r="I44" i="7"/>
  <c r="J44" i="7"/>
  <c r="K44" i="7"/>
  <c r="A45" i="7"/>
  <c r="C45" i="7"/>
  <c r="D45" i="7"/>
  <c r="E45" i="7"/>
  <c r="F45" i="7"/>
  <c r="G45" i="7"/>
  <c r="I45" i="7"/>
  <c r="J45" i="7"/>
  <c r="K45" i="7"/>
  <c r="A46" i="7"/>
  <c r="C46" i="7"/>
  <c r="D46" i="7"/>
  <c r="E46" i="7"/>
  <c r="F46" i="7"/>
  <c r="G46" i="7"/>
  <c r="I46" i="7"/>
  <c r="J46" i="7"/>
  <c r="K46" i="7"/>
  <c r="A47" i="7"/>
  <c r="C47" i="7"/>
  <c r="D47" i="7"/>
  <c r="E47" i="7"/>
  <c r="F47" i="7"/>
  <c r="G47" i="7"/>
  <c r="I47" i="7"/>
  <c r="J47" i="7"/>
  <c r="K47" i="7"/>
  <c r="A48" i="7"/>
  <c r="C48" i="7"/>
  <c r="D48" i="7"/>
  <c r="E48" i="7"/>
  <c r="F48" i="7"/>
  <c r="G48" i="7"/>
  <c r="I48" i="7"/>
  <c r="J48" i="7"/>
  <c r="K48" i="7"/>
  <c r="A49" i="7"/>
  <c r="C49" i="7"/>
  <c r="D49" i="7"/>
  <c r="E49" i="7"/>
  <c r="F49" i="7"/>
  <c r="G49" i="7"/>
  <c r="I49" i="7"/>
  <c r="J49" i="7"/>
  <c r="K49" i="7"/>
  <c r="A50" i="7"/>
  <c r="C50" i="7"/>
  <c r="D50" i="7"/>
  <c r="E50" i="7"/>
  <c r="F50" i="7"/>
  <c r="G50" i="7"/>
  <c r="I50" i="7"/>
  <c r="J50" i="7"/>
  <c r="K50" i="7"/>
  <c r="A51" i="7"/>
  <c r="C51" i="7"/>
  <c r="D51" i="7"/>
  <c r="E51" i="7"/>
  <c r="F51" i="7"/>
  <c r="G51" i="7"/>
  <c r="I51" i="7"/>
  <c r="J51" i="7"/>
  <c r="K51" i="7"/>
  <c r="A52" i="7"/>
  <c r="C52" i="7"/>
  <c r="D52" i="7"/>
  <c r="E52" i="7"/>
  <c r="F52" i="7"/>
  <c r="G52" i="7"/>
  <c r="I52" i="7"/>
  <c r="J52" i="7"/>
  <c r="K52" i="7"/>
  <c r="A53" i="7"/>
  <c r="C53" i="7"/>
  <c r="D53" i="7"/>
  <c r="E53" i="7"/>
  <c r="F53" i="7"/>
  <c r="G53" i="7"/>
  <c r="I53" i="7"/>
  <c r="J53" i="7"/>
  <c r="K53" i="7"/>
  <c r="A54" i="7"/>
  <c r="C54" i="7"/>
  <c r="D54" i="7"/>
  <c r="E54" i="7"/>
  <c r="F54" i="7"/>
  <c r="G54" i="7"/>
  <c r="I54" i="7"/>
  <c r="J54" i="7"/>
  <c r="K54" i="7"/>
  <c r="A55" i="7"/>
  <c r="C55" i="7"/>
  <c r="D55" i="7"/>
  <c r="E55" i="7"/>
  <c r="F55" i="7"/>
  <c r="G55" i="7"/>
  <c r="I55" i="7"/>
  <c r="J55" i="7"/>
  <c r="K55" i="7"/>
  <c r="A56" i="7"/>
  <c r="C56" i="7"/>
  <c r="D56" i="7"/>
  <c r="E56" i="7"/>
  <c r="F56" i="7"/>
  <c r="G56" i="7"/>
  <c r="I56" i="7"/>
  <c r="J56" i="7"/>
  <c r="K56" i="7"/>
  <c r="A57" i="7"/>
  <c r="C57" i="7"/>
  <c r="D57" i="7"/>
  <c r="E57" i="7"/>
  <c r="F57" i="7"/>
  <c r="G57" i="7"/>
  <c r="I57" i="7"/>
  <c r="J57" i="7"/>
  <c r="K57" i="7"/>
  <c r="A58" i="7"/>
  <c r="C58" i="7"/>
  <c r="D58" i="7"/>
  <c r="E58" i="7"/>
  <c r="F58" i="7"/>
  <c r="G58" i="7"/>
  <c r="I58" i="7"/>
  <c r="J58" i="7"/>
  <c r="K58" i="7"/>
  <c r="A59" i="7"/>
  <c r="C59" i="7"/>
  <c r="D59" i="7"/>
  <c r="E59" i="7"/>
  <c r="F59" i="7"/>
  <c r="G59" i="7"/>
  <c r="I59" i="7"/>
  <c r="J59" i="7"/>
  <c r="K59" i="7"/>
  <c r="A60" i="7"/>
  <c r="C60" i="7"/>
  <c r="D60" i="7"/>
  <c r="E60" i="7"/>
  <c r="F60" i="7"/>
  <c r="G60" i="7"/>
  <c r="I60" i="7"/>
  <c r="J60" i="7"/>
  <c r="K60" i="7"/>
  <c r="A61" i="7"/>
  <c r="C61" i="7"/>
  <c r="D61" i="7"/>
  <c r="E61" i="7"/>
  <c r="F61" i="7"/>
  <c r="G61" i="7"/>
  <c r="I61" i="7"/>
  <c r="J61" i="7"/>
  <c r="K61" i="7"/>
  <c r="A62" i="7"/>
  <c r="C62" i="7"/>
  <c r="D62" i="7"/>
  <c r="E62" i="7"/>
  <c r="F62" i="7"/>
  <c r="G62" i="7"/>
  <c r="I62" i="7"/>
  <c r="J62" i="7"/>
  <c r="K62" i="7"/>
  <c r="A63" i="7"/>
  <c r="C63" i="7"/>
  <c r="D63" i="7"/>
  <c r="E63" i="7"/>
  <c r="F63" i="7"/>
  <c r="G63" i="7"/>
  <c r="I63" i="7"/>
  <c r="J63" i="7"/>
  <c r="K63" i="7"/>
  <c r="A64" i="7"/>
  <c r="C64" i="7"/>
  <c r="D64" i="7"/>
  <c r="E64" i="7"/>
  <c r="F64" i="7"/>
  <c r="G64" i="7"/>
  <c r="I64" i="7"/>
  <c r="J64" i="7"/>
  <c r="K64" i="7"/>
  <c r="A65" i="7"/>
  <c r="C65" i="7"/>
  <c r="D65" i="7"/>
  <c r="E65" i="7"/>
  <c r="F65" i="7"/>
  <c r="G65" i="7"/>
  <c r="I65" i="7"/>
  <c r="J65" i="7"/>
  <c r="K65" i="7"/>
  <c r="A66" i="7"/>
  <c r="C66" i="7"/>
  <c r="D66" i="7"/>
  <c r="E66" i="7"/>
  <c r="F66" i="7"/>
  <c r="G66" i="7"/>
  <c r="I66" i="7"/>
  <c r="J66" i="7"/>
  <c r="K66" i="7"/>
  <c r="A67" i="7"/>
  <c r="C67" i="7"/>
  <c r="D67" i="7"/>
  <c r="E67" i="7"/>
  <c r="F67" i="7"/>
  <c r="G67" i="7"/>
  <c r="I67" i="7"/>
  <c r="J67" i="7"/>
  <c r="K67" i="7"/>
  <c r="A68" i="7"/>
  <c r="C68" i="7"/>
  <c r="D68" i="7"/>
  <c r="E68" i="7"/>
  <c r="F68" i="7"/>
  <c r="G68" i="7"/>
  <c r="I68" i="7"/>
  <c r="J68" i="7"/>
  <c r="K68" i="7"/>
  <c r="A69" i="7"/>
  <c r="C69" i="7"/>
  <c r="D69" i="7"/>
  <c r="E69" i="7"/>
  <c r="F69" i="7"/>
  <c r="G69" i="7"/>
  <c r="I69" i="7"/>
  <c r="J69" i="7"/>
  <c r="K69" i="7"/>
  <c r="A70" i="7"/>
  <c r="C70" i="7"/>
  <c r="D70" i="7"/>
  <c r="E70" i="7"/>
  <c r="F70" i="7"/>
  <c r="G70" i="7"/>
  <c r="I70" i="7"/>
  <c r="J70" i="7"/>
  <c r="K70" i="7"/>
  <c r="A71" i="7"/>
  <c r="C71" i="7"/>
  <c r="D71" i="7"/>
  <c r="E71" i="7"/>
  <c r="F71" i="7"/>
  <c r="G71" i="7"/>
  <c r="I71" i="7"/>
  <c r="J71" i="7"/>
  <c r="K71" i="7"/>
  <c r="A72" i="7"/>
  <c r="C72" i="7"/>
  <c r="D72" i="7"/>
  <c r="E72" i="7"/>
  <c r="F72" i="7"/>
  <c r="G72" i="7"/>
  <c r="I72" i="7"/>
  <c r="J72" i="7"/>
  <c r="K72" i="7"/>
  <c r="A73" i="7"/>
  <c r="C73" i="7"/>
  <c r="D73" i="7"/>
  <c r="E73" i="7"/>
  <c r="F73" i="7"/>
  <c r="G73" i="7"/>
  <c r="I73" i="7"/>
  <c r="J73" i="7"/>
  <c r="K73" i="7"/>
  <c r="A74" i="7"/>
  <c r="C74" i="7"/>
  <c r="D74" i="7"/>
  <c r="E74" i="7"/>
  <c r="F74" i="7"/>
  <c r="G74" i="7"/>
  <c r="I74" i="7"/>
  <c r="J74" i="7"/>
  <c r="K74" i="7"/>
  <c r="A75" i="7"/>
  <c r="C75" i="7"/>
  <c r="D75" i="7"/>
  <c r="E75" i="7"/>
  <c r="F75" i="7"/>
  <c r="G75" i="7"/>
  <c r="I75" i="7"/>
  <c r="J75" i="7"/>
  <c r="K75" i="7"/>
  <c r="A76" i="7"/>
  <c r="C76" i="7"/>
  <c r="D76" i="7"/>
  <c r="E76" i="7"/>
  <c r="F76" i="7"/>
  <c r="G76" i="7"/>
  <c r="I76" i="7"/>
  <c r="J76" i="7"/>
  <c r="K76" i="7"/>
  <c r="A77" i="7"/>
  <c r="C77" i="7"/>
  <c r="D77" i="7"/>
  <c r="E77" i="7"/>
  <c r="F77" i="7"/>
  <c r="G77" i="7"/>
  <c r="I77" i="7"/>
  <c r="J77" i="7"/>
  <c r="K77" i="7"/>
  <c r="A78" i="7"/>
  <c r="C78" i="7"/>
  <c r="D78" i="7"/>
  <c r="E78" i="7"/>
  <c r="F78" i="7"/>
  <c r="G78" i="7"/>
  <c r="I78" i="7"/>
  <c r="J78" i="7"/>
  <c r="K78" i="7"/>
  <c r="A79" i="7"/>
  <c r="C79" i="7"/>
  <c r="D79" i="7"/>
  <c r="E79" i="7"/>
  <c r="F79" i="7"/>
  <c r="G79" i="7"/>
  <c r="I79" i="7"/>
  <c r="J79" i="7"/>
  <c r="K79" i="7"/>
  <c r="A80" i="7"/>
  <c r="C80" i="7"/>
  <c r="D80" i="7"/>
  <c r="E80" i="7"/>
  <c r="F80" i="7"/>
  <c r="G80" i="7"/>
  <c r="I80" i="7"/>
  <c r="J80" i="7"/>
  <c r="K80" i="7"/>
  <c r="A81" i="7"/>
  <c r="C81" i="7"/>
  <c r="D81" i="7"/>
  <c r="E81" i="7"/>
  <c r="F81" i="7"/>
  <c r="G81" i="7"/>
  <c r="I81" i="7"/>
  <c r="J81" i="7"/>
  <c r="K81" i="7"/>
  <c r="A82" i="7"/>
  <c r="C82" i="7"/>
  <c r="D82" i="7"/>
  <c r="E82" i="7"/>
  <c r="F82" i="7"/>
  <c r="G82" i="7"/>
  <c r="I82" i="7"/>
  <c r="J82" i="7"/>
  <c r="K82" i="7"/>
  <c r="A83" i="7"/>
  <c r="C83" i="7"/>
  <c r="D83" i="7"/>
  <c r="E83" i="7"/>
  <c r="F83" i="7"/>
  <c r="G83" i="7"/>
  <c r="I83" i="7"/>
  <c r="J83" i="7"/>
  <c r="K83" i="7"/>
  <c r="A84" i="7"/>
  <c r="C84" i="7"/>
  <c r="D84" i="7"/>
  <c r="E84" i="7"/>
  <c r="F84" i="7"/>
  <c r="G84" i="7"/>
  <c r="I84" i="7"/>
  <c r="J84" i="7"/>
  <c r="K84" i="7"/>
  <c r="A85" i="7"/>
  <c r="C85" i="7"/>
  <c r="D85" i="7"/>
  <c r="E85" i="7"/>
  <c r="F85" i="7"/>
  <c r="G85" i="7"/>
  <c r="I85" i="7"/>
  <c r="J85" i="7"/>
  <c r="K85" i="7"/>
  <c r="A86" i="7"/>
  <c r="C86" i="7"/>
  <c r="D86" i="7"/>
  <c r="E86" i="7"/>
  <c r="F86" i="7"/>
  <c r="G86" i="7"/>
  <c r="I86" i="7"/>
  <c r="J86" i="7"/>
  <c r="K86" i="7"/>
  <c r="A87" i="7"/>
  <c r="C87" i="7"/>
  <c r="D87" i="7"/>
  <c r="E87" i="7"/>
  <c r="F87" i="7"/>
  <c r="G87" i="7"/>
  <c r="I87" i="7"/>
  <c r="J87" i="7"/>
  <c r="K87" i="7"/>
  <c r="A88" i="7"/>
  <c r="C88" i="7"/>
  <c r="D88" i="7"/>
  <c r="E88" i="7"/>
  <c r="F88" i="7"/>
  <c r="G88" i="7"/>
  <c r="I88" i="7"/>
  <c r="J88" i="7"/>
  <c r="K88" i="7"/>
  <c r="A89" i="7"/>
  <c r="C89" i="7"/>
  <c r="D89" i="7"/>
  <c r="E89" i="7"/>
  <c r="F89" i="7"/>
  <c r="G89" i="7"/>
  <c r="I89" i="7"/>
  <c r="J89" i="7"/>
  <c r="K89" i="7"/>
  <c r="A90" i="7"/>
  <c r="C90" i="7"/>
  <c r="D90" i="7"/>
  <c r="E90" i="7"/>
  <c r="F90" i="7"/>
  <c r="G90" i="7"/>
  <c r="I90" i="7"/>
  <c r="J90" i="7"/>
  <c r="K90" i="7"/>
  <c r="A91" i="7"/>
  <c r="C91" i="7"/>
  <c r="D91" i="7"/>
  <c r="E91" i="7"/>
  <c r="F91" i="7"/>
  <c r="G91" i="7"/>
  <c r="I91" i="7"/>
  <c r="J91" i="7"/>
  <c r="K91" i="7"/>
  <c r="A92" i="7"/>
  <c r="C92" i="7"/>
  <c r="D92" i="7"/>
  <c r="E92" i="7"/>
  <c r="F92" i="7"/>
  <c r="G92" i="7"/>
  <c r="I92" i="7"/>
  <c r="J92" i="7"/>
  <c r="K92" i="7"/>
  <c r="A93" i="7"/>
  <c r="C93" i="7"/>
  <c r="D93" i="7"/>
  <c r="E93" i="7"/>
  <c r="F93" i="7"/>
  <c r="G93" i="7"/>
  <c r="I93" i="7"/>
  <c r="J93" i="7"/>
  <c r="K93" i="7"/>
  <c r="A94" i="7"/>
  <c r="C94" i="7"/>
  <c r="D94" i="7"/>
  <c r="E94" i="7"/>
  <c r="F94" i="7"/>
  <c r="G94" i="7"/>
  <c r="I94" i="7"/>
  <c r="J94" i="7"/>
  <c r="K94" i="7"/>
  <c r="A95" i="7"/>
  <c r="C95" i="7"/>
  <c r="D95" i="7"/>
  <c r="E95" i="7"/>
  <c r="F95" i="7"/>
  <c r="G95" i="7"/>
  <c r="I95" i="7"/>
  <c r="J95" i="7"/>
  <c r="K95" i="7"/>
  <c r="A96" i="7"/>
  <c r="C96" i="7"/>
  <c r="D96" i="7"/>
  <c r="E96" i="7"/>
  <c r="F96" i="7"/>
  <c r="G96" i="7"/>
  <c r="I96" i="7"/>
  <c r="J96" i="7"/>
  <c r="K96" i="7"/>
  <c r="A97" i="7"/>
  <c r="C97" i="7"/>
  <c r="D97" i="7"/>
  <c r="E97" i="7"/>
  <c r="F97" i="7"/>
  <c r="G97" i="7"/>
  <c r="I97" i="7"/>
  <c r="J97" i="7"/>
  <c r="K97" i="7"/>
  <c r="A98" i="7"/>
  <c r="C98" i="7"/>
  <c r="D98" i="7"/>
  <c r="E98" i="7"/>
  <c r="F98" i="7"/>
  <c r="G98" i="7"/>
  <c r="I98" i="7"/>
  <c r="J98" i="7"/>
  <c r="K98" i="7"/>
  <c r="A99" i="7"/>
  <c r="C99" i="7"/>
  <c r="D99" i="7"/>
  <c r="E99" i="7"/>
  <c r="F99" i="7"/>
  <c r="G99" i="7"/>
  <c r="I99" i="7"/>
  <c r="J99" i="7"/>
  <c r="K99" i="7"/>
  <c r="A100" i="7"/>
  <c r="C100" i="7"/>
  <c r="D100" i="7"/>
  <c r="E100" i="7"/>
  <c r="F100" i="7"/>
  <c r="G100" i="7"/>
  <c r="I100" i="7"/>
  <c r="J100" i="7"/>
  <c r="K100" i="7"/>
  <c r="A101" i="7"/>
  <c r="C101" i="7"/>
  <c r="D101" i="7"/>
  <c r="E101" i="7"/>
  <c r="F101" i="7"/>
  <c r="G101" i="7"/>
  <c r="I101" i="7"/>
  <c r="J101" i="7"/>
  <c r="K101" i="7"/>
  <c r="A102" i="7"/>
  <c r="C102" i="7"/>
  <c r="D102" i="7"/>
  <c r="E102" i="7"/>
  <c r="F102" i="7"/>
  <c r="G102" i="7"/>
  <c r="I102" i="7"/>
  <c r="J102" i="7"/>
  <c r="K102" i="7"/>
  <c r="A103" i="7"/>
  <c r="C103" i="7"/>
  <c r="D103" i="7"/>
  <c r="E103" i="7"/>
  <c r="F103" i="7"/>
  <c r="G103" i="7"/>
  <c r="I103" i="7"/>
  <c r="J103" i="7"/>
  <c r="K103" i="7"/>
  <c r="A104" i="7"/>
  <c r="C104" i="7"/>
  <c r="D104" i="7"/>
  <c r="E104" i="7"/>
  <c r="F104" i="7"/>
  <c r="G104" i="7"/>
  <c r="I104" i="7"/>
  <c r="J104" i="7"/>
  <c r="K104" i="7"/>
  <c r="A105" i="7"/>
  <c r="C105" i="7"/>
  <c r="D105" i="7"/>
  <c r="E105" i="7"/>
  <c r="F105" i="7"/>
  <c r="G105" i="7"/>
  <c r="I105" i="7"/>
  <c r="J105" i="7"/>
  <c r="K105" i="7"/>
  <c r="A106" i="7"/>
  <c r="C106" i="7"/>
  <c r="D106" i="7"/>
  <c r="E106" i="7"/>
  <c r="F106" i="7"/>
  <c r="G106" i="7"/>
  <c r="I106" i="7"/>
  <c r="J106" i="7"/>
  <c r="K106" i="7"/>
  <c r="A107" i="7"/>
  <c r="C107" i="7"/>
  <c r="D107" i="7"/>
  <c r="E107" i="7"/>
  <c r="F107" i="7"/>
  <c r="G107" i="7"/>
  <c r="I107" i="7"/>
  <c r="J107" i="7"/>
  <c r="K107" i="7"/>
  <c r="A108" i="7"/>
  <c r="C108" i="7"/>
  <c r="D108" i="7"/>
  <c r="E108" i="7"/>
  <c r="F108" i="7"/>
  <c r="G108" i="7"/>
  <c r="I108" i="7"/>
  <c r="J108" i="7"/>
  <c r="K108" i="7"/>
  <c r="A109" i="7"/>
  <c r="C109" i="7"/>
  <c r="D109" i="7"/>
  <c r="E109" i="7"/>
  <c r="F109" i="7"/>
  <c r="G109" i="7"/>
  <c r="I109" i="7"/>
  <c r="J109" i="7"/>
  <c r="K109" i="7"/>
  <c r="A110" i="7"/>
  <c r="C110" i="7"/>
  <c r="D110" i="7"/>
  <c r="E110" i="7"/>
  <c r="F110" i="7"/>
  <c r="G110" i="7"/>
  <c r="I110" i="7"/>
  <c r="J110" i="7"/>
  <c r="K110" i="7"/>
  <c r="A111" i="7"/>
  <c r="C111" i="7"/>
  <c r="D111" i="7"/>
  <c r="E111" i="7"/>
  <c r="F111" i="7"/>
  <c r="G111" i="7"/>
  <c r="I111" i="7"/>
  <c r="J111" i="7"/>
  <c r="K111" i="7"/>
  <c r="A112" i="7"/>
  <c r="C112" i="7"/>
  <c r="D112" i="7"/>
  <c r="E112" i="7"/>
  <c r="F112" i="7"/>
  <c r="G112" i="7"/>
  <c r="I112" i="7"/>
  <c r="J112" i="7"/>
  <c r="K112" i="7"/>
  <c r="A113" i="7"/>
  <c r="C113" i="7"/>
  <c r="D113" i="7"/>
  <c r="E113" i="7"/>
  <c r="F113" i="7"/>
  <c r="G113" i="7"/>
  <c r="I113" i="7"/>
  <c r="J113" i="7"/>
  <c r="K113" i="7"/>
  <c r="A114" i="7"/>
  <c r="C114" i="7"/>
  <c r="D114" i="7"/>
  <c r="E114" i="7"/>
  <c r="F114" i="7"/>
  <c r="G114" i="7"/>
  <c r="I114" i="7"/>
  <c r="J114" i="7"/>
  <c r="K114" i="7"/>
  <c r="A115" i="7"/>
  <c r="C115" i="7"/>
  <c r="D115" i="7"/>
  <c r="E115" i="7"/>
  <c r="F115" i="7"/>
  <c r="G115" i="7"/>
  <c r="I115" i="7"/>
  <c r="J115" i="7"/>
  <c r="K115" i="7"/>
  <c r="A116" i="7"/>
  <c r="C116" i="7"/>
  <c r="D116" i="7"/>
  <c r="E116" i="7"/>
  <c r="F116" i="7"/>
  <c r="G116" i="7"/>
  <c r="I116" i="7"/>
  <c r="J116" i="7"/>
  <c r="K116" i="7"/>
  <c r="A117" i="7"/>
  <c r="C117" i="7"/>
  <c r="D117" i="7"/>
  <c r="E117" i="7"/>
  <c r="F117" i="7"/>
  <c r="G117" i="7"/>
  <c r="I117" i="7"/>
  <c r="J117" i="7"/>
  <c r="K117" i="7"/>
  <c r="A118" i="7"/>
  <c r="C118" i="7"/>
  <c r="D118" i="7"/>
  <c r="E118" i="7"/>
  <c r="F118" i="7"/>
  <c r="G118" i="7"/>
  <c r="I118" i="7"/>
  <c r="J118" i="7"/>
  <c r="K118" i="7"/>
  <c r="A119" i="7"/>
  <c r="C119" i="7"/>
  <c r="D119" i="7"/>
  <c r="E119" i="7"/>
  <c r="F119" i="7"/>
  <c r="G119" i="7"/>
  <c r="I119" i="7"/>
  <c r="J119" i="7"/>
  <c r="K119" i="7"/>
  <c r="A120" i="7"/>
  <c r="C120" i="7"/>
  <c r="D120" i="7"/>
  <c r="E120" i="7"/>
  <c r="F120" i="7"/>
  <c r="G120" i="7"/>
  <c r="I120" i="7"/>
  <c r="J120" i="7"/>
  <c r="K120" i="7"/>
  <c r="A121" i="7"/>
  <c r="C121" i="7"/>
  <c r="D121" i="7"/>
  <c r="E121" i="7"/>
  <c r="F121" i="7"/>
  <c r="G121" i="7"/>
  <c r="I121" i="7"/>
  <c r="J121" i="7"/>
  <c r="K121" i="7"/>
  <c r="A122" i="7"/>
  <c r="C122" i="7"/>
  <c r="D122" i="7"/>
  <c r="E122" i="7"/>
  <c r="F122" i="7"/>
  <c r="G122" i="7"/>
  <c r="I122" i="7"/>
  <c r="J122" i="7"/>
  <c r="K122" i="7"/>
  <c r="A123" i="7"/>
  <c r="C123" i="7"/>
  <c r="D123" i="7"/>
  <c r="E123" i="7"/>
  <c r="F123" i="7"/>
  <c r="G123" i="7"/>
  <c r="I123" i="7"/>
  <c r="J123" i="7"/>
  <c r="K123" i="7"/>
  <c r="A124" i="7"/>
  <c r="C124" i="7"/>
  <c r="D124" i="7"/>
  <c r="E124" i="7"/>
  <c r="F124" i="7"/>
  <c r="G124" i="7"/>
  <c r="I124" i="7"/>
  <c r="J124" i="7"/>
  <c r="K124" i="7"/>
  <c r="A125" i="7"/>
  <c r="C125" i="7"/>
  <c r="D125" i="7"/>
  <c r="E125" i="7"/>
  <c r="F125" i="7"/>
  <c r="G125" i="7"/>
  <c r="I125" i="7"/>
  <c r="J125" i="7"/>
  <c r="K125" i="7"/>
  <c r="A126" i="7"/>
  <c r="C126" i="7"/>
  <c r="D126" i="7"/>
  <c r="E126" i="7"/>
  <c r="F126" i="7"/>
  <c r="G126" i="7"/>
  <c r="I126" i="7"/>
  <c r="J126" i="7"/>
  <c r="K126" i="7"/>
  <c r="A127" i="7"/>
  <c r="C127" i="7"/>
  <c r="D127" i="7"/>
  <c r="E127" i="7"/>
  <c r="F127" i="7"/>
  <c r="G127" i="7"/>
  <c r="I127" i="7"/>
  <c r="J127" i="7"/>
  <c r="K127" i="7"/>
  <c r="A128" i="7"/>
  <c r="C128" i="7"/>
  <c r="D128" i="7"/>
  <c r="E128" i="7"/>
  <c r="F128" i="7"/>
  <c r="G128" i="7"/>
  <c r="I128" i="7"/>
  <c r="J128" i="7"/>
  <c r="K128" i="7"/>
  <c r="A129" i="7"/>
  <c r="C129" i="7"/>
  <c r="D129" i="7"/>
  <c r="E129" i="7"/>
  <c r="F129" i="7"/>
  <c r="G129" i="7"/>
  <c r="I129" i="7"/>
  <c r="J129" i="7"/>
  <c r="K129" i="7"/>
  <c r="A130" i="7"/>
  <c r="C130" i="7"/>
  <c r="D130" i="7"/>
  <c r="E130" i="7"/>
  <c r="F130" i="7"/>
  <c r="G130" i="7"/>
  <c r="I130" i="7"/>
  <c r="J130" i="7"/>
  <c r="K130" i="7"/>
  <c r="A131" i="7"/>
  <c r="C131" i="7"/>
  <c r="D131" i="7"/>
  <c r="E131" i="7"/>
  <c r="F131" i="7"/>
  <c r="G131" i="7"/>
  <c r="I131" i="7"/>
  <c r="J131" i="7"/>
  <c r="K131" i="7"/>
  <c r="A132" i="7"/>
  <c r="C132" i="7"/>
  <c r="D132" i="7"/>
  <c r="E132" i="7"/>
  <c r="F132" i="7"/>
  <c r="G132" i="7"/>
  <c r="I132" i="7"/>
  <c r="J132" i="7"/>
  <c r="K132" i="7"/>
  <c r="A133" i="7"/>
  <c r="C133" i="7"/>
  <c r="D133" i="7"/>
  <c r="E133" i="7"/>
  <c r="F133" i="7"/>
  <c r="G133" i="7"/>
  <c r="I133" i="7"/>
  <c r="J133" i="7"/>
  <c r="K133" i="7"/>
  <c r="A134" i="7"/>
  <c r="C134" i="7"/>
  <c r="D134" i="7"/>
  <c r="E134" i="7"/>
  <c r="F134" i="7"/>
  <c r="G134" i="7"/>
  <c r="I134" i="7"/>
  <c r="J134" i="7"/>
  <c r="K134" i="7"/>
  <c r="A135" i="7"/>
  <c r="C135" i="7"/>
  <c r="D135" i="7"/>
  <c r="E135" i="7"/>
  <c r="F135" i="7"/>
  <c r="G135" i="7"/>
  <c r="I135" i="7"/>
  <c r="J135" i="7"/>
  <c r="K135" i="7"/>
  <c r="A136" i="7"/>
  <c r="C136" i="7"/>
  <c r="D136" i="7"/>
  <c r="E136" i="7"/>
  <c r="F136" i="7"/>
  <c r="G136" i="7"/>
  <c r="I136" i="7"/>
  <c r="J136" i="7"/>
  <c r="K136" i="7"/>
  <c r="A137" i="7"/>
  <c r="C137" i="7"/>
  <c r="D137" i="7"/>
  <c r="E137" i="7"/>
  <c r="F137" i="7"/>
  <c r="G137" i="7"/>
  <c r="I137" i="7"/>
  <c r="J137" i="7"/>
  <c r="K137" i="7"/>
  <c r="A138" i="7"/>
  <c r="C138" i="7"/>
  <c r="D138" i="7"/>
  <c r="E138" i="7"/>
  <c r="F138" i="7"/>
  <c r="G138" i="7"/>
  <c r="I138" i="7"/>
  <c r="J138" i="7"/>
  <c r="K138" i="7"/>
  <c r="A139" i="7"/>
  <c r="C139" i="7"/>
  <c r="D139" i="7"/>
  <c r="E139" i="7"/>
  <c r="F139" i="7"/>
  <c r="G139" i="7"/>
  <c r="I139" i="7"/>
  <c r="J139" i="7"/>
  <c r="K139" i="7"/>
  <c r="A140" i="7"/>
  <c r="C140" i="7"/>
  <c r="D140" i="7"/>
  <c r="E140" i="7"/>
  <c r="F140" i="7"/>
  <c r="G140" i="7"/>
  <c r="I140" i="7"/>
  <c r="J140" i="7"/>
  <c r="K140" i="7"/>
  <c r="A141" i="7"/>
  <c r="C141" i="7"/>
  <c r="D141" i="7"/>
  <c r="E141" i="7"/>
  <c r="F141" i="7"/>
  <c r="G141" i="7"/>
  <c r="I141" i="7"/>
  <c r="J141" i="7"/>
  <c r="K141" i="7"/>
  <c r="A142" i="7"/>
  <c r="C142" i="7"/>
  <c r="D142" i="7"/>
  <c r="E142" i="7"/>
  <c r="F142" i="7"/>
  <c r="G142" i="7"/>
  <c r="I142" i="7"/>
  <c r="J142" i="7"/>
  <c r="K142" i="7"/>
  <c r="A143" i="7"/>
  <c r="C143" i="7"/>
  <c r="D143" i="7"/>
  <c r="E143" i="7"/>
  <c r="F143" i="7"/>
  <c r="G143" i="7"/>
  <c r="I143" i="7"/>
  <c r="J143" i="7"/>
  <c r="K143" i="7"/>
  <c r="A144" i="7"/>
  <c r="C144" i="7"/>
  <c r="D144" i="7"/>
  <c r="E144" i="7"/>
  <c r="F144" i="7"/>
  <c r="G144" i="7"/>
  <c r="I144" i="7"/>
  <c r="J144" i="7"/>
  <c r="K144" i="7"/>
  <c r="A145" i="7"/>
  <c r="C145" i="7"/>
  <c r="D145" i="7"/>
  <c r="E145" i="7"/>
  <c r="F145" i="7"/>
  <c r="G145" i="7"/>
  <c r="I145" i="7"/>
  <c r="J145" i="7"/>
  <c r="K145" i="7"/>
  <c r="A146" i="7"/>
  <c r="C146" i="7"/>
  <c r="D146" i="7"/>
  <c r="E146" i="7"/>
  <c r="F146" i="7"/>
  <c r="G146" i="7"/>
  <c r="I146" i="7"/>
  <c r="J146" i="7"/>
  <c r="K146" i="7"/>
  <c r="A147" i="7"/>
  <c r="C147" i="7"/>
  <c r="D147" i="7"/>
  <c r="E147" i="7"/>
  <c r="F147" i="7"/>
  <c r="G147" i="7"/>
  <c r="I147" i="7"/>
  <c r="J147" i="7"/>
  <c r="K147" i="7"/>
  <c r="A148" i="7"/>
  <c r="C148" i="7"/>
  <c r="D148" i="7"/>
  <c r="E148" i="7"/>
  <c r="F148" i="7"/>
  <c r="G148" i="7"/>
  <c r="I148" i="7"/>
  <c r="J148" i="7"/>
  <c r="K148" i="7"/>
  <c r="A149" i="7"/>
  <c r="C149" i="7"/>
  <c r="D149" i="7"/>
  <c r="E149" i="7"/>
  <c r="F149" i="7"/>
  <c r="G149" i="7"/>
  <c r="I149" i="7"/>
  <c r="J149" i="7"/>
  <c r="K149" i="7"/>
  <c r="A150" i="7"/>
  <c r="C150" i="7"/>
  <c r="D150" i="7"/>
  <c r="E150" i="7"/>
  <c r="F150" i="7"/>
  <c r="G150" i="7"/>
  <c r="I150" i="7"/>
  <c r="J150" i="7"/>
  <c r="K150" i="7"/>
  <c r="A151" i="7"/>
  <c r="C151" i="7"/>
  <c r="D151" i="7"/>
  <c r="E151" i="7"/>
  <c r="F151" i="7"/>
  <c r="G151" i="7"/>
  <c r="I151" i="7"/>
  <c r="J151" i="7"/>
  <c r="K151" i="7"/>
  <c r="A152" i="7"/>
  <c r="C152" i="7"/>
  <c r="D152" i="7"/>
  <c r="E152" i="7"/>
  <c r="F152" i="7"/>
  <c r="G152" i="7"/>
  <c r="I152" i="7"/>
  <c r="J152" i="7"/>
  <c r="K152" i="7"/>
  <c r="A153" i="7"/>
  <c r="C153" i="7"/>
  <c r="D153" i="7"/>
  <c r="E153" i="7"/>
  <c r="F153" i="7"/>
  <c r="G153" i="7"/>
  <c r="I153" i="7"/>
  <c r="J153" i="7"/>
  <c r="K153" i="7"/>
  <c r="A154" i="7"/>
  <c r="C154" i="7"/>
  <c r="D154" i="7"/>
  <c r="E154" i="7"/>
  <c r="F154" i="7"/>
  <c r="G154" i="7"/>
  <c r="I154" i="7"/>
  <c r="J154" i="7"/>
  <c r="K154" i="7"/>
  <c r="A155" i="7"/>
  <c r="C155" i="7"/>
  <c r="D155" i="7"/>
  <c r="E155" i="7"/>
  <c r="F155" i="7"/>
  <c r="G155" i="7"/>
  <c r="I155" i="7"/>
  <c r="J155" i="7"/>
  <c r="K155" i="7"/>
  <c r="A156" i="7"/>
  <c r="C156" i="7"/>
  <c r="D156" i="7"/>
  <c r="E156" i="7"/>
  <c r="F156" i="7"/>
  <c r="G156" i="7"/>
  <c r="I156" i="7"/>
  <c r="J156" i="7"/>
  <c r="K156" i="7"/>
  <c r="A157" i="7"/>
  <c r="C157" i="7"/>
  <c r="D157" i="7"/>
  <c r="E157" i="7"/>
  <c r="F157" i="7"/>
  <c r="G157" i="7"/>
  <c r="I157" i="7"/>
  <c r="J157" i="7"/>
  <c r="K157" i="7"/>
  <c r="A158" i="7"/>
  <c r="C158" i="7"/>
  <c r="D158" i="7"/>
  <c r="E158" i="7"/>
  <c r="F158" i="7"/>
  <c r="G158" i="7"/>
  <c r="I158" i="7"/>
  <c r="J158" i="7"/>
  <c r="K158" i="7"/>
  <c r="A159" i="7"/>
  <c r="C159" i="7"/>
  <c r="D159" i="7"/>
  <c r="E159" i="7"/>
  <c r="F159" i="7"/>
  <c r="G159" i="7"/>
  <c r="I159" i="7"/>
  <c r="J159" i="7"/>
  <c r="K159" i="7"/>
  <c r="A160" i="7"/>
  <c r="C160" i="7"/>
  <c r="D160" i="7"/>
  <c r="E160" i="7"/>
  <c r="F160" i="7"/>
  <c r="G160" i="7"/>
  <c r="I160" i="7"/>
  <c r="J160" i="7"/>
  <c r="K160" i="7"/>
  <c r="A161" i="7"/>
  <c r="C161" i="7"/>
  <c r="D161" i="7"/>
  <c r="E161" i="7"/>
  <c r="F161" i="7"/>
  <c r="G161" i="7"/>
  <c r="I161" i="7"/>
  <c r="J161" i="7"/>
  <c r="K161" i="7"/>
  <c r="A162" i="7"/>
  <c r="C162" i="7"/>
  <c r="D162" i="7"/>
  <c r="E162" i="7"/>
  <c r="F162" i="7"/>
  <c r="G162" i="7"/>
  <c r="I162" i="7"/>
  <c r="J162" i="7"/>
  <c r="K162" i="7"/>
  <c r="A163" i="7"/>
  <c r="C163" i="7"/>
  <c r="D163" i="7"/>
  <c r="E163" i="7"/>
  <c r="F163" i="7"/>
  <c r="G163" i="7"/>
  <c r="I163" i="7"/>
  <c r="J163" i="7"/>
  <c r="K163" i="7"/>
  <c r="A164" i="7"/>
  <c r="C164" i="7"/>
  <c r="D164" i="7"/>
  <c r="E164" i="7"/>
  <c r="F164" i="7"/>
  <c r="G164" i="7"/>
  <c r="I164" i="7"/>
  <c r="J164" i="7"/>
  <c r="K164" i="7"/>
  <c r="A165" i="7"/>
  <c r="C165" i="7"/>
  <c r="D165" i="7"/>
  <c r="E165" i="7"/>
  <c r="F165" i="7"/>
  <c r="G165" i="7"/>
  <c r="I165" i="7"/>
  <c r="J165" i="7"/>
  <c r="K165" i="7"/>
  <c r="A166" i="7"/>
  <c r="C166" i="7"/>
  <c r="D166" i="7"/>
  <c r="E166" i="7"/>
  <c r="F166" i="7"/>
  <c r="G166" i="7"/>
  <c r="I166" i="7"/>
  <c r="J166" i="7"/>
  <c r="K166" i="7"/>
  <c r="A167" i="7"/>
  <c r="C167" i="7"/>
  <c r="D167" i="7"/>
  <c r="E167" i="7"/>
  <c r="F167" i="7"/>
  <c r="G167" i="7"/>
  <c r="I167" i="7"/>
  <c r="J167" i="7"/>
  <c r="K167" i="7"/>
  <c r="A168" i="7"/>
  <c r="C168" i="7"/>
  <c r="D168" i="7"/>
  <c r="E168" i="7"/>
  <c r="F168" i="7"/>
  <c r="G168" i="7"/>
  <c r="I168" i="7"/>
  <c r="J168" i="7"/>
  <c r="K168" i="7"/>
  <c r="A169" i="7"/>
  <c r="C169" i="7"/>
  <c r="D169" i="7"/>
  <c r="E169" i="7"/>
  <c r="F169" i="7"/>
  <c r="G169" i="7"/>
  <c r="I169" i="7"/>
  <c r="J169" i="7"/>
  <c r="K169" i="7"/>
  <c r="A170" i="7"/>
  <c r="C170" i="7"/>
  <c r="D170" i="7"/>
  <c r="E170" i="7"/>
  <c r="F170" i="7"/>
  <c r="G170" i="7"/>
  <c r="I170" i="7"/>
  <c r="J170" i="7"/>
  <c r="K170" i="7"/>
  <c r="A171" i="7"/>
  <c r="C171" i="7"/>
  <c r="D171" i="7"/>
  <c r="E171" i="7"/>
  <c r="F171" i="7"/>
  <c r="G171" i="7"/>
  <c r="I171" i="7"/>
  <c r="J171" i="7"/>
  <c r="K171" i="7"/>
  <c r="A172" i="7"/>
  <c r="C172" i="7"/>
  <c r="D172" i="7"/>
  <c r="E172" i="7"/>
  <c r="F172" i="7"/>
  <c r="G172" i="7"/>
  <c r="I172" i="7"/>
  <c r="J172" i="7"/>
  <c r="K172" i="7"/>
  <c r="A173" i="7"/>
  <c r="C173" i="7"/>
  <c r="D173" i="7"/>
  <c r="E173" i="7"/>
  <c r="F173" i="7"/>
  <c r="G173" i="7"/>
  <c r="I173" i="7"/>
  <c r="J173" i="7"/>
  <c r="K173" i="7"/>
  <c r="A174" i="7"/>
  <c r="C174" i="7"/>
  <c r="D174" i="7"/>
  <c r="E174" i="7"/>
  <c r="F174" i="7"/>
  <c r="G174" i="7"/>
  <c r="I174" i="7"/>
  <c r="J174" i="7"/>
  <c r="K174" i="7"/>
  <c r="A175" i="7"/>
  <c r="C175" i="7"/>
  <c r="D175" i="7"/>
  <c r="E175" i="7"/>
  <c r="F175" i="7"/>
  <c r="G175" i="7"/>
  <c r="I175" i="7"/>
  <c r="J175" i="7"/>
  <c r="K175" i="7"/>
  <c r="A176" i="7"/>
  <c r="C176" i="7"/>
  <c r="D176" i="7"/>
  <c r="E176" i="7"/>
  <c r="F176" i="7"/>
  <c r="G176" i="7"/>
  <c r="I176" i="7"/>
  <c r="J176" i="7"/>
  <c r="K176" i="7"/>
  <c r="A177" i="7"/>
  <c r="C177" i="7"/>
  <c r="D177" i="7"/>
  <c r="E177" i="7"/>
  <c r="F177" i="7"/>
  <c r="G177" i="7"/>
  <c r="I177" i="7"/>
  <c r="J177" i="7"/>
  <c r="K177" i="7"/>
  <c r="A178" i="7"/>
  <c r="C178" i="7"/>
  <c r="D178" i="7"/>
  <c r="E178" i="7"/>
  <c r="F178" i="7"/>
  <c r="G178" i="7"/>
  <c r="I178" i="7"/>
  <c r="J178" i="7"/>
  <c r="K178" i="7"/>
  <c r="A179" i="7"/>
  <c r="C179" i="7"/>
  <c r="D179" i="7"/>
  <c r="E179" i="7"/>
  <c r="F179" i="7"/>
  <c r="G179" i="7"/>
  <c r="I179" i="7"/>
  <c r="J179" i="7"/>
  <c r="K179" i="7"/>
  <c r="A180" i="7"/>
  <c r="C180" i="7"/>
  <c r="D180" i="7"/>
  <c r="E180" i="7"/>
  <c r="F180" i="7"/>
  <c r="G180" i="7"/>
  <c r="I180" i="7"/>
  <c r="J180" i="7"/>
  <c r="K180" i="7"/>
  <c r="A181" i="7"/>
  <c r="C181" i="7"/>
  <c r="D181" i="7"/>
  <c r="E181" i="7"/>
  <c r="F181" i="7"/>
  <c r="G181" i="7"/>
  <c r="I181" i="7"/>
  <c r="J181" i="7"/>
  <c r="K181" i="7"/>
  <c r="A182" i="7"/>
  <c r="C182" i="7"/>
  <c r="D182" i="7"/>
  <c r="E182" i="7"/>
  <c r="F182" i="7"/>
  <c r="G182" i="7"/>
  <c r="I182" i="7"/>
  <c r="J182" i="7"/>
  <c r="K182" i="7"/>
  <c r="A183" i="7"/>
  <c r="C183" i="7"/>
  <c r="D183" i="7"/>
  <c r="E183" i="7"/>
  <c r="F183" i="7"/>
  <c r="G183" i="7"/>
  <c r="I183" i="7"/>
  <c r="J183" i="7"/>
  <c r="K183" i="7"/>
  <c r="A184" i="7"/>
  <c r="C184" i="7"/>
  <c r="D184" i="7"/>
  <c r="E184" i="7"/>
  <c r="F184" i="7"/>
  <c r="G184" i="7"/>
  <c r="I184" i="7"/>
  <c r="J184" i="7"/>
  <c r="K184" i="7"/>
  <c r="A185" i="7"/>
  <c r="C185" i="7"/>
  <c r="D185" i="7"/>
  <c r="E185" i="7"/>
  <c r="F185" i="7"/>
  <c r="G185" i="7"/>
  <c r="I185" i="7"/>
  <c r="J185" i="7"/>
  <c r="K185" i="7"/>
  <c r="A186" i="7"/>
  <c r="C186" i="7"/>
  <c r="D186" i="7"/>
  <c r="E186" i="7"/>
  <c r="F186" i="7"/>
  <c r="G186" i="7"/>
  <c r="I186" i="7"/>
  <c r="J186" i="7"/>
  <c r="K186" i="7"/>
  <c r="A187" i="7"/>
  <c r="C187" i="7"/>
  <c r="D187" i="7"/>
  <c r="E187" i="7"/>
  <c r="F187" i="7"/>
  <c r="G187" i="7"/>
  <c r="I187" i="7"/>
  <c r="J187" i="7"/>
  <c r="K187" i="7"/>
  <c r="A188" i="7"/>
  <c r="C188" i="7"/>
  <c r="D188" i="7"/>
  <c r="E188" i="7"/>
  <c r="F188" i="7"/>
  <c r="G188" i="7"/>
  <c r="I188" i="7"/>
  <c r="J188" i="7"/>
  <c r="K188" i="7"/>
  <c r="A189" i="7"/>
  <c r="C189" i="7"/>
  <c r="D189" i="7"/>
  <c r="E189" i="7"/>
  <c r="F189" i="7"/>
  <c r="G189" i="7"/>
  <c r="I189" i="7"/>
  <c r="J189" i="7"/>
  <c r="K189" i="7"/>
  <c r="A190" i="7"/>
  <c r="C190" i="7"/>
  <c r="D190" i="7"/>
  <c r="E190" i="7"/>
  <c r="F190" i="7"/>
  <c r="G190" i="7"/>
  <c r="I190" i="7"/>
  <c r="J190" i="7"/>
  <c r="K190" i="7"/>
  <c r="A191" i="7"/>
  <c r="C191" i="7"/>
  <c r="D191" i="7"/>
  <c r="E191" i="7"/>
  <c r="F191" i="7"/>
  <c r="G191" i="7"/>
  <c r="I191" i="7"/>
  <c r="J191" i="7"/>
  <c r="K191" i="7"/>
  <c r="A192" i="7"/>
  <c r="C192" i="7"/>
  <c r="D192" i="7"/>
  <c r="E192" i="7"/>
  <c r="F192" i="7"/>
  <c r="G192" i="7"/>
  <c r="I192" i="7"/>
  <c r="J192" i="7"/>
  <c r="K192" i="7"/>
  <c r="A193" i="7"/>
  <c r="C193" i="7"/>
  <c r="D193" i="7"/>
  <c r="E193" i="7"/>
  <c r="F193" i="7"/>
  <c r="G193" i="7"/>
  <c r="I193" i="7"/>
  <c r="J193" i="7"/>
  <c r="K193" i="7"/>
  <c r="A194" i="7"/>
  <c r="C194" i="7"/>
  <c r="D194" i="7"/>
  <c r="E194" i="7"/>
  <c r="F194" i="7"/>
  <c r="G194" i="7"/>
  <c r="I194" i="7"/>
  <c r="J194" i="7"/>
  <c r="K194" i="7"/>
  <c r="A195" i="7"/>
  <c r="C195" i="7"/>
  <c r="D195" i="7"/>
  <c r="E195" i="7"/>
  <c r="F195" i="7"/>
  <c r="G195" i="7"/>
  <c r="I195" i="7"/>
  <c r="J195" i="7"/>
  <c r="K195" i="7"/>
  <c r="A196" i="7"/>
  <c r="C196" i="7"/>
  <c r="D196" i="7"/>
  <c r="E196" i="7"/>
  <c r="F196" i="7"/>
  <c r="G196" i="7"/>
  <c r="I196" i="7"/>
  <c r="J196" i="7"/>
  <c r="K196" i="7"/>
  <c r="A197" i="7"/>
  <c r="C197" i="7"/>
  <c r="D197" i="7"/>
  <c r="E197" i="7"/>
  <c r="F197" i="7"/>
  <c r="G197" i="7"/>
  <c r="I197" i="7"/>
  <c r="J197" i="7"/>
  <c r="K197" i="7"/>
  <c r="A198" i="7"/>
  <c r="C198" i="7"/>
  <c r="D198" i="7"/>
  <c r="E198" i="7"/>
  <c r="F198" i="7"/>
  <c r="G198" i="7"/>
  <c r="I198" i="7"/>
  <c r="J198" i="7"/>
  <c r="K198" i="7"/>
  <c r="A199" i="7"/>
  <c r="C199" i="7"/>
  <c r="D199" i="7"/>
  <c r="E199" i="7"/>
  <c r="F199" i="7"/>
  <c r="G199" i="7"/>
  <c r="I199" i="7"/>
  <c r="J199" i="7"/>
  <c r="K199" i="7"/>
  <c r="A200" i="7"/>
  <c r="C200" i="7"/>
  <c r="D200" i="7"/>
  <c r="E200" i="7"/>
  <c r="F200" i="7"/>
  <c r="G200" i="7"/>
  <c r="I200" i="7"/>
  <c r="J200" i="7"/>
  <c r="K200" i="7"/>
  <c r="A201" i="7"/>
  <c r="C201" i="7"/>
  <c r="D201" i="7"/>
  <c r="E201" i="7"/>
  <c r="F201" i="7"/>
  <c r="G201" i="7"/>
  <c r="I201" i="7"/>
  <c r="J201" i="7"/>
  <c r="K201" i="7"/>
  <c r="A202" i="7"/>
  <c r="C202" i="7"/>
  <c r="D202" i="7"/>
  <c r="E202" i="7"/>
  <c r="F202" i="7"/>
  <c r="G202" i="7"/>
  <c r="I202" i="7"/>
  <c r="J202" i="7"/>
  <c r="K202" i="7"/>
  <c r="A203" i="7"/>
  <c r="C203" i="7"/>
  <c r="D203" i="7"/>
  <c r="E203" i="7"/>
  <c r="F203" i="7"/>
  <c r="G203" i="7"/>
  <c r="I203" i="7"/>
  <c r="J203" i="7"/>
  <c r="K203" i="7"/>
  <c r="A204" i="7"/>
  <c r="C204" i="7"/>
  <c r="D204" i="7"/>
  <c r="E204" i="7"/>
  <c r="F204" i="7"/>
  <c r="G204" i="7"/>
  <c r="I204" i="7"/>
  <c r="J204" i="7"/>
  <c r="K204" i="7"/>
  <c r="A205" i="7"/>
  <c r="C205" i="7"/>
  <c r="D205" i="7"/>
  <c r="E205" i="7"/>
  <c r="F205" i="7"/>
  <c r="G205" i="7"/>
  <c r="I205" i="7"/>
  <c r="J205" i="7"/>
  <c r="K205" i="7"/>
  <c r="A206" i="7"/>
  <c r="C206" i="7"/>
  <c r="D206" i="7"/>
  <c r="E206" i="7"/>
  <c r="F206" i="7"/>
  <c r="G206" i="7"/>
  <c r="I206" i="7"/>
  <c r="J206" i="7"/>
  <c r="K206" i="7"/>
  <c r="A207" i="7"/>
  <c r="C207" i="7"/>
  <c r="D207" i="7"/>
  <c r="E207" i="7"/>
  <c r="F207" i="7"/>
  <c r="G207" i="7"/>
  <c r="I207" i="7"/>
  <c r="J207" i="7"/>
  <c r="K207" i="7"/>
  <c r="A208" i="7"/>
  <c r="C208" i="7"/>
  <c r="D208" i="7"/>
  <c r="E208" i="7"/>
  <c r="F208" i="7"/>
  <c r="G208" i="7"/>
  <c r="I208" i="7"/>
  <c r="J208" i="7"/>
  <c r="K208" i="7"/>
  <c r="A209" i="7"/>
  <c r="C209" i="7"/>
  <c r="D209" i="7"/>
  <c r="E209" i="7"/>
  <c r="F209" i="7"/>
  <c r="G209" i="7"/>
  <c r="I209" i="7"/>
  <c r="J209" i="7"/>
  <c r="K209" i="7"/>
  <c r="A210" i="7"/>
  <c r="C210" i="7"/>
  <c r="D210" i="7"/>
  <c r="E210" i="7"/>
  <c r="F210" i="7"/>
  <c r="G210" i="7"/>
  <c r="I210" i="7"/>
  <c r="J210" i="7"/>
  <c r="K210" i="7"/>
  <c r="A211" i="7"/>
  <c r="C211" i="7"/>
  <c r="D211" i="7"/>
  <c r="E211" i="7"/>
  <c r="F211" i="7"/>
  <c r="G211" i="7"/>
  <c r="I211" i="7"/>
  <c r="J211" i="7"/>
  <c r="K211" i="7"/>
  <c r="A212" i="7"/>
  <c r="C212" i="7"/>
  <c r="D212" i="7"/>
  <c r="E212" i="7"/>
  <c r="F212" i="7"/>
  <c r="G212" i="7"/>
  <c r="I212" i="7"/>
  <c r="J212" i="7"/>
  <c r="K212" i="7"/>
  <c r="A213" i="7"/>
  <c r="C213" i="7"/>
  <c r="D213" i="7"/>
  <c r="E213" i="7"/>
  <c r="F213" i="7"/>
  <c r="G213" i="7"/>
  <c r="I213" i="7"/>
  <c r="J213" i="7"/>
  <c r="K213" i="7"/>
  <c r="A214" i="7"/>
  <c r="C214" i="7"/>
  <c r="D214" i="7"/>
  <c r="E214" i="7"/>
  <c r="F214" i="7"/>
  <c r="G214" i="7"/>
  <c r="I214" i="7"/>
  <c r="J214" i="7"/>
  <c r="K214" i="7"/>
  <c r="A215" i="7"/>
  <c r="C215" i="7"/>
  <c r="D215" i="7"/>
  <c r="E215" i="7"/>
  <c r="F215" i="7"/>
  <c r="G215" i="7"/>
  <c r="I215" i="7"/>
  <c r="J215" i="7"/>
  <c r="K215" i="7"/>
  <c r="A216" i="7"/>
  <c r="C216" i="7"/>
  <c r="D216" i="7"/>
  <c r="E216" i="7"/>
  <c r="F216" i="7"/>
  <c r="G216" i="7"/>
  <c r="I216" i="7"/>
  <c r="J216" i="7"/>
  <c r="K216" i="7"/>
  <c r="A217" i="7"/>
  <c r="C217" i="7"/>
  <c r="D217" i="7"/>
  <c r="E217" i="7"/>
  <c r="F217" i="7"/>
  <c r="G217" i="7"/>
  <c r="I217" i="7"/>
  <c r="J217" i="7"/>
  <c r="K217" i="7"/>
  <c r="A218" i="7"/>
  <c r="C218" i="7"/>
  <c r="D218" i="7"/>
  <c r="E218" i="7"/>
  <c r="F218" i="7"/>
  <c r="G218" i="7"/>
  <c r="I218" i="7"/>
  <c r="J218" i="7"/>
  <c r="K218" i="7"/>
  <c r="A219" i="7"/>
  <c r="C219" i="7"/>
  <c r="D219" i="7"/>
  <c r="E219" i="7"/>
  <c r="F219" i="7"/>
  <c r="G219" i="7"/>
  <c r="I219" i="7"/>
  <c r="J219" i="7"/>
  <c r="K219" i="7"/>
  <c r="A220" i="7"/>
  <c r="C220" i="7"/>
  <c r="D220" i="7"/>
  <c r="E220" i="7"/>
  <c r="F220" i="7"/>
  <c r="G220" i="7"/>
  <c r="I220" i="7"/>
  <c r="J220" i="7"/>
  <c r="K220" i="7"/>
  <c r="A221" i="7"/>
  <c r="C221" i="7"/>
  <c r="D221" i="7"/>
  <c r="E221" i="7"/>
  <c r="F221" i="7"/>
  <c r="G221" i="7"/>
  <c r="I221" i="7"/>
  <c r="J221" i="7"/>
  <c r="K221" i="7"/>
  <c r="A222" i="7"/>
  <c r="C222" i="7"/>
  <c r="D222" i="7"/>
  <c r="E222" i="7"/>
  <c r="F222" i="7"/>
  <c r="G222" i="7"/>
  <c r="I222" i="7"/>
  <c r="J222" i="7"/>
  <c r="K222" i="7"/>
  <c r="A223" i="7"/>
  <c r="C223" i="7"/>
  <c r="D223" i="7"/>
  <c r="E223" i="7"/>
  <c r="F223" i="7"/>
  <c r="G223" i="7"/>
  <c r="I223" i="7"/>
  <c r="J223" i="7"/>
  <c r="K223" i="7"/>
  <c r="A224" i="7"/>
  <c r="C224" i="7"/>
  <c r="D224" i="7"/>
  <c r="E224" i="7"/>
  <c r="F224" i="7"/>
  <c r="G224" i="7"/>
  <c r="I224" i="7"/>
  <c r="J224" i="7"/>
  <c r="K224" i="7"/>
  <c r="A225" i="7"/>
  <c r="C225" i="7"/>
  <c r="D225" i="7"/>
  <c r="E225" i="7"/>
  <c r="F225" i="7"/>
  <c r="G225" i="7"/>
  <c r="I225" i="7"/>
  <c r="J225" i="7"/>
  <c r="K225" i="7"/>
  <c r="A226" i="7"/>
  <c r="C226" i="7"/>
  <c r="D226" i="7"/>
  <c r="E226" i="7"/>
  <c r="F226" i="7"/>
  <c r="G226" i="7"/>
  <c r="I226" i="7"/>
  <c r="J226" i="7"/>
  <c r="K226" i="7"/>
  <c r="A227" i="7"/>
  <c r="C227" i="7"/>
  <c r="D227" i="7"/>
  <c r="E227" i="7"/>
  <c r="F227" i="7"/>
  <c r="G227" i="7"/>
  <c r="I227" i="7"/>
  <c r="J227" i="7"/>
  <c r="K227" i="7"/>
  <c r="A228" i="7"/>
  <c r="C228" i="7"/>
  <c r="D228" i="7"/>
  <c r="E228" i="7"/>
  <c r="F228" i="7"/>
  <c r="G228" i="7"/>
  <c r="I228" i="7"/>
  <c r="J228" i="7"/>
  <c r="K228" i="7"/>
  <c r="A229" i="7"/>
  <c r="C229" i="7"/>
  <c r="D229" i="7"/>
  <c r="E229" i="7"/>
  <c r="F229" i="7"/>
  <c r="G229" i="7"/>
  <c r="I229" i="7"/>
  <c r="J229" i="7"/>
  <c r="K229" i="7"/>
  <c r="A230" i="7"/>
  <c r="C230" i="7"/>
  <c r="D230" i="7"/>
  <c r="E230" i="7"/>
  <c r="F230" i="7"/>
  <c r="G230" i="7"/>
  <c r="I230" i="7"/>
  <c r="J230" i="7"/>
  <c r="K230" i="7"/>
  <c r="A231" i="7"/>
  <c r="C231" i="7"/>
  <c r="D231" i="7"/>
  <c r="E231" i="7"/>
  <c r="F231" i="7"/>
  <c r="G231" i="7"/>
  <c r="I231" i="7"/>
  <c r="J231" i="7"/>
  <c r="K231" i="7"/>
  <c r="A232" i="7"/>
  <c r="C232" i="7"/>
  <c r="D232" i="7"/>
  <c r="E232" i="7"/>
  <c r="F232" i="7"/>
  <c r="G232" i="7"/>
  <c r="I232" i="7"/>
  <c r="J232" i="7"/>
  <c r="K232" i="7"/>
  <c r="A233" i="7"/>
  <c r="C233" i="7"/>
  <c r="D233" i="7"/>
  <c r="E233" i="7"/>
  <c r="F233" i="7"/>
  <c r="G233" i="7"/>
  <c r="I233" i="7"/>
  <c r="J233" i="7"/>
  <c r="K233" i="7"/>
  <c r="A234" i="7"/>
  <c r="C234" i="7"/>
  <c r="D234" i="7"/>
  <c r="E234" i="7"/>
  <c r="F234" i="7"/>
  <c r="G234" i="7"/>
  <c r="I234" i="7"/>
  <c r="J234" i="7"/>
  <c r="K234" i="7"/>
  <c r="A235" i="7"/>
  <c r="C235" i="7"/>
  <c r="D235" i="7"/>
  <c r="E235" i="7"/>
  <c r="F235" i="7"/>
  <c r="G235" i="7"/>
  <c r="I235" i="7"/>
  <c r="J235" i="7"/>
  <c r="K235" i="7"/>
  <c r="A236" i="7"/>
  <c r="C236" i="7"/>
  <c r="D236" i="7"/>
  <c r="E236" i="7"/>
  <c r="F236" i="7"/>
  <c r="G236" i="7"/>
  <c r="I236" i="7"/>
  <c r="J236" i="7"/>
  <c r="K236" i="7"/>
  <c r="A237" i="7"/>
  <c r="C237" i="7"/>
  <c r="D237" i="7"/>
  <c r="E237" i="7"/>
  <c r="F237" i="7"/>
  <c r="G237" i="7"/>
  <c r="I237" i="7"/>
  <c r="J237" i="7"/>
  <c r="K237" i="7"/>
  <c r="A238" i="7"/>
  <c r="C238" i="7"/>
  <c r="D238" i="7"/>
  <c r="E238" i="7"/>
  <c r="F238" i="7"/>
  <c r="G238" i="7"/>
  <c r="I238" i="7"/>
  <c r="J238" i="7"/>
  <c r="K238" i="7"/>
  <c r="A239" i="7"/>
  <c r="C239" i="7"/>
  <c r="D239" i="7"/>
  <c r="E239" i="7"/>
  <c r="F239" i="7"/>
  <c r="G239" i="7"/>
  <c r="I239" i="7"/>
  <c r="J239" i="7"/>
  <c r="K239" i="7"/>
  <c r="A240" i="7"/>
  <c r="C240" i="7"/>
  <c r="D240" i="7"/>
  <c r="E240" i="7"/>
  <c r="F240" i="7"/>
  <c r="G240" i="7"/>
  <c r="I240" i="7"/>
  <c r="J240" i="7"/>
  <c r="K240" i="7"/>
  <c r="A241" i="7"/>
  <c r="C241" i="7"/>
  <c r="D241" i="7"/>
  <c r="E241" i="7"/>
  <c r="F241" i="7"/>
  <c r="G241" i="7"/>
  <c r="I241" i="7"/>
  <c r="J241" i="7"/>
  <c r="K241" i="7"/>
  <c r="A242" i="7"/>
  <c r="C242" i="7"/>
  <c r="D242" i="7"/>
  <c r="E242" i="7"/>
  <c r="F242" i="7"/>
  <c r="G242" i="7"/>
  <c r="I242" i="7"/>
  <c r="J242" i="7"/>
  <c r="K242" i="7"/>
  <c r="A243" i="7"/>
  <c r="C243" i="7"/>
  <c r="D243" i="7"/>
  <c r="E243" i="7"/>
  <c r="F243" i="7"/>
  <c r="G243" i="7"/>
  <c r="I243" i="7"/>
  <c r="J243" i="7"/>
  <c r="K243" i="7"/>
  <c r="A244" i="7"/>
  <c r="C244" i="7"/>
  <c r="D244" i="7"/>
  <c r="E244" i="7"/>
  <c r="F244" i="7"/>
  <c r="G244" i="7"/>
  <c r="I244" i="7"/>
  <c r="J244" i="7"/>
  <c r="K244" i="7"/>
  <c r="A245" i="7"/>
  <c r="C245" i="7"/>
  <c r="D245" i="7"/>
  <c r="E245" i="7"/>
  <c r="F245" i="7"/>
  <c r="G245" i="7"/>
  <c r="I245" i="7"/>
  <c r="J245" i="7"/>
  <c r="K245" i="7"/>
  <c r="A246" i="7"/>
  <c r="C246" i="7"/>
  <c r="D246" i="7"/>
  <c r="E246" i="7"/>
  <c r="F246" i="7"/>
  <c r="G246" i="7"/>
  <c r="I246" i="7"/>
  <c r="J246" i="7"/>
  <c r="K246" i="7"/>
  <c r="A247" i="7"/>
  <c r="C247" i="7"/>
  <c r="D247" i="7"/>
  <c r="E247" i="7"/>
  <c r="F247" i="7"/>
  <c r="G247" i="7"/>
  <c r="I247" i="7"/>
  <c r="J247" i="7"/>
  <c r="K247" i="7"/>
  <c r="A248" i="7"/>
  <c r="C248" i="7"/>
  <c r="D248" i="7"/>
  <c r="E248" i="7"/>
  <c r="F248" i="7"/>
  <c r="G248" i="7"/>
  <c r="I248" i="7"/>
  <c r="J248" i="7"/>
  <c r="K248" i="7"/>
  <c r="A249" i="7"/>
  <c r="C249" i="7"/>
  <c r="D249" i="7"/>
  <c r="E249" i="7"/>
  <c r="F249" i="7"/>
  <c r="G249" i="7"/>
  <c r="I249" i="7"/>
  <c r="J249" i="7"/>
  <c r="K249" i="7"/>
  <c r="A250" i="7"/>
  <c r="C250" i="7"/>
  <c r="D250" i="7"/>
  <c r="E250" i="7"/>
  <c r="F250" i="7"/>
  <c r="G250" i="7"/>
  <c r="I250" i="7"/>
  <c r="J250" i="7"/>
  <c r="K250" i="7"/>
  <c r="A251" i="7"/>
  <c r="C251" i="7"/>
  <c r="D251" i="7"/>
  <c r="E251" i="7"/>
  <c r="F251" i="7"/>
  <c r="G251" i="7"/>
  <c r="I251" i="7"/>
  <c r="J251" i="7"/>
  <c r="K251" i="7"/>
  <c r="A252" i="7"/>
  <c r="C252" i="7"/>
  <c r="D252" i="7"/>
  <c r="E252" i="7"/>
  <c r="F252" i="7"/>
  <c r="G252" i="7"/>
  <c r="I252" i="7"/>
  <c r="J252" i="7"/>
  <c r="K252" i="7"/>
  <c r="A253" i="7"/>
  <c r="C253" i="7"/>
  <c r="D253" i="7"/>
  <c r="E253" i="7"/>
  <c r="F253" i="7"/>
  <c r="G253" i="7"/>
  <c r="I253" i="7"/>
  <c r="J253" i="7"/>
  <c r="K253" i="7"/>
  <c r="A254" i="7"/>
  <c r="C254" i="7"/>
  <c r="D254" i="7"/>
  <c r="E254" i="7"/>
  <c r="F254" i="7"/>
  <c r="G254" i="7"/>
  <c r="I254" i="7"/>
  <c r="J254" i="7"/>
  <c r="K254" i="7"/>
  <c r="A255" i="7"/>
  <c r="C255" i="7"/>
  <c r="D255" i="7"/>
  <c r="E255" i="7"/>
  <c r="F255" i="7"/>
  <c r="G255" i="7"/>
  <c r="I255" i="7"/>
  <c r="J255" i="7"/>
  <c r="K255" i="7"/>
  <c r="A256" i="7"/>
  <c r="C256" i="7"/>
  <c r="D256" i="7"/>
  <c r="E256" i="7"/>
  <c r="F256" i="7"/>
  <c r="G256" i="7"/>
  <c r="I256" i="7"/>
  <c r="J256" i="7"/>
  <c r="K256" i="7"/>
  <c r="A257" i="7"/>
  <c r="C257" i="7"/>
  <c r="D257" i="7"/>
  <c r="E257" i="7"/>
  <c r="F257" i="7"/>
  <c r="G257" i="7"/>
  <c r="I257" i="7"/>
  <c r="J257" i="7"/>
  <c r="K257" i="7"/>
  <c r="A258" i="7"/>
  <c r="C258" i="7"/>
  <c r="D258" i="7"/>
  <c r="E258" i="7"/>
  <c r="F258" i="7"/>
  <c r="G258" i="7"/>
  <c r="I258" i="7"/>
  <c r="J258" i="7"/>
  <c r="K258" i="7"/>
  <c r="A259" i="7"/>
  <c r="C259" i="7"/>
  <c r="D259" i="7"/>
  <c r="E259" i="7"/>
  <c r="F259" i="7"/>
  <c r="G259" i="7"/>
  <c r="I259" i="7"/>
  <c r="J259" i="7"/>
  <c r="K259" i="7"/>
  <c r="A260" i="7"/>
  <c r="C260" i="7"/>
  <c r="D260" i="7"/>
  <c r="E260" i="7"/>
  <c r="F260" i="7"/>
  <c r="G260" i="7"/>
  <c r="I260" i="7"/>
  <c r="J260" i="7"/>
  <c r="K260" i="7"/>
  <c r="A261" i="7"/>
  <c r="C261" i="7"/>
  <c r="D261" i="7"/>
  <c r="E261" i="7"/>
  <c r="F261" i="7"/>
  <c r="G261" i="7"/>
  <c r="I261" i="7"/>
  <c r="J261" i="7"/>
  <c r="K261" i="7"/>
  <c r="A262" i="7"/>
  <c r="C262" i="7"/>
  <c r="D262" i="7"/>
  <c r="E262" i="7"/>
  <c r="F262" i="7"/>
  <c r="G262" i="7"/>
  <c r="I262" i="7"/>
  <c r="J262" i="7"/>
  <c r="K262" i="7"/>
  <c r="A263" i="7"/>
  <c r="C263" i="7"/>
  <c r="D263" i="7"/>
  <c r="E263" i="7"/>
  <c r="F263" i="7"/>
  <c r="G263" i="7"/>
  <c r="I263" i="7"/>
  <c r="J263" i="7"/>
  <c r="K263" i="7"/>
  <c r="A264" i="7"/>
  <c r="C264" i="7"/>
  <c r="D264" i="7"/>
  <c r="E264" i="7"/>
  <c r="F264" i="7"/>
  <c r="G264" i="7"/>
  <c r="I264" i="7"/>
  <c r="J264" i="7"/>
  <c r="K264" i="7"/>
  <c r="A265" i="7"/>
  <c r="C265" i="7"/>
  <c r="D265" i="7"/>
  <c r="E265" i="7"/>
  <c r="F265" i="7"/>
  <c r="G265" i="7"/>
  <c r="I265" i="7"/>
  <c r="J265" i="7"/>
  <c r="K265" i="7"/>
  <c r="A266" i="7"/>
  <c r="C266" i="7"/>
  <c r="D266" i="7"/>
  <c r="E266" i="7"/>
  <c r="F266" i="7"/>
  <c r="G266" i="7"/>
  <c r="I266" i="7"/>
  <c r="J266" i="7"/>
  <c r="K266" i="7"/>
  <c r="A267" i="7"/>
  <c r="C267" i="7"/>
  <c r="D267" i="7"/>
  <c r="E267" i="7"/>
  <c r="F267" i="7"/>
  <c r="G267" i="7"/>
  <c r="I267" i="7"/>
  <c r="J267" i="7"/>
  <c r="K267" i="7"/>
  <c r="A268" i="7"/>
  <c r="C268" i="7"/>
  <c r="D268" i="7"/>
  <c r="E268" i="7"/>
  <c r="F268" i="7"/>
  <c r="G268" i="7"/>
  <c r="I268" i="7"/>
  <c r="J268" i="7"/>
  <c r="K268" i="7"/>
  <c r="A269" i="7"/>
  <c r="C269" i="7"/>
  <c r="D269" i="7"/>
  <c r="E269" i="7"/>
  <c r="F269" i="7"/>
  <c r="G269" i="7"/>
  <c r="I269" i="7"/>
  <c r="J269" i="7"/>
  <c r="K269" i="7"/>
  <c r="A270" i="7"/>
  <c r="C270" i="7"/>
  <c r="D270" i="7"/>
  <c r="E270" i="7"/>
  <c r="F270" i="7"/>
  <c r="G270" i="7"/>
  <c r="I270" i="7"/>
  <c r="J270" i="7"/>
  <c r="K270" i="7"/>
  <c r="A271" i="7"/>
  <c r="C271" i="7"/>
  <c r="D271" i="7"/>
  <c r="E271" i="7"/>
  <c r="F271" i="7"/>
  <c r="G271" i="7"/>
  <c r="I271" i="7"/>
  <c r="J271" i="7"/>
  <c r="K271" i="7"/>
  <c r="A272" i="7"/>
  <c r="C272" i="7"/>
  <c r="D272" i="7"/>
  <c r="E272" i="7"/>
  <c r="F272" i="7"/>
  <c r="G272" i="7"/>
  <c r="I272" i="7"/>
  <c r="J272" i="7"/>
  <c r="K272" i="7"/>
  <c r="A273" i="7"/>
  <c r="C273" i="7"/>
  <c r="D273" i="7"/>
  <c r="E273" i="7"/>
  <c r="F273" i="7"/>
  <c r="G273" i="7"/>
  <c r="I273" i="7"/>
  <c r="J273" i="7"/>
  <c r="K273" i="7"/>
  <c r="A274" i="7"/>
  <c r="C274" i="7"/>
  <c r="D274" i="7"/>
  <c r="E274" i="7"/>
  <c r="F274" i="7"/>
  <c r="G274" i="7"/>
  <c r="I274" i="7"/>
  <c r="J274" i="7"/>
  <c r="K274" i="7"/>
  <c r="A275" i="7"/>
  <c r="C275" i="7"/>
  <c r="D275" i="7"/>
  <c r="E275" i="7"/>
  <c r="F275" i="7"/>
  <c r="G275" i="7"/>
  <c r="I275" i="7"/>
  <c r="J275" i="7"/>
  <c r="K275" i="7"/>
  <c r="A276" i="7"/>
  <c r="C276" i="7"/>
  <c r="D276" i="7"/>
  <c r="E276" i="7"/>
  <c r="F276" i="7"/>
  <c r="G276" i="7"/>
  <c r="I276" i="7"/>
  <c r="J276" i="7"/>
  <c r="K276" i="7"/>
  <c r="A277" i="7"/>
  <c r="C277" i="7"/>
  <c r="D277" i="7"/>
  <c r="E277" i="7"/>
  <c r="F277" i="7"/>
  <c r="G277" i="7"/>
  <c r="I277" i="7"/>
  <c r="J277" i="7"/>
  <c r="K277" i="7"/>
  <c r="A278" i="7"/>
  <c r="C278" i="7"/>
  <c r="D278" i="7"/>
  <c r="E278" i="7"/>
  <c r="F278" i="7"/>
  <c r="G278" i="7"/>
  <c r="I278" i="7"/>
  <c r="J278" i="7"/>
  <c r="K278" i="7"/>
  <c r="A279" i="7"/>
  <c r="C279" i="7"/>
  <c r="D279" i="7"/>
  <c r="E279" i="7"/>
  <c r="F279" i="7"/>
  <c r="G279" i="7"/>
  <c r="I279" i="7"/>
  <c r="J279" i="7"/>
  <c r="K279" i="7"/>
  <c r="A280" i="7"/>
  <c r="C280" i="7"/>
  <c r="D280" i="7"/>
  <c r="E280" i="7"/>
  <c r="F280" i="7"/>
  <c r="G280" i="7"/>
  <c r="I280" i="7"/>
  <c r="J280" i="7"/>
  <c r="K280" i="7"/>
  <c r="A281" i="7"/>
  <c r="C281" i="7"/>
  <c r="D281" i="7"/>
  <c r="E281" i="7"/>
  <c r="F281" i="7"/>
  <c r="G281" i="7"/>
  <c r="I281" i="7"/>
  <c r="J281" i="7"/>
  <c r="K281" i="7"/>
  <c r="A282" i="7"/>
  <c r="C282" i="7"/>
  <c r="D282" i="7"/>
  <c r="E282" i="7"/>
  <c r="F282" i="7"/>
  <c r="G282" i="7"/>
  <c r="I282" i="7"/>
  <c r="J282" i="7"/>
  <c r="K282" i="7"/>
  <c r="A283" i="7"/>
  <c r="C283" i="7"/>
  <c r="D283" i="7"/>
  <c r="E283" i="7"/>
  <c r="F283" i="7"/>
  <c r="G283" i="7"/>
  <c r="I283" i="7"/>
  <c r="J283" i="7"/>
  <c r="K283" i="7"/>
  <c r="A284" i="7"/>
  <c r="C284" i="7"/>
  <c r="D284" i="7"/>
  <c r="E284" i="7"/>
  <c r="F284" i="7"/>
  <c r="G284" i="7"/>
  <c r="I284" i="7"/>
  <c r="J284" i="7"/>
  <c r="K284" i="7"/>
  <c r="A285" i="7"/>
  <c r="C285" i="7"/>
  <c r="D285" i="7"/>
  <c r="E285" i="7"/>
  <c r="F285" i="7"/>
  <c r="G285" i="7"/>
  <c r="I285" i="7"/>
  <c r="J285" i="7"/>
  <c r="K285" i="7"/>
  <c r="A286" i="7"/>
  <c r="C286" i="7"/>
  <c r="D286" i="7"/>
  <c r="E286" i="7"/>
  <c r="F286" i="7"/>
  <c r="G286" i="7"/>
  <c r="I286" i="7"/>
  <c r="J286" i="7"/>
  <c r="K286" i="7"/>
  <c r="A287" i="7"/>
  <c r="C287" i="7"/>
  <c r="D287" i="7"/>
  <c r="E287" i="7"/>
  <c r="F287" i="7"/>
  <c r="G287" i="7"/>
  <c r="I287" i="7"/>
  <c r="J287" i="7"/>
  <c r="K287" i="7"/>
  <c r="A288" i="7"/>
  <c r="C288" i="7"/>
  <c r="D288" i="7"/>
  <c r="E288" i="7"/>
  <c r="F288" i="7"/>
  <c r="G288" i="7"/>
  <c r="I288" i="7"/>
  <c r="J288" i="7"/>
  <c r="K288" i="7"/>
  <c r="A289" i="7"/>
  <c r="C289" i="7"/>
  <c r="D289" i="7"/>
  <c r="E289" i="7"/>
  <c r="F289" i="7"/>
  <c r="G289" i="7"/>
  <c r="I289" i="7"/>
  <c r="J289" i="7"/>
  <c r="K289" i="7"/>
  <c r="A290" i="7"/>
  <c r="C290" i="7"/>
  <c r="D290" i="7"/>
  <c r="E290" i="7"/>
  <c r="F290" i="7"/>
  <c r="G290" i="7"/>
  <c r="I290" i="7"/>
  <c r="J290" i="7"/>
  <c r="K290" i="7"/>
  <c r="A291" i="7"/>
  <c r="C291" i="7"/>
  <c r="D291" i="7"/>
  <c r="E291" i="7"/>
  <c r="F291" i="7"/>
  <c r="G291" i="7"/>
  <c r="I291" i="7"/>
  <c r="J291" i="7"/>
  <c r="K291" i="7"/>
  <c r="A292" i="7"/>
  <c r="C292" i="7"/>
  <c r="D292" i="7"/>
  <c r="E292" i="7"/>
  <c r="F292" i="7"/>
  <c r="G292" i="7"/>
  <c r="I292" i="7"/>
  <c r="J292" i="7"/>
  <c r="K292" i="7"/>
  <c r="A293" i="7"/>
  <c r="C293" i="7"/>
  <c r="D293" i="7"/>
  <c r="E293" i="7"/>
  <c r="F293" i="7"/>
  <c r="G293" i="7"/>
  <c r="I293" i="7"/>
  <c r="J293" i="7"/>
  <c r="K293" i="7"/>
  <c r="A294" i="7"/>
  <c r="C294" i="7"/>
  <c r="D294" i="7"/>
  <c r="E294" i="7"/>
  <c r="F294" i="7"/>
  <c r="G294" i="7"/>
  <c r="I294" i="7"/>
  <c r="J294" i="7"/>
  <c r="K294" i="7"/>
  <c r="A295" i="7"/>
  <c r="C295" i="7"/>
  <c r="D295" i="7"/>
  <c r="E295" i="7"/>
  <c r="F295" i="7"/>
  <c r="G295" i="7"/>
  <c r="I295" i="7"/>
  <c r="J295" i="7"/>
  <c r="K295" i="7"/>
  <c r="A296" i="7"/>
  <c r="C296" i="7"/>
  <c r="D296" i="7"/>
  <c r="E296" i="7"/>
  <c r="F296" i="7"/>
  <c r="G296" i="7"/>
  <c r="I296" i="7"/>
  <c r="J296" i="7"/>
  <c r="K296" i="7"/>
  <c r="A297" i="7"/>
  <c r="C297" i="7"/>
  <c r="D297" i="7"/>
  <c r="E297" i="7"/>
  <c r="F297" i="7"/>
  <c r="G297" i="7"/>
  <c r="I297" i="7"/>
  <c r="J297" i="7"/>
  <c r="K297" i="7"/>
  <c r="A298" i="7"/>
  <c r="C298" i="7"/>
  <c r="D298" i="7"/>
  <c r="E298" i="7"/>
  <c r="F298" i="7"/>
  <c r="G298" i="7"/>
  <c r="I298" i="7"/>
  <c r="J298" i="7"/>
  <c r="K298" i="7"/>
  <c r="A299" i="7"/>
  <c r="C299" i="7"/>
  <c r="D299" i="7"/>
  <c r="E299" i="7"/>
  <c r="F299" i="7"/>
  <c r="G299" i="7"/>
  <c r="I299" i="7"/>
  <c r="J299" i="7"/>
  <c r="K299" i="7"/>
  <c r="A300" i="7"/>
  <c r="C300" i="7"/>
  <c r="D300" i="7"/>
  <c r="E300" i="7"/>
  <c r="F300" i="7"/>
  <c r="G300" i="7"/>
  <c r="I300" i="7"/>
  <c r="J300" i="7"/>
  <c r="K300" i="7"/>
  <c r="A301" i="7"/>
  <c r="C301" i="7"/>
  <c r="D301" i="7"/>
  <c r="E301" i="7"/>
  <c r="F301" i="7"/>
  <c r="G301" i="7"/>
  <c r="I301" i="7"/>
  <c r="J301" i="7"/>
  <c r="K301" i="7"/>
  <c r="A302" i="7"/>
  <c r="C302" i="7"/>
  <c r="D302" i="7"/>
  <c r="E302" i="7"/>
  <c r="F302" i="7"/>
  <c r="G302" i="7"/>
  <c r="I302" i="7"/>
  <c r="J302" i="7"/>
  <c r="K302" i="7"/>
  <c r="A303" i="7"/>
  <c r="C303" i="7"/>
  <c r="D303" i="7"/>
  <c r="E303" i="7"/>
  <c r="F303" i="7"/>
  <c r="G303" i="7"/>
  <c r="I303" i="7"/>
  <c r="J303" i="7"/>
  <c r="K303" i="7"/>
  <c r="A304" i="7"/>
  <c r="C304" i="7"/>
  <c r="D304" i="7"/>
  <c r="E304" i="7"/>
  <c r="F304" i="7"/>
  <c r="G304" i="7"/>
  <c r="I304" i="7"/>
  <c r="J304" i="7"/>
  <c r="K304" i="7"/>
  <c r="A305" i="7"/>
  <c r="C305" i="7"/>
  <c r="D305" i="7"/>
  <c r="E305" i="7"/>
  <c r="F305" i="7"/>
  <c r="G305" i="7"/>
  <c r="I305" i="7"/>
  <c r="J305" i="7"/>
  <c r="K305" i="7"/>
  <c r="A306" i="7"/>
  <c r="C306" i="7"/>
  <c r="D306" i="7"/>
  <c r="E306" i="7"/>
  <c r="F306" i="7"/>
  <c r="G306" i="7"/>
  <c r="I306" i="7"/>
  <c r="J306" i="7"/>
  <c r="K306" i="7"/>
  <c r="A307" i="7"/>
  <c r="C307" i="7"/>
  <c r="D307" i="7"/>
  <c r="E307" i="7"/>
  <c r="F307" i="7"/>
  <c r="G307" i="7"/>
  <c r="I307" i="7"/>
  <c r="J307" i="7"/>
  <c r="K307" i="7"/>
  <c r="A308" i="7"/>
  <c r="C308" i="7"/>
  <c r="D308" i="7"/>
  <c r="E308" i="7"/>
  <c r="F308" i="7"/>
  <c r="G308" i="7"/>
  <c r="I308" i="7"/>
  <c r="J308" i="7"/>
  <c r="K308" i="7"/>
  <c r="A309" i="7"/>
  <c r="C309" i="7"/>
  <c r="D309" i="7"/>
  <c r="E309" i="7"/>
  <c r="F309" i="7"/>
  <c r="G309" i="7"/>
  <c r="I309" i="7"/>
  <c r="J309" i="7"/>
  <c r="K309" i="7"/>
  <c r="A310" i="7"/>
  <c r="C310" i="7"/>
  <c r="D310" i="7"/>
  <c r="E310" i="7"/>
  <c r="F310" i="7"/>
  <c r="G310" i="7"/>
  <c r="I310" i="7"/>
  <c r="J310" i="7"/>
  <c r="K310" i="7"/>
  <c r="A311" i="7"/>
  <c r="C311" i="7"/>
  <c r="D311" i="7"/>
  <c r="E311" i="7"/>
  <c r="F311" i="7"/>
  <c r="G311" i="7"/>
  <c r="I311" i="7"/>
  <c r="J311" i="7"/>
  <c r="K311" i="7"/>
  <c r="A312" i="7"/>
  <c r="C312" i="7"/>
  <c r="D312" i="7"/>
  <c r="E312" i="7"/>
  <c r="F312" i="7"/>
  <c r="G312" i="7"/>
  <c r="I312" i="7"/>
  <c r="J312" i="7"/>
  <c r="K312" i="7"/>
  <c r="A313" i="7"/>
  <c r="C313" i="7"/>
  <c r="D313" i="7"/>
  <c r="E313" i="7"/>
  <c r="F313" i="7"/>
  <c r="G313" i="7"/>
  <c r="I313" i="7"/>
  <c r="J313" i="7"/>
  <c r="K313" i="7"/>
  <c r="A314" i="7"/>
  <c r="C314" i="7"/>
  <c r="D314" i="7"/>
  <c r="E314" i="7"/>
  <c r="F314" i="7"/>
  <c r="G314" i="7"/>
  <c r="I314" i="7"/>
  <c r="J314" i="7"/>
  <c r="K314" i="7"/>
  <c r="A315" i="7"/>
  <c r="C315" i="7"/>
  <c r="D315" i="7"/>
  <c r="E315" i="7"/>
  <c r="F315" i="7"/>
  <c r="G315" i="7"/>
  <c r="I315" i="7"/>
  <c r="J315" i="7"/>
  <c r="K315" i="7"/>
  <c r="A316" i="7"/>
  <c r="C316" i="7"/>
  <c r="D316" i="7"/>
  <c r="E316" i="7"/>
  <c r="F316" i="7"/>
  <c r="G316" i="7"/>
  <c r="I316" i="7"/>
  <c r="J316" i="7"/>
  <c r="K316" i="7"/>
  <c r="A317" i="7"/>
  <c r="C317" i="7"/>
  <c r="D317" i="7"/>
  <c r="E317" i="7"/>
  <c r="F317" i="7"/>
  <c r="G317" i="7"/>
  <c r="I317" i="7"/>
  <c r="J317" i="7"/>
  <c r="K317" i="7"/>
  <c r="A318" i="7"/>
  <c r="C318" i="7"/>
  <c r="D318" i="7"/>
  <c r="E318" i="7"/>
  <c r="F318" i="7"/>
  <c r="G318" i="7"/>
  <c r="I318" i="7"/>
  <c r="J318" i="7"/>
  <c r="K318" i="7"/>
  <c r="A319" i="7"/>
  <c r="C319" i="7"/>
  <c r="D319" i="7"/>
  <c r="E319" i="7"/>
  <c r="F319" i="7"/>
  <c r="G319" i="7"/>
  <c r="I319" i="7"/>
  <c r="J319" i="7"/>
  <c r="K319" i="7"/>
  <c r="A320" i="7"/>
  <c r="C320" i="7"/>
  <c r="D320" i="7"/>
  <c r="E320" i="7"/>
  <c r="F320" i="7"/>
  <c r="G320" i="7"/>
  <c r="I320" i="7"/>
  <c r="J320" i="7"/>
  <c r="K320" i="7"/>
  <c r="A321" i="7"/>
  <c r="C321" i="7"/>
  <c r="D321" i="7"/>
  <c r="E321" i="7"/>
  <c r="F321" i="7"/>
  <c r="G321" i="7"/>
  <c r="I321" i="7"/>
  <c r="J321" i="7"/>
  <c r="K321" i="7"/>
  <c r="A322" i="7"/>
  <c r="C322" i="7"/>
  <c r="D322" i="7"/>
  <c r="E322" i="7"/>
  <c r="F322" i="7"/>
  <c r="G322" i="7"/>
  <c r="I322" i="7"/>
  <c r="J322" i="7"/>
  <c r="K322" i="7"/>
  <c r="A323" i="7"/>
  <c r="C323" i="7"/>
  <c r="D323" i="7"/>
  <c r="E323" i="7"/>
  <c r="F323" i="7"/>
  <c r="G323" i="7"/>
  <c r="I323" i="7"/>
  <c r="J323" i="7"/>
  <c r="K323" i="7"/>
  <c r="A324" i="7"/>
  <c r="C324" i="7"/>
  <c r="D324" i="7"/>
  <c r="E324" i="7"/>
  <c r="F324" i="7"/>
  <c r="G324" i="7"/>
  <c r="I324" i="7"/>
  <c r="J324" i="7"/>
  <c r="K324" i="7"/>
  <c r="A325" i="7"/>
  <c r="C325" i="7"/>
  <c r="D325" i="7"/>
  <c r="E325" i="7"/>
  <c r="F325" i="7"/>
  <c r="G325" i="7"/>
  <c r="I325" i="7"/>
  <c r="J325" i="7"/>
  <c r="K325" i="7"/>
  <c r="A326" i="7"/>
  <c r="C326" i="7"/>
  <c r="D326" i="7"/>
  <c r="E326" i="7"/>
  <c r="F326" i="7"/>
  <c r="G326" i="7"/>
  <c r="I326" i="7"/>
  <c r="J326" i="7"/>
  <c r="K326" i="7"/>
  <c r="A327" i="7"/>
  <c r="C327" i="7"/>
  <c r="D327" i="7"/>
  <c r="E327" i="7"/>
  <c r="F327" i="7"/>
  <c r="G327" i="7"/>
  <c r="I327" i="7"/>
  <c r="J327" i="7"/>
  <c r="K327" i="7"/>
  <c r="A328" i="7"/>
  <c r="C328" i="7"/>
  <c r="D328" i="7"/>
  <c r="E328" i="7"/>
  <c r="F328" i="7"/>
  <c r="G328" i="7"/>
  <c r="I328" i="7"/>
  <c r="J328" i="7"/>
  <c r="K328" i="7"/>
  <c r="A329" i="7"/>
  <c r="C329" i="7"/>
  <c r="D329" i="7"/>
  <c r="E329" i="7"/>
  <c r="F329" i="7"/>
  <c r="G329" i="7"/>
  <c r="I329" i="7"/>
  <c r="J329" i="7"/>
  <c r="K329" i="7"/>
  <c r="A330" i="7"/>
  <c r="C330" i="7"/>
  <c r="D330" i="7"/>
  <c r="E330" i="7"/>
  <c r="F330" i="7"/>
  <c r="G330" i="7"/>
  <c r="I330" i="7"/>
  <c r="J330" i="7"/>
  <c r="K330" i="7"/>
  <c r="A331" i="7"/>
  <c r="C331" i="7"/>
  <c r="D331" i="7"/>
  <c r="E331" i="7"/>
  <c r="F331" i="7"/>
  <c r="G331" i="7"/>
  <c r="I331" i="7"/>
  <c r="J331" i="7"/>
  <c r="K331" i="7"/>
  <c r="A332" i="7"/>
  <c r="C332" i="7"/>
  <c r="D332" i="7"/>
  <c r="E332" i="7"/>
  <c r="F332" i="7"/>
  <c r="G332" i="7"/>
  <c r="I332" i="7"/>
  <c r="J332" i="7"/>
  <c r="K332" i="7"/>
  <c r="A333" i="7"/>
  <c r="C333" i="7"/>
  <c r="D333" i="7"/>
  <c r="E333" i="7"/>
  <c r="F333" i="7"/>
  <c r="G333" i="7"/>
  <c r="I333" i="7"/>
  <c r="J333" i="7"/>
  <c r="K333" i="7"/>
  <c r="A334" i="7"/>
  <c r="C334" i="7"/>
  <c r="D334" i="7"/>
  <c r="E334" i="7"/>
  <c r="F334" i="7"/>
  <c r="G334" i="7"/>
  <c r="I334" i="7"/>
  <c r="J334" i="7"/>
  <c r="K334" i="7"/>
  <c r="A335" i="7"/>
  <c r="C335" i="7"/>
  <c r="D335" i="7"/>
  <c r="E335" i="7"/>
  <c r="F335" i="7"/>
  <c r="G335" i="7"/>
  <c r="I335" i="7"/>
  <c r="J335" i="7"/>
  <c r="K335" i="7"/>
  <c r="A336" i="7"/>
  <c r="C336" i="7"/>
  <c r="D336" i="7"/>
  <c r="E336" i="7"/>
  <c r="F336" i="7"/>
  <c r="G336" i="7"/>
  <c r="I336" i="7"/>
  <c r="J336" i="7"/>
  <c r="K336" i="7"/>
  <c r="A337" i="7"/>
  <c r="C337" i="7"/>
  <c r="D337" i="7"/>
  <c r="E337" i="7"/>
  <c r="F337" i="7"/>
  <c r="G337" i="7"/>
  <c r="I337" i="7"/>
  <c r="J337" i="7"/>
  <c r="K337" i="7"/>
  <c r="A338" i="7"/>
  <c r="C338" i="7"/>
  <c r="D338" i="7"/>
  <c r="E338" i="7"/>
  <c r="F338" i="7"/>
  <c r="G338" i="7"/>
  <c r="I338" i="7"/>
  <c r="J338" i="7"/>
  <c r="K338" i="7"/>
  <c r="A339" i="7"/>
  <c r="C339" i="7"/>
  <c r="D339" i="7"/>
  <c r="E339" i="7"/>
  <c r="F339" i="7"/>
  <c r="G339" i="7"/>
  <c r="I339" i="7"/>
  <c r="J339" i="7"/>
  <c r="K339" i="7"/>
  <c r="A340" i="7"/>
  <c r="C340" i="7"/>
  <c r="D340" i="7"/>
  <c r="E340" i="7"/>
  <c r="F340" i="7"/>
  <c r="G340" i="7"/>
  <c r="I340" i="7"/>
  <c r="J340" i="7"/>
  <c r="K340" i="7"/>
  <c r="A341" i="7"/>
  <c r="C341" i="7"/>
  <c r="D341" i="7"/>
  <c r="E341" i="7"/>
  <c r="F341" i="7"/>
  <c r="G341" i="7"/>
  <c r="I341" i="7"/>
  <c r="J341" i="7"/>
  <c r="K341" i="7"/>
  <c r="A342" i="7"/>
  <c r="C342" i="7"/>
  <c r="D342" i="7"/>
  <c r="E342" i="7"/>
  <c r="F342" i="7"/>
  <c r="G342" i="7"/>
  <c r="I342" i="7"/>
  <c r="J342" i="7"/>
  <c r="K342" i="7"/>
  <c r="A343" i="7"/>
  <c r="C343" i="7"/>
  <c r="D343" i="7"/>
  <c r="E343" i="7"/>
  <c r="F343" i="7"/>
  <c r="G343" i="7"/>
  <c r="I343" i="7"/>
  <c r="J343" i="7"/>
  <c r="K343" i="7"/>
  <c r="A344" i="7"/>
  <c r="C344" i="7"/>
  <c r="D344" i="7"/>
  <c r="E344" i="7"/>
  <c r="F344" i="7"/>
  <c r="G344" i="7"/>
  <c r="I344" i="7"/>
  <c r="J344" i="7"/>
  <c r="K344" i="7"/>
  <c r="A345" i="7"/>
  <c r="C345" i="7"/>
  <c r="D345" i="7"/>
  <c r="E345" i="7"/>
  <c r="F345" i="7"/>
  <c r="G345" i="7"/>
  <c r="I345" i="7"/>
  <c r="J345" i="7"/>
  <c r="K345" i="7"/>
  <c r="A346" i="7"/>
  <c r="C346" i="7"/>
  <c r="D346" i="7"/>
  <c r="E346" i="7"/>
  <c r="F346" i="7"/>
  <c r="G346" i="7"/>
  <c r="I346" i="7"/>
  <c r="J346" i="7"/>
  <c r="K346" i="7"/>
  <c r="A347" i="7"/>
  <c r="C347" i="7"/>
  <c r="D347" i="7"/>
  <c r="E347" i="7"/>
  <c r="F347" i="7"/>
  <c r="G347" i="7"/>
  <c r="I347" i="7"/>
  <c r="J347" i="7"/>
  <c r="K347" i="7"/>
  <c r="A348" i="7"/>
  <c r="C348" i="7"/>
  <c r="D348" i="7"/>
  <c r="E348" i="7"/>
  <c r="F348" i="7"/>
  <c r="G348" i="7"/>
  <c r="I348" i="7"/>
  <c r="J348" i="7"/>
  <c r="K348" i="7"/>
  <c r="A349" i="7"/>
  <c r="C349" i="7"/>
  <c r="D349" i="7"/>
  <c r="E349" i="7"/>
  <c r="F349" i="7"/>
  <c r="G349" i="7"/>
  <c r="I349" i="7"/>
  <c r="J349" i="7"/>
  <c r="K349" i="7"/>
  <c r="A350" i="7"/>
  <c r="C350" i="7"/>
  <c r="D350" i="7"/>
  <c r="E350" i="7"/>
  <c r="F350" i="7"/>
  <c r="G350" i="7"/>
  <c r="I350" i="7"/>
  <c r="J350" i="7"/>
  <c r="K350" i="7"/>
  <c r="A351" i="7"/>
  <c r="C351" i="7"/>
  <c r="D351" i="7"/>
  <c r="E351" i="7"/>
  <c r="F351" i="7"/>
  <c r="G351" i="7"/>
  <c r="I351" i="7"/>
  <c r="J351" i="7"/>
  <c r="K351" i="7"/>
  <c r="A352" i="7"/>
  <c r="C352" i="7"/>
  <c r="D352" i="7"/>
  <c r="E352" i="7"/>
  <c r="F352" i="7"/>
  <c r="G352" i="7"/>
  <c r="I352" i="7"/>
  <c r="J352" i="7"/>
  <c r="K352" i="7"/>
  <c r="A353" i="7"/>
  <c r="C353" i="7"/>
  <c r="D353" i="7"/>
  <c r="E353" i="7"/>
  <c r="F353" i="7"/>
  <c r="G353" i="7"/>
  <c r="I353" i="7"/>
  <c r="J353" i="7"/>
  <c r="K353" i="7"/>
  <c r="A354" i="7"/>
  <c r="C354" i="7"/>
  <c r="D354" i="7"/>
  <c r="E354" i="7"/>
  <c r="F354" i="7"/>
  <c r="G354" i="7"/>
  <c r="I354" i="7"/>
  <c r="J354" i="7"/>
  <c r="K354" i="7"/>
  <c r="A355" i="7"/>
  <c r="C355" i="7"/>
  <c r="D355" i="7"/>
  <c r="E355" i="7"/>
  <c r="F355" i="7"/>
  <c r="G355" i="7"/>
  <c r="I355" i="7"/>
  <c r="J355" i="7"/>
  <c r="K355" i="7"/>
  <c r="A356" i="7"/>
  <c r="C356" i="7"/>
  <c r="D356" i="7"/>
  <c r="E356" i="7"/>
  <c r="F356" i="7"/>
  <c r="G356" i="7"/>
  <c r="I356" i="7"/>
  <c r="J356" i="7"/>
  <c r="K356" i="7"/>
  <c r="A357" i="7"/>
  <c r="C357" i="7"/>
  <c r="D357" i="7"/>
  <c r="E357" i="7"/>
  <c r="F357" i="7"/>
  <c r="G357" i="7"/>
  <c r="I357" i="7"/>
  <c r="J357" i="7"/>
  <c r="K357" i="7"/>
  <c r="A358" i="7"/>
  <c r="C358" i="7"/>
  <c r="D358" i="7"/>
  <c r="E358" i="7"/>
  <c r="F358" i="7"/>
  <c r="G358" i="7"/>
  <c r="I358" i="7"/>
  <c r="J358" i="7"/>
  <c r="K358" i="7"/>
  <c r="A359" i="7"/>
  <c r="C359" i="7"/>
  <c r="D359" i="7"/>
  <c r="E359" i="7"/>
  <c r="F359" i="7"/>
  <c r="G359" i="7"/>
  <c r="I359" i="7"/>
  <c r="J359" i="7"/>
  <c r="K359" i="7"/>
  <c r="A360" i="7"/>
  <c r="C360" i="7"/>
  <c r="D360" i="7"/>
  <c r="E360" i="7"/>
  <c r="F360" i="7"/>
  <c r="G360" i="7"/>
  <c r="I360" i="7"/>
  <c r="J360" i="7"/>
  <c r="K360" i="7"/>
  <c r="A361" i="7"/>
  <c r="C361" i="7"/>
  <c r="D361" i="7"/>
  <c r="E361" i="7"/>
  <c r="F361" i="7"/>
  <c r="G361" i="7"/>
  <c r="I361" i="7"/>
  <c r="J361" i="7"/>
  <c r="K361" i="7"/>
  <c r="A362" i="7"/>
  <c r="C362" i="7"/>
  <c r="D362" i="7"/>
  <c r="E362" i="7"/>
  <c r="F362" i="7"/>
  <c r="G362" i="7"/>
  <c r="I362" i="7"/>
  <c r="J362" i="7"/>
  <c r="K362" i="7"/>
  <c r="A363" i="7"/>
  <c r="C363" i="7"/>
  <c r="D363" i="7"/>
  <c r="E363" i="7"/>
  <c r="F363" i="7"/>
  <c r="G363" i="7"/>
  <c r="I363" i="7"/>
  <c r="J363" i="7"/>
  <c r="K363" i="7"/>
  <c r="A364" i="7"/>
  <c r="C364" i="7"/>
  <c r="D364" i="7"/>
  <c r="E364" i="7"/>
  <c r="F364" i="7"/>
  <c r="G364" i="7"/>
  <c r="I364" i="7"/>
  <c r="J364" i="7"/>
  <c r="K364" i="7"/>
  <c r="A365" i="7"/>
  <c r="C365" i="7"/>
  <c r="D365" i="7"/>
  <c r="E365" i="7"/>
  <c r="F365" i="7"/>
  <c r="G365" i="7"/>
  <c r="I365" i="7"/>
  <c r="J365" i="7"/>
  <c r="K365" i="7"/>
  <c r="A366" i="7"/>
  <c r="C366" i="7"/>
  <c r="D366" i="7"/>
  <c r="E366" i="7"/>
  <c r="F366" i="7"/>
  <c r="G366" i="7"/>
  <c r="I366" i="7"/>
  <c r="J366" i="7"/>
  <c r="K366" i="7"/>
  <c r="A367" i="7"/>
  <c r="C367" i="7"/>
  <c r="D367" i="7"/>
  <c r="E367" i="7"/>
  <c r="F367" i="7"/>
  <c r="G367" i="7"/>
  <c r="I367" i="7"/>
  <c r="J367" i="7"/>
  <c r="K367" i="7"/>
  <c r="A368" i="7"/>
  <c r="C368" i="7"/>
  <c r="D368" i="7"/>
  <c r="E368" i="7"/>
  <c r="F368" i="7"/>
  <c r="G368" i="7"/>
  <c r="I368" i="7"/>
  <c r="J368" i="7"/>
  <c r="K368" i="7"/>
  <c r="A369" i="7"/>
  <c r="C369" i="7"/>
  <c r="D369" i="7"/>
  <c r="E369" i="7"/>
  <c r="F369" i="7"/>
  <c r="G369" i="7"/>
  <c r="I369" i="7"/>
  <c r="J369" i="7"/>
  <c r="K369" i="7"/>
  <c r="A370" i="7"/>
  <c r="C370" i="7"/>
  <c r="D370" i="7"/>
  <c r="E370" i="7"/>
  <c r="F370" i="7"/>
  <c r="G370" i="7"/>
  <c r="I370" i="7"/>
  <c r="J370" i="7"/>
  <c r="K370" i="7"/>
  <c r="A371" i="7"/>
  <c r="C371" i="7"/>
  <c r="D371" i="7"/>
  <c r="E371" i="7"/>
  <c r="F371" i="7"/>
  <c r="G371" i="7"/>
  <c r="I371" i="7"/>
  <c r="J371" i="7"/>
  <c r="K371" i="7"/>
  <c r="A372" i="7"/>
  <c r="C372" i="7"/>
  <c r="D372" i="7"/>
  <c r="E372" i="7"/>
  <c r="F372" i="7"/>
  <c r="G372" i="7"/>
  <c r="I372" i="7"/>
  <c r="J372" i="7"/>
  <c r="K372" i="7"/>
  <c r="A373" i="7"/>
  <c r="C373" i="7"/>
  <c r="D373" i="7"/>
  <c r="E373" i="7"/>
  <c r="F373" i="7"/>
  <c r="G373" i="7"/>
  <c r="I373" i="7"/>
  <c r="J373" i="7"/>
  <c r="K373" i="7"/>
  <c r="A374" i="7"/>
  <c r="C374" i="7"/>
  <c r="D374" i="7"/>
  <c r="E374" i="7"/>
  <c r="F374" i="7"/>
  <c r="G374" i="7"/>
  <c r="I374" i="7"/>
  <c r="J374" i="7"/>
  <c r="K374" i="7"/>
  <c r="A375" i="7"/>
  <c r="C375" i="7"/>
  <c r="D375" i="7"/>
  <c r="E375" i="7"/>
  <c r="F375" i="7"/>
  <c r="G375" i="7"/>
  <c r="I375" i="7"/>
  <c r="J375" i="7"/>
  <c r="K375" i="7"/>
  <c r="A376" i="7"/>
  <c r="C376" i="7"/>
  <c r="D376" i="7"/>
  <c r="E376" i="7"/>
  <c r="F376" i="7"/>
  <c r="G376" i="7"/>
  <c r="I376" i="7"/>
  <c r="J376" i="7"/>
  <c r="K376" i="7"/>
  <c r="A377" i="7"/>
  <c r="C377" i="7"/>
  <c r="D377" i="7"/>
  <c r="E377" i="7"/>
  <c r="F377" i="7"/>
  <c r="G377" i="7"/>
  <c r="I377" i="7"/>
  <c r="J377" i="7"/>
  <c r="K377" i="7"/>
  <c r="A378" i="7"/>
  <c r="C378" i="7"/>
  <c r="D378" i="7"/>
  <c r="E378" i="7"/>
  <c r="F378" i="7"/>
  <c r="G378" i="7"/>
  <c r="I378" i="7"/>
  <c r="J378" i="7"/>
  <c r="K378" i="7"/>
  <c r="A379" i="7"/>
  <c r="C379" i="7"/>
  <c r="D379" i="7"/>
  <c r="E379" i="7"/>
  <c r="F379" i="7"/>
  <c r="G379" i="7"/>
  <c r="I379" i="7"/>
  <c r="J379" i="7"/>
  <c r="K379" i="7"/>
  <c r="A380" i="7"/>
  <c r="C380" i="7"/>
  <c r="D380" i="7"/>
  <c r="E380" i="7"/>
  <c r="F380" i="7"/>
  <c r="G380" i="7"/>
  <c r="I380" i="7"/>
  <c r="J380" i="7"/>
  <c r="K380" i="7"/>
  <c r="A381" i="7"/>
  <c r="C381" i="7"/>
  <c r="D381" i="7"/>
  <c r="E381" i="7"/>
  <c r="F381" i="7"/>
  <c r="G381" i="7"/>
  <c r="I381" i="7"/>
  <c r="J381" i="7"/>
  <c r="K381" i="7"/>
  <c r="A382" i="7"/>
  <c r="C382" i="7"/>
  <c r="D382" i="7"/>
  <c r="E382" i="7"/>
  <c r="F382" i="7"/>
  <c r="G382" i="7"/>
  <c r="I382" i="7"/>
  <c r="J382" i="7"/>
  <c r="K382" i="7"/>
  <c r="A383" i="7"/>
  <c r="C383" i="7"/>
  <c r="D383" i="7"/>
  <c r="E383" i="7"/>
  <c r="F383" i="7"/>
  <c r="G383" i="7"/>
  <c r="I383" i="7"/>
  <c r="J383" i="7"/>
  <c r="K383" i="7"/>
  <c r="A384" i="7"/>
  <c r="C384" i="7"/>
  <c r="D384" i="7"/>
  <c r="E384" i="7"/>
  <c r="F384" i="7"/>
  <c r="G384" i="7"/>
  <c r="I384" i="7"/>
  <c r="J384" i="7"/>
  <c r="K384" i="7"/>
  <c r="A385" i="7"/>
  <c r="C385" i="7"/>
  <c r="D385" i="7"/>
  <c r="E385" i="7"/>
  <c r="F385" i="7"/>
  <c r="G385" i="7"/>
  <c r="I385" i="7"/>
  <c r="J385" i="7"/>
  <c r="K385" i="7"/>
  <c r="A386" i="7"/>
  <c r="C386" i="7"/>
  <c r="D386" i="7"/>
  <c r="E386" i="7"/>
  <c r="F386" i="7"/>
  <c r="G386" i="7"/>
  <c r="I386" i="7"/>
  <c r="J386" i="7"/>
  <c r="K386" i="7"/>
  <c r="A387" i="7"/>
  <c r="C387" i="7"/>
  <c r="D387" i="7"/>
  <c r="E387" i="7"/>
  <c r="F387" i="7"/>
  <c r="G387" i="7"/>
  <c r="I387" i="7"/>
  <c r="J387" i="7"/>
  <c r="K387" i="7"/>
  <c r="A388" i="7"/>
  <c r="C388" i="7"/>
  <c r="D388" i="7"/>
  <c r="E388" i="7"/>
  <c r="F388" i="7"/>
  <c r="G388" i="7"/>
  <c r="I388" i="7"/>
  <c r="J388" i="7"/>
  <c r="K388" i="7"/>
  <c r="A389" i="7"/>
  <c r="C389" i="7"/>
  <c r="D389" i="7"/>
  <c r="E389" i="7"/>
  <c r="F389" i="7"/>
  <c r="G389" i="7"/>
  <c r="I389" i="7"/>
  <c r="J389" i="7"/>
  <c r="K389" i="7"/>
  <c r="A390" i="7"/>
  <c r="C390" i="7"/>
  <c r="D390" i="7"/>
  <c r="E390" i="7"/>
  <c r="F390" i="7"/>
  <c r="G390" i="7"/>
  <c r="I390" i="7"/>
  <c r="J390" i="7"/>
  <c r="K390" i="7"/>
  <c r="A391" i="7"/>
  <c r="C391" i="7"/>
  <c r="D391" i="7"/>
  <c r="E391" i="7"/>
  <c r="F391" i="7"/>
  <c r="G391" i="7"/>
  <c r="I391" i="7"/>
  <c r="J391" i="7"/>
  <c r="K391" i="7"/>
  <c r="A392" i="7"/>
  <c r="C392" i="7"/>
  <c r="D392" i="7"/>
  <c r="E392" i="7"/>
  <c r="F392" i="7"/>
  <c r="G392" i="7"/>
  <c r="I392" i="7"/>
  <c r="J392" i="7"/>
  <c r="K392" i="7"/>
  <c r="A393" i="7"/>
  <c r="C393" i="7"/>
  <c r="D393" i="7"/>
  <c r="E393" i="7"/>
  <c r="F393" i="7"/>
  <c r="G393" i="7"/>
  <c r="I393" i="7"/>
  <c r="J393" i="7"/>
  <c r="K393" i="7"/>
  <c r="A394" i="7"/>
  <c r="C394" i="7"/>
  <c r="D394" i="7"/>
  <c r="E394" i="7"/>
  <c r="F394" i="7"/>
  <c r="G394" i="7"/>
  <c r="I394" i="7"/>
  <c r="J394" i="7"/>
  <c r="K394" i="7"/>
  <c r="A395" i="7"/>
  <c r="C395" i="7"/>
  <c r="D395" i="7"/>
  <c r="E395" i="7"/>
  <c r="F395" i="7"/>
  <c r="G395" i="7"/>
  <c r="I395" i="7"/>
  <c r="J395" i="7"/>
  <c r="K395" i="7"/>
  <c r="A396" i="7"/>
  <c r="C396" i="7"/>
  <c r="D396" i="7"/>
  <c r="E396" i="7"/>
  <c r="F396" i="7"/>
  <c r="G396" i="7"/>
  <c r="I396" i="7"/>
  <c r="J396" i="7"/>
  <c r="K396" i="7"/>
  <c r="A397" i="7"/>
  <c r="C397" i="7"/>
  <c r="D397" i="7"/>
  <c r="E397" i="7"/>
  <c r="F397" i="7"/>
  <c r="G397" i="7"/>
  <c r="I397" i="7"/>
  <c r="J397" i="7"/>
  <c r="K397" i="7"/>
  <c r="A398" i="7"/>
  <c r="C398" i="7"/>
  <c r="D398" i="7"/>
  <c r="E398" i="7"/>
  <c r="F398" i="7"/>
  <c r="G398" i="7"/>
  <c r="I398" i="7"/>
  <c r="J398" i="7"/>
  <c r="K398" i="7"/>
  <c r="A399" i="7"/>
  <c r="C399" i="7"/>
  <c r="D399" i="7"/>
  <c r="E399" i="7"/>
  <c r="F399" i="7"/>
  <c r="G399" i="7"/>
  <c r="I399" i="7"/>
  <c r="J399" i="7"/>
  <c r="K399" i="7"/>
  <c r="A400" i="7"/>
  <c r="C400" i="7"/>
  <c r="D400" i="7"/>
  <c r="E400" i="7"/>
  <c r="F400" i="7"/>
  <c r="G400" i="7"/>
  <c r="I400" i="7"/>
  <c r="J400" i="7"/>
  <c r="K400" i="7"/>
  <c r="A401" i="7"/>
  <c r="C401" i="7"/>
  <c r="D401" i="7"/>
  <c r="E401" i="7"/>
  <c r="F401" i="7"/>
  <c r="G401" i="7"/>
  <c r="I401" i="7"/>
  <c r="J401" i="7"/>
  <c r="K401" i="7"/>
  <c r="A402" i="7"/>
  <c r="C402" i="7"/>
  <c r="D402" i="7"/>
  <c r="E402" i="7"/>
  <c r="F402" i="7"/>
  <c r="G402" i="7"/>
  <c r="I402" i="7"/>
  <c r="J402" i="7"/>
  <c r="K402" i="7"/>
  <c r="A403" i="7"/>
  <c r="C403" i="7"/>
  <c r="D403" i="7"/>
  <c r="E403" i="7"/>
  <c r="F403" i="7"/>
  <c r="G403" i="7"/>
  <c r="I403" i="7"/>
  <c r="J403" i="7"/>
  <c r="K403" i="7"/>
  <c r="A404" i="7"/>
  <c r="C404" i="7"/>
  <c r="D404" i="7"/>
  <c r="E404" i="7"/>
  <c r="F404" i="7"/>
  <c r="G404" i="7"/>
  <c r="I404" i="7"/>
  <c r="J404" i="7"/>
  <c r="K404" i="7"/>
  <c r="A405" i="7"/>
  <c r="C405" i="7"/>
  <c r="D405" i="7"/>
  <c r="E405" i="7"/>
  <c r="F405" i="7"/>
  <c r="G405" i="7"/>
  <c r="I405" i="7"/>
  <c r="J405" i="7"/>
  <c r="K405" i="7"/>
  <c r="A406" i="7"/>
  <c r="C406" i="7"/>
  <c r="D406" i="7"/>
  <c r="E406" i="7"/>
  <c r="F406" i="7"/>
  <c r="G406" i="7"/>
  <c r="I406" i="7"/>
  <c r="J406" i="7"/>
  <c r="K406" i="7"/>
  <c r="A407" i="7"/>
  <c r="C407" i="7"/>
  <c r="D407" i="7"/>
  <c r="E407" i="7"/>
  <c r="F407" i="7"/>
  <c r="G407" i="7"/>
  <c r="I407" i="7"/>
  <c r="J407" i="7"/>
  <c r="K407" i="7"/>
  <c r="A408" i="7"/>
  <c r="C408" i="7"/>
  <c r="D408" i="7"/>
  <c r="E408" i="7"/>
  <c r="F408" i="7"/>
  <c r="G408" i="7"/>
  <c r="I408" i="7"/>
  <c r="J408" i="7"/>
  <c r="K408" i="7"/>
  <c r="A409" i="7"/>
  <c r="C409" i="7"/>
  <c r="D409" i="7"/>
  <c r="E409" i="7"/>
  <c r="F409" i="7"/>
  <c r="G409" i="7"/>
  <c r="I409" i="7"/>
  <c r="J409" i="7"/>
  <c r="K409" i="7"/>
  <c r="A410" i="7"/>
  <c r="C410" i="7"/>
  <c r="D410" i="7"/>
  <c r="E410" i="7"/>
  <c r="F410" i="7"/>
  <c r="G410" i="7"/>
  <c r="I410" i="7"/>
  <c r="J410" i="7"/>
  <c r="K410" i="7"/>
  <c r="A411" i="7"/>
  <c r="C411" i="7"/>
  <c r="D411" i="7"/>
  <c r="E411" i="7"/>
  <c r="F411" i="7"/>
  <c r="G411" i="7"/>
  <c r="I411" i="7"/>
  <c r="J411" i="7"/>
  <c r="K411" i="7"/>
  <c r="A412" i="7"/>
  <c r="C412" i="7"/>
  <c r="D412" i="7"/>
  <c r="E412" i="7"/>
  <c r="F412" i="7"/>
  <c r="G412" i="7"/>
  <c r="I412" i="7"/>
  <c r="J412" i="7"/>
  <c r="K412" i="7"/>
  <c r="A413" i="7"/>
  <c r="C413" i="7"/>
  <c r="D413" i="7"/>
  <c r="E413" i="7"/>
  <c r="F413" i="7"/>
  <c r="G413" i="7"/>
  <c r="I413" i="7"/>
  <c r="J413" i="7"/>
  <c r="K413" i="7"/>
  <c r="A414" i="7"/>
  <c r="C414" i="7"/>
  <c r="D414" i="7"/>
  <c r="E414" i="7"/>
  <c r="F414" i="7"/>
  <c r="G414" i="7"/>
  <c r="I414" i="7"/>
  <c r="J414" i="7"/>
  <c r="K414" i="7"/>
  <c r="A415" i="7"/>
  <c r="C415" i="7"/>
  <c r="D415" i="7"/>
  <c r="E415" i="7"/>
  <c r="F415" i="7"/>
  <c r="G415" i="7"/>
  <c r="I415" i="7"/>
  <c r="J415" i="7"/>
  <c r="K415" i="7"/>
  <c r="A416" i="7"/>
  <c r="C416" i="7"/>
  <c r="D416" i="7"/>
  <c r="E416" i="7"/>
  <c r="F416" i="7"/>
  <c r="G416" i="7"/>
  <c r="I416" i="7"/>
  <c r="J416" i="7"/>
  <c r="K416" i="7"/>
  <c r="A417" i="7"/>
  <c r="C417" i="7"/>
  <c r="D417" i="7"/>
  <c r="E417" i="7"/>
  <c r="F417" i="7"/>
  <c r="G417" i="7"/>
  <c r="I417" i="7"/>
  <c r="J417" i="7"/>
  <c r="K417" i="7"/>
  <c r="A418" i="7"/>
  <c r="C418" i="7"/>
  <c r="D418" i="7"/>
  <c r="E418" i="7"/>
  <c r="F418" i="7"/>
  <c r="G418" i="7"/>
  <c r="I418" i="7"/>
  <c r="J418" i="7"/>
  <c r="K418" i="7"/>
  <c r="A419" i="7"/>
  <c r="C419" i="7"/>
  <c r="D419" i="7"/>
  <c r="E419" i="7"/>
  <c r="F419" i="7"/>
  <c r="G419" i="7"/>
  <c r="I419" i="7"/>
  <c r="J419" i="7"/>
  <c r="K419" i="7"/>
  <c r="A420" i="7"/>
  <c r="C420" i="7"/>
  <c r="D420" i="7"/>
  <c r="E420" i="7"/>
  <c r="F420" i="7"/>
  <c r="G420" i="7"/>
  <c r="I420" i="7"/>
  <c r="J420" i="7"/>
  <c r="K420" i="7"/>
  <c r="A421" i="7"/>
  <c r="C421" i="7"/>
  <c r="D421" i="7"/>
  <c r="E421" i="7"/>
  <c r="F421" i="7"/>
  <c r="G421" i="7"/>
  <c r="I421" i="7"/>
  <c r="J421" i="7"/>
  <c r="K421" i="7"/>
  <c r="A422" i="7"/>
  <c r="C422" i="7"/>
  <c r="D422" i="7"/>
  <c r="E422" i="7"/>
  <c r="F422" i="7"/>
  <c r="G422" i="7"/>
  <c r="I422" i="7"/>
  <c r="J422" i="7"/>
  <c r="K422" i="7"/>
  <c r="A423" i="7"/>
  <c r="C423" i="7"/>
  <c r="D423" i="7"/>
  <c r="E423" i="7"/>
  <c r="F423" i="7"/>
  <c r="G423" i="7"/>
  <c r="I423" i="7"/>
  <c r="J423" i="7"/>
  <c r="K423" i="7"/>
  <c r="A424" i="7"/>
  <c r="C424" i="7"/>
  <c r="D424" i="7"/>
  <c r="E424" i="7"/>
  <c r="F424" i="7"/>
  <c r="G424" i="7"/>
  <c r="I424" i="7"/>
  <c r="J424" i="7"/>
  <c r="K424" i="7"/>
  <c r="A425" i="7"/>
  <c r="C425" i="7"/>
  <c r="D425" i="7"/>
  <c r="E425" i="7"/>
  <c r="F425" i="7"/>
  <c r="G425" i="7"/>
  <c r="I425" i="7"/>
  <c r="J425" i="7"/>
  <c r="K425" i="7"/>
  <c r="A426" i="7"/>
  <c r="C426" i="7"/>
  <c r="D426" i="7"/>
  <c r="E426" i="7"/>
  <c r="F426" i="7"/>
  <c r="G426" i="7"/>
  <c r="I426" i="7"/>
  <c r="J426" i="7"/>
  <c r="K426" i="7"/>
  <c r="A427" i="7"/>
  <c r="C427" i="7"/>
  <c r="D427" i="7"/>
  <c r="E427" i="7"/>
  <c r="F427" i="7"/>
  <c r="G427" i="7"/>
  <c r="I427" i="7"/>
  <c r="J427" i="7"/>
  <c r="K427" i="7"/>
  <c r="A428" i="7"/>
  <c r="C428" i="7"/>
  <c r="D428" i="7"/>
  <c r="E428" i="7"/>
  <c r="F428" i="7"/>
  <c r="G428" i="7"/>
  <c r="I428" i="7"/>
  <c r="J428" i="7"/>
  <c r="K428" i="7"/>
  <c r="A429" i="7"/>
  <c r="C429" i="7"/>
  <c r="D429" i="7"/>
  <c r="E429" i="7"/>
  <c r="F429" i="7"/>
  <c r="G429" i="7"/>
  <c r="I429" i="7"/>
  <c r="J429" i="7"/>
  <c r="K429" i="7"/>
  <c r="A430" i="7"/>
  <c r="C430" i="7"/>
  <c r="D430" i="7"/>
  <c r="E430" i="7"/>
  <c r="F430" i="7"/>
  <c r="G430" i="7"/>
  <c r="I430" i="7"/>
  <c r="J430" i="7"/>
  <c r="K430" i="7"/>
  <c r="A431" i="7"/>
  <c r="C431" i="7"/>
  <c r="D431" i="7"/>
  <c r="E431" i="7"/>
  <c r="F431" i="7"/>
  <c r="G431" i="7"/>
  <c r="I431" i="7"/>
  <c r="J431" i="7"/>
  <c r="K431" i="7"/>
  <c r="A432" i="7"/>
  <c r="C432" i="7"/>
  <c r="D432" i="7"/>
  <c r="E432" i="7"/>
  <c r="F432" i="7"/>
  <c r="G432" i="7"/>
  <c r="I432" i="7"/>
  <c r="J432" i="7"/>
  <c r="K432" i="7"/>
  <c r="A433" i="7"/>
  <c r="C433" i="7"/>
  <c r="D433" i="7"/>
  <c r="E433" i="7"/>
  <c r="F433" i="7"/>
  <c r="G433" i="7"/>
  <c r="I433" i="7"/>
  <c r="J433" i="7"/>
  <c r="K433" i="7"/>
  <c r="A434" i="7"/>
  <c r="C434" i="7"/>
  <c r="D434" i="7"/>
  <c r="E434" i="7"/>
  <c r="F434" i="7"/>
  <c r="G434" i="7"/>
  <c r="I434" i="7"/>
  <c r="J434" i="7"/>
  <c r="K434" i="7"/>
  <c r="A435" i="7"/>
  <c r="C435" i="7"/>
  <c r="D435" i="7"/>
  <c r="E435" i="7"/>
  <c r="F435" i="7"/>
  <c r="G435" i="7"/>
  <c r="I435" i="7"/>
  <c r="J435" i="7"/>
  <c r="K435" i="7"/>
  <c r="A436" i="7"/>
  <c r="C436" i="7"/>
  <c r="D436" i="7"/>
  <c r="E436" i="7"/>
  <c r="F436" i="7"/>
  <c r="G436" i="7"/>
  <c r="I436" i="7"/>
  <c r="J436" i="7"/>
  <c r="K436" i="7"/>
  <c r="A437" i="7"/>
  <c r="C437" i="7"/>
  <c r="D437" i="7"/>
  <c r="E437" i="7"/>
  <c r="F437" i="7"/>
  <c r="G437" i="7"/>
  <c r="I437" i="7"/>
  <c r="J437" i="7"/>
  <c r="K437" i="7"/>
  <c r="A438" i="7"/>
  <c r="C438" i="7"/>
  <c r="D438" i="7"/>
  <c r="E438" i="7"/>
  <c r="F438" i="7"/>
  <c r="G438" i="7"/>
  <c r="I438" i="7"/>
  <c r="J438" i="7"/>
  <c r="K438" i="7"/>
  <c r="A439" i="7"/>
  <c r="C439" i="7"/>
  <c r="D439" i="7"/>
  <c r="E439" i="7"/>
  <c r="F439" i="7"/>
  <c r="G439" i="7"/>
  <c r="I439" i="7"/>
  <c r="J439" i="7"/>
  <c r="K439" i="7"/>
  <c r="A440" i="7"/>
  <c r="C440" i="7"/>
  <c r="D440" i="7"/>
  <c r="E440" i="7"/>
  <c r="F440" i="7"/>
  <c r="G440" i="7"/>
  <c r="I440" i="7"/>
  <c r="J440" i="7"/>
  <c r="K440" i="7"/>
  <c r="A441" i="7"/>
  <c r="C441" i="7"/>
  <c r="D441" i="7"/>
  <c r="E441" i="7"/>
  <c r="F441" i="7"/>
  <c r="G441" i="7"/>
  <c r="I441" i="7"/>
  <c r="J441" i="7"/>
  <c r="K441" i="7"/>
  <c r="A442" i="7"/>
  <c r="C442" i="7"/>
  <c r="D442" i="7"/>
  <c r="E442" i="7"/>
  <c r="F442" i="7"/>
  <c r="G442" i="7"/>
  <c r="I442" i="7"/>
  <c r="J442" i="7"/>
  <c r="K442" i="7"/>
  <c r="A443" i="7"/>
  <c r="C443" i="7"/>
  <c r="D443" i="7"/>
  <c r="E443" i="7"/>
  <c r="F443" i="7"/>
  <c r="G443" i="7"/>
  <c r="I443" i="7"/>
  <c r="J443" i="7"/>
  <c r="K443" i="7"/>
  <c r="A444" i="7"/>
  <c r="C444" i="7"/>
  <c r="D444" i="7"/>
  <c r="E444" i="7"/>
  <c r="F444" i="7"/>
  <c r="G444" i="7"/>
  <c r="I444" i="7"/>
  <c r="J444" i="7"/>
  <c r="K444" i="7"/>
  <c r="A445" i="7"/>
  <c r="C445" i="7"/>
  <c r="D445" i="7"/>
  <c r="E445" i="7"/>
  <c r="F445" i="7"/>
  <c r="G445" i="7"/>
  <c r="I445" i="7"/>
  <c r="J445" i="7"/>
  <c r="K445" i="7"/>
  <c r="A446" i="7"/>
  <c r="C446" i="7"/>
  <c r="D446" i="7"/>
  <c r="E446" i="7"/>
  <c r="F446" i="7"/>
  <c r="G446" i="7"/>
  <c r="I446" i="7"/>
  <c r="J446" i="7"/>
  <c r="K446" i="7"/>
  <c r="A447" i="7"/>
  <c r="C447" i="7"/>
  <c r="D447" i="7"/>
  <c r="E447" i="7"/>
  <c r="F447" i="7"/>
  <c r="G447" i="7"/>
  <c r="I447" i="7"/>
  <c r="J447" i="7"/>
  <c r="K447" i="7"/>
  <c r="A448" i="7"/>
  <c r="C448" i="7"/>
  <c r="D448" i="7"/>
  <c r="E448" i="7"/>
  <c r="F448" i="7"/>
  <c r="G448" i="7"/>
  <c r="I448" i="7"/>
  <c r="J448" i="7"/>
  <c r="K448" i="7"/>
  <c r="A449" i="7"/>
  <c r="C449" i="7"/>
  <c r="D449" i="7"/>
  <c r="E449" i="7"/>
  <c r="F449" i="7"/>
  <c r="G449" i="7"/>
  <c r="I449" i="7"/>
  <c r="J449" i="7"/>
  <c r="K449" i="7"/>
  <c r="A450" i="7"/>
  <c r="C450" i="7"/>
  <c r="D450" i="7"/>
  <c r="E450" i="7"/>
  <c r="F450" i="7"/>
  <c r="G450" i="7"/>
  <c r="I450" i="7"/>
  <c r="J450" i="7"/>
  <c r="K450" i="7"/>
  <c r="A451" i="7"/>
  <c r="C451" i="7"/>
  <c r="D451" i="7"/>
  <c r="E451" i="7"/>
  <c r="F451" i="7"/>
  <c r="G451" i="7"/>
  <c r="I451" i="7"/>
  <c r="J451" i="7"/>
  <c r="K451" i="7"/>
  <c r="A452" i="7"/>
  <c r="C452" i="7"/>
  <c r="D452" i="7"/>
  <c r="E452" i="7"/>
  <c r="F452" i="7"/>
  <c r="G452" i="7"/>
  <c r="I452" i="7"/>
  <c r="J452" i="7"/>
  <c r="K452" i="7"/>
  <c r="A453" i="7"/>
  <c r="C453" i="7"/>
  <c r="D453" i="7"/>
  <c r="E453" i="7"/>
  <c r="F453" i="7"/>
  <c r="G453" i="7"/>
  <c r="I453" i="7"/>
  <c r="J453" i="7"/>
  <c r="K453" i="7"/>
  <c r="A454" i="7"/>
  <c r="C454" i="7"/>
  <c r="D454" i="7"/>
  <c r="E454" i="7"/>
  <c r="F454" i="7"/>
  <c r="G454" i="7"/>
  <c r="I454" i="7"/>
  <c r="J454" i="7"/>
  <c r="K454" i="7"/>
  <c r="A455" i="7"/>
  <c r="C455" i="7"/>
  <c r="D455" i="7"/>
  <c r="E455" i="7"/>
  <c r="F455" i="7"/>
  <c r="G455" i="7"/>
  <c r="I455" i="7"/>
  <c r="J455" i="7"/>
  <c r="K455" i="7"/>
  <c r="A456" i="7"/>
  <c r="C456" i="7"/>
  <c r="D456" i="7"/>
  <c r="E456" i="7"/>
  <c r="F456" i="7"/>
  <c r="G456" i="7"/>
  <c r="I456" i="7"/>
  <c r="J456" i="7"/>
  <c r="K456" i="7"/>
  <c r="A457" i="7"/>
  <c r="C457" i="7"/>
  <c r="D457" i="7"/>
  <c r="E457" i="7"/>
  <c r="F457" i="7"/>
  <c r="G457" i="7"/>
  <c r="I457" i="7"/>
  <c r="J457" i="7"/>
  <c r="K457" i="7"/>
  <c r="A458" i="7"/>
  <c r="C458" i="7"/>
  <c r="D458" i="7"/>
  <c r="E458" i="7"/>
  <c r="F458" i="7"/>
  <c r="G458" i="7"/>
  <c r="I458" i="7"/>
  <c r="J458" i="7"/>
  <c r="K458" i="7"/>
  <c r="A459" i="7"/>
  <c r="C459" i="7"/>
  <c r="D459" i="7"/>
  <c r="E459" i="7"/>
  <c r="F459" i="7"/>
  <c r="G459" i="7"/>
  <c r="I459" i="7"/>
  <c r="J459" i="7"/>
  <c r="K459" i="7"/>
  <c r="A460" i="7"/>
  <c r="C460" i="7"/>
  <c r="D460" i="7"/>
  <c r="E460" i="7"/>
  <c r="F460" i="7"/>
  <c r="G460" i="7"/>
  <c r="I460" i="7"/>
  <c r="J460" i="7"/>
  <c r="K460" i="7"/>
  <c r="A461" i="7"/>
  <c r="C461" i="7"/>
  <c r="D461" i="7"/>
  <c r="E461" i="7"/>
  <c r="F461" i="7"/>
  <c r="G461" i="7"/>
  <c r="I461" i="7"/>
  <c r="J461" i="7"/>
  <c r="K461" i="7"/>
  <c r="A462" i="7"/>
  <c r="C462" i="7"/>
  <c r="D462" i="7"/>
  <c r="E462" i="7"/>
  <c r="F462" i="7"/>
  <c r="G462" i="7"/>
  <c r="I462" i="7"/>
  <c r="J462" i="7"/>
  <c r="K462" i="7"/>
  <c r="A463" i="7"/>
  <c r="C463" i="7"/>
  <c r="D463" i="7"/>
  <c r="E463" i="7"/>
  <c r="F463" i="7"/>
  <c r="G463" i="7"/>
  <c r="I463" i="7"/>
  <c r="J463" i="7"/>
  <c r="K463" i="7"/>
  <c r="A464" i="7"/>
  <c r="C464" i="7"/>
  <c r="D464" i="7"/>
  <c r="E464" i="7"/>
  <c r="F464" i="7"/>
  <c r="G464" i="7"/>
  <c r="I464" i="7"/>
  <c r="J464" i="7"/>
  <c r="K464" i="7"/>
  <c r="A465" i="7"/>
  <c r="C465" i="7"/>
  <c r="D465" i="7"/>
  <c r="E465" i="7"/>
  <c r="F465" i="7"/>
  <c r="G465" i="7"/>
  <c r="I465" i="7"/>
  <c r="J465" i="7"/>
  <c r="K465" i="7"/>
  <c r="A466" i="7"/>
  <c r="C466" i="7"/>
  <c r="D466" i="7"/>
  <c r="E466" i="7"/>
  <c r="F466" i="7"/>
  <c r="G466" i="7"/>
  <c r="I466" i="7"/>
  <c r="J466" i="7"/>
  <c r="K466" i="7"/>
  <c r="A467" i="7"/>
  <c r="C467" i="7"/>
  <c r="D467" i="7"/>
  <c r="E467" i="7"/>
  <c r="F467" i="7"/>
  <c r="G467" i="7"/>
  <c r="I467" i="7"/>
  <c r="J467" i="7"/>
  <c r="K467" i="7"/>
  <c r="A468" i="7"/>
  <c r="C468" i="7"/>
  <c r="D468" i="7"/>
  <c r="E468" i="7"/>
  <c r="F468" i="7"/>
  <c r="G468" i="7"/>
  <c r="I468" i="7"/>
  <c r="J468" i="7"/>
  <c r="K468" i="7"/>
  <c r="A469" i="7"/>
  <c r="C469" i="7"/>
  <c r="D469" i="7"/>
  <c r="E469" i="7"/>
  <c r="F469" i="7"/>
  <c r="G469" i="7"/>
  <c r="I469" i="7"/>
  <c r="J469" i="7"/>
  <c r="K469" i="7"/>
  <c r="A470" i="7"/>
  <c r="C470" i="7"/>
  <c r="D470" i="7"/>
  <c r="E470" i="7"/>
  <c r="F470" i="7"/>
  <c r="G470" i="7"/>
  <c r="I470" i="7"/>
  <c r="J470" i="7"/>
  <c r="K470" i="7"/>
  <c r="A471" i="7"/>
  <c r="C471" i="7"/>
  <c r="D471" i="7"/>
  <c r="E471" i="7"/>
  <c r="F471" i="7"/>
  <c r="G471" i="7"/>
  <c r="I471" i="7"/>
  <c r="J471" i="7"/>
  <c r="K471" i="7"/>
  <c r="A472" i="7"/>
  <c r="C472" i="7"/>
  <c r="D472" i="7"/>
  <c r="E472" i="7"/>
  <c r="F472" i="7"/>
  <c r="G472" i="7"/>
  <c r="I472" i="7"/>
  <c r="J472" i="7"/>
  <c r="K472" i="7"/>
  <c r="A473" i="7"/>
  <c r="C473" i="7"/>
  <c r="D473" i="7"/>
  <c r="E473" i="7"/>
  <c r="F473" i="7"/>
  <c r="G473" i="7"/>
  <c r="I473" i="7"/>
  <c r="J473" i="7"/>
  <c r="K473" i="7"/>
  <c r="A474" i="7"/>
  <c r="C474" i="7"/>
  <c r="D474" i="7"/>
  <c r="E474" i="7"/>
  <c r="F474" i="7"/>
  <c r="G474" i="7"/>
  <c r="I474" i="7"/>
  <c r="J474" i="7"/>
  <c r="K474" i="7"/>
  <c r="A475" i="7"/>
  <c r="C475" i="7"/>
  <c r="D475" i="7"/>
  <c r="E475" i="7"/>
  <c r="F475" i="7"/>
  <c r="G475" i="7"/>
  <c r="I475" i="7"/>
  <c r="J475" i="7"/>
  <c r="K475" i="7"/>
  <c r="A476" i="7"/>
  <c r="C476" i="7"/>
  <c r="D476" i="7"/>
  <c r="E476" i="7"/>
  <c r="F476" i="7"/>
  <c r="G476" i="7"/>
  <c r="I476" i="7"/>
  <c r="J476" i="7"/>
  <c r="K476" i="7"/>
  <c r="A477" i="7"/>
  <c r="C477" i="7"/>
  <c r="D477" i="7"/>
  <c r="E477" i="7"/>
  <c r="F477" i="7"/>
  <c r="G477" i="7"/>
  <c r="I477" i="7"/>
  <c r="J477" i="7"/>
  <c r="K477" i="7"/>
  <c r="A478" i="7"/>
  <c r="C478" i="7"/>
  <c r="D478" i="7"/>
  <c r="E478" i="7"/>
  <c r="F478" i="7"/>
  <c r="G478" i="7"/>
  <c r="I478" i="7"/>
  <c r="J478" i="7"/>
  <c r="K478" i="7"/>
  <c r="A479" i="7"/>
  <c r="C479" i="7"/>
  <c r="D479" i="7"/>
  <c r="E479" i="7"/>
  <c r="F479" i="7"/>
  <c r="G479" i="7"/>
  <c r="I479" i="7"/>
  <c r="J479" i="7"/>
  <c r="K479" i="7"/>
  <c r="A480" i="7"/>
  <c r="C480" i="7"/>
  <c r="D480" i="7"/>
  <c r="E480" i="7"/>
  <c r="F480" i="7"/>
  <c r="G480" i="7"/>
  <c r="I480" i="7"/>
  <c r="J480" i="7"/>
  <c r="K480" i="7"/>
  <c r="A481" i="7"/>
  <c r="C481" i="7"/>
  <c r="D481" i="7"/>
  <c r="E481" i="7"/>
  <c r="F481" i="7"/>
  <c r="G481" i="7"/>
  <c r="I481" i="7"/>
  <c r="J481" i="7"/>
  <c r="K481" i="7"/>
  <c r="A482" i="7"/>
  <c r="C482" i="7"/>
  <c r="D482" i="7"/>
  <c r="E482" i="7"/>
  <c r="F482" i="7"/>
  <c r="G482" i="7"/>
  <c r="I482" i="7"/>
  <c r="J482" i="7"/>
  <c r="K482" i="7"/>
  <c r="A483" i="7"/>
  <c r="C483" i="7"/>
  <c r="D483" i="7"/>
  <c r="E483" i="7"/>
  <c r="F483" i="7"/>
  <c r="G483" i="7"/>
  <c r="I483" i="7"/>
  <c r="J483" i="7"/>
  <c r="K483" i="7"/>
  <c r="A484" i="7"/>
  <c r="C484" i="7"/>
  <c r="D484" i="7"/>
  <c r="E484" i="7"/>
  <c r="F484" i="7"/>
  <c r="G484" i="7"/>
  <c r="I484" i="7"/>
  <c r="J484" i="7"/>
  <c r="K484" i="7"/>
  <c r="A485" i="7"/>
  <c r="C485" i="7"/>
  <c r="D485" i="7"/>
  <c r="E485" i="7"/>
  <c r="F485" i="7"/>
  <c r="G485" i="7"/>
  <c r="I485" i="7"/>
  <c r="J485" i="7"/>
  <c r="K485" i="7"/>
  <c r="A486" i="7"/>
  <c r="C486" i="7"/>
  <c r="D486" i="7"/>
  <c r="E486" i="7"/>
  <c r="F486" i="7"/>
  <c r="G486" i="7"/>
  <c r="I486" i="7"/>
  <c r="J486" i="7"/>
  <c r="K486" i="7"/>
  <c r="A487" i="7"/>
  <c r="C487" i="7"/>
  <c r="D487" i="7"/>
  <c r="E487" i="7"/>
  <c r="F487" i="7"/>
  <c r="G487" i="7"/>
  <c r="I487" i="7"/>
  <c r="J487" i="7"/>
  <c r="K487" i="7"/>
  <c r="A488" i="7"/>
  <c r="C488" i="7"/>
  <c r="D488" i="7"/>
  <c r="E488" i="7"/>
  <c r="F488" i="7"/>
  <c r="G488" i="7"/>
  <c r="I488" i="7"/>
  <c r="J488" i="7"/>
  <c r="K488" i="7"/>
  <c r="A489" i="7"/>
  <c r="C489" i="7"/>
  <c r="D489" i="7"/>
  <c r="E489" i="7"/>
  <c r="F489" i="7"/>
  <c r="G489" i="7"/>
  <c r="I489" i="7"/>
  <c r="J489" i="7"/>
  <c r="K489" i="7"/>
  <c r="A490" i="7"/>
  <c r="C490" i="7"/>
  <c r="D490" i="7"/>
  <c r="E490" i="7"/>
  <c r="F490" i="7"/>
  <c r="G490" i="7"/>
  <c r="I490" i="7"/>
  <c r="J490" i="7"/>
  <c r="K490" i="7"/>
  <c r="A491" i="7"/>
  <c r="C491" i="7"/>
  <c r="D491" i="7"/>
  <c r="E491" i="7"/>
  <c r="F491" i="7"/>
  <c r="G491" i="7"/>
  <c r="I491" i="7"/>
  <c r="J491" i="7"/>
  <c r="K491" i="7"/>
  <c r="A492" i="7"/>
  <c r="C492" i="7"/>
  <c r="D492" i="7"/>
  <c r="E492" i="7"/>
  <c r="F492" i="7"/>
  <c r="G492" i="7"/>
  <c r="I492" i="7"/>
  <c r="J492" i="7"/>
  <c r="K492" i="7"/>
  <c r="A493" i="7"/>
  <c r="C493" i="7"/>
  <c r="D493" i="7"/>
  <c r="E493" i="7"/>
  <c r="F493" i="7"/>
  <c r="G493" i="7"/>
  <c r="I493" i="7"/>
  <c r="J493" i="7"/>
  <c r="K493" i="7"/>
  <c r="A494" i="7"/>
  <c r="C494" i="7"/>
  <c r="D494" i="7"/>
  <c r="E494" i="7"/>
  <c r="F494" i="7"/>
  <c r="G494" i="7"/>
  <c r="I494" i="7"/>
  <c r="J494" i="7"/>
  <c r="K494" i="7"/>
  <c r="A495" i="7"/>
  <c r="C495" i="7"/>
  <c r="D495" i="7"/>
  <c r="E495" i="7"/>
  <c r="F495" i="7"/>
  <c r="G495" i="7"/>
  <c r="I495" i="7"/>
  <c r="J495" i="7"/>
  <c r="K495" i="7"/>
  <c r="A496" i="7"/>
  <c r="C496" i="7"/>
  <c r="D496" i="7"/>
  <c r="E496" i="7"/>
  <c r="F496" i="7"/>
  <c r="G496" i="7"/>
  <c r="I496" i="7"/>
  <c r="J496" i="7"/>
  <c r="K496" i="7"/>
  <c r="A497" i="7"/>
  <c r="C497" i="7"/>
  <c r="D497" i="7"/>
  <c r="E497" i="7"/>
  <c r="F497" i="7"/>
  <c r="G497" i="7"/>
  <c r="I497" i="7"/>
  <c r="J497" i="7"/>
  <c r="K497" i="7"/>
  <c r="A498" i="7"/>
  <c r="C498" i="7"/>
  <c r="D498" i="7"/>
  <c r="E498" i="7"/>
  <c r="F498" i="7"/>
  <c r="G498" i="7"/>
  <c r="I498" i="7"/>
  <c r="J498" i="7"/>
  <c r="K498" i="7"/>
  <c r="A499" i="7"/>
  <c r="C499" i="7"/>
  <c r="D499" i="7"/>
  <c r="E499" i="7"/>
  <c r="F499" i="7"/>
  <c r="G499" i="7"/>
  <c r="I499" i="7"/>
  <c r="J499" i="7"/>
  <c r="K499" i="7"/>
  <c r="A500" i="7"/>
  <c r="C500" i="7"/>
  <c r="D500" i="7"/>
  <c r="E500" i="7"/>
  <c r="F500" i="7"/>
  <c r="G500" i="7"/>
  <c r="I500" i="7"/>
  <c r="J500" i="7"/>
  <c r="K500" i="7"/>
  <c r="A501" i="7"/>
  <c r="C501" i="7"/>
  <c r="D501" i="7"/>
  <c r="E501" i="7"/>
  <c r="F501" i="7"/>
  <c r="G501" i="7"/>
  <c r="I501" i="7"/>
  <c r="J501" i="7"/>
  <c r="K501" i="7"/>
  <c r="A502" i="7"/>
  <c r="C502" i="7"/>
  <c r="D502" i="7"/>
  <c r="E502" i="7"/>
  <c r="F502" i="7"/>
  <c r="G502" i="7"/>
  <c r="I502" i="7"/>
  <c r="J502" i="7"/>
  <c r="K502" i="7"/>
  <c r="A503" i="7"/>
  <c r="C503" i="7"/>
  <c r="D503" i="7"/>
  <c r="E503" i="7"/>
  <c r="F503" i="7"/>
  <c r="G503" i="7"/>
  <c r="I503" i="7"/>
  <c r="J503" i="7"/>
  <c r="K503" i="7"/>
  <c r="A504" i="7"/>
  <c r="C504" i="7"/>
  <c r="D504" i="7"/>
  <c r="E504" i="7"/>
  <c r="F504" i="7"/>
  <c r="G504" i="7"/>
  <c r="I504" i="7"/>
  <c r="J504" i="7"/>
  <c r="K504" i="7"/>
  <c r="A505" i="7"/>
  <c r="C505" i="7"/>
  <c r="D505" i="7"/>
  <c r="E505" i="7"/>
  <c r="F505" i="7"/>
  <c r="G505" i="7"/>
  <c r="I505" i="7"/>
  <c r="J505" i="7"/>
  <c r="K505" i="7"/>
  <c r="A506" i="7"/>
  <c r="C506" i="7"/>
  <c r="D506" i="7"/>
  <c r="E506" i="7"/>
  <c r="F506" i="7"/>
  <c r="G506" i="7"/>
  <c r="I506" i="7"/>
  <c r="J506" i="7"/>
  <c r="K506" i="7"/>
  <c r="A507" i="7"/>
  <c r="C507" i="7"/>
  <c r="D507" i="7"/>
  <c r="E507" i="7"/>
  <c r="F507" i="7"/>
  <c r="G507" i="7"/>
  <c r="I507" i="7"/>
  <c r="J507" i="7"/>
  <c r="K507" i="7"/>
  <c r="A508" i="7"/>
  <c r="C508" i="7"/>
  <c r="D508" i="7"/>
  <c r="E508" i="7"/>
  <c r="F508" i="7"/>
  <c r="G508" i="7"/>
  <c r="I508" i="7"/>
  <c r="J508" i="7"/>
  <c r="K508" i="7"/>
  <c r="A509" i="7"/>
  <c r="C509" i="7"/>
  <c r="D509" i="7"/>
  <c r="E509" i="7"/>
  <c r="F509" i="7"/>
  <c r="G509" i="7"/>
  <c r="I509" i="7"/>
  <c r="J509" i="7"/>
  <c r="K509" i="7"/>
  <c r="A510" i="7"/>
  <c r="C510" i="7"/>
  <c r="D510" i="7"/>
  <c r="E510" i="7"/>
  <c r="F510" i="7"/>
  <c r="G510" i="7"/>
  <c r="I510" i="7"/>
  <c r="J510" i="7"/>
  <c r="K510" i="7"/>
  <c r="A511" i="7"/>
  <c r="C511" i="7"/>
  <c r="D511" i="7"/>
  <c r="E511" i="7"/>
  <c r="F511" i="7"/>
  <c r="G511" i="7"/>
  <c r="I511" i="7"/>
  <c r="J511" i="7"/>
  <c r="K511" i="7"/>
  <c r="A512" i="7"/>
  <c r="C512" i="7"/>
  <c r="D512" i="7"/>
  <c r="E512" i="7"/>
  <c r="F512" i="7"/>
  <c r="G512" i="7"/>
  <c r="I512" i="7"/>
  <c r="J512" i="7"/>
  <c r="K512" i="7"/>
  <c r="A513" i="7"/>
  <c r="C513" i="7"/>
  <c r="D513" i="7"/>
  <c r="E513" i="7"/>
  <c r="F513" i="7"/>
  <c r="G513" i="7"/>
  <c r="I513" i="7"/>
  <c r="J513" i="7"/>
  <c r="K513" i="7"/>
  <c r="A514" i="7"/>
  <c r="C514" i="7"/>
  <c r="D514" i="7"/>
  <c r="E514" i="7"/>
  <c r="F514" i="7"/>
  <c r="G514" i="7"/>
  <c r="I514" i="7"/>
  <c r="J514" i="7"/>
  <c r="K514" i="7"/>
  <c r="A515" i="7"/>
  <c r="C515" i="7"/>
  <c r="D515" i="7"/>
  <c r="E515" i="7"/>
  <c r="F515" i="7"/>
  <c r="G515" i="7"/>
  <c r="I515" i="7"/>
  <c r="J515" i="7"/>
  <c r="K515" i="7"/>
  <c r="A516" i="7"/>
  <c r="C516" i="7"/>
  <c r="D516" i="7"/>
  <c r="E516" i="7"/>
  <c r="F516" i="7"/>
  <c r="G516" i="7"/>
  <c r="I516" i="7"/>
  <c r="J516" i="7"/>
  <c r="K516" i="7"/>
  <c r="A517" i="7"/>
  <c r="C517" i="7"/>
  <c r="D517" i="7"/>
  <c r="E517" i="7"/>
  <c r="F517" i="7"/>
  <c r="G517" i="7"/>
  <c r="I517" i="7"/>
  <c r="J517" i="7"/>
  <c r="K517" i="7"/>
  <c r="A518" i="7"/>
  <c r="C518" i="7"/>
  <c r="D518" i="7"/>
  <c r="E518" i="7"/>
  <c r="F518" i="7"/>
  <c r="G518" i="7"/>
  <c r="I518" i="7"/>
  <c r="J518" i="7"/>
  <c r="K518" i="7"/>
  <c r="A519" i="7"/>
  <c r="C519" i="7"/>
  <c r="D519" i="7"/>
  <c r="E519" i="7"/>
  <c r="F519" i="7"/>
  <c r="G519" i="7"/>
  <c r="I519" i="7"/>
  <c r="J519" i="7"/>
  <c r="K519" i="7"/>
  <c r="A520" i="7"/>
  <c r="C520" i="7"/>
  <c r="D520" i="7"/>
  <c r="E520" i="7"/>
  <c r="F520" i="7"/>
  <c r="G520" i="7"/>
  <c r="I520" i="7"/>
  <c r="J520" i="7"/>
  <c r="K520" i="7"/>
  <c r="A521" i="7"/>
  <c r="C521" i="7"/>
  <c r="D521" i="7"/>
  <c r="E521" i="7"/>
  <c r="F521" i="7"/>
  <c r="G521" i="7"/>
  <c r="I521" i="7"/>
  <c r="J521" i="7"/>
  <c r="K521" i="7"/>
  <c r="A522" i="7"/>
  <c r="C522" i="7"/>
  <c r="D522" i="7"/>
  <c r="E522" i="7"/>
  <c r="F522" i="7"/>
  <c r="G522" i="7"/>
  <c r="I522" i="7"/>
  <c r="J522" i="7"/>
  <c r="K522" i="7"/>
  <c r="A523" i="7"/>
  <c r="C523" i="7"/>
  <c r="D523" i="7"/>
  <c r="E523" i="7"/>
  <c r="F523" i="7"/>
  <c r="G523" i="7"/>
  <c r="I523" i="7"/>
  <c r="J523" i="7"/>
  <c r="K523" i="7"/>
  <c r="A524" i="7"/>
  <c r="C524" i="7"/>
  <c r="D524" i="7"/>
  <c r="E524" i="7"/>
  <c r="F524" i="7"/>
  <c r="G524" i="7"/>
  <c r="I524" i="7"/>
  <c r="J524" i="7"/>
  <c r="K524" i="7"/>
  <c r="A525" i="7"/>
  <c r="C525" i="7"/>
  <c r="D525" i="7"/>
  <c r="E525" i="7"/>
  <c r="F525" i="7"/>
  <c r="G525" i="7"/>
  <c r="I525" i="7"/>
  <c r="J525" i="7"/>
  <c r="K525" i="7"/>
  <c r="A526" i="7"/>
  <c r="C526" i="7"/>
  <c r="D526" i="7"/>
  <c r="E526" i="7"/>
  <c r="F526" i="7"/>
  <c r="G526" i="7"/>
  <c r="I526" i="7"/>
  <c r="J526" i="7"/>
  <c r="K526" i="7"/>
  <c r="A527" i="7"/>
  <c r="C527" i="7"/>
  <c r="D527" i="7"/>
  <c r="E527" i="7"/>
  <c r="F527" i="7"/>
  <c r="G527" i="7"/>
  <c r="I527" i="7"/>
  <c r="J527" i="7"/>
  <c r="K527" i="7"/>
  <c r="A528" i="7"/>
  <c r="C528" i="7"/>
  <c r="D528" i="7"/>
  <c r="E528" i="7"/>
  <c r="F528" i="7"/>
  <c r="G528" i="7"/>
  <c r="I528" i="7"/>
  <c r="J528" i="7"/>
  <c r="K528" i="7"/>
  <c r="A529" i="7"/>
  <c r="C529" i="7"/>
  <c r="D529" i="7"/>
  <c r="E529" i="7"/>
  <c r="F529" i="7"/>
  <c r="G529" i="7"/>
  <c r="I529" i="7"/>
  <c r="J529" i="7"/>
  <c r="K529" i="7"/>
  <c r="A530" i="7"/>
  <c r="C530" i="7"/>
  <c r="D530" i="7"/>
  <c r="E530" i="7"/>
  <c r="F530" i="7"/>
  <c r="G530" i="7"/>
  <c r="I530" i="7"/>
  <c r="J530" i="7"/>
  <c r="K530" i="7"/>
  <c r="A531" i="7"/>
  <c r="C531" i="7"/>
  <c r="D531" i="7"/>
  <c r="E531" i="7"/>
  <c r="F531" i="7"/>
  <c r="G531" i="7"/>
  <c r="I531" i="7"/>
  <c r="J531" i="7"/>
  <c r="K531" i="7"/>
  <c r="A532" i="7"/>
  <c r="C532" i="7"/>
  <c r="D532" i="7"/>
  <c r="E532" i="7"/>
  <c r="F532" i="7"/>
  <c r="G532" i="7"/>
  <c r="I532" i="7"/>
  <c r="J532" i="7"/>
  <c r="K532" i="7"/>
  <c r="A533" i="7"/>
  <c r="C533" i="7"/>
  <c r="D533" i="7"/>
  <c r="E533" i="7"/>
  <c r="F533" i="7"/>
  <c r="G533" i="7"/>
  <c r="I533" i="7"/>
  <c r="J533" i="7"/>
  <c r="K533" i="7"/>
  <c r="A534" i="7"/>
  <c r="C534" i="7"/>
  <c r="D534" i="7"/>
  <c r="E534" i="7"/>
  <c r="F534" i="7"/>
  <c r="G534" i="7"/>
  <c r="I534" i="7"/>
  <c r="J534" i="7"/>
  <c r="K534" i="7"/>
  <c r="A535" i="7"/>
  <c r="C535" i="7"/>
  <c r="D535" i="7"/>
  <c r="E535" i="7"/>
  <c r="F535" i="7"/>
  <c r="G535" i="7"/>
  <c r="I535" i="7"/>
  <c r="J535" i="7"/>
  <c r="K535" i="7"/>
  <c r="A536" i="7"/>
  <c r="C536" i="7"/>
  <c r="D536" i="7"/>
  <c r="E536" i="7"/>
  <c r="F536" i="7"/>
  <c r="G536" i="7"/>
  <c r="I536" i="7"/>
  <c r="J536" i="7"/>
  <c r="K536" i="7"/>
  <c r="A537" i="7"/>
  <c r="C537" i="7"/>
  <c r="D537" i="7"/>
  <c r="E537" i="7"/>
  <c r="F537" i="7"/>
  <c r="G537" i="7"/>
  <c r="I537" i="7"/>
  <c r="J537" i="7"/>
  <c r="K537" i="7"/>
  <c r="A538" i="7"/>
  <c r="C538" i="7"/>
  <c r="D538" i="7"/>
  <c r="E538" i="7"/>
  <c r="F538" i="7"/>
  <c r="G538" i="7"/>
  <c r="I538" i="7"/>
  <c r="J538" i="7"/>
  <c r="K538" i="7"/>
  <c r="A539" i="7"/>
  <c r="C539" i="7"/>
  <c r="D539" i="7"/>
  <c r="E539" i="7"/>
  <c r="F539" i="7"/>
  <c r="G539" i="7"/>
  <c r="I539" i="7"/>
  <c r="J539" i="7"/>
  <c r="K539" i="7"/>
  <c r="A540" i="7"/>
  <c r="C540" i="7"/>
  <c r="D540" i="7"/>
  <c r="E540" i="7"/>
  <c r="F540" i="7"/>
  <c r="G540" i="7"/>
  <c r="I540" i="7"/>
  <c r="J540" i="7"/>
  <c r="K540" i="7"/>
  <c r="A541" i="7"/>
  <c r="C541" i="7"/>
  <c r="D541" i="7"/>
  <c r="E541" i="7"/>
  <c r="F541" i="7"/>
  <c r="G541" i="7"/>
  <c r="I541" i="7"/>
  <c r="J541" i="7"/>
  <c r="K541" i="7"/>
  <c r="A542" i="7"/>
  <c r="C542" i="7"/>
  <c r="D542" i="7"/>
  <c r="E542" i="7"/>
  <c r="F542" i="7"/>
  <c r="G542" i="7"/>
  <c r="I542" i="7"/>
  <c r="J542" i="7"/>
  <c r="K542" i="7"/>
  <c r="A543" i="7"/>
  <c r="C543" i="7"/>
  <c r="D543" i="7"/>
  <c r="E543" i="7"/>
  <c r="F543" i="7"/>
  <c r="G543" i="7"/>
  <c r="I543" i="7"/>
  <c r="J543" i="7"/>
  <c r="K543" i="7"/>
  <c r="A544" i="7"/>
  <c r="C544" i="7"/>
  <c r="D544" i="7"/>
  <c r="E544" i="7"/>
  <c r="F544" i="7"/>
  <c r="G544" i="7"/>
  <c r="I544" i="7"/>
  <c r="J544" i="7"/>
  <c r="K544" i="7"/>
  <c r="A545" i="7"/>
  <c r="C545" i="7"/>
  <c r="D545" i="7"/>
  <c r="E545" i="7"/>
  <c r="F545" i="7"/>
  <c r="G545" i="7"/>
  <c r="I545" i="7"/>
  <c r="J545" i="7"/>
  <c r="K545" i="7"/>
  <c r="A546" i="7"/>
  <c r="C546" i="7"/>
  <c r="D546" i="7"/>
  <c r="E546" i="7"/>
  <c r="F546" i="7"/>
  <c r="G546" i="7"/>
  <c r="I546" i="7"/>
  <c r="J546" i="7"/>
  <c r="K546" i="7"/>
  <c r="A547" i="7"/>
  <c r="C547" i="7"/>
  <c r="D547" i="7"/>
  <c r="E547" i="7"/>
  <c r="F547" i="7"/>
  <c r="G547" i="7"/>
  <c r="I547" i="7"/>
  <c r="J547" i="7"/>
  <c r="K547" i="7"/>
  <c r="A548" i="7"/>
  <c r="C548" i="7"/>
  <c r="D548" i="7"/>
  <c r="E548" i="7"/>
  <c r="F548" i="7"/>
  <c r="G548" i="7"/>
  <c r="I548" i="7"/>
  <c r="J548" i="7"/>
  <c r="K548" i="7"/>
  <c r="A549" i="7"/>
  <c r="C549" i="7"/>
  <c r="D549" i="7"/>
  <c r="E549" i="7"/>
  <c r="F549" i="7"/>
  <c r="G549" i="7"/>
  <c r="I549" i="7"/>
  <c r="J549" i="7"/>
  <c r="K549" i="7"/>
  <c r="A550" i="7"/>
  <c r="C550" i="7"/>
  <c r="D550" i="7"/>
  <c r="E550" i="7"/>
  <c r="F550" i="7"/>
  <c r="G550" i="7"/>
  <c r="I550" i="7"/>
  <c r="J550" i="7"/>
  <c r="K550" i="7"/>
  <c r="A551" i="7"/>
  <c r="C551" i="7"/>
  <c r="D551" i="7"/>
  <c r="E551" i="7"/>
  <c r="F551" i="7"/>
  <c r="G551" i="7"/>
  <c r="I551" i="7"/>
  <c r="J551" i="7"/>
  <c r="K551" i="7"/>
  <c r="A552" i="7"/>
  <c r="C552" i="7"/>
  <c r="D552" i="7"/>
  <c r="E552" i="7"/>
  <c r="F552" i="7"/>
  <c r="G552" i="7"/>
  <c r="I552" i="7"/>
  <c r="J552" i="7"/>
  <c r="K552" i="7"/>
  <c r="A553" i="7"/>
  <c r="C553" i="7"/>
  <c r="D553" i="7"/>
  <c r="E553" i="7"/>
  <c r="F553" i="7"/>
  <c r="G553" i="7"/>
  <c r="I553" i="7"/>
  <c r="J553" i="7"/>
  <c r="K553" i="7"/>
  <c r="A554" i="7"/>
  <c r="C554" i="7"/>
  <c r="D554" i="7"/>
  <c r="E554" i="7"/>
  <c r="F554" i="7"/>
  <c r="G554" i="7"/>
  <c r="I554" i="7"/>
  <c r="J554" i="7"/>
  <c r="K554" i="7"/>
  <c r="A555" i="7"/>
  <c r="C555" i="7"/>
  <c r="D555" i="7"/>
  <c r="E555" i="7"/>
  <c r="F555" i="7"/>
  <c r="G555" i="7"/>
  <c r="I555" i="7"/>
  <c r="J555" i="7"/>
  <c r="K555" i="7"/>
  <c r="A556" i="7"/>
  <c r="C556" i="7"/>
  <c r="D556" i="7"/>
  <c r="E556" i="7"/>
  <c r="F556" i="7"/>
  <c r="G556" i="7"/>
  <c r="I556" i="7"/>
  <c r="J556" i="7"/>
  <c r="K556" i="7"/>
  <c r="A557" i="7"/>
  <c r="C557" i="7"/>
  <c r="D557" i="7"/>
  <c r="E557" i="7"/>
  <c r="F557" i="7"/>
  <c r="G557" i="7"/>
  <c r="I557" i="7"/>
  <c r="J557" i="7"/>
  <c r="K557" i="7"/>
  <c r="A558" i="7"/>
  <c r="C558" i="7"/>
  <c r="D558" i="7"/>
  <c r="E558" i="7"/>
  <c r="F558" i="7"/>
  <c r="G558" i="7"/>
  <c r="I558" i="7"/>
  <c r="J558" i="7"/>
  <c r="K558" i="7"/>
  <c r="A559" i="7"/>
  <c r="C559" i="7"/>
  <c r="D559" i="7"/>
  <c r="E559" i="7"/>
  <c r="F559" i="7"/>
  <c r="G559" i="7"/>
  <c r="I559" i="7"/>
  <c r="J559" i="7"/>
  <c r="K559" i="7"/>
  <c r="A560" i="7"/>
  <c r="C560" i="7"/>
  <c r="D560" i="7"/>
  <c r="E560" i="7"/>
  <c r="F560" i="7"/>
  <c r="G560" i="7"/>
  <c r="I560" i="7"/>
  <c r="J560" i="7"/>
  <c r="K560" i="7"/>
  <c r="A561" i="7"/>
  <c r="C561" i="7"/>
  <c r="D561" i="7"/>
  <c r="E561" i="7"/>
  <c r="F561" i="7"/>
  <c r="G561" i="7"/>
  <c r="I561" i="7"/>
  <c r="J561" i="7"/>
  <c r="K561" i="7"/>
  <c r="A562" i="7"/>
  <c r="C562" i="7"/>
  <c r="D562" i="7"/>
  <c r="E562" i="7"/>
  <c r="F562" i="7"/>
  <c r="G562" i="7"/>
  <c r="I562" i="7"/>
  <c r="J562" i="7"/>
  <c r="K562" i="7"/>
  <c r="A563" i="7"/>
  <c r="C563" i="7"/>
  <c r="D563" i="7"/>
  <c r="E563" i="7"/>
  <c r="F563" i="7"/>
  <c r="G563" i="7"/>
  <c r="I563" i="7"/>
  <c r="J563" i="7"/>
  <c r="K563" i="7"/>
  <c r="A564" i="7"/>
  <c r="C564" i="7"/>
  <c r="D564" i="7"/>
  <c r="E564" i="7"/>
  <c r="F564" i="7"/>
  <c r="G564" i="7"/>
  <c r="I564" i="7"/>
  <c r="J564" i="7"/>
  <c r="K564" i="7"/>
  <c r="A565" i="7"/>
  <c r="C565" i="7"/>
  <c r="D565" i="7"/>
  <c r="E565" i="7"/>
  <c r="F565" i="7"/>
  <c r="G565" i="7"/>
  <c r="I565" i="7"/>
  <c r="J565" i="7"/>
  <c r="K565" i="7"/>
  <c r="A566" i="7"/>
  <c r="C566" i="7"/>
  <c r="D566" i="7"/>
  <c r="E566" i="7"/>
  <c r="F566" i="7"/>
  <c r="G566" i="7"/>
  <c r="I566" i="7"/>
  <c r="J566" i="7"/>
  <c r="K566" i="7"/>
  <c r="A567" i="7"/>
  <c r="C567" i="7"/>
  <c r="D567" i="7"/>
  <c r="E567" i="7"/>
  <c r="F567" i="7"/>
  <c r="G567" i="7"/>
  <c r="I567" i="7"/>
  <c r="J567" i="7"/>
  <c r="K567" i="7"/>
  <c r="A568" i="7"/>
  <c r="C568" i="7"/>
  <c r="D568" i="7"/>
  <c r="E568" i="7"/>
  <c r="F568" i="7"/>
  <c r="G568" i="7"/>
  <c r="I568" i="7"/>
  <c r="J568" i="7"/>
  <c r="K568" i="7"/>
  <c r="A569" i="7"/>
  <c r="C569" i="7"/>
  <c r="D569" i="7"/>
  <c r="E569" i="7"/>
  <c r="F569" i="7"/>
  <c r="G569" i="7"/>
  <c r="I569" i="7"/>
  <c r="J569" i="7"/>
  <c r="K569" i="7"/>
  <c r="A570" i="7"/>
  <c r="C570" i="7"/>
  <c r="D570" i="7"/>
  <c r="E570" i="7"/>
  <c r="F570" i="7"/>
  <c r="G570" i="7"/>
  <c r="I570" i="7"/>
  <c r="J570" i="7"/>
  <c r="K570" i="7"/>
  <c r="A571" i="7"/>
  <c r="C571" i="7"/>
  <c r="D571" i="7"/>
  <c r="E571" i="7"/>
  <c r="F571" i="7"/>
  <c r="G571" i="7"/>
  <c r="I571" i="7"/>
  <c r="J571" i="7"/>
  <c r="K571" i="7"/>
  <c r="A572" i="7"/>
  <c r="C572" i="7"/>
  <c r="D572" i="7"/>
  <c r="E572" i="7"/>
  <c r="F572" i="7"/>
  <c r="G572" i="7"/>
  <c r="I572" i="7"/>
  <c r="J572" i="7"/>
  <c r="K572" i="7"/>
  <c r="A573" i="7"/>
  <c r="C573" i="7"/>
  <c r="D573" i="7"/>
  <c r="E573" i="7"/>
  <c r="F573" i="7"/>
  <c r="G573" i="7"/>
  <c r="I573" i="7"/>
  <c r="J573" i="7"/>
  <c r="K573" i="7"/>
  <c r="A574" i="7"/>
  <c r="C574" i="7"/>
  <c r="D574" i="7"/>
  <c r="E574" i="7"/>
  <c r="F574" i="7"/>
  <c r="G574" i="7"/>
  <c r="I574" i="7"/>
  <c r="J574" i="7"/>
  <c r="K574" i="7"/>
  <c r="A575" i="7"/>
  <c r="C575" i="7"/>
  <c r="D575" i="7"/>
  <c r="E575" i="7"/>
  <c r="F575" i="7"/>
  <c r="G575" i="7"/>
  <c r="I575" i="7"/>
  <c r="J575" i="7"/>
  <c r="K575" i="7"/>
  <c r="A576" i="7"/>
  <c r="C576" i="7"/>
  <c r="D576" i="7"/>
  <c r="E576" i="7"/>
  <c r="F576" i="7"/>
  <c r="G576" i="7"/>
  <c r="I576" i="7"/>
  <c r="J576" i="7"/>
  <c r="K576" i="7"/>
  <c r="A577" i="7"/>
  <c r="C577" i="7"/>
  <c r="D577" i="7"/>
  <c r="E577" i="7"/>
  <c r="F577" i="7"/>
  <c r="G577" i="7"/>
  <c r="I577" i="7"/>
  <c r="J577" i="7"/>
  <c r="K577" i="7"/>
  <c r="A578" i="7"/>
  <c r="C578" i="7"/>
  <c r="D578" i="7"/>
  <c r="E578" i="7"/>
  <c r="F578" i="7"/>
  <c r="G578" i="7"/>
  <c r="I578" i="7"/>
  <c r="J578" i="7"/>
  <c r="K578" i="7"/>
  <c r="A579" i="7"/>
  <c r="C579" i="7"/>
  <c r="D579" i="7"/>
  <c r="E579" i="7"/>
  <c r="F579" i="7"/>
  <c r="G579" i="7"/>
  <c r="I579" i="7"/>
  <c r="J579" i="7"/>
  <c r="K579" i="7"/>
  <c r="A580" i="7"/>
  <c r="C580" i="7"/>
  <c r="D580" i="7"/>
  <c r="E580" i="7"/>
  <c r="F580" i="7"/>
  <c r="G580" i="7"/>
  <c r="I580" i="7"/>
  <c r="J580" i="7"/>
  <c r="K580" i="7"/>
  <c r="A581" i="7"/>
  <c r="C581" i="7"/>
  <c r="D581" i="7"/>
  <c r="E581" i="7"/>
  <c r="F581" i="7"/>
  <c r="G581" i="7"/>
  <c r="I581" i="7"/>
  <c r="J581" i="7"/>
  <c r="K581" i="7"/>
  <c r="A582" i="7"/>
  <c r="C582" i="7"/>
  <c r="D582" i="7"/>
  <c r="E582" i="7"/>
  <c r="F582" i="7"/>
  <c r="G582" i="7"/>
  <c r="I582" i="7"/>
  <c r="J582" i="7"/>
  <c r="K582" i="7"/>
  <c r="A583" i="7"/>
  <c r="C583" i="7"/>
  <c r="D583" i="7"/>
  <c r="E583" i="7"/>
  <c r="F583" i="7"/>
  <c r="G583" i="7"/>
  <c r="I583" i="7"/>
  <c r="J583" i="7"/>
  <c r="K583" i="7"/>
  <c r="A584" i="7"/>
  <c r="C584" i="7"/>
  <c r="D584" i="7"/>
  <c r="E584" i="7"/>
  <c r="F584" i="7"/>
  <c r="G584" i="7"/>
  <c r="I584" i="7"/>
  <c r="J584" i="7"/>
  <c r="K584" i="7"/>
  <c r="A585" i="7"/>
  <c r="C585" i="7"/>
  <c r="D585" i="7"/>
  <c r="E585" i="7"/>
  <c r="F585" i="7"/>
  <c r="G585" i="7"/>
  <c r="I585" i="7"/>
  <c r="J585" i="7"/>
  <c r="K585" i="7"/>
  <c r="A586" i="7"/>
  <c r="C586" i="7"/>
  <c r="D586" i="7"/>
  <c r="E586" i="7"/>
  <c r="F586" i="7"/>
  <c r="G586" i="7"/>
  <c r="I586" i="7"/>
  <c r="J586" i="7"/>
  <c r="K586" i="7"/>
  <c r="A587" i="7"/>
  <c r="C587" i="7"/>
  <c r="D587" i="7"/>
  <c r="E587" i="7"/>
  <c r="F587" i="7"/>
  <c r="G587" i="7"/>
  <c r="I587" i="7"/>
  <c r="J587" i="7"/>
  <c r="K587" i="7"/>
  <c r="A588" i="7"/>
  <c r="C588" i="7"/>
  <c r="D588" i="7"/>
  <c r="E588" i="7"/>
  <c r="F588" i="7"/>
  <c r="G588" i="7"/>
  <c r="I588" i="7"/>
  <c r="J588" i="7"/>
  <c r="K588" i="7"/>
  <c r="A589" i="7"/>
  <c r="C589" i="7"/>
  <c r="D589" i="7"/>
  <c r="E589" i="7"/>
  <c r="F589" i="7"/>
  <c r="G589" i="7"/>
  <c r="I589" i="7"/>
  <c r="J589" i="7"/>
  <c r="K589" i="7"/>
  <c r="A590" i="7"/>
  <c r="C590" i="7"/>
  <c r="D590" i="7"/>
  <c r="E590" i="7"/>
  <c r="F590" i="7"/>
  <c r="G590" i="7"/>
  <c r="I590" i="7"/>
  <c r="J590" i="7"/>
  <c r="K590" i="7"/>
  <c r="A591" i="7"/>
  <c r="C591" i="7"/>
  <c r="D591" i="7"/>
  <c r="E591" i="7"/>
  <c r="F591" i="7"/>
  <c r="G591" i="7"/>
  <c r="I591" i="7"/>
  <c r="J591" i="7"/>
  <c r="K591" i="7"/>
  <c r="A592" i="7"/>
  <c r="C592" i="7"/>
  <c r="D592" i="7"/>
  <c r="E592" i="7"/>
  <c r="F592" i="7"/>
  <c r="G592" i="7"/>
  <c r="I592" i="7"/>
  <c r="J592" i="7"/>
  <c r="K592" i="7"/>
  <c r="A593" i="7"/>
  <c r="C593" i="7"/>
  <c r="D593" i="7"/>
  <c r="E593" i="7"/>
  <c r="F593" i="7"/>
  <c r="G593" i="7"/>
  <c r="I593" i="7"/>
  <c r="J593" i="7"/>
  <c r="K593" i="7"/>
  <c r="A594" i="7"/>
  <c r="C594" i="7"/>
  <c r="D594" i="7"/>
  <c r="E594" i="7"/>
  <c r="F594" i="7"/>
  <c r="G594" i="7"/>
  <c r="I594" i="7"/>
  <c r="J594" i="7"/>
  <c r="K594" i="7"/>
  <c r="A595" i="7"/>
  <c r="C595" i="7"/>
  <c r="D595" i="7"/>
  <c r="E595" i="7"/>
  <c r="F595" i="7"/>
  <c r="G595" i="7"/>
  <c r="I595" i="7"/>
  <c r="J595" i="7"/>
  <c r="K595" i="7"/>
  <c r="A596" i="7"/>
  <c r="C596" i="7"/>
  <c r="D596" i="7"/>
  <c r="E596" i="7"/>
  <c r="F596" i="7"/>
  <c r="G596" i="7"/>
  <c r="I596" i="7"/>
  <c r="J596" i="7"/>
  <c r="K596" i="7"/>
  <c r="A597" i="7"/>
  <c r="C597" i="7"/>
  <c r="D597" i="7"/>
  <c r="E597" i="7"/>
  <c r="F597" i="7"/>
  <c r="G597" i="7"/>
  <c r="I597" i="7"/>
  <c r="J597" i="7"/>
  <c r="K597" i="7"/>
  <c r="A598" i="7"/>
  <c r="C598" i="7"/>
  <c r="D598" i="7"/>
  <c r="E598" i="7"/>
  <c r="F598" i="7"/>
  <c r="G598" i="7"/>
  <c r="I598" i="7"/>
  <c r="J598" i="7"/>
  <c r="K598" i="7"/>
  <c r="A599" i="7"/>
  <c r="C599" i="7"/>
  <c r="D599" i="7"/>
  <c r="E599" i="7"/>
  <c r="F599" i="7"/>
  <c r="G599" i="7"/>
  <c r="I599" i="7"/>
  <c r="J599" i="7"/>
  <c r="K599" i="7"/>
  <c r="A600" i="7"/>
  <c r="C600" i="7"/>
  <c r="D600" i="7"/>
  <c r="E600" i="7"/>
  <c r="F600" i="7"/>
  <c r="G600" i="7"/>
  <c r="I600" i="7"/>
  <c r="J600" i="7"/>
  <c r="K600" i="7"/>
  <c r="A601" i="7"/>
  <c r="C601" i="7"/>
  <c r="D601" i="7"/>
  <c r="E601" i="7"/>
  <c r="F601" i="7"/>
  <c r="G601" i="7"/>
  <c r="I601" i="7"/>
  <c r="J601" i="7"/>
  <c r="K601" i="7"/>
  <c r="A602" i="7"/>
  <c r="C602" i="7"/>
  <c r="D602" i="7"/>
  <c r="E602" i="7"/>
  <c r="F602" i="7"/>
  <c r="G602" i="7"/>
  <c r="I602" i="7"/>
  <c r="J602" i="7"/>
  <c r="K602" i="7"/>
  <c r="A603" i="7"/>
  <c r="C603" i="7"/>
  <c r="D603" i="7"/>
  <c r="E603" i="7"/>
  <c r="F603" i="7"/>
  <c r="G603" i="7"/>
  <c r="I603" i="7"/>
  <c r="J603" i="7"/>
  <c r="K603" i="7"/>
  <c r="A604" i="7"/>
  <c r="C604" i="7"/>
  <c r="D604" i="7"/>
  <c r="E604" i="7"/>
  <c r="F604" i="7"/>
  <c r="G604" i="7"/>
  <c r="I604" i="7"/>
  <c r="J604" i="7"/>
  <c r="K604" i="7"/>
  <c r="A605" i="7"/>
  <c r="C605" i="7"/>
  <c r="D605" i="7"/>
  <c r="E605" i="7"/>
  <c r="F605" i="7"/>
  <c r="G605" i="7"/>
  <c r="I605" i="7"/>
  <c r="J605" i="7"/>
  <c r="K605" i="7"/>
  <c r="A606" i="7"/>
  <c r="C606" i="7"/>
  <c r="D606" i="7"/>
  <c r="E606" i="7"/>
  <c r="F606" i="7"/>
  <c r="G606" i="7"/>
  <c r="I606" i="7"/>
  <c r="J606" i="7"/>
  <c r="K606" i="7"/>
  <c r="A607" i="7"/>
  <c r="C607" i="7"/>
  <c r="D607" i="7"/>
  <c r="E607" i="7"/>
  <c r="F607" i="7"/>
  <c r="G607" i="7"/>
  <c r="I607" i="7"/>
  <c r="J607" i="7"/>
  <c r="K607" i="7"/>
  <c r="A608" i="7"/>
  <c r="C608" i="7"/>
  <c r="D608" i="7"/>
  <c r="E608" i="7"/>
  <c r="F608" i="7"/>
  <c r="G608" i="7"/>
  <c r="I608" i="7"/>
  <c r="J608" i="7"/>
  <c r="K608" i="7"/>
  <c r="A609" i="7"/>
  <c r="C609" i="7"/>
  <c r="D609" i="7"/>
  <c r="E609" i="7"/>
  <c r="F609" i="7"/>
  <c r="G609" i="7"/>
  <c r="I609" i="7"/>
  <c r="J609" i="7"/>
  <c r="K609" i="7"/>
  <c r="A610" i="7"/>
  <c r="C610" i="7"/>
  <c r="D610" i="7"/>
  <c r="E610" i="7"/>
  <c r="F610" i="7"/>
  <c r="G610" i="7"/>
  <c r="I610" i="7"/>
  <c r="J610" i="7"/>
  <c r="K610" i="7"/>
  <c r="A622" i="6"/>
  <c r="C622" i="6"/>
  <c r="D622" i="6"/>
  <c r="E622" i="6"/>
  <c r="F622" i="6"/>
  <c r="G622" i="6"/>
  <c r="I622" i="6"/>
  <c r="J622" i="6"/>
  <c r="K622" i="6"/>
  <c r="A2" i="5"/>
  <c r="C2" i="5"/>
  <c r="D2" i="5"/>
  <c r="E2" i="5"/>
  <c r="F2" i="5"/>
  <c r="G2" i="5"/>
  <c r="I2" i="5"/>
  <c r="J2" i="5"/>
  <c r="K2" i="5"/>
  <c r="A3" i="5"/>
  <c r="C3" i="5"/>
  <c r="D3" i="5"/>
  <c r="E3" i="5"/>
  <c r="F3" i="5"/>
  <c r="G3" i="5"/>
  <c r="I3" i="5"/>
  <c r="J3" i="5"/>
  <c r="K3" i="5"/>
  <c r="A4" i="5"/>
  <c r="C4" i="5"/>
  <c r="D4" i="5"/>
  <c r="E4" i="5"/>
  <c r="F4" i="5"/>
  <c r="G4" i="5"/>
  <c r="I4" i="5"/>
  <c r="J4" i="5"/>
  <c r="K4" i="5"/>
  <c r="A5" i="5"/>
  <c r="C5" i="5"/>
  <c r="D5" i="5"/>
  <c r="E5" i="5"/>
  <c r="F5" i="5"/>
  <c r="G5" i="5"/>
  <c r="I5" i="5"/>
  <c r="J5" i="5"/>
  <c r="K5" i="5"/>
  <c r="A6" i="5"/>
  <c r="C6" i="5"/>
  <c r="D6" i="5"/>
  <c r="E6" i="5"/>
  <c r="F6" i="5"/>
  <c r="G6" i="5"/>
  <c r="I6" i="5"/>
  <c r="J6" i="5"/>
  <c r="K6" i="5"/>
  <c r="A7" i="5"/>
  <c r="C7" i="5"/>
  <c r="D7" i="5"/>
  <c r="E7" i="5"/>
  <c r="F7" i="5"/>
  <c r="G7" i="5"/>
  <c r="I7" i="5"/>
  <c r="J7" i="5"/>
  <c r="K7" i="5"/>
  <c r="A8" i="5"/>
  <c r="C8" i="5"/>
  <c r="D8" i="5"/>
  <c r="E8" i="5"/>
  <c r="F8" i="5"/>
  <c r="G8" i="5"/>
  <c r="I8" i="5"/>
  <c r="J8" i="5"/>
  <c r="K8" i="5"/>
  <c r="A9" i="5"/>
  <c r="C9" i="5"/>
  <c r="D9" i="5"/>
  <c r="E9" i="5"/>
  <c r="F9" i="5"/>
  <c r="G9" i="5"/>
  <c r="I9" i="5"/>
  <c r="J9" i="5"/>
  <c r="K9" i="5"/>
  <c r="A10" i="5"/>
  <c r="C10" i="5"/>
  <c r="D10" i="5"/>
  <c r="E10" i="5"/>
  <c r="F10" i="5"/>
  <c r="G10" i="5"/>
  <c r="I10" i="5"/>
  <c r="J10" i="5"/>
  <c r="K10" i="5"/>
  <c r="A11" i="5"/>
  <c r="C11" i="5"/>
  <c r="D11" i="5"/>
  <c r="E11" i="5"/>
  <c r="F11" i="5"/>
  <c r="G11" i="5"/>
  <c r="I11" i="5"/>
  <c r="J11" i="5"/>
  <c r="K11" i="5"/>
  <c r="A12" i="5"/>
  <c r="C12" i="5"/>
  <c r="D12" i="5"/>
  <c r="E12" i="5"/>
  <c r="F12" i="5"/>
  <c r="G12" i="5"/>
  <c r="I12" i="5"/>
  <c r="J12" i="5"/>
  <c r="K12" i="5"/>
  <c r="A13" i="5"/>
  <c r="C13" i="5"/>
  <c r="D13" i="5"/>
  <c r="E13" i="5"/>
  <c r="F13" i="5"/>
  <c r="G13" i="5"/>
  <c r="I13" i="5"/>
  <c r="J13" i="5"/>
  <c r="K13" i="5"/>
  <c r="A14" i="5"/>
  <c r="C14" i="5"/>
  <c r="D14" i="5"/>
  <c r="E14" i="5"/>
  <c r="F14" i="5"/>
  <c r="G14" i="5"/>
  <c r="I14" i="5"/>
  <c r="J14" i="5"/>
  <c r="K14" i="5"/>
  <c r="A15" i="5"/>
  <c r="C15" i="5"/>
  <c r="D15" i="5"/>
  <c r="E15" i="5"/>
  <c r="F15" i="5"/>
  <c r="G15" i="5"/>
  <c r="I15" i="5"/>
  <c r="J15" i="5"/>
  <c r="K15" i="5"/>
  <c r="A16" i="5"/>
  <c r="C16" i="5"/>
  <c r="D16" i="5"/>
  <c r="E16" i="5"/>
  <c r="F16" i="5"/>
  <c r="G16" i="5"/>
  <c r="I16" i="5"/>
  <c r="J16" i="5"/>
  <c r="K16" i="5"/>
  <c r="A17" i="5"/>
  <c r="C17" i="5"/>
  <c r="D17" i="5"/>
  <c r="E17" i="5"/>
  <c r="F17" i="5"/>
  <c r="G17" i="5"/>
  <c r="I17" i="5"/>
  <c r="J17" i="5"/>
  <c r="K17" i="5"/>
  <c r="A18" i="5"/>
  <c r="C18" i="5"/>
  <c r="D18" i="5"/>
  <c r="E18" i="5"/>
  <c r="F18" i="5"/>
  <c r="G18" i="5"/>
  <c r="I18" i="5"/>
  <c r="J18" i="5"/>
  <c r="K18" i="5"/>
  <c r="A19" i="5"/>
  <c r="C19" i="5"/>
  <c r="D19" i="5"/>
  <c r="E19" i="5"/>
  <c r="F19" i="5"/>
  <c r="G19" i="5"/>
  <c r="I19" i="5"/>
  <c r="J19" i="5"/>
  <c r="K19" i="5"/>
  <c r="A20" i="5"/>
  <c r="C20" i="5"/>
  <c r="D20" i="5"/>
  <c r="E20" i="5"/>
  <c r="F20" i="5"/>
  <c r="G20" i="5"/>
  <c r="I20" i="5"/>
  <c r="J20" i="5"/>
  <c r="K20" i="5"/>
  <c r="A21" i="5"/>
  <c r="C21" i="5"/>
  <c r="D21" i="5"/>
  <c r="E21" i="5"/>
  <c r="F21" i="5"/>
  <c r="G21" i="5"/>
  <c r="I21" i="5"/>
  <c r="J21" i="5"/>
  <c r="K21" i="5"/>
  <c r="A22" i="5"/>
  <c r="C22" i="5"/>
  <c r="D22" i="5"/>
  <c r="E22" i="5"/>
  <c r="F22" i="5"/>
  <c r="G22" i="5"/>
  <c r="I22" i="5"/>
  <c r="J22" i="5"/>
  <c r="K22" i="5"/>
  <c r="A23" i="5"/>
  <c r="C23" i="5"/>
  <c r="D23" i="5"/>
  <c r="E23" i="5"/>
  <c r="F23" i="5"/>
  <c r="G23" i="5"/>
  <c r="I23" i="5"/>
  <c r="J23" i="5"/>
  <c r="K23" i="5"/>
  <c r="A24" i="5"/>
  <c r="C24" i="5"/>
  <c r="D24" i="5"/>
  <c r="E24" i="5"/>
  <c r="F24" i="5"/>
  <c r="G24" i="5"/>
  <c r="I24" i="5"/>
  <c r="J24" i="5"/>
  <c r="K24" i="5"/>
  <c r="A25" i="5"/>
  <c r="C25" i="5"/>
  <c r="D25" i="5"/>
  <c r="E25" i="5"/>
  <c r="F25" i="5"/>
  <c r="G25" i="5"/>
  <c r="I25" i="5"/>
  <c r="J25" i="5"/>
  <c r="K25" i="5"/>
  <c r="A26" i="5"/>
  <c r="C26" i="5"/>
  <c r="D26" i="5"/>
  <c r="E26" i="5"/>
  <c r="F26" i="5"/>
  <c r="G26" i="5"/>
  <c r="I26" i="5"/>
  <c r="J26" i="5"/>
  <c r="K26" i="5"/>
  <c r="A27" i="5"/>
  <c r="C27" i="5"/>
  <c r="D27" i="5"/>
  <c r="E27" i="5"/>
  <c r="F27" i="5"/>
  <c r="G27" i="5"/>
  <c r="I27" i="5"/>
  <c r="J27" i="5"/>
  <c r="K27" i="5"/>
  <c r="A28" i="5"/>
  <c r="C28" i="5"/>
  <c r="D28" i="5"/>
  <c r="E28" i="5"/>
  <c r="F28" i="5"/>
  <c r="G28" i="5"/>
  <c r="I28" i="5"/>
  <c r="J28" i="5"/>
  <c r="K28" i="5"/>
  <c r="A29" i="5"/>
  <c r="C29" i="5"/>
  <c r="D29" i="5"/>
  <c r="E29" i="5"/>
  <c r="F29" i="5"/>
  <c r="G29" i="5"/>
  <c r="I29" i="5"/>
  <c r="J29" i="5"/>
  <c r="K29" i="5"/>
  <c r="A30" i="5"/>
  <c r="C30" i="5"/>
  <c r="D30" i="5"/>
  <c r="E30" i="5"/>
  <c r="F30" i="5"/>
  <c r="G30" i="5"/>
  <c r="I30" i="5"/>
  <c r="J30" i="5"/>
  <c r="K30" i="5"/>
  <c r="A31" i="5"/>
  <c r="C31" i="5"/>
  <c r="D31" i="5"/>
  <c r="E31" i="5"/>
  <c r="F31" i="5"/>
  <c r="G31" i="5"/>
  <c r="I31" i="5"/>
  <c r="J31" i="5"/>
  <c r="K31" i="5"/>
  <c r="A32" i="5"/>
  <c r="C32" i="5"/>
  <c r="D32" i="5"/>
  <c r="E32" i="5"/>
  <c r="F32" i="5"/>
  <c r="G32" i="5"/>
  <c r="I32" i="5"/>
  <c r="J32" i="5"/>
  <c r="K32" i="5"/>
  <c r="A33" i="5"/>
  <c r="C33" i="5"/>
  <c r="D33" i="5"/>
  <c r="E33" i="5"/>
  <c r="F33" i="5"/>
  <c r="G33" i="5"/>
  <c r="I33" i="5"/>
  <c r="J33" i="5"/>
  <c r="K33" i="5"/>
  <c r="A34" i="5"/>
  <c r="C34" i="5"/>
  <c r="D34" i="5"/>
  <c r="E34" i="5"/>
  <c r="F34" i="5"/>
  <c r="G34" i="5"/>
  <c r="I34" i="5"/>
  <c r="J34" i="5"/>
  <c r="K34" i="5"/>
  <c r="A35" i="5"/>
  <c r="C35" i="5"/>
  <c r="D35" i="5"/>
  <c r="E35" i="5"/>
  <c r="F35" i="5"/>
  <c r="G35" i="5"/>
  <c r="I35" i="5"/>
  <c r="J35" i="5"/>
  <c r="K35" i="5"/>
  <c r="A36" i="5"/>
  <c r="C36" i="5"/>
  <c r="D36" i="5"/>
  <c r="E36" i="5"/>
  <c r="F36" i="5"/>
  <c r="G36" i="5"/>
  <c r="I36" i="5"/>
  <c r="J36" i="5"/>
  <c r="K36" i="5"/>
  <c r="A37" i="5"/>
  <c r="C37" i="5"/>
  <c r="D37" i="5"/>
  <c r="E37" i="5"/>
  <c r="F37" i="5"/>
  <c r="G37" i="5"/>
  <c r="I37" i="5"/>
  <c r="J37" i="5"/>
  <c r="K37" i="5"/>
  <c r="A38" i="5"/>
  <c r="C38" i="5"/>
  <c r="D38" i="5"/>
  <c r="E38" i="5"/>
  <c r="F38" i="5"/>
  <c r="G38" i="5"/>
  <c r="I38" i="5"/>
  <c r="J38" i="5"/>
  <c r="K38" i="5"/>
  <c r="A39" i="5"/>
  <c r="C39" i="5"/>
  <c r="D39" i="5"/>
  <c r="E39" i="5"/>
  <c r="F39" i="5"/>
  <c r="G39" i="5"/>
  <c r="I39" i="5"/>
  <c r="J39" i="5"/>
  <c r="K39" i="5"/>
  <c r="A40" i="5"/>
  <c r="C40" i="5"/>
  <c r="D40" i="5"/>
  <c r="E40" i="5"/>
  <c r="F40" i="5"/>
  <c r="G40" i="5"/>
  <c r="I40" i="5"/>
  <c r="J40" i="5"/>
  <c r="K40" i="5"/>
  <c r="A41" i="5"/>
  <c r="C41" i="5"/>
  <c r="D41" i="5"/>
  <c r="E41" i="5"/>
  <c r="F41" i="5"/>
  <c r="G41" i="5"/>
  <c r="I41" i="5"/>
  <c r="J41" i="5"/>
  <c r="K41" i="5"/>
  <c r="A42" i="5"/>
  <c r="C42" i="5"/>
  <c r="D42" i="5"/>
  <c r="E42" i="5"/>
  <c r="F42" i="5"/>
  <c r="G42" i="5"/>
  <c r="I42" i="5"/>
  <c r="J42" i="5"/>
  <c r="K42" i="5"/>
  <c r="A43" i="5"/>
  <c r="C43" i="5"/>
  <c r="D43" i="5"/>
  <c r="E43" i="5"/>
  <c r="F43" i="5"/>
  <c r="G43" i="5"/>
  <c r="I43" i="5"/>
  <c r="J43" i="5"/>
  <c r="K43" i="5"/>
  <c r="A44" i="5"/>
  <c r="C44" i="5"/>
  <c r="D44" i="5"/>
  <c r="E44" i="5"/>
  <c r="F44" i="5"/>
  <c r="G44" i="5"/>
  <c r="I44" i="5"/>
  <c r="J44" i="5"/>
  <c r="K44" i="5"/>
  <c r="A45" i="5"/>
  <c r="C45" i="5"/>
  <c r="D45" i="5"/>
  <c r="E45" i="5"/>
  <c r="F45" i="5"/>
  <c r="G45" i="5"/>
  <c r="I45" i="5"/>
  <c r="J45" i="5"/>
  <c r="K45" i="5"/>
  <c r="A46" i="5"/>
  <c r="C46" i="5"/>
  <c r="D46" i="5"/>
  <c r="E46" i="5"/>
  <c r="F46" i="5"/>
  <c r="G46" i="5"/>
  <c r="I46" i="5"/>
  <c r="J46" i="5"/>
  <c r="K46" i="5"/>
  <c r="A47" i="5"/>
  <c r="C47" i="5"/>
  <c r="D47" i="5"/>
  <c r="E47" i="5"/>
  <c r="F47" i="5"/>
  <c r="G47" i="5"/>
  <c r="I47" i="5"/>
  <c r="J47" i="5"/>
  <c r="K47" i="5"/>
  <c r="A48" i="5"/>
  <c r="C48" i="5"/>
  <c r="D48" i="5"/>
  <c r="E48" i="5"/>
  <c r="F48" i="5"/>
  <c r="G48" i="5"/>
  <c r="I48" i="5"/>
  <c r="J48" i="5"/>
  <c r="K48" i="5"/>
  <c r="A49" i="5"/>
  <c r="C49" i="5"/>
  <c r="D49" i="5"/>
  <c r="E49" i="5"/>
  <c r="F49" i="5"/>
  <c r="G49" i="5"/>
  <c r="I49" i="5"/>
  <c r="J49" i="5"/>
  <c r="K49" i="5"/>
  <c r="A50" i="5"/>
  <c r="C50" i="5"/>
  <c r="D50" i="5"/>
  <c r="E50" i="5"/>
  <c r="F50" i="5"/>
  <c r="G50" i="5"/>
  <c r="I50" i="5"/>
  <c r="J50" i="5"/>
  <c r="K50" i="5"/>
  <c r="A51" i="5"/>
  <c r="C51" i="5"/>
  <c r="D51" i="5"/>
  <c r="E51" i="5"/>
  <c r="F51" i="5"/>
  <c r="G51" i="5"/>
  <c r="I51" i="5"/>
  <c r="J51" i="5"/>
  <c r="K51" i="5"/>
  <c r="A52" i="5"/>
  <c r="C52" i="5"/>
  <c r="D52" i="5"/>
  <c r="E52" i="5"/>
  <c r="F52" i="5"/>
  <c r="G52" i="5"/>
  <c r="I52" i="5"/>
  <c r="J52" i="5"/>
  <c r="K52" i="5"/>
  <c r="A53" i="5"/>
  <c r="C53" i="5"/>
  <c r="D53" i="5"/>
  <c r="E53" i="5"/>
  <c r="F53" i="5"/>
  <c r="G53" i="5"/>
  <c r="I53" i="5"/>
  <c r="J53" i="5"/>
  <c r="K53" i="5"/>
  <c r="A54" i="5"/>
  <c r="C54" i="5"/>
  <c r="D54" i="5"/>
  <c r="E54" i="5"/>
  <c r="F54" i="5"/>
  <c r="G54" i="5"/>
  <c r="I54" i="5"/>
  <c r="J54" i="5"/>
  <c r="K54" i="5"/>
  <c r="A55" i="5"/>
  <c r="C55" i="5"/>
  <c r="D55" i="5"/>
  <c r="E55" i="5"/>
  <c r="F55" i="5"/>
  <c r="G55" i="5"/>
  <c r="I55" i="5"/>
  <c r="J55" i="5"/>
  <c r="K55" i="5"/>
  <c r="A56" i="5"/>
  <c r="C56" i="5"/>
  <c r="D56" i="5"/>
  <c r="E56" i="5"/>
  <c r="F56" i="5"/>
  <c r="G56" i="5"/>
  <c r="I56" i="5"/>
  <c r="J56" i="5"/>
  <c r="K56" i="5"/>
  <c r="A57" i="5"/>
  <c r="C57" i="5"/>
  <c r="D57" i="5"/>
  <c r="E57" i="5"/>
  <c r="F57" i="5"/>
  <c r="G57" i="5"/>
  <c r="I57" i="5"/>
  <c r="J57" i="5"/>
  <c r="K57" i="5"/>
  <c r="A58" i="5"/>
  <c r="C58" i="5"/>
  <c r="D58" i="5"/>
  <c r="E58" i="5"/>
  <c r="F58" i="5"/>
  <c r="G58" i="5"/>
  <c r="I58" i="5"/>
  <c r="J58" i="5"/>
  <c r="K58" i="5"/>
  <c r="A59" i="5"/>
  <c r="C59" i="5"/>
  <c r="D59" i="5"/>
  <c r="E59" i="5"/>
  <c r="F59" i="5"/>
  <c r="G59" i="5"/>
  <c r="I59" i="5"/>
  <c r="J59" i="5"/>
  <c r="K59" i="5"/>
  <c r="A60" i="5"/>
  <c r="C60" i="5"/>
  <c r="D60" i="5"/>
  <c r="E60" i="5"/>
  <c r="F60" i="5"/>
  <c r="G60" i="5"/>
  <c r="I60" i="5"/>
  <c r="J60" i="5"/>
  <c r="K60" i="5"/>
  <c r="A61" i="5"/>
  <c r="C61" i="5"/>
  <c r="D61" i="5"/>
  <c r="E61" i="5"/>
  <c r="F61" i="5"/>
  <c r="G61" i="5"/>
  <c r="I61" i="5"/>
  <c r="J61" i="5"/>
  <c r="K61" i="5"/>
  <c r="A62" i="5"/>
  <c r="C62" i="5"/>
  <c r="D62" i="5"/>
  <c r="E62" i="5"/>
  <c r="F62" i="5"/>
  <c r="G62" i="5"/>
  <c r="I62" i="5"/>
  <c r="J62" i="5"/>
  <c r="K62" i="5"/>
  <c r="A63" i="5"/>
  <c r="C63" i="5"/>
  <c r="D63" i="5"/>
  <c r="E63" i="5"/>
  <c r="F63" i="5"/>
  <c r="G63" i="5"/>
  <c r="I63" i="5"/>
  <c r="J63" i="5"/>
  <c r="K63" i="5"/>
  <c r="A64" i="5"/>
  <c r="C64" i="5"/>
  <c r="D64" i="5"/>
  <c r="E64" i="5"/>
  <c r="F64" i="5"/>
  <c r="G64" i="5"/>
  <c r="I64" i="5"/>
  <c r="J64" i="5"/>
  <c r="K64" i="5"/>
  <c r="A65" i="5"/>
  <c r="C65" i="5"/>
  <c r="D65" i="5"/>
  <c r="E65" i="5"/>
  <c r="F65" i="5"/>
  <c r="G65" i="5"/>
  <c r="I65" i="5"/>
  <c r="J65" i="5"/>
  <c r="K65" i="5"/>
  <c r="A66" i="5"/>
  <c r="C66" i="5"/>
  <c r="D66" i="5"/>
  <c r="E66" i="5"/>
  <c r="F66" i="5"/>
  <c r="G66" i="5"/>
  <c r="I66" i="5"/>
  <c r="J66" i="5"/>
  <c r="K66" i="5"/>
  <c r="A67" i="5"/>
  <c r="C67" i="5"/>
  <c r="D67" i="5"/>
  <c r="E67" i="5"/>
  <c r="F67" i="5"/>
  <c r="G67" i="5"/>
  <c r="I67" i="5"/>
  <c r="J67" i="5"/>
  <c r="K67" i="5"/>
  <c r="A68" i="5"/>
  <c r="C68" i="5"/>
  <c r="D68" i="5"/>
  <c r="E68" i="5"/>
  <c r="F68" i="5"/>
  <c r="G68" i="5"/>
  <c r="I68" i="5"/>
  <c r="J68" i="5"/>
  <c r="K68" i="5"/>
  <c r="A69" i="5"/>
  <c r="C69" i="5"/>
  <c r="D69" i="5"/>
  <c r="E69" i="5"/>
  <c r="F69" i="5"/>
  <c r="G69" i="5"/>
  <c r="I69" i="5"/>
  <c r="J69" i="5"/>
  <c r="K69" i="5"/>
  <c r="A70" i="5"/>
  <c r="C70" i="5"/>
  <c r="D70" i="5"/>
  <c r="E70" i="5"/>
  <c r="F70" i="5"/>
  <c r="G70" i="5"/>
  <c r="I70" i="5"/>
  <c r="J70" i="5"/>
  <c r="K70" i="5"/>
  <c r="A71" i="5"/>
  <c r="C71" i="5"/>
  <c r="D71" i="5"/>
  <c r="E71" i="5"/>
  <c r="F71" i="5"/>
  <c r="G71" i="5"/>
  <c r="I71" i="5"/>
  <c r="J71" i="5"/>
  <c r="K71" i="5"/>
  <c r="A72" i="5"/>
  <c r="C72" i="5"/>
  <c r="D72" i="5"/>
  <c r="E72" i="5"/>
  <c r="F72" i="5"/>
  <c r="G72" i="5"/>
  <c r="I72" i="5"/>
  <c r="J72" i="5"/>
  <c r="K72" i="5"/>
  <c r="A73" i="5"/>
  <c r="C73" i="5"/>
  <c r="D73" i="5"/>
  <c r="E73" i="5"/>
  <c r="F73" i="5"/>
  <c r="G73" i="5"/>
  <c r="I73" i="5"/>
  <c r="J73" i="5"/>
  <c r="K73" i="5"/>
  <c r="A74" i="5"/>
  <c r="C74" i="5"/>
  <c r="D74" i="5"/>
  <c r="E74" i="5"/>
  <c r="F74" i="5"/>
  <c r="G74" i="5"/>
  <c r="I74" i="5"/>
  <c r="J74" i="5"/>
  <c r="K74" i="5"/>
  <c r="A75" i="5"/>
  <c r="C75" i="5"/>
  <c r="D75" i="5"/>
  <c r="E75" i="5"/>
  <c r="F75" i="5"/>
  <c r="G75" i="5"/>
  <c r="I75" i="5"/>
  <c r="J75" i="5"/>
  <c r="K75" i="5"/>
  <c r="A76" i="5"/>
  <c r="C76" i="5"/>
  <c r="D76" i="5"/>
  <c r="E76" i="5"/>
  <c r="F76" i="5"/>
  <c r="G76" i="5"/>
  <c r="I76" i="5"/>
  <c r="J76" i="5"/>
  <c r="K76" i="5"/>
  <c r="A77" i="5"/>
  <c r="C77" i="5"/>
  <c r="D77" i="5"/>
  <c r="E77" i="5"/>
  <c r="F77" i="5"/>
  <c r="G77" i="5"/>
  <c r="I77" i="5"/>
  <c r="J77" i="5"/>
  <c r="K77" i="5"/>
  <c r="A78" i="5"/>
  <c r="C78" i="5"/>
  <c r="D78" i="5"/>
  <c r="E78" i="5"/>
  <c r="F78" i="5"/>
  <c r="G78" i="5"/>
  <c r="I78" i="5"/>
  <c r="J78" i="5"/>
  <c r="K78" i="5"/>
  <c r="A79" i="5"/>
  <c r="C79" i="5"/>
  <c r="D79" i="5"/>
  <c r="E79" i="5"/>
  <c r="F79" i="5"/>
  <c r="G79" i="5"/>
  <c r="I79" i="5"/>
  <c r="J79" i="5"/>
  <c r="K79" i="5"/>
  <c r="A80" i="5"/>
  <c r="C80" i="5"/>
  <c r="D80" i="5"/>
  <c r="E80" i="5"/>
  <c r="F80" i="5"/>
  <c r="G80" i="5"/>
  <c r="I80" i="5"/>
  <c r="J80" i="5"/>
  <c r="K80" i="5"/>
  <c r="A81" i="5"/>
  <c r="C81" i="5"/>
  <c r="D81" i="5"/>
  <c r="E81" i="5"/>
  <c r="F81" i="5"/>
  <c r="G81" i="5"/>
  <c r="I81" i="5"/>
  <c r="J81" i="5"/>
  <c r="K81" i="5"/>
  <c r="A82" i="5"/>
  <c r="C82" i="5"/>
  <c r="D82" i="5"/>
  <c r="E82" i="5"/>
  <c r="F82" i="5"/>
  <c r="G82" i="5"/>
  <c r="I82" i="5"/>
  <c r="J82" i="5"/>
  <c r="K82" i="5"/>
  <c r="A83" i="5"/>
  <c r="C83" i="5"/>
  <c r="D83" i="5"/>
  <c r="E83" i="5"/>
  <c r="F83" i="5"/>
  <c r="G83" i="5"/>
  <c r="I83" i="5"/>
  <c r="J83" i="5"/>
  <c r="K83" i="5"/>
  <c r="A84" i="5"/>
  <c r="C84" i="5"/>
  <c r="D84" i="5"/>
  <c r="E84" i="5"/>
  <c r="F84" i="5"/>
  <c r="G84" i="5"/>
  <c r="I84" i="5"/>
  <c r="J84" i="5"/>
  <c r="K84" i="5"/>
  <c r="A85" i="5"/>
  <c r="C85" i="5"/>
  <c r="D85" i="5"/>
  <c r="E85" i="5"/>
  <c r="F85" i="5"/>
  <c r="G85" i="5"/>
  <c r="I85" i="5"/>
  <c r="J85" i="5"/>
  <c r="K85" i="5"/>
  <c r="A86" i="5"/>
  <c r="C86" i="5"/>
  <c r="D86" i="5"/>
  <c r="E86" i="5"/>
  <c r="F86" i="5"/>
  <c r="G86" i="5"/>
  <c r="I86" i="5"/>
  <c r="J86" i="5"/>
  <c r="K86" i="5"/>
  <c r="A87" i="5"/>
  <c r="C87" i="5"/>
  <c r="D87" i="5"/>
  <c r="E87" i="5"/>
  <c r="F87" i="5"/>
  <c r="G87" i="5"/>
  <c r="I87" i="5"/>
  <c r="J87" i="5"/>
  <c r="K87" i="5"/>
  <c r="A88" i="5"/>
  <c r="C88" i="5"/>
  <c r="D88" i="5"/>
  <c r="E88" i="5"/>
  <c r="F88" i="5"/>
  <c r="G88" i="5"/>
  <c r="I88" i="5"/>
  <c r="J88" i="5"/>
  <c r="K88" i="5"/>
  <c r="A89" i="5"/>
  <c r="C89" i="5"/>
  <c r="D89" i="5"/>
  <c r="E89" i="5"/>
  <c r="F89" i="5"/>
  <c r="G89" i="5"/>
  <c r="I89" i="5"/>
  <c r="J89" i="5"/>
  <c r="K89" i="5"/>
  <c r="A90" i="5"/>
  <c r="C90" i="5"/>
  <c r="D90" i="5"/>
  <c r="E90" i="5"/>
  <c r="F90" i="5"/>
  <c r="G90" i="5"/>
  <c r="I90" i="5"/>
  <c r="J90" i="5"/>
  <c r="K90" i="5"/>
  <c r="A91" i="5"/>
  <c r="C91" i="5"/>
  <c r="D91" i="5"/>
  <c r="E91" i="5"/>
  <c r="F91" i="5"/>
  <c r="G91" i="5"/>
  <c r="I91" i="5"/>
  <c r="J91" i="5"/>
  <c r="K91" i="5"/>
  <c r="A92" i="5"/>
  <c r="C92" i="5"/>
  <c r="D92" i="5"/>
  <c r="E92" i="5"/>
  <c r="F92" i="5"/>
  <c r="G92" i="5"/>
  <c r="I92" i="5"/>
  <c r="J92" i="5"/>
  <c r="K92" i="5"/>
  <c r="A93" i="5"/>
  <c r="C93" i="5"/>
  <c r="D93" i="5"/>
  <c r="E93" i="5"/>
  <c r="F93" i="5"/>
  <c r="G93" i="5"/>
  <c r="I93" i="5"/>
  <c r="J93" i="5"/>
  <c r="K93" i="5"/>
  <c r="A94" i="5"/>
  <c r="C94" i="5"/>
  <c r="D94" i="5"/>
  <c r="E94" i="5"/>
  <c r="F94" i="5"/>
  <c r="G94" i="5"/>
  <c r="I94" i="5"/>
  <c r="J94" i="5"/>
  <c r="K94" i="5"/>
  <c r="A95" i="5"/>
  <c r="C95" i="5"/>
  <c r="D95" i="5"/>
  <c r="E95" i="5"/>
  <c r="F95" i="5"/>
  <c r="G95" i="5"/>
  <c r="I95" i="5"/>
  <c r="J95" i="5"/>
  <c r="K95" i="5"/>
  <c r="A96" i="5"/>
  <c r="C96" i="5"/>
  <c r="D96" i="5"/>
  <c r="E96" i="5"/>
  <c r="F96" i="5"/>
  <c r="G96" i="5"/>
  <c r="I96" i="5"/>
  <c r="J96" i="5"/>
  <c r="K96" i="5"/>
  <c r="A97" i="5"/>
  <c r="C97" i="5"/>
  <c r="D97" i="5"/>
  <c r="E97" i="5"/>
  <c r="F97" i="5"/>
  <c r="G97" i="5"/>
  <c r="I97" i="5"/>
  <c r="J97" i="5"/>
  <c r="K97" i="5"/>
  <c r="A98" i="5"/>
  <c r="C98" i="5"/>
  <c r="D98" i="5"/>
  <c r="E98" i="5"/>
  <c r="F98" i="5"/>
  <c r="G98" i="5"/>
  <c r="I98" i="5"/>
  <c r="J98" i="5"/>
  <c r="K98" i="5"/>
  <c r="A99" i="5"/>
  <c r="C99" i="5"/>
  <c r="D99" i="5"/>
  <c r="E99" i="5"/>
  <c r="F99" i="5"/>
  <c r="G99" i="5"/>
  <c r="I99" i="5"/>
  <c r="J99" i="5"/>
  <c r="K99" i="5"/>
  <c r="A100" i="5"/>
  <c r="C100" i="5"/>
  <c r="D100" i="5"/>
  <c r="E100" i="5"/>
  <c r="F100" i="5"/>
  <c r="G100" i="5"/>
  <c r="I100" i="5"/>
  <c r="J100" i="5"/>
  <c r="K100" i="5"/>
  <c r="A101" i="5"/>
  <c r="C101" i="5"/>
  <c r="D101" i="5"/>
  <c r="E101" i="5"/>
  <c r="F101" i="5"/>
  <c r="G101" i="5"/>
  <c r="I101" i="5"/>
  <c r="J101" i="5"/>
  <c r="K101" i="5"/>
  <c r="A102" i="5"/>
  <c r="C102" i="5"/>
  <c r="D102" i="5"/>
  <c r="E102" i="5"/>
  <c r="F102" i="5"/>
  <c r="G102" i="5"/>
  <c r="I102" i="5"/>
  <c r="J102" i="5"/>
  <c r="K102" i="5"/>
  <c r="A103" i="5"/>
  <c r="C103" i="5"/>
  <c r="D103" i="5"/>
  <c r="E103" i="5"/>
  <c r="F103" i="5"/>
  <c r="G103" i="5"/>
  <c r="I103" i="5"/>
  <c r="J103" i="5"/>
  <c r="K103" i="5"/>
  <c r="A104" i="5"/>
  <c r="C104" i="5"/>
  <c r="D104" i="5"/>
  <c r="E104" i="5"/>
  <c r="F104" i="5"/>
  <c r="G104" i="5"/>
  <c r="I104" i="5"/>
  <c r="J104" i="5"/>
  <c r="K104" i="5"/>
  <c r="A105" i="5"/>
  <c r="C105" i="5"/>
  <c r="D105" i="5"/>
  <c r="E105" i="5"/>
  <c r="F105" i="5"/>
  <c r="G105" i="5"/>
  <c r="I105" i="5"/>
  <c r="J105" i="5"/>
  <c r="K105" i="5"/>
  <c r="A106" i="5"/>
  <c r="C106" i="5"/>
  <c r="D106" i="5"/>
  <c r="E106" i="5"/>
  <c r="F106" i="5"/>
  <c r="G106" i="5"/>
  <c r="I106" i="5"/>
  <c r="J106" i="5"/>
  <c r="K106" i="5"/>
  <c r="A107" i="5"/>
  <c r="C107" i="5"/>
  <c r="D107" i="5"/>
  <c r="E107" i="5"/>
  <c r="F107" i="5"/>
  <c r="G107" i="5"/>
  <c r="I107" i="5"/>
  <c r="J107" i="5"/>
  <c r="K107" i="5"/>
  <c r="A108" i="5"/>
  <c r="C108" i="5"/>
  <c r="D108" i="5"/>
  <c r="E108" i="5"/>
  <c r="F108" i="5"/>
  <c r="G108" i="5"/>
  <c r="I108" i="5"/>
  <c r="J108" i="5"/>
  <c r="K108" i="5"/>
  <c r="A109" i="5"/>
  <c r="C109" i="5"/>
  <c r="D109" i="5"/>
  <c r="E109" i="5"/>
  <c r="F109" i="5"/>
  <c r="G109" i="5"/>
  <c r="I109" i="5"/>
  <c r="J109" i="5"/>
  <c r="K109" i="5"/>
  <c r="A110" i="5"/>
  <c r="C110" i="5"/>
  <c r="D110" i="5"/>
  <c r="E110" i="5"/>
  <c r="F110" i="5"/>
  <c r="G110" i="5"/>
  <c r="I110" i="5"/>
  <c r="J110" i="5"/>
  <c r="K110" i="5"/>
  <c r="A111" i="5"/>
  <c r="C111" i="5"/>
  <c r="D111" i="5"/>
  <c r="E111" i="5"/>
  <c r="F111" i="5"/>
  <c r="G111" i="5"/>
  <c r="I111" i="5"/>
  <c r="J111" i="5"/>
  <c r="K111" i="5"/>
  <c r="A112" i="5"/>
  <c r="C112" i="5"/>
  <c r="D112" i="5"/>
  <c r="E112" i="5"/>
  <c r="F112" i="5"/>
  <c r="G112" i="5"/>
  <c r="I112" i="5"/>
  <c r="J112" i="5"/>
  <c r="K112" i="5"/>
  <c r="A113" i="5"/>
  <c r="C113" i="5"/>
  <c r="D113" i="5"/>
  <c r="E113" i="5"/>
  <c r="F113" i="5"/>
  <c r="G113" i="5"/>
  <c r="I113" i="5"/>
  <c r="J113" i="5"/>
  <c r="K113" i="5"/>
  <c r="A114" i="5"/>
  <c r="C114" i="5"/>
  <c r="D114" i="5"/>
  <c r="E114" i="5"/>
  <c r="F114" i="5"/>
  <c r="G114" i="5"/>
  <c r="I114" i="5"/>
  <c r="J114" i="5"/>
  <c r="K114" i="5"/>
  <c r="A115" i="5"/>
  <c r="C115" i="5"/>
  <c r="D115" i="5"/>
  <c r="E115" i="5"/>
  <c r="F115" i="5"/>
  <c r="G115" i="5"/>
  <c r="I115" i="5"/>
  <c r="J115" i="5"/>
  <c r="K115" i="5"/>
  <c r="A116" i="5"/>
  <c r="C116" i="5"/>
  <c r="D116" i="5"/>
  <c r="E116" i="5"/>
  <c r="F116" i="5"/>
  <c r="G116" i="5"/>
  <c r="I116" i="5"/>
  <c r="J116" i="5"/>
  <c r="K116" i="5"/>
  <c r="A117" i="5"/>
  <c r="C117" i="5"/>
  <c r="D117" i="5"/>
  <c r="E117" i="5"/>
  <c r="F117" i="5"/>
  <c r="G117" i="5"/>
  <c r="I117" i="5"/>
  <c r="J117" i="5"/>
  <c r="K117" i="5"/>
  <c r="A118" i="5"/>
  <c r="C118" i="5"/>
  <c r="D118" i="5"/>
  <c r="E118" i="5"/>
  <c r="F118" i="5"/>
  <c r="G118" i="5"/>
  <c r="I118" i="5"/>
  <c r="J118" i="5"/>
  <c r="K118" i="5"/>
  <c r="A119" i="5"/>
  <c r="C119" i="5"/>
  <c r="D119" i="5"/>
  <c r="E119" i="5"/>
  <c r="F119" i="5"/>
  <c r="G119" i="5"/>
  <c r="I119" i="5"/>
  <c r="J119" i="5"/>
  <c r="K119" i="5"/>
  <c r="A120" i="5"/>
  <c r="C120" i="5"/>
  <c r="D120" i="5"/>
  <c r="E120" i="5"/>
  <c r="F120" i="5"/>
  <c r="G120" i="5"/>
  <c r="I120" i="5"/>
  <c r="J120" i="5"/>
  <c r="K120" i="5"/>
  <c r="A121" i="5"/>
  <c r="C121" i="5"/>
  <c r="D121" i="5"/>
  <c r="E121" i="5"/>
  <c r="F121" i="5"/>
  <c r="G121" i="5"/>
  <c r="I121" i="5"/>
  <c r="J121" i="5"/>
  <c r="K121" i="5"/>
  <c r="A122" i="5"/>
  <c r="C122" i="5"/>
  <c r="D122" i="5"/>
  <c r="E122" i="5"/>
  <c r="F122" i="5"/>
  <c r="G122" i="5"/>
  <c r="I122" i="5"/>
  <c r="J122" i="5"/>
  <c r="K122" i="5"/>
  <c r="A123" i="5"/>
  <c r="C123" i="5"/>
  <c r="D123" i="5"/>
  <c r="E123" i="5"/>
  <c r="F123" i="5"/>
  <c r="G123" i="5"/>
  <c r="I123" i="5"/>
  <c r="J123" i="5"/>
  <c r="K123" i="5"/>
  <c r="A124" i="5"/>
  <c r="C124" i="5"/>
  <c r="D124" i="5"/>
  <c r="E124" i="5"/>
  <c r="F124" i="5"/>
  <c r="G124" i="5"/>
  <c r="I124" i="5"/>
  <c r="J124" i="5"/>
  <c r="K124" i="5"/>
  <c r="A125" i="5"/>
  <c r="C125" i="5"/>
  <c r="D125" i="5"/>
  <c r="E125" i="5"/>
  <c r="F125" i="5"/>
  <c r="G125" i="5"/>
  <c r="I125" i="5"/>
  <c r="J125" i="5"/>
  <c r="K125" i="5"/>
  <c r="A126" i="5"/>
  <c r="C126" i="5"/>
  <c r="D126" i="5"/>
  <c r="E126" i="5"/>
  <c r="F126" i="5"/>
  <c r="G126" i="5"/>
  <c r="I126" i="5"/>
  <c r="J126" i="5"/>
  <c r="K126" i="5"/>
  <c r="A127" i="5"/>
  <c r="C127" i="5"/>
  <c r="D127" i="5"/>
  <c r="E127" i="5"/>
  <c r="F127" i="5"/>
  <c r="G127" i="5"/>
  <c r="I127" i="5"/>
  <c r="J127" i="5"/>
  <c r="K127" i="5"/>
  <c r="A128" i="5"/>
  <c r="C128" i="5"/>
  <c r="D128" i="5"/>
  <c r="E128" i="5"/>
  <c r="F128" i="5"/>
  <c r="G128" i="5"/>
  <c r="I128" i="5"/>
  <c r="J128" i="5"/>
  <c r="K128" i="5"/>
  <c r="A129" i="5"/>
  <c r="C129" i="5"/>
  <c r="D129" i="5"/>
  <c r="E129" i="5"/>
  <c r="F129" i="5"/>
  <c r="G129" i="5"/>
  <c r="I129" i="5"/>
  <c r="J129" i="5"/>
  <c r="K129" i="5"/>
  <c r="A130" i="5"/>
  <c r="C130" i="5"/>
  <c r="D130" i="5"/>
  <c r="E130" i="5"/>
  <c r="F130" i="5"/>
  <c r="G130" i="5"/>
  <c r="I130" i="5"/>
  <c r="J130" i="5"/>
  <c r="K130" i="5"/>
  <c r="A131" i="5"/>
  <c r="C131" i="5"/>
  <c r="D131" i="5"/>
  <c r="E131" i="5"/>
  <c r="F131" i="5"/>
  <c r="G131" i="5"/>
  <c r="I131" i="5"/>
  <c r="J131" i="5"/>
  <c r="K131" i="5"/>
  <c r="A132" i="5"/>
  <c r="C132" i="5"/>
  <c r="D132" i="5"/>
  <c r="E132" i="5"/>
  <c r="F132" i="5"/>
  <c r="G132" i="5"/>
  <c r="I132" i="5"/>
  <c r="J132" i="5"/>
  <c r="K132" i="5"/>
  <c r="A133" i="5"/>
  <c r="C133" i="5"/>
  <c r="D133" i="5"/>
  <c r="E133" i="5"/>
  <c r="F133" i="5"/>
  <c r="G133" i="5"/>
  <c r="I133" i="5"/>
  <c r="J133" i="5"/>
  <c r="K133" i="5"/>
  <c r="A134" i="5"/>
  <c r="C134" i="5"/>
  <c r="D134" i="5"/>
  <c r="E134" i="5"/>
  <c r="F134" i="5"/>
  <c r="G134" i="5"/>
  <c r="I134" i="5"/>
  <c r="J134" i="5"/>
  <c r="K134" i="5"/>
  <c r="A135" i="5"/>
  <c r="C135" i="5"/>
  <c r="D135" i="5"/>
  <c r="E135" i="5"/>
  <c r="F135" i="5"/>
  <c r="G135" i="5"/>
  <c r="I135" i="5"/>
  <c r="J135" i="5"/>
  <c r="K135" i="5"/>
  <c r="A136" i="5"/>
  <c r="C136" i="5"/>
  <c r="D136" i="5"/>
  <c r="E136" i="5"/>
  <c r="F136" i="5"/>
  <c r="G136" i="5"/>
  <c r="I136" i="5"/>
  <c r="J136" i="5"/>
  <c r="K136" i="5"/>
  <c r="A137" i="5"/>
  <c r="C137" i="5"/>
  <c r="D137" i="5"/>
  <c r="E137" i="5"/>
  <c r="F137" i="5"/>
  <c r="G137" i="5"/>
  <c r="I137" i="5"/>
  <c r="J137" i="5"/>
  <c r="K137" i="5"/>
  <c r="A138" i="5"/>
  <c r="C138" i="5"/>
  <c r="D138" i="5"/>
  <c r="E138" i="5"/>
  <c r="F138" i="5"/>
  <c r="G138" i="5"/>
  <c r="I138" i="5"/>
  <c r="J138" i="5"/>
  <c r="K138" i="5"/>
  <c r="A139" i="5"/>
  <c r="C139" i="5"/>
  <c r="D139" i="5"/>
  <c r="E139" i="5"/>
  <c r="F139" i="5"/>
  <c r="G139" i="5"/>
  <c r="I139" i="5"/>
  <c r="J139" i="5"/>
  <c r="K139" i="5"/>
  <c r="A140" i="5"/>
  <c r="C140" i="5"/>
  <c r="D140" i="5"/>
  <c r="E140" i="5"/>
  <c r="F140" i="5"/>
  <c r="G140" i="5"/>
  <c r="I140" i="5"/>
  <c r="J140" i="5"/>
  <c r="K140" i="5"/>
  <c r="A141" i="5"/>
  <c r="C141" i="5"/>
  <c r="D141" i="5"/>
  <c r="E141" i="5"/>
  <c r="F141" i="5"/>
  <c r="G141" i="5"/>
  <c r="I141" i="5"/>
  <c r="J141" i="5"/>
  <c r="K141" i="5"/>
  <c r="A142" i="5"/>
  <c r="C142" i="5"/>
  <c r="D142" i="5"/>
  <c r="E142" i="5"/>
  <c r="F142" i="5"/>
  <c r="G142" i="5"/>
  <c r="I142" i="5"/>
  <c r="J142" i="5"/>
  <c r="K142" i="5"/>
  <c r="A143" i="5"/>
  <c r="C143" i="5"/>
  <c r="D143" i="5"/>
  <c r="E143" i="5"/>
  <c r="F143" i="5"/>
  <c r="G143" i="5"/>
  <c r="I143" i="5"/>
  <c r="J143" i="5"/>
  <c r="K143" i="5"/>
  <c r="A144" i="5"/>
  <c r="C144" i="5"/>
  <c r="D144" i="5"/>
  <c r="E144" i="5"/>
  <c r="F144" i="5"/>
  <c r="G144" i="5"/>
  <c r="I144" i="5"/>
  <c r="J144" i="5"/>
  <c r="K144" i="5"/>
  <c r="A145" i="5"/>
  <c r="C145" i="5"/>
  <c r="D145" i="5"/>
  <c r="E145" i="5"/>
  <c r="F145" i="5"/>
  <c r="G145" i="5"/>
  <c r="I145" i="5"/>
  <c r="J145" i="5"/>
  <c r="K145" i="5"/>
  <c r="A146" i="5"/>
  <c r="C146" i="5"/>
  <c r="D146" i="5"/>
  <c r="E146" i="5"/>
  <c r="F146" i="5"/>
  <c r="G146" i="5"/>
  <c r="I146" i="5"/>
  <c r="J146" i="5"/>
  <c r="K146" i="5"/>
  <c r="A147" i="5"/>
  <c r="C147" i="5"/>
  <c r="D147" i="5"/>
  <c r="E147" i="5"/>
  <c r="F147" i="5"/>
  <c r="G147" i="5"/>
  <c r="I147" i="5"/>
  <c r="J147" i="5"/>
  <c r="K147" i="5"/>
  <c r="A148" i="5"/>
  <c r="C148" i="5"/>
  <c r="D148" i="5"/>
  <c r="E148" i="5"/>
  <c r="F148" i="5"/>
  <c r="G148" i="5"/>
  <c r="I148" i="5"/>
  <c r="J148" i="5"/>
  <c r="K148" i="5"/>
  <c r="A149" i="5"/>
  <c r="C149" i="5"/>
  <c r="D149" i="5"/>
  <c r="E149" i="5"/>
  <c r="F149" i="5"/>
  <c r="G149" i="5"/>
  <c r="I149" i="5"/>
  <c r="J149" i="5"/>
  <c r="K149" i="5"/>
  <c r="A150" i="5"/>
  <c r="C150" i="5"/>
  <c r="D150" i="5"/>
  <c r="E150" i="5"/>
  <c r="F150" i="5"/>
  <c r="G150" i="5"/>
  <c r="I150" i="5"/>
  <c r="J150" i="5"/>
  <c r="K150" i="5"/>
  <c r="A151" i="5"/>
  <c r="C151" i="5"/>
  <c r="D151" i="5"/>
  <c r="E151" i="5"/>
  <c r="F151" i="5"/>
  <c r="G151" i="5"/>
  <c r="I151" i="5"/>
  <c r="J151" i="5"/>
  <c r="K151" i="5"/>
  <c r="A152" i="5"/>
  <c r="C152" i="5"/>
  <c r="D152" i="5"/>
  <c r="E152" i="5"/>
  <c r="F152" i="5"/>
  <c r="G152" i="5"/>
  <c r="I152" i="5"/>
  <c r="J152" i="5"/>
  <c r="K152" i="5"/>
  <c r="A153" i="5"/>
  <c r="C153" i="5"/>
  <c r="D153" i="5"/>
  <c r="E153" i="5"/>
  <c r="F153" i="5"/>
  <c r="G153" i="5"/>
  <c r="I153" i="5"/>
  <c r="J153" i="5"/>
  <c r="K153" i="5"/>
  <c r="A154" i="5"/>
  <c r="C154" i="5"/>
  <c r="D154" i="5"/>
  <c r="E154" i="5"/>
  <c r="F154" i="5"/>
  <c r="G154" i="5"/>
  <c r="I154" i="5"/>
  <c r="J154" i="5"/>
  <c r="K154" i="5"/>
  <c r="A155" i="5"/>
  <c r="C155" i="5"/>
  <c r="D155" i="5"/>
  <c r="E155" i="5"/>
  <c r="F155" i="5"/>
  <c r="G155" i="5"/>
  <c r="I155" i="5"/>
  <c r="J155" i="5"/>
  <c r="K155" i="5"/>
  <c r="A156" i="5"/>
  <c r="C156" i="5"/>
  <c r="D156" i="5"/>
  <c r="E156" i="5"/>
  <c r="F156" i="5"/>
  <c r="G156" i="5"/>
  <c r="I156" i="5"/>
  <c r="J156" i="5"/>
  <c r="K156" i="5"/>
  <c r="A157" i="5"/>
  <c r="C157" i="5"/>
  <c r="D157" i="5"/>
  <c r="E157" i="5"/>
  <c r="F157" i="5"/>
  <c r="G157" i="5"/>
  <c r="I157" i="5"/>
  <c r="J157" i="5"/>
  <c r="K157" i="5"/>
  <c r="A158" i="5"/>
  <c r="C158" i="5"/>
  <c r="D158" i="5"/>
  <c r="E158" i="5"/>
  <c r="F158" i="5"/>
  <c r="G158" i="5"/>
  <c r="I158" i="5"/>
  <c r="J158" i="5"/>
  <c r="K158" i="5"/>
  <c r="A159" i="5"/>
  <c r="C159" i="5"/>
  <c r="D159" i="5"/>
  <c r="E159" i="5"/>
  <c r="F159" i="5"/>
  <c r="G159" i="5"/>
  <c r="I159" i="5"/>
  <c r="J159" i="5"/>
  <c r="K159" i="5"/>
  <c r="A160" i="5"/>
  <c r="C160" i="5"/>
  <c r="D160" i="5"/>
  <c r="E160" i="5"/>
  <c r="F160" i="5"/>
  <c r="G160" i="5"/>
  <c r="I160" i="5"/>
  <c r="J160" i="5"/>
  <c r="K160" i="5"/>
  <c r="A161" i="5"/>
  <c r="C161" i="5"/>
  <c r="D161" i="5"/>
  <c r="E161" i="5"/>
  <c r="F161" i="5"/>
  <c r="G161" i="5"/>
  <c r="I161" i="5"/>
  <c r="J161" i="5"/>
  <c r="K161" i="5"/>
  <c r="A162" i="5"/>
  <c r="C162" i="5"/>
  <c r="D162" i="5"/>
  <c r="E162" i="5"/>
  <c r="F162" i="5"/>
  <c r="G162" i="5"/>
  <c r="I162" i="5"/>
  <c r="J162" i="5"/>
  <c r="K162" i="5"/>
  <c r="A163" i="5"/>
  <c r="C163" i="5"/>
  <c r="D163" i="5"/>
  <c r="E163" i="5"/>
  <c r="F163" i="5"/>
  <c r="G163" i="5"/>
  <c r="I163" i="5"/>
  <c r="J163" i="5"/>
  <c r="K163" i="5"/>
  <c r="A164" i="5"/>
  <c r="C164" i="5"/>
  <c r="D164" i="5"/>
  <c r="E164" i="5"/>
  <c r="F164" i="5"/>
  <c r="G164" i="5"/>
  <c r="I164" i="5"/>
  <c r="J164" i="5"/>
  <c r="K164" i="5"/>
  <c r="A165" i="5"/>
  <c r="C165" i="5"/>
  <c r="D165" i="5"/>
  <c r="E165" i="5"/>
  <c r="F165" i="5"/>
  <c r="G165" i="5"/>
  <c r="I165" i="5"/>
  <c r="J165" i="5"/>
  <c r="K165" i="5"/>
  <c r="A166" i="5"/>
  <c r="C166" i="5"/>
  <c r="D166" i="5"/>
  <c r="E166" i="5"/>
  <c r="F166" i="5"/>
  <c r="G166" i="5"/>
  <c r="I166" i="5"/>
  <c r="J166" i="5"/>
  <c r="K166" i="5"/>
  <c r="A167" i="5"/>
  <c r="C167" i="5"/>
  <c r="D167" i="5"/>
  <c r="E167" i="5"/>
  <c r="F167" i="5"/>
  <c r="G167" i="5"/>
  <c r="I167" i="5"/>
  <c r="J167" i="5"/>
  <c r="K167" i="5"/>
  <c r="A168" i="5"/>
  <c r="C168" i="5"/>
  <c r="D168" i="5"/>
  <c r="E168" i="5"/>
  <c r="F168" i="5"/>
  <c r="G168" i="5"/>
  <c r="I168" i="5"/>
  <c r="J168" i="5"/>
  <c r="K168" i="5"/>
  <c r="A169" i="5"/>
  <c r="C169" i="5"/>
  <c r="D169" i="5"/>
  <c r="E169" i="5"/>
  <c r="F169" i="5"/>
  <c r="G169" i="5"/>
  <c r="I169" i="5"/>
  <c r="J169" i="5"/>
  <c r="K169" i="5"/>
  <c r="A170" i="5"/>
  <c r="C170" i="5"/>
  <c r="D170" i="5"/>
  <c r="E170" i="5"/>
  <c r="F170" i="5"/>
  <c r="G170" i="5"/>
  <c r="I170" i="5"/>
  <c r="J170" i="5"/>
  <c r="K170" i="5"/>
  <c r="A171" i="5"/>
  <c r="C171" i="5"/>
  <c r="D171" i="5"/>
  <c r="E171" i="5"/>
  <c r="F171" i="5"/>
  <c r="G171" i="5"/>
  <c r="I171" i="5"/>
  <c r="J171" i="5"/>
  <c r="K171" i="5"/>
  <c r="A172" i="5"/>
  <c r="C172" i="5"/>
  <c r="D172" i="5"/>
  <c r="E172" i="5"/>
  <c r="F172" i="5"/>
  <c r="G172" i="5"/>
  <c r="I172" i="5"/>
  <c r="J172" i="5"/>
  <c r="K172" i="5"/>
  <c r="A173" i="5"/>
  <c r="C173" i="5"/>
  <c r="D173" i="5"/>
  <c r="E173" i="5"/>
  <c r="F173" i="5"/>
  <c r="G173" i="5"/>
  <c r="I173" i="5"/>
  <c r="J173" i="5"/>
  <c r="K173" i="5"/>
  <c r="A174" i="5"/>
  <c r="C174" i="5"/>
  <c r="D174" i="5"/>
  <c r="E174" i="5"/>
  <c r="F174" i="5"/>
  <c r="G174" i="5"/>
  <c r="I174" i="5"/>
  <c r="J174" i="5"/>
  <c r="K174" i="5"/>
  <c r="A175" i="5"/>
  <c r="C175" i="5"/>
  <c r="D175" i="5"/>
  <c r="E175" i="5"/>
  <c r="F175" i="5"/>
  <c r="G175" i="5"/>
  <c r="I175" i="5"/>
  <c r="J175" i="5"/>
  <c r="K175" i="5"/>
  <c r="A176" i="5"/>
  <c r="C176" i="5"/>
  <c r="D176" i="5"/>
  <c r="E176" i="5"/>
  <c r="F176" i="5"/>
  <c r="G176" i="5"/>
  <c r="I176" i="5"/>
  <c r="J176" i="5"/>
  <c r="K176" i="5"/>
  <c r="A177" i="5"/>
  <c r="C177" i="5"/>
  <c r="D177" i="5"/>
  <c r="E177" i="5"/>
  <c r="F177" i="5"/>
  <c r="G177" i="5"/>
  <c r="I177" i="5"/>
  <c r="J177" i="5"/>
  <c r="K177" i="5"/>
  <c r="A178" i="5"/>
  <c r="C178" i="5"/>
  <c r="D178" i="5"/>
  <c r="E178" i="5"/>
  <c r="F178" i="5"/>
  <c r="G178" i="5"/>
  <c r="I178" i="5"/>
  <c r="J178" i="5"/>
  <c r="K178" i="5"/>
  <c r="A179" i="5"/>
  <c r="C179" i="5"/>
  <c r="D179" i="5"/>
  <c r="E179" i="5"/>
  <c r="F179" i="5"/>
  <c r="G179" i="5"/>
  <c r="I179" i="5"/>
  <c r="J179" i="5"/>
  <c r="K179" i="5"/>
  <c r="A180" i="5"/>
  <c r="C180" i="5"/>
  <c r="D180" i="5"/>
  <c r="E180" i="5"/>
  <c r="F180" i="5"/>
  <c r="G180" i="5"/>
  <c r="I180" i="5"/>
  <c r="J180" i="5"/>
  <c r="K180" i="5"/>
  <c r="A181" i="5"/>
  <c r="C181" i="5"/>
  <c r="D181" i="5"/>
  <c r="E181" i="5"/>
  <c r="F181" i="5"/>
  <c r="G181" i="5"/>
  <c r="I181" i="5"/>
  <c r="J181" i="5"/>
  <c r="K181" i="5"/>
  <c r="A182" i="5"/>
  <c r="C182" i="5"/>
  <c r="D182" i="5"/>
  <c r="E182" i="5"/>
  <c r="F182" i="5"/>
  <c r="G182" i="5"/>
  <c r="I182" i="5"/>
  <c r="J182" i="5"/>
  <c r="K182" i="5"/>
  <c r="A183" i="5"/>
  <c r="C183" i="5"/>
  <c r="D183" i="5"/>
  <c r="E183" i="5"/>
  <c r="F183" i="5"/>
  <c r="G183" i="5"/>
  <c r="I183" i="5"/>
  <c r="J183" i="5"/>
  <c r="K183" i="5"/>
  <c r="A184" i="5"/>
  <c r="C184" i="5"/>
  <c r="D184" i="5"/>
  <c r="E184" i="5"/>
  <c r="F184" i="5"/>
  <c r="G184" i="5"/>
  <c r="I184" i="5"/>
  <c r="J184" i="5"/>
  <c r="K184" i="5"/>
  <c r="A185" i="5"/>
  <c r="C185" i="5"/>
  <c r="D185" i="5"/>
  <c r="E185" i="5"/>
  <c r="F185" i="5"/>
  <c r="G185" i="5"/>
  <c r="I185" i="5"/>
  <c r="J185" i="5"/>
  <c r="K185" i="5"/>
  <c r="A186" i="5"/>
  <c r="C186" i="5"/>
  <c r="D186" i="5"/>
  <c r="E186" i="5"/>
  <c r="F186" i="5"/>
  <c r="G186" i="5"/>
  <c r="I186" i="5"/>
  <c r="J186" i="5"/>
  <c r="K186" i="5"/>
  <c r="A187" i="5"/>
  <c r="C187" i="5"/>
  <c r="D187" i="5"/>
  <c r="E187" i="5"/>
  <c r="F187" i="5"/>
  <c r="G187" i="5"/>
  <c r="I187" i="5"/>
  <c r="J187" i="5"/>
  <c r="K187" i="5"/>
  <c r="A188" i="5"/>
  <c r="C188" i="5"/>
  <c r="D188" i="5"/>
  <c r="E188" i="5"/>
  <c r="F188" i="5"/>
  <c r="G188" i="5"/>
  <c r="I188" i="5"/>
  <c r="J188" i="5"/>
  <c r="K188" i="5"/>
  <c r="A189" i="5"/>
  <c r="C189" i="5"/>
  <c r="D189" i="5"/>
  <c r="E189" i="5"/>
  <c r="F189" i="5"/>
  <c r="G189" i="5"/>
  <c r="I189" i="5"/>
  <c r="J189" i="5"/>
  <c r="K189" i="5"/>
  <c r="A190" i="5"/>
  <c r="C190" i="5"/>
  <c r="D190" i="5"/>
  <c r="E190" i="5"/>
  <c r="F190" i="5"/>
  <c r="G190" i="5"/>
  <c r="I190" i="5"/>
  <c r="J190" i="5"/>
  <c r="K190" i="5"/>
  <c r="A191" i="5"/>
  <c r="C191" i="5"/>
  <c r="D191" i="5"/>
  <c r="E191" i="5"/>
  <c r="F191" i="5"/>
  <c r="G191" i="5"/>
  <c r="I191" i="5"/>
  <c r="J191" i="5"/>
  <c r="K191" i="5"/>
  <c r="A192" i="5"/>
  <c r="C192" i="5"/>
  <c r="D192" i="5"/>
  <c r="E192" i="5"/>
  <c r="F192" i="5"/>
  <c r="G192" i="5"/>
  <c r="I192" i="5"/>
  <c r="J192" i="5"/>
  <c r="K192" i="5"/>
  <c r="A193" i="5"/>
  <c r="C193" i="5"/>
  <c r="D193" i="5"/>
  <c r="E193" i="5"/>
  <c r="F193" i="5"/>
  <c r="G193" i="5"/>
  <c r="I193" i="5"/>
  <c r="J193" i="5"/>
  <c r="K193" i="5"/>
  <c r="A194" i="5"/>
  <c r="C194" i="5"/>
  <c r="D194" i="5"/>
  <c r="E194" i="5"/>
  <c r="F194" i="5"/>
  <c r="G194" i="5"/>
  <c r="I194" i="5"/>
  <c r="J194" i="5"/>
  <c r="K194" i="5"/>
  <c r="A195" i="5"/>
  <c r="C195" i="5"/>
  <c r="D195" i="5"/>
  <c r="E195" i="5"/>
  <c r="F195" i="5"/>
  <c r="G195" i="5"/>
  <c r="I195" i="5"/>
  <c r="J195" i="5"/>
  <c r="K195" i="5"/>
  <c r="A196" i="5"/>
  <c r="C196" i="5"/>
  <c r="D196" i="5"/>
  <c r="E196" i="5"/>
  <c r="F196" i="5"/>
  <c r="G196" i="5"/>
  <c r="I196" i="5"/>
  <c r="J196" i="5"/>
  <c r="K196" i="5"/>
  <c r="A197" i="5"/>
  <c r="C197" i="5"/>
  <c r="D197" i="5"/>
  <c r="E197" i="5"/>
  <c r="F197" i="5"/>
  <c r="G197" i="5"/>
  <c r="I197" i="5"/>
  <c r="J197" i="5"/>
  <c r="K197" i="5"/>
  <c r="A198" i="5"/>
  <c r="C198" i="5"/>
  <c r="D198" i="5"/>
  <c r="E198" i="5"/>
  <c r="F198" i="5"/>
  <c r="G198" i="5"/>
  <c r="I198" i="5"/>
  <c r="J198" i="5"/>
  <c r="K198" i="5"/>
  <c r="A199" i="5"/>
  <c r="C199" i="5"/>
  <c r="D199" i="5"/>
  <c r="E199" i="5"/>
  <c r="F199" i="5"/>
  <c r="G199" i="5"/>
  <c r="I199" i="5"/>
  <c r="J199" i="5"/>
  <c r="K199" i="5"/>
  <c r="A200" i="5"/>
  <c r="C200" i="5"/>
  <c r="D200" i="5"/>
  <c r="E200" i="5"/>
  <c r="F200" i="5"/>
  <c r="G200" i="5"/>
  <c r="I200" i="5"/>
  <c r="J200" i="5"/>
  <c r="K200" i="5"/>
  <c r="A201" i="5"/>
  <c r="C201" i="5"/>
  <c r="D201" i="5"/>
  <c r="E201" i="5"/>
  <c r="F201" i="5"/>
  <c r="G201" i="5"/>
  <c r="I201" i="5"/>
  <c r="J201" i="5"/>
  <c r="K201" i="5"/>
  <c r="A202" i="5"/>
  <c r="C202" i="5"/>
  <c r="D202" i="5"/>
  <c r="E202" i="5"/>
  <c r="F202" i="5"/>
  <c r="G202" i="5"/>
  <c r="I202" i="5"/>
  <c r="J202" i="5"/>
  <c r="K202" i="5"/>
  <c r="A203" i="5"/>
  <c r="C203" i="5"/>
  <c r="D203" i="5"/>
  <c r="E203" i="5"/>
  <c r="F203" i="5"/>
  <c r="G203" i="5"/>
  <c r="I203" i="5"/>
  <c r="J203" i="5"/>
  <c r="K203" i="5"/>
  <c r="A204" i="5"/>
  <c r="C204" i="5"/>
  <c r="D204" i="5"/>
  <c r="E204" i="5"/>
  <c r="F204" i="5"/>
  <c r="G204" i="5"/>
  <c r="I204" i="5"/>
  <c r="J204" i="5"/>
  <c r="K204" i="5"/>
  <c r="A205" i="5"/>
  <c r="C205" i="5"/>
  <c r="D205" i="5"/>
  <c r="E205" i="5"/>
  <c r="F205" i="5"/>
  <c r="G205" i="5"/>
  <c r="I205" i="5"/>
  <c r="J205" i="5"/>
  <c r="K205" i="5"/>
  <c r="A206" i="5"/>
  <c r="C206" i="5"/>
  <c r="D206" i="5"/>
  <c r="E206" i="5"/>
  <c r="F206" i="5"/>
  <c r="G206" i="5"/>
  <c r="I206" i="5"/>
  <c r="J206" i="5"/>
  <c r="K206" i="5"/>
  <c r="A207" i="5"/>
  <c r="C207" i="5"/>
  <c r="D207" i="5"/>
  <c r="E207" i="5"/>
  <c r="F207" i="5"/>
  <c r="G207" i="5"/>
  <c r="I207" i="5"/>
  <c r="J207" i="5"/>
  <c r="K207" i="5"/>
  <c r="A208" i="5"/>
  <c r="C208" i="5"/>
  <c r="D208" i="5"/>
  <c r="E208" i="5"/>
  <c r="F208" i="5"/>
  <c r="G208" i="5"/>
  <c r="I208" i="5"/>
  <c r="J208" i="5"/>
  <c r="K208" i="5"/>
  <c r="A209" i="5"/>
  <c r="C209" i="5"/>
  <c r="D209" i="5"/>
  <c r="E209" i="5"/>
  <c r="F209" i="5"/>
  <c r="G209" i="5"/>
  <c r="I209" i="5"/>
  <c r="J209" i="5"/>
  <c r="K209" i="5"/>
  <c r="A210" i="5"/>
  <c r="C210" i="5"/>
  <c r="D210" i="5"/>
  <c r="E210" i="5"/>
  <c r="F210" i="5"/>
  <c r="G210" i="5"/>
  <c r="I210" i="5"/>
  <c r="J210" i="5"/>
  <c r="K210" i="5"/>
  <c r="A211" i="5"/>
  <c r="C211" i="5"/>
  <c r="D211" i="5"/>
  <c r="E211" i="5"/>
  <c r="F211" i="5"/>
  <c r="G211" i="5"/>
  <c r="I211" i="5"/>
  <c r="J211" i="5"/>
  <c r="K211" i="5"/>
  <c r="A212" i="5"/>
  <c r="C212" i="5"/>
  <c r="D212" i="5"/>
  <c r="E212" i="5"/>
  <c r="F212" i="5"/>
  <c r="G212" i="5"/>
  <c r="I212" i="5"/>
  <c r="J212" i="5"/>
  <c r="K212" i="5"/>
  <c r="A213" i="5"/>
  <c r="C213" i="5"/>
  <c r="D213" i="5"/>
  <c r="E213" i="5"/>
  <c r="F213" i="5"/>
  <c r="G213" i="5"/>
  <c r="I213" i="5"/>
  <c r="J213" i="5"/>
  <c r="K213" i="5"/>
  <c r="A214" i="5"/>
  <c r="C214" i="5"/>
  <c r="D214" i="5"/>
  <c r="E214" i="5"/>
  <c r="F214" i="5"/>
  <c r="G214" i="5"/>
  <c r="I214" i="5"/>
  <c r="J214" i="5"/>
  <c r="K214" i="5"/>
  <c r="A215" i="5"/>
  <c r="C215" i="5"/>
  <c r="D215" i="5"/>
  <c r="E215" i="5"/>
  <c r="F215" i="5"/>
  <c r="G215" i="5"/>
  <c r="I215" i="5"/>
  <c r="J215" i="5"/>
  <c r="K215" i="5"/>
  <c r="A216" i="5"/>
  <c r="C216" i="5"/>
  <c r="D216" i="5"/>
  <c r="E216" i="5"/>
  <c r="F216" i="5"/>
  <c r="G216" i="5"/>
  <c r="I216" i="5"/>
  <c r="J216" i="5"/>
  <c r="K216" i="5"/>
  <c r="A217" i="5"/>
  <c r="C217" i="5"/>
  <c r="D217" i="5"/>
  <c r="E217" i="5"/>
  <c r="F217" i="5"/>
  <c r="G217" i="5"/>
  <c r="I217" i="5"/>
  <c r="J217" i="5"/>
  <c r="K217" i="5"/>
  <c r="A218" i="5"/>
  <c r="C218" i="5"/>
  <c r="D218" i="5"/>
  <c r="E218" i="5"/>
  <c r="F218" i="5"/>
  <c r="G218" i="5"/>
  <c r="I218" i="5"/>
  <c r="J218" i="5"/>
  <c r="K218" i="5"/>
  <c r="A219" i="5"/>
  <c r="C219" i="5"/>
  <c r="D219" i="5"/>
  <c r="E219" i="5"/>
  <c r="F219" i="5"/>
  <c r="G219" i="5"/>
  <c r="I219" i="5"/>
  <c r="J219" i="5"/>
  <c r="K219" i="5"/>
  <c r="A220" i="5"/>
  <c r="C220" i="5"/>
  <c r="D220" i="5"/>
  <c r="E220" i="5"/>
  <c r="F220" i="5"/>
  <c r="G220" i="5"/>
  <c r="I220" i="5"/>
  <c r="J220" i="5"/>
  <c r="K220" i="5"/>
  <c r="A221" i="5"/>
  <c r="C221" i="5"/>
  <c r="D221" i="5"/>
  <c r="E221" i="5"/>
  <c r="F221" i="5"/>
  <c r="G221" i="5"/>
  <c r="I221" i="5"/>
  <c r="J221" i="5"/>
  <c r="K221" i="5"/>
  <c r="A222" i="5"/>
  <c r="C222" i="5"/>
  <c r="D222" i="5"/>
  <c r="E222" i="5"/>
  <c r="F222" i="5"/>
  <c r="G222" i="5"/>
  <c r="I222" i="5"/>
  <c r="J222" i="5"/>
  <c r="K222" i="5"/>
  <c r="A223" i="5"/>
  <c r="C223" i="5"/>
  <c r="D223" i="5"/>
  <c r="E223" i="5"/>
  <c r="F223" i="5"/>
  <c r="G223" i="5"/>
  <c r="I223" i="5"/>
  <c r="J223" i="5"/>
  <c r="K223" i="5"/>
  <c r="A224" i="5"/>
  <c r="C224" i="5"/>
  <c r="D224" i="5"/>
  <c r="E224" i="5"/>
  <c r="F224" i="5"/>
  <c r="G224" i="5"/>
  <c r="I224" i="5"/>
  <c r="J224" i="5"/>
  <c r="K224" i="5"/>
  <c r="A225" i="5"/>
  <c r="C225" i="5"/>
  <c r="D225" i="5"/>
  <c r="E225" i="5"/>
  <c r="F225" i="5"/>
  <c r="G225" i="5"/>
  <c r="I225" i="5"/>
  <c r="J225" i="5"/>
  <c r="K225" i="5"/>
  <c r="A226" i="5"/>
  <c r="C226" i="5"/>
  <c r="D226" i="5"/>
  <c r="E226" i="5"/>
  <c r="F226" i="5"/>
  <c r="G226" i="5"/>
  <c r="I226" i="5"/>
  <c r="J226" i="5"/>
  <c r="K226" i="5"/>
  <c r="A227" i="5"/>
  <c r="C227" i="5"/>
  <c r="D227" i="5"/>
  <c r="E227" i="5"/>
  <c r="F227" i="5"/>
  <c r="G227" i="5"/>
  <c r="I227" i="5"/>
  <c r="J227" i="5"/>
  <c r="K227" i="5"/>
  <c r="A228" i="5"/>
  <c r="C228" i="5"/>
  <c r="D228" i="5"/>
  <c r="E228" i="5"/>
  <c r="F228" i="5"/>
  <c r="G228" i="5"/>
  <c r="I228" i="5"/>
  <c r="J228" i="5"/>
  <c r="K228" i="5"/>
  <c r="A229" i="5"/>
  <c r="C229" i="5"/>
  <c r="D229" i="5"/>
  <c r="E229" i="5"/>
  <c r="F229" i="5"/>
  <c r="G229" i="5"/>
  <c r="I229" i="5"/>
  <c r="J229" i="5"/>
  <c r="K229" i="5"/>
  <c r="A230" i="5"/>
  <c r="C230" i="5"/>
  <c r="D230" i="5"/>
  <c r="E230" i="5"/>
  <c r="F230" i="5"/>
  <c r="G230" i="5"/>
  <c r="I230" i="5"/>
  <c r="J230" i="5"/>
  <c r="K230" i="5"/>
  <c r="A231" i="5"/>
  <c r="C231" i="5"/>
  <c r="D231" i="5"/>
  <c r="E231" i="5"/>
  <c r="F231" i="5"/>
  <c r="G231" i="5"/>
  <c r="I231" i="5"/>
  <c r="J231" i="5"/>
  <c r="K231" i="5"/>
  <c r="A232" i="5"/>
  <c r="C232" i="5"/>
  <c r="D232" i="5"/>
  <c r="E232" i="5"/>
  <c r="F232" i="5"/>
  <c r="G232" i="5"/>
  <c r="I232" i="5"/>
  <c r="J232" i="5"/>
  <c r="K232" i="5"/>
  <c r="A233" i="5"/>
  <c r="C233" i="5"/>
  <c r="D233" i="5"/>
  <c r="E233" i="5"/>
  <c r="F233" i="5"/>
  <c r="G233" i="5"/>
  <c r="I233" i="5"/>
  <c r="J233" i="5"/>
  <c r="K233" i="5"/>
  <c r="A234" i="5"/>
  <c r="C234" i="5"/>
  <c r="D234" i="5"/>
  <c r="E234" i="5"/>
  <c r="F234" i="5"/>
  <c r="G234" i="5"/>
  <c r="I234" i="5"/>
  <c r="J234" i="5"/>
  <c r="K234" i="5"/>
  <c r="A235" i="5"/>
  <c r="C235" i="5"/>
  <c r="D235" i="5"/>
  <c r="E235" i="5"/>
  <c r="F235" i="5"/>
  <c r="G235" i="5"/>
  <c r="I235" i="5"/>
  <c r="J235" i="5"/>
  <c r="K235" i="5"/>
  <c r="A236" i="5"/>
  <c r="C236" i="5"/>
  <c r="D236" i="5"/>
  <c r="E236" i="5"/>
  <c r="F236" i="5"/>
  <c r="G236" i="5"/>
  <c r="I236" i="5"/>
  <c r="J236" i="5"/>
  <c r="K236" i="5"/>
  <c r="A237" i="5"/>
  <c r="C237" i="5"/>
  <c r="D237" i="5"/>
  <c r="E237" i="5"/>
  <c r="F237" i="5"/>
  <c r="G237" i="5"/>
  <c r="I237" i="5"/>
  <c r="J237" i="5"/>
  <c r="K237" i="5"/>
  <c r="A238" i="5"/>
  <c r="C238" i="5"/>
  <c r="D238" i="5"/>
  <c r="E238" i="5"/>
  <c r="F238" i="5"/>
  <c r="G238" i="5"/>
  <c r="I238" i="5"/>
  <c r="J238" i="5"/>
  <c r="K238" i="5"/>
  <c r="A239" i="5"/>
  <c r="C239" i="5"/>
  <c r="D239" i="5"/>
  <c r="E239" i="5"/>
  <c r="F239" i="5"/>
  <c r="G239" i="5"/>
  <c r="I239" i="5"/>
  <c r="J239" i="5"/>
  <c r="K239" i="5"/>
  <c r="A240" i="5"/>
  <c r="C240" i="5"/>
  <c r="D240" i="5"/>
  <c r="E240" i="5"/>
  <c r="F240" i="5"/>
  <c r="G240" i="5"/>
  <c r="I240" i="5"/>
  <c r="J240" i="5"/>
  <c r="K240" i="5"/>
  <c r="A241" i="5"/>
  <c r="C241" i="5"/>
  <c r="D241" i="5"/>
  <c r="E241" i="5"/>
  <c r="F241" i="5"/>
  <c r="G241" i="5"/>
  <c r="I241" i="5"/>
  <c r="J241" i="5"/>
  <c r="K241" i="5"/>
  <c r="A242" i="5"/>
  <c r="C242" i="5"/>
  <c r="D242" i="5"/>
  <c r="E242" i="5"/>
  <c r="F242" i="5"/>
  <c r="G242" i="5"/>
  <c r="I242" i="5"/>
  <c r="J242" i="5"/>
  <c r="K242" i="5"/>
  <c r="A243" i="5"/>
  <c r="C243" i="5"/>
  <c r="D243" i="5"/>
  <c r="E243" i="5"/>
  <c r="F243" i="5"/>
  <c r="G243" i="5"/>
  <c r="I243" i="5"/>
  <c r="J243" i="5"/>
  <c r="K243" i="5"/>
  <c r="A244" i="5"/>
  <c r="C244" i="5"/>
  <c r="D244" i="5"/>
  <c r="E244" i="5"/>
  <c r="F244" i="5"/>
  <c r="G244" i="5"/>
  <c r="I244" i="5"/>
  <c r="J244" i="5"/>
  <c r="K244" i="5"/>
  <c r="A245" i="5"/>
  <c r="C245" i="5"/>
  <c r="D245" i="5"/>
  <c r="E245" i="5"/>
  <c r="F245" i="5"/>
  <c r="G245" i="5"/>
  <c r="I245" i="5"/>
  <c r="J245" i="5"/>
  <c r="K245" i="5"/>
  <c r="A246" i="5"/>
  <c r="C246" i="5"/>
  <c r="D246" i="5"/>
  <c r="E246" i="5"/>
  <c r="F246" i="5"/>
  <c r="G246" i="5"/>
  <c r="I246" i="5"/>
  <c r="J246" i="5"/>
  <c r="K246" i="5"/>
  <c r="A247" i="5"/>
  <c r="C247" i="5"/>
  <c r="D247" i="5"/>
  <c r="E247" i="5"/>
  <c r="F247" i="5"/>
  <c r="G247" i="5"/>
  <c r="I247" i="5"/>
  <c r="J247" i="5"/>
  <c r="K247" i="5"/>
  <c r="A248" i="5"/>
  <c r="C248" i="5"/>
  <c r="D248" i="5"/>
  <c r="E248" i="5"/>
  <c r="F248" i="5"/>
  <c r="G248" i="5"/>
  <c r="I248" i="5"/>
  <c r="J248" i="5"/>
  <c r="K248" i="5"/>
  <c r="A249" i="5"/>
  <c r="C249" i="5"/>
  <c r="D249" i="5"/>
  <c r="E249" i="5"/>
  <c r="F249" i="5"/>
  <c r="G249" i="5"/>
  <c r="I249" i="5"/>
  <c r="J249" i="5"/>
  <c r="K249" i="5"/>
  <c r="A250" i="5"/>
  <c r="C250" i="5"/>
  <c r="D250" i="5"/>
  <c r="E250" i="5"/>
  <c r="F250" i="5"/>
  <c r="G250" i="5"/>
  <c r="I250" i="5"/>
  <c r="J250" i="5"/>
  <c r="K250" i="5"/>
  <c r="A251" i="5"/>
  <c r="C251" i="5"/>
  <c r="D251" i="5"/>
  <c r="E251" i="5"/>
  <c r="F251" i="5"/>
  <c r="G251" i="5"/>
  <c r="I251" i="5"/>
  <c r="J251" i="5"/>
  <c r="K251" i="5"/>
  <c r="A252" i="5"/>
  <c r="C252" i="5"/>
  <c r="D252" i="5"/>
  <c r="E252" i="5"/>
  <c r="F252" i="5"/>
  <c r="G252" i="5"/>
  <c r="I252" i="5"/>
  <c r="J252" i="5"/>
  <c r="K252" i="5"/>
  <c r="A253" i="5"/>
  <c r="C253" i="5"/>
  <c r="D253" i="5"/>
  <c r="E253" i="5"/>
  <c r="F253" i="5"/>
  <c r="G253" i="5"/>
  <c r="I253" i="5"/>
  <c r="J253" i="5"/>
  <c r="K253" i="5"/>
  <c r="A254" i="5"/>
  <c r="C254" i="5"/>
  <c r="D254" i="5"/>
  <c r="E254" i="5"/>
  <c r="F254" i="5"/>
  <c r="G254" i="5"/>
  <c r="I254" i="5"/>
  <c r="J254" i="5"/>
  <c r="K254" i="5"/>
  <c r="A255" i="5"/>
  <c r="C255" i="5"/>
  <c r="D255" i="5"/>
  <c r="E255" i="5"/>
  <c r="F255" i="5"/>
  <c r="G255" i="5"/>
  <c r="I255" i="5"/>
  <c r="J255" i="5"/>
  <c r="K255" i="5"/>
  <c r="A256" i="5"/>
  <c r="C256" i="5"/>
  <c r="D256" i="5"/>
  <c r="E256" i="5"/>
  <c r="F256" i="5"/>
  <c r="G256" i="5"/>
  <c r="I256" i="5"/>
  <c r="J256" i="5"/>
  <c r="K256" i="5"/>
  <c r="A257" i="5"/>
  <c r="C257" i="5"/>
  <c r="D257" i="5"/>
  <c r="E257" i="5"/>
  <c r="F257" i="5"/>
  <c r="G257" i="5"/>
  <c r="I257" i="5"/>
  <c r="J257" i="5"/>
  <c r="K257" i="5"/>
  <c r="A258" i="5"/>
  <c r="C258" i="5"/>
  <c r="D258" i="5"/>
  <c r="E258" i="5"/>
  <c r="F258" i="5"/>
  <c r="G258" i="5"/>
  <c r="I258" i="5"/>
  <c r="J258" i="5"/>
  <c r="K258" i="5"/>
  <c r="A259" i="5"/>
  <c r="C259" i="5"/>
  <c r="D259" i="5"/>
  <c r="E259" i="5"/>
  <c r="F259" i="5"/>
  <c r="G259" i="5"/>
  <c r="I259" i="5"/>
  <c r="J259" i="5"/>
  <c r="K259" i="5"/>
  <c r="A260" i="5"/>
  <c r="C260" i="5"/>
  <c r="D260" i="5"/>
  <c r="E260" i="5"/>
  <c r="F260" i="5"/>
  <c r="G260" i="5"/>
  <c r="I260" i="5"/>
  <c r="J260" i="5"/>
  <c r="K260" i="5"/>
  <c r="A261" i="5"/>
  <c r="C261" i="5"/>
  <c r="D261" i="5"/>
  <c r="E261" i="5"/>
  <c r="F261" i="5"/>
  <c r="G261" i="5"/>
  <c r="I261" i="5"/>
  <c r="J261" i="5"/>
  <c r="K261" i="5"/>
  <c r="A262" i="5"/>
  <c r="C262" i="5"/>
  <c r="D262" i="5"/>
  <c r="E262" i="5"/>
  <c r="F262" i="5"/>
  <c r="G262" i="5"/>
  <c r="I262" i="5"/>
  <c r="J262" i="5"/>
  <c r="K262" i="5"/>
  <c r="A263" i="5"/>
  <c r="C263" i="5"/>
  <c r="D263" i="5"/>
  <c r="E263" i="5"/>
  <c r="F263" i="5"/>
  <c r="G263" i="5"/>
  <c r="I263" i="5"/>
  <c r="J263" i="5"/>
  <c r="K263" i="5"/>
  <c r="A264" i="5"/>
  <c r="C264" i="5"/>
  <c r="D264" i="5"/>
  <c r="E264" i="5"/>
  <c r="F264" i="5"/>
  <c r="G264" i="5"/>
  <c r="I264" i="5"/>
  <c r="J264" i="5"/>
  <c r="K264" i="5"/>
  <c r="A265" i="5"/>
  <c r="C265" i="5"/>
  <c r="D265" i="5"/>
  <c r="E265" i="5"/>
  <c r="F265" i="5"/>
  <c r="G265" i="5"/>
  <c r="I265" i="5"/>
  <c r="J265" i="5"/>
  <c r="K265" i="5"/>
  <c r="A266" i="5"/>
  <c r="C266" i="5"/>
  <c r="D266" i="5"/>
  <c r="E266" i="5"/>
  <c r="F266" i="5"/>
  <c r="G266" i="5"/>
  <c r="I266" i="5"/>
  <c r="J266" i="5"/>
  <c r="K266" i="5"/>
  <c r="A267" i="5"/>
  <c r="C267" i="5"/>
  <c r="D267" i="5"/>
  <c r="E267" i="5"/>
  <c r="F267" i="5"/>
  <c r="G267" i="5"/>
  <c r="I267" i="5"/>
  <c r="J267" i="5"/>
  <c r="K267" i="5"/>
  <c r="A268" i="5"/>
  <c r="C268" i="5"/>
  <c r="D268" i="5"/>
  <c r="E268" i="5"/>
  <c r="F268" i="5"/>
  <c r="G268" i="5"/>
  <c r="I268" i="5"/>
  <c r="J268" i="5"/>
  <c r="K268" i="5"/>
  <c r="A269" i="5"/>
  <c r="C269" i="5"/>
  <c r="D269" i="5"/>
  <c r="E269" i="5"/>
  <c r="F269" i="5"/>
  <c r="G269" i="5"/>
  <c r="I269" i="5"/>
  <c r="J269" i="5"/>
  <c r="K269" i="5"/>
  <c r="A270" i="5"/>
  <c r="C270" i="5"/>
  <c r="D270" i="5"/>
  <c r="E270" i="5"/>
  <c r="F270" i="5"/>
  <c r="G270" i="5"/>
  <c r="I270" i="5"/>
  <c r="J270" i="5"/>
  <c r="K270" i="5"/>
  <c r="A271" i="5"/>
  <c r="C271" i="5"/>
  <c r="D271" i="5"/>
  <c r="E271" i="5"/>
  <c r="F271" i="5"/>
  <c r="G271" i="5"/>
  <c r="I271" i="5"/>
  <c r="J271" i="5"/>
  <c r="K271" i="5"/>
  <c r="A272" i="5"/>
  <c r="C272" i="5"/>
  <c r="D272" i="5"/>
  <c r="E272" i="5"/>
  <c r="F272" i="5"/>
  <c r="G272" i="5"/>
  <c r="I272" i="5"/>
  <c r="J272" i="5"/>
  <c r="K272" i="5"/>
  <c r="A273" i="5"/>
  <c r="C273" i="5"/>
  <c r="D273" i="5"/>
  <c r="E273" i="5"/>
  <c r="F273" i="5"/>
  <c r="G273" i="5"/>
  <c r="I273" i="5"/>
  <c r="J273" i="5"/>
  <c r="K273" i="5"/>
  <c r="A274" i="5"/>
  <c r="C274" i="5"/>
  <c r="D274" i="5"/>
  <c r="E274" i="5"/>
  <c r="F274" i="5"/>
  <c r="G274" i="5"/>
  <c r="I274" i="5"/>
  <c r="J274" i="5"/>
  <c r="K274" i="5"/>
  <c r="A275" i="5"/>
  <c r="C275" i="5"/>
  <c r="D275" i="5"/>
  <c r="E275" i="5"/>
  <c r="F275" i="5"/>
  <c r="G275" i="5"/>
  <c r="I275" i="5"/>
  <c r="J275" i="5"/>
  <c r="K275" i="5"/>
  <c r="A276" i="5"/>
  <c r="C276" i="5"/>
  <c r="D276" i="5"/>
  <c r="E276" i="5"/>
  <c r="F276" i="5"/>
  <c r="G276" i="5"/>
  <c r="I276" i="5"/>
  <c r="J276" i="5"/>
  <c r="K276" i="5"/>
  <c r="A277" i="5"/>
  <c r="C277" i="5"/>
  <c r="D277" i="5"/>
  <c r="E277" i="5"/>
  <c r="F277" i="5"/>
  <c r="G277" i="5"/>
  <c r="I277" i="5"/>
  <c r="J277" i="5"/>
  <c r="K277" i="5"/>
  <c r="A278" i="5"/>
  <c r="C278" i="5"/>
  <c r="D278" i="5"/>
  <c r="E278" i="5"/>
  <c r="F278" i="5"/>
  <c r="G278" i="5"/>
  <c r="I278" i="5"/>
  <c r="J278" i="5"/>
  <c r="K278" i="5"/>
  <c r="A279" i="5"/>
  <c r="C279" i="5"/>
  <c r="D279" i="5"/>
  <c r="E279" i="5"/>
  <c r="F279" i="5"/>
  <c r="G279" i="5"/>
  <c r="I279" i="5"/>
  <c r="J279" i="5"/>
  <c r="K279" i="5"/>
  <c r="A280" i="5"/>
  <c r="C280" i="5"/>
  <c r="D280" i="5"/>
  <c r="E280" i="5"/>
  <c r="F280" i="5"/>
  <c r="G280" i="5"/>
  <c r="I280" i="5"/>
  <c r="J280" i="5"/>
  <c r="K280" i="5"/>
  <c r="A281" i="5"/>
  <c r="C281" i="5"/>
  <c r="D281" i="5"/>
  <c r="E281" i="5"/>
  <c r="F281" i="5"/>
  <c r="G281" i="5"/>
  <c r="I281" i="5"/>
  <c r="J281" i="5"/>
  <c r="K281" i="5"/>
  <c r="A282" i="5"/>
  <c r="C282" i="5"/>
  <c r="D282" i="5"/>
  <c r="E282" i="5"/>
  <c r="F282" i="5"/>
  <c r="G282" i="5"/>
  <c r="I282" i="5"/>
  <c r="J282" i="5"/>
  <c r="K282" i="5"/>
  <c r="A283" i="5"/>
  <c r="C283" i="5"/>
  <c r="D283" i="5"/>
  <c r="E283" i="5"/>
  <c r="F283" i="5"/>
  <c r="G283" i="5"/>
  <c r="I283" i="5"/>
  <c r="J283" i="5"/>
  <c r="K283" i="5"/>
  <c r="A284" i="5"/>
  <c r="C284" i="5"/>
  <c r="D284" i="5"/>
  <c r="E284" i="5"/>
  <c r="F284" i="5"/>
  <c r="G284" i="5"/>
  <c r="I284" i="5"/>
  <c r="J284" i="5"/>
  <c r="K284" i="5"/>
  <c r="A285" i="5"/>
  <c r="C285" i="5"/>
  <c r="D285" i="5"/>
  <c r="E285" i="5"/>
  <c r="F285" i="5"/>
  <c r="G285" i="5"/>
  <c r="I285" i="5"/>
  <c r="J285" i="5"/>
  <c r="K285" i="5"/>
  <c r="A286" i="5"/>
  <c r="C286" i="5"/>
  <c r="D286" i="5"/>
  <c r="E286" i="5"/>
  <c r="F286" i="5"/>
  <c r="G286" i="5"/>
  <c r="I286" i="5"/>
  <c r="J286" i="5"/>
  <c r="K286" i="5"/>
  <c r="A287" i="5"/>
  <c r="C287" i="5"/>
  <c r="D287" i="5"/>
  <c r="E287" i="5"/>
  <c r="F287" i="5"/>
  <c r="G287" i="5"/>
  <c r="I287" i="5"/>
  <c r="J287" i="5"/>
  <c r="K287" i="5"/>
  <c r="A288" i="5"/>
  <c r="C288" i="5"/>
  <c r="D288" i="5"/>
  <c r="E288" i="5"/>
  <c r="F288" i="5"/>
  <c r="G288" i="5"/>
  <c r="I288" i="5"/>
  <c r="J288" i="5"/>
  <c r="K288" i="5"/>
  <c r="A289" i="5"/>
  <c r="C289" i="5"/>
  <c r="D289" i="5"/>
  <c r="E289" i="5"/>
  <c r="F289" i="5"/>
  <c r="G289" i="5"/>
  <c r="I289" i="5"/>
  <c r="J289" i="5"/>
  <c r="K289" i="5"/>
  <c r="A290" i="5"/>
  <c r="C290" i="5"/>
  <c r="D290" i="5"/>
  <c r="E290" i="5"/>
  <c r="F290" i="5"/>
  <c r="G290" i="5"/>
  <c r="I290" i="5"/>
  <c r="J290" i="5"/>
  <c r="K290" i="5"/>
  <c r="A291" i="5"/>
  <c r="C291" i="5"/>
  <c r="D291" i="5"/>
  <c r="E291" i="5"/>
  <c r="F291" i="5"/>
  <c r="G291" i="5"/>
  <c r="I291" i="5"/>
  <c r="J291" i="5"/>
  <c r="K291" i="5"/>
  <c r="A292" i="5"/>
  <c r="C292" i="5"/>
  <c r="D292" i="5"/>
  <c r="E292" i="5"/>
  <c r="F292" i="5"/>
  <c r="G292" i="5"/>
  <c r="I292" i="5"/>
  <c r="J292" i="5"/>
  <c r="K292" i="5"/>
  <c r="A293" i="5"/>
  <c r="C293" i="5"/>
  <c r="D293" i="5"/>
  <c r="E293" i="5"/>
  <c r="F293" i="5"/>
  <c r="G293" i="5"/>
  <c r="I293" i="5"/>
  <c r="J293" i="5"/>
  <c r="K293" i="5"/>
  <c r="A294" i="5"/>
  <c r="C294" i="5"/>
  <c r="D294" i="5"/>
  <c r="E294" i="5"/>
  <c r="F294" i="5"/>
  <c r="G294" i="5"/>
  <c r="I294" i="5"/>
  <c r="J294" i="5"/>
  <c r="K294" i="5"/>
  <c r="A295" i="5"/>
  <c r="C295" i="5"/>
  <c r="D295" i="5"/>
  <c r="E295" i="5"/>
  <c r="F295" i="5"/>
  <c r="G295" i="5"/>
  <c r="I295" i="5"/>
  <c r="J295" i="5"/>
  <c r="K295" i="5"/>
  <c r="A296" i="5"/>
  <c r="C296" i="5"/>
  <c r="D296" i="5"/>
  <c r="E296" i="5"/>
  <c r="F296" i="5"/>
  <c r="G296" i="5"/>
  <c r="I296" i="5"/>
  <c r="J296" i="5"/>
  <c r="K296" i="5"/>
  <c r="A297" i="5"/>
  <c r="C297" i="5"/>
  <c r="D297" i="5"/>
  <c r="E297" i="5"/>
  <c r="F297" i="5"/>
  <c r="G297" i="5"/>
  <c r="I297" i="5"/>
  <c r="J297" i="5"/>
  <c r="K297" i="5"/>
  <c r="A298" i="5"/>
  <c r="C298" i="5"/>
  <c r="D298" i="5"/>
  <c r="E298" i="5"/>
  <c r="F298" i="5"/>
  <c r="G298" i="5"/>
  <c r="I298" i="5"/>
  <c r="J298" i="5"/>
  <c r="K298" i="5"/>
  <c r="A299" i="5"/>
  <c r="C299" i="5"/>
  <c r="D299" i="5"/>
  <c r="E299" i="5"/>
  <c r="F299" i="5"/>
  <c r="G299" i="5"/>
  <c r="I299" i="5"/>
  <c r="J299" i="5"/>
  <c r="K299" i="5"/>
  <c r="A300" i="5"/>
  <c r="C300" i="5"/>
  <c r="D300" i="5"/>
  <c r="E300" i="5"/>
  <c r="F300" i="5"/>
  <c r="G300" i="5"/>
  <c r="I300" i="5"/>
  <c r="J300" i="5"/>
  <c r="K300" i="5"/>
  <c r="A301" i="5"/>
  <c r="C301" i="5"/>
  <c r="D301" i="5"/>
  <c r="E301" i="5"/>
  <c r="F301" i="5"/>
  <c r="G301" i="5"/>
  <c r="I301" i="5"/>
  <c r="J301" i="5"/>
  <c r="K301" i="5"/>
  <c r="A302" i="5"/>
  <c r="C302" i="5"/>
  <c r="D302" i="5"/>
  <c r="E302" i="5"/>
  <c r="F302" i="5"/>
  <c r="G302" i="5"/>
  <c r="I302" i="5"/>
  <c r="J302" i="5"/>
  <c r="K302" i="5"/>
  <c r="A303" i="5"/>
  <c r="C303" i="5"/>
  <c r="D303" i="5"/>
  <c r="E303" i="5"/>
  <c r="F303" i="5"/>
  <c r="G303" i="5"/>
  <c r="I303" i="5"/>
  <c r="J303" i="5"/>
  <c r="K303" i="5"/>
  <c r="A304" i="5"/>
  <c r="C304" i="5"/>
  <c r="D304" i="5"/>
  <c r="E304" i="5"/>
  <c r="F304" i="5"/>
  <c r="G304" i="5"/>
  <c r="I304" i="5"/>
  <c r="J304" i="5"/>
  <c r="K304" i="5"/>
  <c r="A305" i="5"/>
  <c r="C305" i="5"/>
  <c r="D305" i="5"/>
  <c r="E305" i="5"/>
  <c r="F305" i="5"/>
  <c r="G305" i="5"/>
  <c r="I305" i="5"/>
  <c r="J305" i="5"/>
  <c r="K305" i="5"/>
  <c r="A306" i="5"/>
  <c r="C306" i="5"/>
  <c r="D306" i="5"/>
  <c r="E306" i="5"/>
  <c r="F306" i="5"/>
  <c r="G306" i="5"/>
  <c r="I306" i="5"/>
  <c r="J306" i="5"/>
  <c r="K306" i="5"/>
  <c r="A307" i="5"/>
  <c r="C307" i="5"/>
  <c r="D307" i="5"/>
  <c r="E307" i="5"/>
  <c r="F307" i="5"/>
  <c r="G307" i="5"/>
  <c r="I307" i="5"/>
  <c r="J307" i="5"/>
  <c r="K307" i="5"/>
  <c r="A308" i="5"/>
  <c r="C308" i="5"/>
  <c r="D308" i="5"/>
  <c r="E308" i="5"/>
  <c r="F308" i="5"/>
  <c r="G308" i="5"/>
  <c r="I308" i="5"/>
  <c r="J308" i="5"/>
  <c r="K308" i="5"/>
  <c r="A309" i="5"/>
  <c r="C309" i="5"/>
  <c r="D309" i="5"/>
  <c r="E309" i="5"/>
  <c r="F309" i="5"/>
  <c r="G309" i="5"/>
  <c r="I309" i="5"/>
  <c r="J309" i="5"/>
  <c r="K309" i="5"/>
  <c r="A310" i="5"/>
  <c r="C310" i="5"/>
  <c r="D310" i="5"/>
  <c r="E310" i="5"/>
  <c r="F310" i="5"/>
  <c r="G310" i="5"/>
  <c r="I310" i="5"/>
  <c r="J310" i="5"/>
  <c r="K310" i="5"/>
  <c r="A311" i="5"/>
  <c r="C311" i="5"/>
  <c r="D311" i="5"/>
  <c r="E311" i="5"/>
  <c r="F311" i="5"/>
  <c r="G311" i="5"/>
  <c r="I311" i="5"/>
  <c r="J311" i="5"/>
  <c r="K311" i="5"/>
  <c r="A312" i="5"/>
  <c r="C312" i="5"/>
  <c r="D312" i="5"/>
  <c r="E312" i="5"/>
  <c r="F312" i="5"/>
  <c r="G312" i="5"/>
  <c r="I312" i="5"/>
  <c r="J312" i="5"/>
  <c r="K312" i="5"/>
  <c r="A313" i="5"/>
  <c r="C313" i="5"/>
  <c r="D313" i="5"/>
  <c r="E313" i="5"/>
  <c r="F313" i="5"/>
  <c r="G313" i="5"/>
  <c r="I313" i="5"/>
  <c r="J313" i="5"/>
  <c r="K313" i="5"/>
  <c r="A314" i="5"/>
  <c r="C314" i="5"/>
  <c r="D314" i="5"/>
  <c r="E314" i="5"/>
  <c r="F314" i="5"/>
  <c r="G314" i="5"/>
  <c r="I314" i="5"/>
  <c r="J314" i="5"/>
  <c r="K314" i="5"/>
  <c r="A315" i="5"/>
  <c r="C315" i="5"/>
  <c r="D315" i="5"/>
  <c r="E315" i="5"/>
  <c r="F315" i="5"/>
  <c r="G315" i="5"/>
  <c r="I315" i="5"/>
  <c r="J315" i="5"/>
  <c r="K315" i="5"/>
  <c r="A316" i="5"/>
  <c r="C316" i="5"/>
  <c r="D316" i="5"/>
  <c r="E316" i="5"/>
  <c r="F316" i="5"/>
  <c r="G316" i="5"/>
  <c r="I316" i="5"/>
  <c r="J316" i="5"/>
  <c r="K316" i="5"/>
  <c r="A317" i="5"/>
  <c r="C317" i="5"/>
  <c r="D317" i="5"/>
  <c r="E317" i="5"/>
  <c r="F317" i="5"/>
  <c r="G317" i="5"/>
  <c r="I317" i="5"/>
  <c r="J317" i="5"/>
  <c r="K317" i="5"/>
  <c r="A318" i="5"/>
  <c r="C318" i="5"/>
  <c r="D318" i="5"/>
  <c r="E318" i="5"/>
  <c r="F318" i="5"/>
  <c r="G318" i="5"/>
  <c r="I318" i="5"/>
  <c r="J318" i="5"/>
  <c r="K318" i="5"/>
  <c r="A319" i="5"/>
  <c r="C319" i="5"/>
  <c r="D319" i="5"/>
  <c r="E319" i="5"/>
  <c r="F319" i="5"/>
  <c r="G319" i="5"/>
  <c r="I319" i="5"/>
  <c r="J319" i="5"/>
  <c r="K319" i="5"/>
  <c r="A320" i="5"/>
  <c r="C320" i="5"/>
  <c r="D320" i="5"/>
  <c r="E320" i="5"/>
  <c r="F320" i="5"/>
  <c r="G320" i="5"/>
  <c r="I320" i="5"/>
  <c r="J320" i="5"/>
  <c r="K320" i="5"/>
  <c r="A321" i="5"/>
  <c r="C321" i="5"/>
  <c r="D321" i="5"/>
  <c r="E321" i="5"/>
  <c r="F321" i="5"/>
  <c r="G321" i="5"/>
  <c r="I321" i="5"/>
  <c r="J321" i="5"/>
  <c r="K321" i="5"/>
  <c r="A322" i="5"/>
  <c r="C322" i="5"/>
  <c r="D322" i="5"/>
  <c r="E322" i="5"/>
  <c r="F322" i="5"/>
  <c r="G322" i="5"/>
  <c r="I322" i="5"/>
  <c r="J322" i="5"/>
  <c r="K322" i="5"/>
  <c r="A323" i="5"/>
  <c r="C323" i="5"/>
  <c r="D323" i="5"/>
  <c r="E323" i="5"/>
  <c r="F323" i="5"/>
  <c r="G323" i="5"/>
  <c r="I323" i="5"/>
  <c r="J323" i="5"/>
  <c r="K323" i="5"/>
  <c r="A324" i="5"/>
  <c r="C324" i="5"/>
  <c r="D324" i="5"/>
  <c r="E324" i="5"/>
  <c r="F324" i="5"/>
  <c r="G324" i="5"/>
  <c r="I324" i="5"/>
  <c r="J324" i="5"/>
  <c r="K324" i="5"/>
  <c r="A325" i="5"/>
  <c r="C325" i="5"/>
  <c r="D325" i="5"/>
  <c r="E325" i="5"/>
  <c r="F325" i="5"/>
  <c r="G325" i="5"/>
  <c r="I325" i="5"/>
  <c r="J325" i="5"/>
  <c r="K325" i="5"/>
  <c r="A326" i="5"/>
  <c r="C326" i="5"/>
  <c r="D326" i="5"/>
  <c r="E326" i="5"/>
  <c r="F326" i="5"/>
  <c r="G326" i="5"/>
  <c r="I326" i="5"/>
  <c r="J326" i="5"/>
  <c r="K326" i="5"/>
  <c r="A327" i="5"/>
  <c r="C327" i="5"/>
  <c r="D327" i="5"/>
  <c r="E327" i="5"/>
  <c r="F327" i="5"/>
  <c r="G327" i="5"/>
  <c r="I327" i="5"/>
  <c r="J327" i="5"/>
  <c r="K327" i="5"/>
  <c r="A328" i="5"/>
  <c r="C328" i="5"/>
  <c r="D328" i="5"/>
  <c r="E328" i="5"/>
  <c r="F328" i="5"/>
  <c r="G328" i="5"/>
  <c r="I328" i="5"/>
  <c r="J328" i="5"/>
  <c r="K328" i="5"/>
  <c r="A329" i="5"/>
  <c r="C329" i="5"/>
  <c r="D329" i="5"/>
  <c r="E329" i="5"/>
  <c r="F329" i="5"/>
  <c r="G329" i="5"/>
  <c r="I329" i="5"/>
  <c r="J329" i="5"/>
  <c r="K329" i="5"/>
  <c r="A330" i="5"/>
  <c r="C330" i="5"/>
  <c r="D330" i="5"/>
  <c r="E330" i="5"/>
  <c r="F330" i="5"/>
  <c r="G330" i="5"/>
  <c r="I330" i="5"/>
  <c r="J330" i="5"/>
  <c r="K330" i="5"/>
  <c r="A331" i="5"/>
  <c r="C331" i="5"/>
  <c r="D331" i="5"/>
  <c r="E331" i="5"/>
  <c r="F331" i="5"/>
  <c r="G331" i="5"/>
  <c r="I331" i="5"/>
  <c r="J331" i="5"/>
  <c r="K331" i="5"/>
  <c r="A332" i="5"/>
  <c r="C332" i="5"/>
  <c r="D332" i="5"/>
  <c r="E332" i="5"/>
  <c r="F332" i="5"/>
  <c r="G332" i="5"/>
  <c r="I332" i="5"/>
  <c r="J332" i="5"/>
  <c r="K332" i="5"/>
  <c r="A333" i="5"/>
  <c r="C333" i="5"/>
  <c r="D333" i="5"/>
  <c r="E333" i="5"/>
  <c r="F333" i="5"/>
  <c r="G333" i="5"/>
  <c r="I333" i="5"/>
  <c r="J333" i="5"/>
  <c r="K333" i="5"/>
  <c r="A334" i="5"/>
  <c r="C334" i="5"/>
  <c r="D334" i="5"/>
  <c r="E334" i="5"/>
  <c r="F334" i="5"/>
  <c r="G334" i="5"/>
  <c r="I334" i="5"/>
  <c r="J334" i="5"/>
  <c r="K334" i="5"/>
  <c r="A335" i="5"/>
  <c r="C335" i="5"/>
  <c r="D335" i="5"/>
  <c r="E335" i="5"/>
  <c r="F335" i="5"/>
  <c r="G335" i="5"/>
  <c r="I335" i="5"/>
  <c r="J335" i="5"/>
  <c r="K335" i="5"/>
  <c r="A336" i="5"/>
  <c r="C336" i="5"/>
  <c r="D336" i="5"/>
  <c r="E336" i="5"/>
  <c r="F336" i="5"/>
  <c r="G336" i="5"/>
  <c r="I336" i="5"/>
  <c r="J336" i="5"/>
  <c r="K336" i="5"/>
  <c r="A337" i="5"/>
  <c r="C337" i="5"/>
  <c r="D337" i="5"/>
  <c r="E337" i="5"/>
  <c r="F337" i="5"/>
  <c r="G337" i="5"/>
  <c r="I337" i="5"/>
  <c r="J337" i="5"/>
  <c r="K337" i="5"/>
  <c r="A338" i="5"/>
  <c r="C338" i="5"/>
  <c r="D338" i="5"/>
  <c r="E338" i="5"/>
  <c r="F338" i="5"/>
  <c r="G338" i="5"/>
  <c r="I338" i="5"/>
  <c r="J338" i="5"/>
  <c r="K338" i="5"/>
  <c r="A339" i="5"/>
  <c r="C339" i="5"/>
  <c r="D339" i="5"/>
  <c r="E339" i="5"/>
  <c r="F339" i="5"/>
  <c r="G339" i="5"/>
  <c r="I339" i="5"/>
  <c r="J339" i="5"/>
  <c r="K339" i="5"/>
  <c r="A340" i="5"/>
  <c r="C340" i="5"/>
  <c r="D340" i="5"/>
  <c r="E340" i="5"/>
  <c r="F340" i="5"/>
  <c r="G340" i="5"/>
  <c r="I340" i="5"/>
  <c r="J340" i="5"/>
  <c r="K340" i="5"/>
  <c r="A341" i="5"/>
  <c r="C341" i="5"/>
  <c r="D341" i="5"/>
  <c r="E341" i="5"/>
  <c r="F341" i="5"/>
  <c r="G341" i="5"/>
  <c r="I341" i="5"/>
  <c r="J341" i="5"/>
  <c r="K341" i="5"/>
  <c r="A342" i="5"/>
  <c r="C342" i="5"/>
  <c r="D342" i="5"/>
  <c r="E342" i="5"/>
  <c r="F342" i="5"/>
  <c r="G342" i="5"/>
  <c r="I342" i="5"/>
  <c r="J342" i="5"/>
  <c r="K342" i="5"/>
  <c r="A343" i="5"/>
  <c r="C343" i="5"/>
  <c r="D343" i="5"/>
  <c r="E343" i="5"/>
  <c r="F343" i="5"/>
  <c r="G343" i="5"/>
  <c r="I343" i="5"/>
  <c r="J343" i="5"/>
  <c r="K343" i="5"/>
  <c r="A344" i="5"/>
  <c r="C344" i="5"/>
  <c r="D344" i="5"/>
  <c r="E344" i="5"/>
  <c r="F344" i="5"/>
  <c r="G344" i="5"/>
  <c r="I344" i="5"/>
  <c r="J344" i="5"/>
  <c r="K344" i="5"/>
  <c r="A345" i="5"/>
  <c r="C345" i="5"/>
  <c r="D345" i="5"/>
  <c r="E345" i="5"/>
  <c r="F345" i="5"/>
  <c r="G345" i="5"/>
  <c r="I345" i="5"/>
  <c r="J345" i="5"/>
  <c r="K345" i="5"/>
  <c r="A346" i="5"/>
  <c r="C346" i="5"/>
  <c r="D346" i="5"/>
  <c r="E346" i="5"/>
  <c r="F346" i="5"/>
  <c r="G346" i="5"/>
  <c r="I346" i="5"/>
  <c r="J346" i="5"/>
  <c r="K346" i="5"/>
  <c r="A347" i="5"/>
  <c r="C347" i="5"/>
  <c r="D347" i="5"/>
  <c r="E347" i="5"/>
  <c r="F347" i="5"/>
  <c r="G347" i="5"/>
  <c r="I347" i="5"/>
  <c r="J347" i="5"/>
  <c r="K347" i="5"/>
  <c r="A348" i="5"/>
  <c r="C348" i="5"/>
  <c r="D348" i="5"/>
  <c r="E348" i="5"/>
  <c r="F348" i="5"/>
  <c r="G348" i="5"/>
  <c r="I348" i="5"/>
  <c r="J348" i="5"/>
  <c r="K348" i="5"/>
  <c r="A349" i="5"/>
  <c r="C349" i="5"/>
  <c r="D349" i="5"/>
  <c r="E349" i="5"/>
  <c r="F349" i="5"/>
  <c r="G349" i="5"/>
  <c r="I349" i="5"/>
  <c r="J349" i="5"/>
  <c r="K349" i="5"/>
  <c r="A350" i="5"/>
  <c r="C350" i="5"/>
  <c r="D350" i="5"/>
  <c r="E350" i="5"/>
  <c r="F350" i="5"/>
  <c r="G350" i="5"/>
  <c r="I350" i="5"/>
  <c r="J350" i="5"/>
  <c r="K350" i="5"/>
  <c r="A351" i="5"/>
  <c r="C351" i="5"/>
  <c r="D351" i="5"/>
  <c r="E351" i="5"/>
  <c r="F351" i="5"/>
  <c r="G351" i="5"/>
  <c r="I351" i="5"/>
  <c r="J351" i="5"/>
  <c r="K351" i="5"/>
  <c r="A352" i="5"/>
  <c r="C352" i="5"/>
  <c r="D352" i="5"/>
  <c r="E352" i="5"/>
  <c r="F352" i="5"/>
  <c r="G352" i="5"/>
  <c r="I352" i="5"/>
  <c r="J352" i="5"/>
  <c r="K352" i="5"/>
  <c r="A353" i="5"/>
  <c r="C353" i="5"/>
  <c r="D353" i="5"/>
  <c r="E353" i="5"/>
  <c r="F353" i="5"/>
  <c r="G353" i="5"/>
  <c r="I353" i="5"/>
  <c r="J353" i="5"/>
  <c r="K353" i="5"/>
  <c r="A354" i="5"/>
  <c r="C354" i="5"/>
  <c r="D354" i="5"/>
  <c r="E354" i="5"/>
  <c r="F354" i="5"/>
  <c r="G354" i="5"/>
  <c r="I354" i="5"/>
  <c r="J354" i="5"/>
  <c r="K354" i="5"/>
  <c r="A355" i="5"/>
  <c r="C355" i="5"/>
  <c r="D355" i="5"/>
  <c r="E355" i="5"/>
  <c r="F355" i="5"/>
  <c r="G355" i="5"/>
  <c r="I355" i="5"/>
  <c r="J355" i="5"/>
  <c r="K355" i="5"/>
  <c r="A356" i="5"/>
  <c r="C356" i="5"/>
  <c r="D356" i="5"/>
  <c r="E356" i="5"/>
  <c r="F356" i="5"/>
  <c r="G356" i="5"/>
  <c r="I356" i="5"/>
  <c r="J356" i="5"/>
  <c r="K356" i="5"/>
  <c r="A357" i="5"/>
  <c r="C357" i="5"/>
  <c r="D357" i="5"/>
  <c r="E357" i="5"/>
  <c r="F357" i="5"/>
  <c r="G357" i="5"/>
  <c r="I357" i="5"/>
  <c r="J357" i="5"/>
  <c r="K357" i="5"/>
  <c r="A358" i="5"/>
  <c r="C358" i="5"/>
  <c r="D358" i="5"/>
  <c r="E358" i="5"/>
  <c r="F358" i="5"/>
  <c r="G358" i="5"/>
  <c r="I358" i="5"/>
  <c r="J358" i="5"/>
  <c r="K358" i="5"/>
  <c r="A359" i="5"/>
  <c r="C359" i="5"/>
  <c r="D359" i="5"/>
  <c r="E359" i="5"/>
  <c r="F359" i="5"/>
  <c r="G359" i="5"/>
  <c r="I359" i="5"/>
  <c r="J359" i="5"/>
  <c r="K359" i="5"/>
  <c r="A360" i="5"/>
  <c r="C360" i="5"/>
  <c r="D360" i="5"/>
  <c r="E360" i="5"/>
  <c r="F360" i="5"/>
  <c r="G360" i="5"/>
  <c r="I360" i="5"/>
  <c r="J360" i="5"/>
  <c r="K360" i="5"/>
  <c r="A361" i="5"/>
  <c r="C361" i="5"/>
  <c r="D361" i="5"/>
  <c r="E361" i="5"/>
  <c r="F361" i="5"/>
  <c r="G361" i="5"/>
  <c r="I361" i="5"/>
  <c r="J361" i="5"/>
  <c r="K361" i="5"/>
  <c r="A362" i="5"/>
  <c r="C362" i="5"/>
  <c r="D362" i="5"/>
  <c r="E362" i="5"/>
  <c r="F362" i="5"/>
  <c r="G362" i="5"/>
  <c r="I362" i="5"/>
  <c r="J362" i="5"/>
  <c r="K362" i="5"/>
  <c r="A363" i="5"/>
  <c r="C363" i="5"/>
  <c r="D363" i="5"/>
  <c r="E363" i="5"/>
  <c r="F363" i="5"/>
  <c r="G363" i="5"/>
  <c r="I363" i="5"/>
  <c r="J363" i="5"/>
  <c r="K363" i="5"/>
  <c r="A364" i="5"/>
  <c r="C364" i="5"/>
  <c r="D364" i="5"/>
  <c r="E364" i="5"/>
  <c r="F364" i="5"/>
  <c r="G364" i="5"/>
  <c r="I364" i="5"/>
  <c r="J364" i="5"/>
  <c r="K364" i="5"/>
  <c r="A365" i="5"/>
  <c r="C365" i="5"/>
  <c r="D365" i="5"/>
  <c r="E365" i="5"/>
  <c r="F365" i="5"/>
  <c r="G365" i="5"/>
  <c r="I365" i="5"/>
  <c r="J365" i="5"/>
  <c r="K365" i="5"/>
  <c r="A366" i="5"/>
  <c r="C366" i="5"/>
  <c r="D366" i="5"/>
  <c r="E366" i="5"/>
  <c r="F366" i="5"/>
  <c r="G366" i="5"/>
  <c r="I366" i="5"/>
  <c r="J366" i="5"/>
  <c r="K366" i="5"/>
  <c r="A367" i="5"/>
  <c r="C367" i="5"/>
  <c r="D367" i="5"/>
  <c r="E367" i="5"/>
  <c r="F367" i="5"/>
  <c r="G367" i="5"/>
  <c r="I367" i="5"/>
  <c r="J367" i="5"/>
  <c r="K367" i="5"/>
  <c r="A368" i="5"/>
  <c r="C368" i="5"/>
  <c r="D368" i="5"/>
  <c r="E368" i="5"/>
  <c r="F368" i="5"/>
  <c r="G368" i="5"/>
  <c r="I368" i="5"/>
  <c r="J368" i="5"/>
  <c r="K368" i="5"/>
  <c r="A369" i="5"/>
  <c r="C369" i="5"/>
  <c r="D369" i="5"/>
  <c r="E369" i="5"/>
  <c r="F369" i="5"/>
  <c r="G369" i="5"/>
  <c r="I369" i="5"/>
  <c r="J369" i="5"/>
  <c r="K369" i="5"/>
  <c r="A370" i="5"/>
  <c r="C370" i="5"/>
  <c r="D370" i="5"/>
  <c r="E370" i="5"/>
  <c r="F370" i="5"/>
  <c r="G370" i="5"/>
  <c r="I370" i="5"/>
  <c r="J370" i="5"/>
  <c r="K370" i="5"/>
  <c r="A371" i="5"/>
  <c r="C371" i="5"/>
  <c r="D371" i="5"/>
  <c r="E371" i="5"/>
  <c r="F371" i="5"/>
  <c r="G371" i="5"/>
  <c r="I371" i="5"/>
  <c r="J371" i="5"/>
  <c r="K371" i="5"/>
  <c r="A372" i="5"/>
  <c r="C372" i="5"/>
  <c r="D372" i="5"/>
  <c r="E372" i="5"/>
  <c r="F372" i="5"/>
  <c r="G372" i="5"/>
  <c r="I372" i="5"/>
  <c r="J372" i="5"/>
  <c r="K372" i="5"/>
  <c r="A373" i="5"/>
  <c r="C373" i="5"/>
  <c r="D373" i="5"/>
  <c r="E373" i="5"/>
  <c r="F373" i="5"/>
  <c r="G373" i="5"/>
  <c r="I373" i="5"/>
  <c r="J373" i="5"/>
  <c r="K373" i="5"/>
  <c r="A374" i="5"/>
  <c r="C374" i="5"/>
  <c r="D374" i="5"/>
  <c r="E374" i="5"/>
  <c r="F374" i="5"/>
  <c r="G374" i="5"/>
  <c r="I374" i="5"/>
  <c r="J374" i="5"/>
  <c r="K374" i="5"/>
  <c r="A375" i="5"/>
  <c r="C375" i="5"/>
  <c r="D375" i="5"/>
  <c r="E375" i="5"/>
  <c r="F375" i="5"/>
  <c r="G375" i="5"/>
  <c r="I375" i="5"/>
  <c r="J375" i="5"/>
  <c r="K375" i="5"/>
  <c r="A376" i="5"/>
  <c r="C376" i="5"/>
  <c r="D376" i="5"/>
  <c r="E376" i="5"/>
  <c r="F376" i="5"/>
  <c r="G376" i="5"/>
  <c r="I376" i="5"/>
  <c r="J376" i="5"/>
  <c r="K376" i="5"/>
  <c r="A377" i="5"/>
  <c r="C377" i="5"/>
  <c r="D377" i="5"/>
  <c r="E377" i="5"/>
  <c r="F377" i="5"/>
  <c r="G377" i="5"/>
  <c r="I377" i="5"/>
  <c r="J377" i="5"/>
  <c r="K377" i="5"/>
  <c r="A378" i="5"/>
  <c r="C378" i="5"/>
  <c r="D378" i="5"/>
  <c r="E378" i="5"/>
  <c r="F378" i="5"/>
  <c r="G378" i="5"/>
  <c r="I378" i="5"/>
  <c r="J378" i="5"/>
  <c r="K378" i="5"/>
  <c r="A379" i="5"/>
  <c r="C379" i="5"/>
  <c r="D379" i="5"/>
  <c r="E379" i="5"/>
  <c r="F379" i="5"/>
  <c r="G379" i="5"/>
  <c r="I379" i="5"/>
  <c r="J379" i="5"/>
  <c r="K379" i="5"/>
  <c r="A380" i="5"/>
  <c r="C380" i="5"/>
  <c r="D380" i="5"/>
  <c r="E380" i="5"/>
  <c r="F380" i="5"/>
  <c r="G380" i="5"/>
  <c r="I380" i="5"/>
  <c r="J380" i="5"/>
  <c r="K380" i="5"/>
  <c r="A381" i="5"/>
  <c r="C381" i="5"/>
  <c r="D381" i="5"/>
  <c r="E381" i="5"/>
  <c r="F381" i="5"/>
  <c r="G381" i="5"/>
  <c r="I381" i="5"/>
  <c r="J381" i="5"/>
  <c r="K381" i="5"/>
  <c r="A382" i="5"/>
  <c r="C382" i="5"/>
  <c r="D382" i="5"/>
  <c r="E382" i="5"/>
  <c r="F382" i="5"/>
  <c r="G382" i="5"/>
  <c r="I382" i="5"/>
  <c r="J382" i="5"/>
  <c r="K382" i="5"/>
  <c r="A383" i="5"/>
  <c r="C383" i="5"/>
  <c r="D383" i="5"/>
  <c r="E383" i="5"/>
  <c r="F383" i="5"/>
  <c r="G383" i="5"/>
  <c r="I383" i="5"/>
  <c r="J383" i="5"/>
  <c r="K383" i="5"/>
  <c r="A384" i="5"/>
  <c r="C384" i="5"/>
  <c r="D384" i="5"/>
  <c r="E384" i="5"/>
  <c r="F384" i="5"/>
  <c r="G384" i="5"/>
  <c r="I384" i="5"/>
  <c r="J384" i="5"/>
  <c r="K384" i="5"/>
  <c r="A385" i="5"/>
  <c r="C385" i="5"/>
  <c r="D385" i="5"/>
  <c r="E385" i="5"/>
  <c r="F385" i="5"/>
  <c r="G385" i="5"/>
  <c r="I385" i="5"/>
  <c r="J385" i="5"/>
  <c r="K385" i="5"/>
  <c r="A386" i="5"/>
  <c r="C386" i="5"/>
  <c r="D386" i="5"/>
  <c r="E386" i="5"/>
  <c r="F386" i="5"/>
  <c r="G386" i="5"/>
  <c r="I386" i="5"/>
  <c r="J386" i="5"/>
  <c r="K386" i="5"/>
  <c r="A387" i="5"/>
  <c r="C387" i="5"/>
  <c r="D387" i="5"/>
  <c r="E387" i="5"/>
  <c r="F387" i="5"/>
  <c r="G387" i="5"/>
  <c r="I387" i="5"/>
  <c r="J387" i="5"/>
  <c r="K387" i="5"/>
  <c r="A388" i="5"/>
  <c r="C388" i="5"/>
  <c r="D388" i="5"/>
  <c r="E388" i="5"/>
  <c r="F388" i="5"/>
  <c r="G388" i="5"/>
  <c r="I388" i="5"/>
  <c r="J388" i="5"/>
  <c r="K388" i="5"/>
  <c r="A389" i="5"/>
  <c r="C389" i="5"/>
  <c r="D389" i="5"/>
  <c r="E389" i="5"/>
  <c r="F389" i="5"/>
  <c r="G389" i="5"/>
  <c r="I389" i="5"/>
  <c r="J389" i="5"/>
  <c r="K389" i="5"/>
  <c r="A390" i="5"/>
  <c r="C390" i="5"/>
  <c r="D390" i="5"/>
  <c r="E390" i="5"/>
  <c r="F390" i="5"/>
  <c r="G390" i="5"/>
  <c r="I390" i="5"/>
  <c r="J390" i="5"/>
  <c r="K390" i="5"/>
  <c r="A391" i="5"/>
  <c r="C391" i="5"/>
  <c r="D391" i="5"/>
  <c r="E391" i="5"/>
  <c r="F391" i="5"/>
  <c r="G391" i="5"/>
  <c r="I391" i="5"/>
  <c r="J391" i="5"/>
  <c r="K391" i="5"/>
  <c r="A392" i="5"/>
  <c r="C392" i="5"/>
  <c r="D392" i="5"/>
  <c r="E392" i="5"/>
  <c r="F392" i="5"/>
  <c r="G392" i="5"/>
  <c r="I392" i="5"/>
  <c r="J392" i="5"/>
  <c r="K392" i="5"/>
  <c r="A393" i="5"/>
  <c r="C393" i="5"/>
  <c r="D393" i="5"/>
  <c r="E393" i="5"/>
  <c r="F393" i="5"/>
  <c r="G393" i="5"/>
  <c r="I393" i="5"/>
  <c r="J393" i="5"/>
  <c r="K393" i="5"/>
  <c r="A394" i="5"/>
  <c r="C394" i="5"/>
  <c r="D394" i="5"/>
  <c r="E394" i="5"/>
  <c r="F394" i="5"/>
  <c r="G394" i="5"/>
  <c r="I394" i="5"/>
  <c r="J394" i="5"/>
  <c r="K394" i="5"/>
  <c r="A395" i="5"/>
  <c r="C395" i="5"/>
  <c r="D395" i="5"/>
  <c r="E395" i="5"/>
  <c r="F395" i="5"/>
  <c r="G395" i="5"/>
  <c r="I395" i="5"/>
  <c r="J395" i="5"/>
  <c r="K395" i="5"/>
  <c r="A396" i="5"/>
  <c r="C396" i="5"/>
  <c r="D396" i="5"/>
  <c r="E396" i="5"/>
  <c r="F396" i="5"/>
  <c r="G396" i="5"/>
  <c r="I396" i="5"/>
  <c r="J396" i="5"/>
  <c r="K396" i="5"/>
  <c r="A397" i="5"/>
  <c r="C397" i="5"/>
  <c r="D397" i="5"/>
  <c r="E397" i="5"/>
  <c r="F397" i="5"/>
  <c r="G397" i="5"/>
  <c r="I397" i="5"/>
  <c r="J397" i="5"/>
  <c r="K397" i="5"/>
  <c r="A398" i="5"/>
  <c r="C398" i="5"/>
  <c r="D398" i="5"/>
  <c r="E398" i="5"/>
  <c r="F398" i="5"/>
  <c r="G398" i="5"/>
  <c r="I398" i="5"/>
  <c r="J398" i="5"/>
  <c r="K398" i="5"/>
  <c r="A399" i="5"/>
  <c r="C399" i="5"/>
  <c r="D399" i="5"/>
  <c r="E399" i="5"/>
  <c r="F399" i="5"/>
  <c r="G399" i="5"/>
  <c r="I399" i="5"/>
  <c r="J399" i="5"/>
  <c r="K399" i="5"/>
  <c r="A400" i="5"/>
  <c r="C400" i="5"/>
  <c r="D400" i="5"/>
  <c r="E400" i="5"/>
  <c r="F400" i="5"/>
  <c r="G400" i="5"/>
  <c r="I400" i="5"/>
  <c r="J400" i="5"/>
  <c r="K400" i="5"/>
  <c r="A401" i="5"/>
  <c r="C401" i="5"/>
  <c r="D401" i="5"/>
  <c r="E401" i="5"/>
  <c r="F401" i="5"/>
  <c r="G401" i="5"/>
  <c r="I401" i="5"/>
  <c r="J401" i="5"/>
  <c r="K401" i="5"/>
  <c r="A402" i="5"/>
  <c r="C402" i="5"/>
  <c r="D402" i="5"/>
  <c r="E402" i="5"/>
  <c r="F402" i="5"/>
  <c r="G402" i="5"/>
  <c r="I402" i="5"/>
  <c r="J402" i="5"/>
  <c r="K402" i="5"/>
  <c r="A403" i="5"/>
  <c r="C403" i="5"/>
  <c r="D403" i="5"/>
  <c r="E403" i="5"/>
  <c r="F403" i="5"/>
  <c r="G403" i="5"/>
  <c r="I403" i="5"/>
  <c r="J403" i="5"/>
  <c r="K403" i="5"/>
  <c r="A404" i="5"/>
  <c r="C404" i="5"/>
  <c r="D404" i="5"/>
  <c r="E404" i="5"/>
  <c r="F404" i="5"/>
  <c r="G404" i="5"/>
  <c r="I404" i="5"/>
  <c r="J404" i="5"/>
  <c r="K404" i="5"/>
  <c r="A405" i="5"/>
  <c r="C405" i="5"/>
  <c r="D405" i="5"/>
  <c r="E405" i="5"/>
  <c r="F405" i="5"/>
  <c r="G405" i="5"/>
  <c r="I405" i="5"/>
  <c r="J405" i="5"/>
  <c r="K405" i="5"/>
  <c r="A406" i="5"/>
  <c r="C406" i="5"/>
  <c r="D406" i="5"/>
  <c r="E406" i="5"/>
  <c r="F406" i="5"/>
  <c r="G406" i="5"/>
  <c r="I406" i="5"/>
  <c r="J406" i="5"/>
  <c r="K406" i="5"/>
  <c r="A407" i="5"/>
  <c r="C407" i="5"/>
  <c r="D407" i="5"/>
  <c r="E407" i="5"/>
  <c r="F407" i="5"/>
  <c r="G407" i="5"/>
  <c r="I407" i="5"/>
  <c r="J407" i="5"/>
  <c r="K407" i="5"/>
  <c r="A408" i="5"/>
  <c r="C408" i="5"/>
  <c r="D408" i="5"/>
  <c r="E408" i="5"/>
  <c r="F408" i="5"/>
  <c r="G408" i="5"/>
  <c r="I408" i="5"/>
  <c r="J408" i="5"/>
  <c r="K408" i="5"/>
  <c r="A409" i="5"/>
  <c r="C409" i="5"/>
  <c r="D409" i="5"/>
  <c r="E409" i="5"/>
  <c r="F409" i="5"/>
  <c r="G409" i="5"/>
  <c r="I409" i="5"/>
  <c r="J409" i="5"/>
  <c r="K409" i="5"/>
  <c r="A410" i="5"/>
  <c r="C410" i="5"/>
  <c r="D410" i="5"/>
  <c r="E410" i="5"/>
  <c r="F410" i="5"/>
  <c r="G410" i="5"/>
  <c r="I410" i="5"/>
  <c r="J410" i="5"/>
  <c r="K410" i="5"/>
  <c r="A411" i="5"/>
  <c r="C411" i="5"/>
  <c r="D411" i="5"/>
  <c r="E411" i="5"/>
  <c r="F411" i="5"/>
  <c r="G411" i="5"/>
  <c r="I411" i="5"/>
  <c r="J411" i="5"/>
  <c r="K411" i="5"/>
  <c r="A412" i="5"/>
  <c r="C412" i="5"/>
  <c r="D412" i="5"/>
  <c r="E412" i="5"/>
  <c r="F412" i="5"/>
  <c r="G412" i="5"/>
  <c r="I412" i="5"/>
  <c r="J412" i="5"/>
  <c r="K412" i="5"/>
  <c r="A413" i="5"/>
  <c r="C413" i="5"/>
  <c r="D413" i="5"/>
  <c r="E413" i="5"/>
  <c r="F413" i="5"/>
  <c r="G413" i="5"/>
  <c r="I413" i="5"/>
  <c r="J413" i="5"/>
  <c r="K413" i="5"/>
  <c r="A414" i="5"/>
  <c r="C414" i="5"/>
  <c r="D414" i="5"/>
  <c r="E414" i="5"/>
  <c r="F414" i="5"/>
  <c r="G414" i="5"/>
  <c r="I414" i="5"/>
  <c r="J414" i="5"/>
  <c r="K414" i="5"/>
  <c r="A415" i="5"/>
  <c r="C415" i="5"/>
  <c r="D415" i="5"/>
  <c r="E415" i="5"/>
  <c r="F415" i="5"/>
  <c r="G415" i="5"/>
  <c r="I415" i="5"/>
  <c r="J415" i="5"/>
  <c r="K415" i="5"/>
  <c r="A416" i="5"/>
  <c r="C416" i="5"/>
  <c r="D416" i="5"/>
  <c r="E416" i="5"/>
  <c r="F416" i="5"/>
  <c r="G416" i="5"/>
  <c r="I416" i="5"/>
  <c r="J416" i="5"/>
  <c r="K416" i="5"/>
  <c r="A417" i="5"/>
  <c r="C417" i="5"/>
  <c r="D417" i="5"/>
  <c r="E417" i="5"/>
  <c r="F417" i="5"/>
  <c r="G417" i="5"/>
  <c r="I417" i="5"/>
  <c r="J417" i="5"/>
  <c r="K417" i="5"/>
  <c r="A418" i="5"/>
  <c r="C418" i="5"/>
  <c r="D418" i="5"/>
  <c r="E418" i="5"/>
  <c r="F418" i="5"/>
  <c r="G418" i="5"/>
  <c r="I418" i="5"/>
  <c r="J418" i="5"/>
  <c r="K418" i="5"/>
  <c r="A419" i="5"/>
  <c r="C419" i="5"/>
  <c r="D419" i="5"/>
  <c r="E419" i="5"/>
  <c r="F419" i="5"/>
  <c r="G419" i="5"/>
  <c r="I419" i="5"/>
  <c r="J419" i="5"/>
  <c r="K419" i="5"/>
  <c r="A420" i="5"/>
  <c r="C420" i="5"/>
  <c r="D420" i="5"/>
  <c r="E420" i="5"/>
  <c r="F420" i="5"/>
  <c r="G420" i="5"/>
  <c r="I420" i="5"/>
  <c r="J420" i="5"/>
  <c r="K420" i="5"/>
  <c r="A421" i="5"/>
  <c r="C421" i="5"/>
  <c r="D421" i="5"/>
  <c r="E421" i="5"/>
  <c r="F421" i="5"/>
  <c r="G421" i="5"/>
  <c r="I421" i="5"/>
  <c r="J421" i="5"/>
  <c r="K421" i="5"/>
  <c r="A422" i="5"/>
  <c r="C422" i="5"/>
  <c r="D422" i="5"/>
  <c r="E422" i="5"/>
  <c r="F422" i="5"/>
  <c r="G422" i="5"/>
  <c r="I422" i="5"/>
  <c r="J422" i="5"/>
  <c r="K422" i="5"/>
  <c r="A423" i="5"/>
  <c r="C423" i="5"/>
  <c r="D423" i="5"/>
  <c r="E423" i="5"/>
  <c r="F423" i="5"/>
  <c r="G423" i="5"/>
  <c r="I423" i="5"/>
  <c r="J423" i="5"/>
  <c r="K423" i="5"/>
  <c r="A424" i="5"/>
  <c r="C424" i="5"/>
  <c r="D424" i="5"/>
  <c r="E424" i="5"/>
  <c r="F424" i="5"/>
  <c r="G424" i="5"/>
  <c r="I424" i="5"/>
  <c r="J424" i="5"/>
  <c r="K424" i="5"/>
  <c r="A425" i="5"/>
  <c r="C425" i="5"/>
  <c r="D425" i="5"/>
  <c r="E425" i="5"/>
  <c r="F425" i="5"/>
  <c r="G425" i="5"/>
  <c r="I425" i="5"/>
  <c r="J425" i="5"/>
  <c r="K425" i="5"/>
  <c r="A426" i="5"/>
  <c r="C426" i="5"/>
  <c r="D426" i="5"/>
  <c r="E426" i="5"/>
  <c r="F426" i="5"/>
  <c r="G426" i="5"/>
  <c r="I426" i="5"/>
  <c r="J426" i="5"/>
  <c r="K426" i="5"/>
  <c r="A427" i="5"/>
  <c r="C427" i="5"/>
  <c r="D427" i="5"/>
  <c r="E427" i="5"/>
  <c r="F427" i="5"/>
  <c r="G427" i="5"/>
  <c r="I427" i="5"/>
  <c r="J427" i="5"/>
  <c r="K427" i="5"/>
  <c r="A428" i="5"/>
  <c r="C428" i="5"/>
  <c r="D428" i="5"/>
  <c r="E428" i="5"/>
  <c r="F428" i="5"/>
  <c r="G428" i="5"/>
  <c r="I428" i="5"/>
  <c r="J428" i="5"/>
  <c r="K428" i="5"/>
  <c r="A429" i="5"/>
  <c r="C429" i="5"/>
  <c r="D429" i="5"/>
  <c r="E429" i="5"/>
  <c r="F429" i="5"/>
  <c r="G429" i="5"/>
  <c r="I429" i="5"/>
  <c r="J429" i="5"/>
  <c r="K429" i="5"/>
  <c r="A430" i="5"/>
  <c r="C430" i="5"/>
  <c r="D430" i="5"/>
  <c r="E430" i="5"/>
  <c r="F430" i="5"/>
  <c r="G430" i="5"/>
  <c r="I430" i="5"/>
  <c r="J430" i="5"/>
  <c r="K430" i="5"/>
  <c r="A431" i="5"/>
  <c r="C431" i="5"/>
  <c r="D431" i="5"/>
  <c r="E431" i="5"/>
  <c r="F431" i="5"/>
  <c r="G431" i="5"/>
  <c r="I431" i="5"/>
  <c r="J431" i="5"/>
  <c r="K431" i="5"/>
  <c r="A432" i="5"/>
  <c r="C432" i="5"/>
  <c r="D432" i="5"/>
  <c r="E432" i="5"/>
  <c r="F432" i="5"/>
  <c r="G432" i="5"/>
  <c r="I432" i="5"/>
  <c r="J432" i="5"/>
  <c r="K432" i="5"/>
  <c r="A433" i="5"/>
  <c r="C433" i="5"/>
  <c r="D433" i="5"/>
  <c r="E433" i="5"/>
  <c r="F433" i="5"/>
  <c r="G433" i="5"/>
  <c r="I433" i="5"/>
  <c r="J433" i="5"/>
  <c r="K433" i="5"/>
  <c r="A434" i="5"/>
  <c r="C434" i="5"/>
  <c r="D434" i="5"/>
  <c r="E434" i="5"/>
  <c r="F434" i="5"/>
  <c r="G434" i="5"/>
  <c r="I434" i="5"/>
  <c r="J434" i="5"/>
  <c r="K434" i="5"/>
  <c r="A435" i="5"/>
  <c r="C435" i="5"/>
  <c r="D435" i="5"/>
  <c r="E435" i="5"/>
  <c r="F435" i="5"/>
  <c r="G435" i="5"/>
  <c r="I435" i="5"/>
  <c r="J435" i="5"/>
  <c r="K435" i="5"/>
  <c r="A436" i="5"/>
  <c r="C436" i="5"/>
  <c r="D436" i="5"/>
  <c r="E436" i="5"/>
  <c r="F436" i="5"/>
  <c r="G436" i="5"/>
  <c r="I436" i="5"/>
  <c r="J436" i="5"/>
  <c r="K436" i="5"/>
  <c r="A437" i="5"/>
  <c r="C437" i="5"/>
  <c r="D437" i="5"/>
  <c r="E437" i="5"/>
  <c r="F437" i="5"/>
  <c r="G437" i="5"/>
  <c r="I437" i="5"/>
  <c r="J437" i="5"/>
  <c r="K437" i="5"/>
  <c r="A438" i="5"/>
  <c r="C438" i="5"/>
  <c r="D438" i="5"/>
  <c r="E438" i="5"/>
  <c r="F438" i="5"/>
  <c r="G438" i="5"/>
  <c r="I438" i="5"/>
  <c r="J438" i="5"/>
  <c r="K438" i="5"/>
  <c r="A439" i="5"/>
  <c r="C439" i="5"/>
  <c r="D439" i="5"/>
  <c r="E439" i="5"/>
  <c r="F439" i="5"/>
  <c r="G439" i="5"/>
  <c r="I439" i="5"/>
  <c r="J439" i="5"/>
  <c r="K439" i="5"/>
  <c r="A440" i="5"/>
  <c r="C440" i="5"/>
  <c r="D440" i="5"/>
  <c r="E440" i="5"/>
  <c r="F440" i="5"/>
  <c r="G440" i="5"/>
  <c r="I440" i="5"/>
  <c r="J440" i="5"/>
  <c r="K440" i="5"/>
  <c r="A441" i="5"/>
  <c r="C441" i="5"/>
  <c r="D441" i="5"/>
  <c r="E441" i="5"/>
  <c r="F441" i="5"/>
  <c r="G441" i="5"/>
  <c r="I441" i="5"/>
  <c r="J441" i="5"/>
  <c r="K441" i="5"/>
  <c r="A442" i="5"/>
  <c r="C442" i="5"/>
  <c r="D442" i="5"/>
  <c r="E442" i="5"/>
  <c r="F442" i="5"/>
  <c r="G442" i="5"/>
  <c r="I442" i="5"/>
  <c r="J442" i="5"/>
  <c r="K442" i="5"/>
  <c r="A443" i="5"/>
  <c r="C443" i="5"/>
  <c r="D443" i="5"/>
  <c r="E443" i="5"/>
  <c r="F443" i="5"/>
  <c r="G443" i="5"/>
  <c r="I443" i="5"/>
  <c r="J443" i="5"/>
  <c r="K443" i="5"/>
  <c r="A444" i="5"/>
  <c r="C444" i="5"/>
  <c r="D444" i="5"/>
  <c r="E444" i="5"/>
  <c r="F444" i="5"/>
  <c r="G444" i="5"/>
  <c r="I444" i="5"/>
  <c r="J444" i="5"/>
  <c r="K444" i="5"/>
  <c r="A445" i="5"/>
  <c r="C445" i="5"/>
  <c r="D445" i="5"/>
  <c r="E445" i="5"/>
  <c r="F445" i="5"/>
  <c r="G445" i="5"/>
  <c r="I445" i="5"/>
  <c r="J445" i="5"/>
  <c r="K445" i="5"/>
  <c r="A446" i="5"/>
  <c r="C446" i="5"/>
  <c r="D446" i="5"/>
  <c r="E446" i="5"/>
  <c r="F446" i="5"/>
  <c r="G446" i="5"/>
  <c r="I446" i="5"/>
  <c r="J446" i="5"/>
  <c r="K446" i="5"/>
  <c r="A447" i="5"/>
  <c r="C447" i="5"/>
  <c r="D447" i="5"/>
  <c r="E447" i="5"/>
  <c r="F447" i="5"/>
  <c r="G447" i="5"/>
  <c r="I447" i="5"/>
  <c r="J447" i="5"/>
  <c r="K447" i="5"/>
  <c r="A448" i="5"/>
  <c r="C448" i="5"/>
  <c r="D448" i="5"/>
  <c r="E448" i="5"/>
  <c r="F448" i="5"/>
  <c r="G448" i="5"/>
  <c r="I448" i="5"/>
  <c r="J448" i="5"/>
  <c r="K448" i="5"/>
  <c r="A449" i="5"/>
  <c r="C449" i="5"/>
  <c r="D449" i="5"/>
  <c r="E449" i="5"/>
  <c r="F449" i="5"/>
  <c r="G449" i="5"/>
  <c r="I449" i="5"/>
  <c r="J449" i="5"/>
  <c r="K449" i="5"/>
  <c r="A450" i="5"/>
  <c r="C450" i="5"/>
  <c r="D450" i="5"/>
  <c r="E450" i="5"/>
  <c r="F450" i="5"/>
  <c r="G450" i="5"/>
  <c r="I450" i="5"/>
  <c r="J450" i="5"/>
  <c r="K450" i="5"/>
  <c r="A451" i="5"/>
  <c r="C451" i="5"/>
  <c r="D451" i="5"/>
  <c r="E451" i="5"/>
  <c r="F451" i="5"/>
  <c r="G451" i="5"/>
  <c r="I451" i="5"/>
  <c r="J451" i="5"/>
  <c r="K451" i="5"/>
  <c r="A452" i="5"/>
  <c r="C452" i="5"/>
  <c r="D452" i="5"/>
  <c r="E452" i="5"/>
  <c r="F452" i="5"/>
  <c r="G452" i="5"/>
  <c r="I452" i="5"/>
  <c r="J452" i="5"/>
  <c r="K452" i="5"/>
  <c r="A453" i="5"/>
  <c r="C453" i="5"/>
  <c r="D453" i="5"/>
  <c r="E453" i="5"/>
  <c r="F453" i="5"/>
  <c r="G453" i="5"/>
  <c r="I453" i="5"/>
  <c r="J453" i="5"/>
  <c r="K453" i="5"/>
  <c r="A454" i="5"/>
  <c r="C454" i="5"/>
  <c r="D454" i="5"/>
  <c r="E454" i="5"/>
  <c r="F454" i="5"/>
  <c r="G454" i="5"/>
  <c r="I454" i="5"/>
  <c r="J454" i="5"/>
  <c r="K454" i="5"/>
  <c r="A455" i="5"/>
  <c r="C455" i="5"/>
  <c r="D455" i="5"/>
  <c r="E455" i="5"/>
  <c r="F455" i="5"/>
  <c r="G455" i="5"/>
  <c r="I455" i="5"/>
  <c r="J455" i="5"/>
  <c r="K455" i="5"/>
  <c r="A456" i="5"/>
  <c r="C456" i="5"/>
  <c r="D456" i="5"/>
  <c r="E456" i="5"/>
  <c r="F456" i="5"/>
  <c r="G456" i="5"/>
  <c r="I456" i="5"/>
  <c r="J456" i="5"/>
  <c r="K456" i="5"/>
  <c r="A457" i="5"/>
  <c r="C457" i="5"/>
  <c r="D457" i="5"/>
  <c r="E457" i="5"/>
  <c r="F457" i="5"/>
  <c r="G457" i="5"/>
  <c r="I457" i="5"/>
  <c r="J457" i="5"/>
  <c r="K457" i="5"/>
  <c r="A458" i="5"/>
  <c r="C458" i="5"/>
  <c r="D458" i="5"/>
  <c r="E458" i="5"/>
  <c r="F458" i="5"/>
  <c r="G458" i="5"/>
  <c r="I458" i="5"/>
  <c r="J458" i="5"/>
  <c r="K458" i="5"/>
  <c r="A459" i="5"/>
  <c r="C459" i="5"/>
  <c r="D459" i="5"/>
  <c r="E459" i="5"/>
  <c r="F459" i="5"/>
  <c r="G459" i="5"/>
  <c r="I459" i="5"/>
  <c r="J459" i="5"/>
  <c r="K459" i="5"/>
  <c r="A460" i="5"/>
  <c r="C460" i="5"/>
  <c r="D460" i="5"/>
  <c r="E460" i="5"/>
  <c r="F460" i="5"/>
  <c r="G460" i="5"/>
  <c r="I460" i="5"/>
  <c r="J460" i="5"/>
  <c r="K460" i="5"/>
  <c r="A461" i="5"/>
  <c r="C461" i="5"/>
  <c r="D461" i="5"/>
  <c r="E461" i="5"/>
  <c r="F461" i="5"/>
  <c r="G461" i="5"/>
  <c r="I461" i="5"/>
  <c r="J461" i="5"/>
  <c r="K461" i="5"/>
  <c r="A462" i="5"/>
  <c r="C462" i="5"/>
  <c r="D462" i="5"/>
  <c r="E462" i="5"/>
  <c r="F462" i="5"/>
  <c r="G462" i="5"/>
  <c r="I462" i="5"/>
  <c r="J462" i="5"/>
  <c r="K462" i="5"/>
  <c r="A463" i="5"/>
  <c r="C463" i="5"/>
  <c r="D463" i="5"/>
  <c r="E463" i="5"/>
  <c r="F463" i="5"/>
  <c r="G463" i="5"/>
  <c r="I463" i="5"/>
  <c r="J463" i="5"/>
  <c r="K463" i="5"/>
  <c r="A464" i="5"/>
  <c r="C464" i="5"/>
  <c r="D464" i="5"/>
  <c r="E464" i="5"/>
  <c r="F464" i="5"/>
  <c r="G464" i="5"/>
  <c r="I464" i="5"/>
  <c r="J464" i="5"/>
  <c r="K464" i="5"/>
  <c r="A465" i="5"/>
  <c r="C465" i="5"/>
  <c r="D465" i="5"/>
  <c r="E465" i="5"/>
  <c r="F465" i="5"/>
  <c r="G465" i="5"/>
  <c r="I465" i="5"/>
  <c r="J465" i="5"/>
  <c r="K465" i="5"/>
  <c r="A466" i="5"/>
  <c r="C466" i="5"/>
  <c r="D466" i="5"/>
  <c r="E466" i="5"/>
  <c r="F466" i="5"/>
  <c r="G466" i="5"/>
  <c r="I466" i="5"/>
  <c r="J466" i="5"/>
  <c r="K466" i="5"/>
  <c r="A467" i="5"/>
  <c r="C467" i="5"/>
  <c r="D467" i="5"/>
  <c r="E467" i="5"/>
  <c r="F467" i="5"/>
  <c r="G467" i="5"/>
  <c r="I467" i="5"/>
  <c r="J467" i="5"/>
  <c r="K467" i="5"/>
  <c r="A468" i="5"/>
  <c r="C468" i="5"/>
  <c r="D468" i="5"/>
  <c r="E468" i="5"/>
  <c r="F468" i="5"/>
  <c r="G468" i="5"/>
  <c r="I468" i="5"/>
  <c r="J468" i="5"/>
  <c r="K468" i="5"/>
  <c r="A469" i="5"/>
  <c r="C469" i="5"/>
  <c r="D469" i="5"/>
  <c r="E469" i="5"/>
  <c r="F469" i="5"/>
  <c r="G469" i="5"/>
  <c r="I469" i="5"/>
  <c r="J469" i="5"/>
  <c r="K469" i="5"/>
  <c r="A470" i="5"/>
  <c r="C470" i="5"/>
  <c r="D470" i="5"/>
  <c r="E470" i="5"/>
  <c r="F470" i="5"/>
  <c r="G470" i="5"/>
  <c r="I470" i="5"/>
  <c r="J470" i="5"/>
  <c r="K470" i="5"/>
  <c r="A471" i="5"/>
  <c r="C471" i="5"/>
  <c r="D471" i="5"/>
  <c r="E471" i="5"/>
  <c r="F471" i="5"/>
  <c r="G471" i="5"/>
  <c r="I471" i="5"/>
  <c r="J471" i="5"/>
  <c r="K471" i="5"/>
  <c r="A472" i="5"/>
  <c r="C472" i="5"/>
  <c r="D472" i="5"/>
  <c r="E472" i="5"/>
  <c r="F472" i="5"/>
  <c r="G472" i="5"/>
  <c r="I472" i="5"/>
  <c r="J472" i="5"/>
  <c r="K472" i="5"/>
  <c r="A473" i="5"/>
  <c r="C473" i="5"/>
  <c r="D473" i="5"/>
  <c r="E473" i="5"/>
  <c r="F473" i="5"/>
  <c r="G473" i="5"/>
  <c r="I473" i="5"/>
  <c r="J473" i="5"/>
  <c r="K473" i="5"/>
  <c r="A474" i="5"/>
  <c r="C474" i="5"/>
  <c r="D474" i="5"/>
  <c r="E474" i="5"/>
  <c r="F474" i="5"/>
  <c r="G474" i="5"/>
  <c r="I474" i="5"/>
  <c r="J474" i="5"/>
  <c r="K474" i="5"/>
  <c r="A475" i="5"/>
  <c r="C475" i="5"/>
  <c r="D475" i="5"/>
  <c r="E475" i="5"/>
  <c r="F475" i="5"/>
  <c r="G475" i="5"/>
  <c r="I475" i="5"/>
  <c r="J475" i="5"/>
  <c r="K475" i="5"/>
  <c r="A476" i="5"/>
  <c r="C476" i="5"/>
  <c r="D476" i="5"/>
  <c r="E476" i="5"/>
  <c r="F476" i="5"/>
  <c r="G476" i="5"/>
  <c r="I476" i="5"/>
  <c r="J476" i="5"/>
  <c r="K476" i="5"/>
  <c r="A477" i="5"/>
  <c r="C477" i="5"/>
  <c r="D477" i="5"/>
  <c r="E477" i="5"/>
  <c r="F477" i="5"/>
  <c r="G477" i="5"/>
  <c r="I477" i="5"/>
  <c r="J477" i="5"/>
  <c r="K477" i="5"/>
  <c r="A478" i="5"/>
  <c r="C478" i="5"/>
  <c r="D478" i="5"/>
  <c r="E478" i="5"/>
  <c r="F478" i="5"/>
  <c r="G478" i="5"/>
  <c r="I478" i="5"/>
  <c r="J478" i="5"/>
  <c r="K478" i="5"/>
  <c r="A479" i="5"/>
  <c r="C479" i="5"/>
  <c r="D479" i="5"/>
  <c r="E479" i="5"/>
  <c r="F479" i="5"/>
  <c r="G479" i="5"/>
  <c r="I479" i="5"/>
  <c r="J479" i="5"/>
  <c r="K479" i="5"/>
  <c r="A480" i="5"/>
  <c r="C480" i="5"/>
  <c r="D480" i="5"/>
  <c r="E480" i="5"/>
  <c r="F480" i="5"/>
  <c r="G480" i="5"/>
  <c r="I480" i="5"/>
  <c r="J480" i="5"/>
  <c r="K480" i="5"/>
  <c r="A481" i="5"/>
  <c r="C481" i="5"/>
  <c r="D481" i="5"/>
  <c r="E481" i="5"/>
  <c r="F481" i="5"/>
  <c r="G481" i="5"/>
  <c r="I481" i="5"/>
  <c r="J481" i="5"/>
  <c r="K481" i="5"/>
  <c r="A482" i="5"/>
  <c r="C482" i="5"/>
  <c r="D482" i="5"/>
  <c r="E482" i="5"/>
  <c r="F482" i="5"/>
  <c r="G482" i="5"/>
  <c r="I482" i="5"/>
  <c r="J482" i="5"/>
  <c r="K482" i="5"/>
  <c r="A483" i="5"/>
  <c r="C483" i="5"/>
  <c r="D483" i="5"/>
  <c r="E483" i="5"/>
  <c r="F483" i="5"/>
  <c r="G483" i="5"/>
  <c r="I483" i="5"/>
  <c r="J483" i="5"/>
  <c r="K483" i="5"/>
  <c r="A484" i="5"/>
  <c r="C484" i="5"/>
  <c r="D484" i="5"/>
  <c r="E484" i="5"/>
  <c r="F484" i="5"/>
  <c r="G484" i="5"/>
  <c r="I484" i="5"/>
  <c r="J484" i="5"/>
  <c r="K484" i="5"/>
  <c r="A485" i="5"/>
  <c r="C485" i="5"/>
  <c r="D485" i="5"/>
  <c r="E485" i="5"/>
  <c r="F485" i="5"/>
  <c r="G485" i="5"/>
  <c r="I485" i="5"/>
  <c r="J485" i="5"/>
  <c r="K485" i="5"/>
  <c r="A486" i="5"/>
  <c r="C486" i="5"/>
  <c r="D486" i="5"/>
  <c r="E486" i="5"/>
  <c r="F486" i="5"/>
  <c r="G486" i="5"/>
  <c r="I486" i="5"/>
  <c r="J486" i="5"/>
  <c r="K486" i="5"/>
  <c r="A487" i="5"/>
  <c r="C487" i="5"/>
  <c r="D487" i="5"/>
  <c r="E487" i="5"/>
  <c r="F487" i="5"/>
  <c r="G487" i="5"/>
  <c r="I487" i="5"/>
  <c r="J487" i="5"/>
  <c r="K487" i="5"/>
  <c r="A488" i="5"/>
  <c r="C488" i="5"/>
  <c r="D488" i="5"/>
  <c r="E488" i="5"/>
  <c r="F488" i="5"/>
  <c r="G488" i="5"/>
  <c r="I488" i="5"/>
  <c r="J488" i="5"/>
  <c r="K488" i="5"/>
  <c r="A489" i="5"/>
  <c r="C489" i="5"/>
  <c r="D489" i="5"/>
  <c r="E489" i="5"/>
  <c r="F489" i="5"/>
  <c r="G489" i="5"/>
  <c r="I489" i="5"/>
  <c r="J489" i="5"/>
  <c r="K489" i="5"/>
  <c r="A490" i="5"/>
  <c r="C490" i="5"/>
  <c r="D490" i="5"/>
  <c r="E490" i="5"/>
  <c r="F490" i="5"/>
  <c r="G490" i="5"/>
  <c r="I490" i="5"/>
  <c r="J490" i="5"/>
  <c r="K490" i="5"/>
  <c r="A491" i="5"/>
  <c r="C491" i="5"/>
  <c r="D491" i="5"/>
  <c r="E491" i="5"/>
  <c r="F491" i="5"/>
  <c r="G491" i="5"/>
  <c r="I491" i="5"/>
  <c r="J491" i="5"/>
  <c r="K491" i="5"/>
  <c r="A492" i="5"/>
  <c r="C492" i="5"/>
  <c r="D492" i="5"/>
  <c r="E492" i="5"/>
  <c r="F492" i="5"/>
  <c r="G492" i="5"/>
  <c r="I492" i="5"/>
  <c r="J492" i="5"/>
  <c r="K492" i="5"/>
  <c r="A493" i="5"/>
  <c r="C493" i="5"/>
  <c r="D493" i="5"/>
  <c r="E493" i="5"/>
  <c r="F493" i="5"/>
  <c r="G493" i="5"/>
  <c r="I493" i="5"/>
  <c r="J493" i="5"/>
  <c r="K493" i="5"/>
  <c r="A494" i="5"/>
  <c r="C494" i="5"/>
  <c r="D494" i="5"/>
  <c r="E494" i="5"/>
  <c r="F494" i="5"/>
  <c r="G494" i="5"/>
  <c r="I494" i="5"/>
  <c r="J494" i="5"/>
  <c r="K494" i="5"/>
  <c r="A495" i="5"/>
  <c r="C495" i="5"/>
  <c r="D495" i="5"/>
  <c r="E495" i="5"/>
  <c r="F495" i="5"/>
  <c r="G495" i="5"/>
  <c r="I495" i="5"/>
  <c r="J495" i="5"/>
  <c r="K495" i="5"/>
  <c r="A496" i="5"/>
  <c r="C496" i="5"/>
  <c r="D496" i="5"/>
  <c r="E496" i="5"/>
  <c r="F496" i="5"/>
  <c r="G496" i="5"/>
  <c r="I496" i="5"/>
  <c r="J496" i="5"/>
  <c r="K496" i="5"/>
  <c r="A497" i="5"/>
  <c r="C497" i="5"/>
  <c r="D497" i="5"/>
  <c r="E497" i="5"/>
  <c r="F497" i="5"/>
  <c r="G497" i="5"/>
  <c r="I497" i="5"/>
  <c r="J497" i="5"/>
  <c r="K497" i="5"/>
  <c r="A498" i="5"/>
  <c r="C498" i="5"/>
  <c r="D498" i="5"/>
  <c r="E498" i="5"/>
  <c r="F498" i="5"/>
  <c r="G498" i="5"/>
  <c r="I498" i="5"/>
  <c r="J498" i="5"/>
  <c r="K498" i="5"/>
  <c r="A499" i="5"/>
  <c r="C499" i="5"/>
  <c r="D499" i="5"/>
  <c r="E499" i="5"/>
  <c r="F499" i="5"/>
  <c r="G499" i="5"/>
  <c r="I499" i="5"/>
  <c r="J499" i="5"/>
  <c r="K499" i="5"/>
  <c r="A500" i="5"/>
  <c r="C500" i="5"/>
  <c r="D500" i="5"/>
  <c r="E500" i="5"/>
  <c r="F500" i="5"/>
  <c r="G500" i="5"/>
  <c r="I500" i="5"/>
  <c r="J500" i="5"/>
  <c r="K500" i="5"/>
  <c r="A501" i="5"/>
  <c r="C501" i="5"/>
  <c r="D501" i="5"/>
  <c r="E501" i="5"/>
  <c r="F501" i="5"/>
  <c r="G501" i="5"/>
  <c r="I501" i="5"/>
  <c r="J501" i="5"/>
  <c r="K501" i="5"/>
  <c r="A502" i="5"/>
  <c r="C502" i="5"/>
  <c r="D502" i="5"/>
  <c r="E502" i="5"/>
  <c r="F502" i="5"/>
  <c r="G502" i="5"/>
  <c r="I502" i="5"/>
  <c r="J502" i="5"/>
  <c r="K502" i="5"/>
  <c r="A503" i="5"/>
  <c r="C503" i="5"/>
  <c r="D503" i="5"/>
  <c r="E503" i="5"/>
  <c r="F503" i="5"/>
  <c r="G503" i="5"/>
  <c r="I503" i="5"/>
  <c r="J503" i="5"/>
  <c r="K503" i="5"/>
  <c r="A504" i="5"/>
  <c r="C504" i="5"/>
  <c r="D504" i="5"/>
  <c r="E504" i="5"/>
  <c r="F504" i="5"/>
  <c r="G504" i="5"/>
  <c r="I504" i="5"/>
  <c r="J504" i="5"/>
  <c r="K504" i="5"/>
  <c r="A505" i="5"/>
  <c r="C505" i="5"/>
  <c r="D505" i="5"/>
  <c r="E505" i="5"/>
  <c r="F505" i="5"/>
  <c r="G505" i="5"/>
  <c r="I505" i="5"/>
  <c r="J505" i="5"/>
  <c r="K505" i="5"/>
  <c r="A506" i="5"/>
  <c r="C506" i="5"/>
  <c r="D506" i="5"/>
  <c r="E506" i="5"/>
  <c r="F506" i="5"/>
  <c r="G506" i="5"/>
  <c r="I506" i="5"/>
  <c r="J506" i="5"/>
  <c r="K506" i="5"/>
  <c r="A507" i="5"/>
  <c r="C507" i="5"/>
  <c r="D507" i="5"/>
  <c r="E507" i="5"/>
  <c r="F507" i="5"/>
  <c r="G507" i="5"/>
  <c r="I507" i="5"/>
  <c r="J507" i="5"/>
  <c r="K507" i="5"/>
  <c r="A508" i="5"/>
  <c r="C508" i="5"/>
  <c r="D508" i="5"/>
  <c r="E508" i="5"/>
  <c r="F508" i="5"/>
  <c r="G508" i="5"/>
  <c r="I508" i="5"/>
  <c r="J508" i="5"/>
  <c r="K508" i="5"/>
  <c r="A509" i="5"/>
  <c r="C509" i="5"/>
  <c r="D509" i="5"/>
  <c r="E509" i="5"/>
  <c r="F509" i="5"/>
  <c r="G509" i="5"/>
  <c r="I509" i="5"/>
  <c r="J509" i="5"/>
  <c r="K509" i="5"/>
  <c r="A510" i="5"/>
  <c r="C510" i="5"/>
  <c r="D510" i="5"/>
  <c r="E510" i="5"/>
  <c r="F510" i="5"/>
  <c r="G510" i="5"/>
  <c r="I510" i="5"/>
  <c r="J510" i="5"/>
  <c r="K510" i="5"/>
  <c r="A511" i="5"/>
  <c r="C511" i="5"/>
  <c r="D511" i="5"/>
  <c r="E511" i="5"/>
  <c r="F511" i="5"/>
  <c r="G511" i="5"/>
  <c r="I511" i="5"/>
  <c r="J511" i="5"/>
  <c r="K511" i="5"/>
  <c r="A512" i="5"/>
  <c r="C512" i="5"/>
  <c r="D512" i="5"/>
  <c r="E512" i="5"/>
  <c r="F512" i="5"/>
  <c r="G512" i="5"/>
  <c r="I512" i="5"/>
  <c r="J512" i="5"/>
  <c r="K512" i="5"/>
  <c r="A513" i="5"/>
  <c r="C513" i="5"/>
  <c r="D513" i="5"/>
  <c r="E513" i="5"/>
  <c r="F513" i="5"/>
  <c r="G513" i="5"/>
  <c r="I513" i="5"/>
  <c r="J513" i="5"/>
  <c r="K513" i="5"/>
  <c r="A514" i="5"/>
  <c r="C514" i="5"/>
  <c r="D514" i="5"/>
  <c r="E514" i="5"/>
  <c r="F514" i="5"/>
  <c r="G514" i="5"/>
  <c r="I514" i="5"/>
  <c r="J514" i="5"/>
  <c r="K514" i="5"/>
  <c r="A515" i="5"/>
  <c r="C515" i="5"/>
  <c r="D515" i="5"/>
  <c r="E515" i="5"/>
  <c r="F515" i="5"/>
  <c r="G515" i="5"/>
  <c r="I515" i="5"/>
  <c r="J515" i="5"/>
  <c r="K515" i="5"/>
  <c r="A516" i="5"/>
  <c r="C516" i="5"/>
  <c r="D516" i="5"/>
  <c r="E516" i="5"/>
  <c r="F516" i="5"/>
  <c r="G516" i="5"/>
  <c r="I516" i="5"/>
  <c r="J516" i="5"/>
  <c r="K516" i="5"/>
  <c r="A517" i="5"/>
  <c r="C517" i="5"/>
  <c r="D517" i="5"/>
  <c r="E517" i="5"/>
  <c r="F517" i="5"/>
  <c r="G517" i="5"/>
  <c r="I517" i="5"/>
  <c r="J517" i="5"/>
  <c r="K517" i="5"/>
  <c r="A518" i="5"/>
  <c r="C518" i="5"/>
  <c r="D518" i="5"/>
  <c r="E518" i="5"/>
  <c r="F518" i="5"/>
  <c r="G518" i="5"/>
  <c r="I518" i="5"/>
  <c r="J518" i="5"/>
  <c r="K518" i="5"/>
  <c r="A519" i="5"/>
  <c r="C519" i="5"/>
  <c r="D519" i="5"/>
  <c r="E519" i="5"/>
  <c r="F519" i="5"/>
  <c r="G519" i="5"/>
  <c r="I519" i="5"/>
  <c r="J519" i="5"/>
  <c r="K519" i="5"/>
  <c r="A520" i="5"/>
  <c r="C520" i="5"/>
  <c r="D520" i="5"/>
  <c r="E520" i="5"/>
  <c r="F520" i="5"/>
  <c r="G520" i="5"/>
  <c r="I520" i="5"/>
  <c r="J520" i="5"/>
  <c r="K520" i="5"/>
  <c r="A521" i="5"/>
  <c r="C521" i="5"/>
  <c r="D521" i="5"/>
  <c r="E521" i="5"/>
  <c r="F521" i="5"/>
  <c r="G521" i="5"/>
  <c r="I521" i="5"/>
  <c r="J521" i="5"/>
  <c r="K521" i="5"/>
  <c r="A522" i="5"/>
  <c r="C522" i="5"/>
  <c r="D522" i="5"/>
  <c r="E522" i="5"/>
  <c r="F522" i="5"/>
  <c r="G522" i="5"/>
  <c r="I522" i="5"/>
  <c r="J522" i="5"/>
  <c r="K522" i="5"/>
  <c r="A523" i="5"/>
  <c r="C523" i="5"/>
  <c r="D523" i="5"/>
  <c r="E523" i="5"/>
  <c r="F523" i="5"/>
  <c r="G523" i="5"/>
  <c r="I523" i="5"/>
  <c r="J523" i="5"/>
  <c r="K523" i="5"/>
  <c r="A524" i="5"/>
  <c r="C524" i="5"/>
  <c r="D524" i="5"/>
  <c r="E524" i="5"/>
  <c r="F524" i="5"/>
  <c r="G524" i="5"/>
  <c r="I524" i="5"/>
  <c r="J524" i="5"/>
  <c r="K524" i="5"/>
  <c r="A525" i="5"/>
  <c r="C525" i="5"/>
  <c r="D525" i="5"/>
  <c r="E525" i="5"/>
  <c r="F525" i="5"/>
  <c r="G525" i="5"/>
  <c r="I525" i="5"/>
  <c r="J525" i="5"/>
  <c r="K525" i="5"/>
  <c r="A526" i="5"/>
  <c r="C526" i="5"/>
  <c r="D526" i="5"/>
  <c r="E526" i="5"/>
  <c r="F526" i="5"/>
  <c r="G526" i="5"/>
  <c r="I526" i="5"/>
  <c r="J526" i="5"/>
  <c r="K526" i="5"/>
  <c r="A527" i="5"/>
  <c r="C527" i="5"/>
  <c r="D527" i="5"/>
  <c r="E527" i="5"/>
  <c r="F527" i="5"/>
  <c r="G527" i="5"/>
  <c r="I527" i="5"/>
  <c r="J527" i="5"/>
  <c r="K527" i="5"/>
  <c r="A528" i="5"/>
  <c r="C528" i="5"/>
  <c r="D528" i="5"/>
  <c r="E528" i="5"/>
  <c r="F528" i="5"/>
  <c r="G528" i="5"/>
  <c r="I528" i="5"/>
  <c r="J528" i="5"/>
  <c r="K528" i="5"/>
  <c r="A529" i="5"/>
  <c r="C529" i="5"/>
  <c r="D529" i="5"/>
  <c r="E529" i="5"/>
  <c r="F529" i="5"/>
  <c r="G529" i="5"/>
  <c r="I529" i="5"/>
  <c r="J529" i="5"/>
  <c r="K529" i="5"/>
  <c r="A530" i="5"/>
  <c r="C530" i="5"/>
  <c r="D530" i="5"/>
  <c r="E530" i="5"/>
  <c r="F530" i="5"/>
  <c r="G530" i="5"/>
  <c r="I530" i="5"/>
  <c r="J530" i="5"/>
  <c r="K530" i="5"/>
  <c r="A531" i="5"/>
  <c r="C531" i="5"/>
  <c r="D531" i="5"/>
  <c r="E531" i="5"/>
  <c r="F531" i="5"/>
  <c r="G531" i="5"/>
  <c r="I531" i="5"/>
  <c r="J531" i="5"/>
  <c r="K531" i="5"/>
  <c r="A532" i="5"/>
  <c r="C532" i="5"/>
  <c r="D532" i="5"/>
  <c r="E532" i="5"/>
  <c r="F532" i="5"/>
  <c r="G532" i="5"/>
  <c r="I532" i="5"/>
  <c r="J532" i="5"/>
  <c r="K532" i="5"/>
  <c r="A533" i="5"/>
  <c r="C533" i="5"/>
  <c r="D533" i="5"/>
  <c r="E533" i="5"/>
  <c r="F533" i="5"/>
  <c r="G533" i="5"/>
  <c r="I533" i="5"/>
  <c r="J533" i="5"/>
  <c r="K533" i="5"/>
  <c r="A534" i="5"/>
  <c r="C534" i="5"/>
  <c r="D534" i="5"/>
  <c r="E534" i="5"/>
  <c r="F534" i="5"/>
  <c r="G534" i="5"/>
  <c r="I534" i="5"/>
  <c r="J534" i="5"/>
  <c r="K534" i="5"/>
  <c r="A535" i="5"/>
  <c r="C535" i="5"/>
  <c r="D535" i="5"/>
  <c r="E535" i="5"/>
  <c r="F535" i="5"/>
  <c r="G535" i="5"/>
  <c r="I535" i="5"/>
  <c r="J535" i="5"/>
  <c r="K535" i="5"/>
  <c r="A536" i="5"/>
  <c r="C536" i="5"/>
  <c r="D536" i="5"/>
  <c r="E536" i="5"/>
  <c r="F536" i="5"/>
  <c r="G536" i="5"/>
  <c r="I536" i="5"/>
  <c r="J536" i="5"/>
  <c r="K536" i="5"/>
  <c r="A537" i="5"/>
  <c r="C537" i="5"/>
  <c r="D537" i="5"/>
  <c r="E537" i="5"/>
  <c r="F537" i="5"/>
  <c r="G537" i="5"/>
  <c r="I537" i="5"/>
  <c r="J537" i="5"/>
  <c r="K537" i="5"/>
  <c r="A538" i="5"/>
  <c r="C538" i="5"/>
  <c r="D538" i="5"/>
  <c r="E538" i="5"/>
  <c r="F538" i="5"/>
  <c r="G538" i="5"/>
  <c r="I538" i="5"/>
  <c r="J538" i="5"/>
  <c r="K538" i="5"/>
  <c r="A539" i="5"/>
  <c r="C539" i="5"/>
  <c r="D539" i="5"/>
  <c r="E539" i="5"/>
  <c r="F539" i="5"/>
  <c r="G539" i="5"/>
  <c r="I539" i="5"/>
  <c r="J539" i="5"/>
  <c r="K539" i="5"/>
  <c r="A540" i="5"/>
  <c r="C540" i="5"/>
  <c r="D540" i="5"/>
  <c r="E540" i="5"/>
  <c r="F540" i="5"/>
  <c r="G540" i="5"/>
  <c r="I540" i="5"/>
  <c r="J540" i="5"/>
  <c r="K540" i="5"/>
  <c r="A541" i="5"/>
  <c r="C541" i="5"/>
  <c r="D541" i="5"/>
  <c r="E541" i="5"/>
  <c r="F541" i="5"/>
  <c r="G541" i="5"/>
  <c r="I541" i="5"/>
  <c r="J541" i="5"/>
  <c r="K541" i="5"/>
  <c r="A542" i="5"/>
  <c r="C542" i="5"/>
  <c r="D542" i="5"/>
  <c r="E542" i="5"/>
  <c r="F542" i="5"/>
  <c r="G542" i="5"/>
  <c r="I542" i="5"/>
  <c r="J542" i="5"/>
  <c r="K542" i="5"/>
  <c r="A543" i="5"/>
  <c r="C543" i="5"/>
  <c r="D543" i="5"/>
  <c r="E543" i="5"/>
  <c r="F543" i="5"/>
  <c r="G543" i="5"/>
  <c r="I543" i="5"/>
  <c r="J543" i="5"/>
  <c r="K543" i="5"/>
  <c r="A544" i="5"/>
  <c r="C544" i="5"/>
  <c r="D544" i="5"/>
  <c r="E544" i="5"/>
  <c r="F544" i="5"/>
  <c r="G544" i="5"/>
  <c r="I544" i="5"/>
  <c r="J544" i="5"/>
  <c r="K544" i="5"/>
  <c r="A545" i="5"/>
  <c r="C545" i="5"/>
  <c r="D545" i="5"/>
  <c r="E545" i="5"/>
  <c r="F545" i="5"/>
  <c r="G545" i="5"/>
  <c r="I545" i="5"/>
  <c r="J545" i="5"/>
  <c r="K545" i="5"/>
  <c r="A546" i="5"/>
  <c r="C546" i="5"/>
  <c r="D546" i="5"/>
  <c r="E546" i="5"/>
  <c r="F546" i="5"/>
  <c r="G546" i="5"/>
  <c r="I546" i="5"/>
  <c r="J546" i="5"/>
  <c r="K546" i="5"/>
  <c r="A547" i="5"/>
  <c r="C547" i="5"/>
  <c r="D547" i="5"/>
  <c r="E547" i="5"/>
  <c r="F547" i="5"/>
  <c r="G547" i="5"/>
  <c r="I547" i="5"/>
  <c r="J547" i="5"/>
  <c r="K547" i="5"/>
  <c r="A548" i="5"/>
  <c r="C548" i="5"/>
  <c r="D548" i="5"/>
  <c r="E548" i="5"/>
  <c r="F548" i="5"/>
  <c r="G548" i="5"/>
  <c r="I548" i="5"/>
  <c r="J548" i="5"/>
  <c r="K548" i="5"/>
  <c r="A549" i="5"/>
  <c r="C549" i="5"/>
  <c r="D549" i="5"/>
  <c r="E549" i="5"/>
  <c r="F549" i="5"/>
  <c r="G549" i="5"/>
  <c r="I549" i="5"/>
  <c r="J549" i="5"/>
  <c r="K549" i="5"/>
  <c r="A550" i="5"/>
  <c r="C550" i="5"/>
  <c r="D550" i="5"/>
  <c r="E550" i="5"/>
  <c r="F550" i="5"/>
  <c r="G550" i="5"/>
  <c r="I550" i="5"/>
  <c r="J550" i="5"/>
  <c r="K550" i="5"/>
  <c r="A551" i="5"/>
  <c r="C551" i="5"/>
  <c r="D551" i="5"/>
  <c r="E551" i="5"/>
  <c r="F551" i="5"/>
  <c r="G551" i="5"/>
  <c r="I551" i="5"/>
  <c r="J551" i="5"/>
  <c r="K551" i="5"/>
  <c r="A552" i="5"/>
  <c r="C552" i="5"/>
  <c r="D552" i="5"/>
  <c r="E552" i="5"/>
  <c r="F552" i="5"/>
  <c r="G552" i="5"/>
  <c r="I552" i="5"/>
  <c r="J552" i="5"/>
  <c r="K552" i="5"/>
  <c r="A553" i="5"/>
  <c r="C553" i="5"/>
  <c r="D553" i="5"/>
  <c r="E553" i="5"/>
  <c r="F553" i="5"/>
  <c r="G553" i="5"/>
  <c r="I553" i="5"/>
  <c r="J553" i="5"/>
  <c r="K553" i="5"/>
  <c r="A554" i="5"/>
  <c r="C554" i="5"/>
  <c r="D554" i="5"/>
  <c r="E554" i="5"/>
  <c r="F554" i="5"/>
  <c r="G554" i="5"/>
  <c r="I554" i="5"/>
  <c r="J554" i="5"/>
  <c r="K554" i="5"/>
  <c r="A555" i="5"/>
  <c r="C555" i="5"/>
  <c r="D555" i="5"/>
  <c r="E555" i="5"/>
  <c r="F555" i="5"/>
  <c r="G555" i="5"/>
  <c r="I555" i="5"/>
  <c r="J555" i="5"/>
  <c r="K555" i="5"/>
  <c r="A556" i="5"/>
  <c r="C556" i="5"/>
  <c r="D556" i="5"/>
  <c r="E556" i="5"/>
  <c r="F556" i="5"/>
  <c r="G556" i="5"/>
  <c r="I556" i="5"/>
  <c r="J556" i="5"/>
  <c r="K556" i="5"/>
  <c r="A557" i="5"/>
  <c r="C557" i="5"/>
  <c r="D557" i="5"/>
  <c r="E557" i="5"/>
  <c r="F557" i="5"/>
  <c r="G557" i="5"/>
  <c r="I557" i="5"/>
  <c r="J557" i="5"/>
  <c r="K557" i="5"/>
  <c r="A558" i="5"/>
  <c r="C558" i="5"/>
  <c r="D558" i="5"/>
  <c r="E558" i="5"/>
  <c r="F558" i="5"/>
  <c r="G558" i="5"/>
  <c r="I558" i="5"/>
  <c r="J558" i="5"/>
  <c r="K558" i="5"/>
  <c r="A559" i="5"/>
  <c r="C559" i="5"/>
  <c r="D559" i="5"/>
  <c r="E559" i="5"/>
  <c r="F559" i="5"/>
  <c r="G559" i="5"/>
  <c r="I559" i="5"/>
  <c r="J559" i="5"/>
  <c r="K559" i="5"/>
  <c r="A560" i="5"/>
  <c r="C560" i="5"/>
  <c r="D560" i="5"/>
  <c r="E560" i="5"/>
  <c r="F560" i="5"/>
  <c r="G560" i="5"/>
  <c r="I560" i="5"/>
  <c r="J560" i="5"/>
  <c r="K560" i="5"/>
  <c r="A561" i="5"/>
  <c r="C561" i="5"/>
  <c r="D561" i="5"/>
  <c r="E561" i="5"/>
  <c r="F561" i="5"/>
  <c r="G561" i="5"/>
  <c r="I561" i="5"/>
  <c r="J561" i="5"/>
  <c r="K561" i="5"/>
  <c r="A562" i="5"/>
  <c r="C562" i="5"/>
  <c r="D562" i="5"/>
  <c r="E562" i="5"/>
  <c r="F562" i="5"/>
  <c r="G562" i="5"/>
  <c r="I562" i="5"/>
  <c r="J562" i="5"/>
  <c r="K562" i="5"/>
  <c r="A563" i="5"/>
  <c r="C563" i="5"/>
  <c r="D563" i="5"/>
  <c r="E563" i="5"/>
  <c r="F563" i="5"/>
  <c r="G563" i="5"/>
  <c r="I563" i="5"/>
  <c r="J563" i="5"/>
  <c r="K563" i="5"/>
  <c r="A564" i="5"/>
  <c r="C564" i="5"/>
  <c r="D564" i="5"/>
  <c r="E564" i="5"/>
  <c r="F564" i="5"/>
  <c r="G564" i="5"/>
  <c r="I564" i="5"/>
  <c r="J564" i="5"/>
  <c r="K564" i="5"/>
  <c r="A565" i="5"/>
  <c r="C565" i="5"/>
  <c r="D565" i="5"/>
  <c r="E565" i="5"/>
  <c r="F565" i="5"/>
  <c r="G565" i="5"/>
  <c r="I565" i="5"/>
  <c r="J565" i="5"/>
  <c r="K565" i="5"/>
  <c r="A566" i="5"/>
  <c r="C566" i="5"/>
  <c r="D566" i="5"/>
  <c r="E566" i="5"/>
  <c r="F566" i="5"/>
  <c r="G566" i="5"/>
  <c r="I566" i="5"/>
  <c r="J566" i="5"/>
  <c r="K566" i="5"/>
  <c r="A567" i="5"/>
  <c r="C567" i="5"/>
  <c r="D567" i="5"/>
  <c r="E567" i="5"/>
  <c r="F567" i="5"/>
  <c r="G567" i="5"/>
  <c r="I567" i="5"/>
  <c r="J567" i="5"/>
  <c r="K567" i="5"/>
  <c r="A568" i="5"/>
  <c r="C568" i="5"/>
  <c r="D568" i="5"/>
  <c r="E568" i="5"/>
  <c r="F568" i="5"/>
  <c r="G568" i="5"/>
  <c r="I568" i="5"/>
  <c r="J568" i="5"/>
  <c r="K568" i="5"/>
  <c r="A569" i="5"/>
  <c r="C569" i="5"/>
  <c r="D569" i="5"/>
  <c r="E569" i="5"/>
  <c r="F569" i="5"/>
  <c r="G569" i="5"/>
  <c r="I569" i="5"/>
  <c r="J569" i="5"/>
  <c r="K569" i="5"/>
  <c r="A570" i="5"/>
  <c r="C570" i="5"/>
  <c r="D570" i="5"/>
  <c r="E570" i="5"/>
  <c r="F570" i="5"/>
  <c r="G570" i="5"/>
  <c r="I570" i="5"/>
  <c r="J570" i="5"/>
  <c r="K570" i="5"/>
  <c r="A571" i="5"/>
  <c r="C571" i="5"/>
  <c r="D571" i="5"/>
  <c r="E571" i="5"/>
  <c r="F571" i="5"/>
  <c r="G571" i="5"/>
  <c r="I571" i="5"/>
  <c r="J571" i="5"/>
  <c r="K571" i="5"/>
  <c r="A572" i="5"/>
  <c r="C572" i="5"/>
  <c r="D572" i="5"/>
  <c r="E572" i="5"/>
  <c r="F572" i="5"/>
  <c r="G572" i="5"/>
  <c r="I572" i="5"/>
  <c r="J572" i="5"/>
  <c r="K572" i="5"/>
  <c r="A573" i="5"/>
  <c r="C573" i="5"/>
  <c r="D573" i="5"/>
  <c r="E573" i="5"/>
  <c r="F573" i="5"/>
  <c r="G573" i="5"/>
  <c r="I573" i="5"/>
  <c r="J573" i="5"/>
  <c r="K573" i="5"/>
  <c r="A574" i="5"/>
  <c r="C574" i="5"/>
  <c r="D574" i="5"/>
  <c r="E574" i="5"/>
  <c r="F574" i="5"/>
  <c r="G574" i="5"/>
  <c r="I574" i="5"/>
  <c r="J574" i="5"/>
  <c r="K574" i="5"/>
  <c r="A575" i="5"/>
  <c r="C575" i="5"/>
  <c r="D575" i="5"/>
  <c r="E575" i="5"/>
  <c r="F575" i="5"/>
  <c r="G575" i="5"/>
  <c r="I575" i="5"/>
  <c r="J575" i="5"/>
  <c r="K575" i="5"/>
  <c r="A576" i="5"/>
  <c r="C576" i="5"/>
  <c r="D576" i="5"/>
  <c r="E576" i="5"/>
  <c r="F576" i="5"/>
  <c r="G576" i="5"/>
  <c r="I576" i="5"/>
  <c r="J576" i="5"/>
  <c r="K576" i="5"/>
  <c r="A577" i="5"/>
  <c r="C577" i="5"/>
  <c r="D577" i="5"/>
  <c r="E577" i="5"/>
  <c r="F577" i="5"/>
  <c r="G577" i="5"/>
  <c r="I577" i="5"/>
  <c r="J577" i="5"/>
  <c r="K577" i="5"/>
  <c r="A578" i="5"/>
  <c r="C578" i="5"/>
  <c r="D578" i="5"/>
  <c r="E578" i="5"/>
  <c r="F578" i="5"/>
  <c r="G578" i="5"/>
  <c r="I578" i="5"/>
  <c r="J578" i="5"/>
  <c r="K578" i="5"/>
  <c r="A579" i="5"/>
  <c r="C579" i="5"/>
  <c r="D579" i="5"/>
  <c r="E579" i="5"/>
  <c r="F579" i="5"/>
  <c r="G579" i="5"/>
  <c r="I579" i="5"/>
  <c r="J579" i="5"/>
  <c r="K579" i="5"/>
  <c r="A580" i="5"/>
  <c r="C580" i="5"/>
  <c r="D580" i="5"/>
  <c r="E580" i="5"/>
  <c r="F580" i="5"/>
  <c r="G580" i="5"/>
  <c r="I580" i="5"/>
  <c r="J580" i="5"/>
  <c r="K580" i="5"/>
  <c r="A581" i="5"/>
  <c r="C581" i="5"/>
  <c r="D581" i="5"/>
  <c r="E581" i="5"/>
  <c r="F581" i="5"/>
  <c r="G581" i="5"/>
  <c r="I581" i="5"/>
  <c r="J581" i="5"/>
  <c r="K581" i="5"/>
  <c r="A582" i="5"/>
  <c r="C582" i="5"/>
  <c r="D582" i="5"/>
  <c r="E582" i="5"/>
  <c r="F582" i="5"/>
  <c r="G582" i="5"/>
  <c r="I582" i="5"/>
  <c r="J582" i="5"/>
  <c r="K582" i="5"/>
  <c r="A583" i="5"/>
  <c r="C583" i="5"/>
  <c r="D583" i="5"/>
  <c r="E583" i="5"/>
  <c r="F583" i="5"/>
  <c r="G583" i="5"/>
  <c r="I583" i="5"/>
  <c r="J583" i="5"/>
  <c r="K583" i="5"/>
  <c r="A584" i="5"/>
  <c r="C584" i="5"/>
  <c r="D584" i="5"/>
  <c r="E584" i="5"/>
  <c r="F584" i="5"/>
  <c r="G584" i="5"/>
  <c r="I584" i="5"/>
  <c r="J584" i="5"/>
  <c r="K584" i="5"/>
  <c r="A585" i="5"/>
  <c r="C585" i="5"/>
  <c r="D585" i="5"/>
  <c r="E585" i="5"/>
  <c r="F585" i="5"/>
  <c r="G585" i="5"/>
  <c r="I585" i="5"/>
  <c r="J585" i="5"/>
  <c r="K585" i="5"/>
  <c r="A586" i="5"/>
  <c r="C586" i="5"/>
  <c r="D586" i="5"/>
  <c r="E586" i="5"/>
  <c r="F586" i="5"/>
  <c r="G586" i="5"/>
  <c r="I586" i="5"/>
  <c r="J586" i="5"/>
  <c r="K586" i="5"/>
  <c r="A587" i="5"/>
  <c r="C587" i="5"/>
  <c r="D587" i="5"/>
  <c r="E587" i="5"/>
  <c r="F587" i="5"/>
  <c r="G587" i="5"/>
  <c r="I587" i="5"/>
  <c r="J587" i="5"/>
  <c r="K587" i="5"/>
  <c r="A588" i="5"/>
  <c r="C588" i="5"/>
  <c r="D588" i="5"/>
  <c r="E588" i="5"/>
  <c r="F588" i="5"/>
  <c r="G588" i="5"/>
  <c r="I588" i="5"/>
  <c r="J588" i="5"/>
  <c r="K588" i="5"/>
  <c r="A589" i="5"/>
  <c r="C589" i="5"/>
  <c r="D589" i="5"/>
  <c r="E589" i="5"/>
  <c r="F589" i="5"/>
  <c r="G589" i="5"/>
  <c r="I589" i="5"/>
  <c r="J589" i="5"/>
  <c r="K589" i="5"/>
  <c r="A590" i="5"/>
  <c r="C590" i="5"/>
  <c r="D590" i="5"/>
  <c r="E590" i="5"/>
  <c r="F590" i="5"/>
  <c r="G590" i="5"/>
  <c r="I590" i="5"/>
  <c r="J590" i="5"/>
  <c r="K590" i="5"/>
  <c r="A591" i="5"/>
  <c r="C591" i="5"/>
  <c r="D591" i="5"/>
  <c r="E591" i="5"/>
  <c r="F591" i="5"/>
  <c r="G591" i="5"/>
  <c r="I591" i="5"/>
  <c r="J591" i="5"/>
  <c r="K591" i="5"/>
  <c r="A592" i="5"/>
  <c r="C592" i="5"/>
  <c r="D592" i="5"/>
  <c r="E592" i="5"/>
  <c r="F592" i="5"/>
  <c r="G592" i="5"/>
  <c r="I592" i="5"/>
  <c r="J592" i="5"/>
  <c r="K592" i="5"/>
  <c r="A593" i="5"/>
  <c r="C593" i="5"/>
  <c r="D593" i="5"/>
  <c r="E593" i="5"/>
  <c r="F593" i="5"/>
  <c r="G593" i="5"/>
  <c r="I593" i="5"/>
  <c r="J593" i="5"/>
  <c r="K593" i="5"/>
  <c r="A594" i="5"/>
  <c r="C594" i="5"/>
  <c r="D594" i="5"/>
  <c r="E594" i="5"/>
  <c r="F594" i="5"/>
  <c r="G594" i="5"/>
  <c r="I594" i="5"/>
  <c r="J594" i="5"/>
  <c r="K594" i="5"/>
  <c r="A595" i="5"/>
  <c r="C595" i="5"/>
  <c r="D595" i="5"/>
  <c r="E595" i="5"/>
  <c r="F595" i="5"/>
  <c r="G595" i="5"/>
  <c r="I595" i="5"/>
  <c r="J595" i="5"/>
  <c r="K595" i="5"/>
  <c r="A596" i="5"/>
  <c r="C596" i="5"/>
  <c r="D596" i="5"/>
  <c r="E596" i="5"/>
  <c r="F596" i="5"/>
  <c r="G596" i="5"/>
  <c r="I596" i="5"/>
  <c r="J596" i="5"/>
  <c r="K596" i="5"/>
  <c r="A597" i="5"/>
  <c r="C597" i="5"/>
  <c r="D597" i="5"/>
  <c r="E597" i="5"/>
  <c r="F597" i="5"/>
  <c r="G597" i="5"/>
  <c r="I597" i="5"/>
  <c r="J597" i="5"/>
  <c r="K597" i="5"/>
  <c r="A598" i="5"/>
  <c r="C598" i="5"/>
  <c r="D598" i="5"/>
  <c r="E598" i="5"/>
  <c r="F598" i="5"/>
  <c r="G598" i="5"/>
  <c r="I598" i="5"/>
  <c r="J598" i="5"/>
  <c r="K598" i="5"/>
  <c r="A599" i="5"/>
  <c r="C599" i="5"/>
  <c r="D599" i="5"/>
  <c r="E599" i="5"/>
  <c r="F599" i="5"/>
  <c r="G599" i="5"/>
  <c r="I599" i="5"/>
  <c r="J599" i="5"/>
  <c r="K599" i="5"/>
  <c r="A600" i="5"/>
  <c r="C600" i="5"/>
  <c r="D600" i="5"/>
  <c r="E600" i="5"/>
  <c r="F600" i="5"/>
  <c r="G600" i="5"/>
  <c r="I600" i="5"/>
  <c r="J600" i="5"/>
  <c r="K600" i="5"/>
  <c r="A601" i="5"/>
  <c r="C601" i="5"/>
  <c r="D601" i="5"/>
  <c r="E601" i="5"/>
  <c r="F601" i="5"/>
  <c r="G601" i="5"/>
  <c r="I601" i="5"/>
  <c r="J601" i="5"/>
  <c r="K601" i="5"/>
  <c r="A602" i="5"/>
  <c r="C602" i="5"/>
  <c r="D602" i="5"/>
  <c r="E602" i="5"/>
  <c r="F602" i="5"/>
  <c r="G602" i="5"/>
  <c r="I602" i="5"/>
  <c r="J602" i="5"/>
  <c r="K602" i="5"/>
  <c r="A603" i="5"/>
  <c r="C603" i="5"/>
  <c r="D603" i="5"/>
  <c r="E603" i="5"/>
  <c r="F603" i="5"/>
  <c r="G603" i="5"/>
  <c r="I603" i="5"/>
  <c r="J603" i="5"/>
  <c r="K603" i="5"/>
  <c r="A604" i="5"/>
  <c r="C604" i="5"/>
  <c r="D604" i="5"/>
  <c r="E604" i="5"/>
  <c r="F604" i="5"/>
  <c r="G604" i="5"/>
  <c r="I604" i="5"/>
  <c r="J604" i="5"/>
  <c r="K604" i="5"/>
  <c r="A605" i="5"/>
  <c r="C605" i="5"/>
  <c r="D605" i="5"/>
  <c r="E605" i="5"/>
  <c r="F605" i="5"/>
  <c r="G605" i="5"/>
  <c r="I605" i="5"/>
  <c r="J605" i="5"/>
  <c r="K605" i="5"/>
  <c r="A606" i="5"/>
  <c r="C606" i="5"/>
  <c r="D606" i="5"/>
  <c r="E606" i="5"/>
  <c r="F606" i="5"/>
  <c r="G606" i="5"/>
  <c r="I606" i="5"/>
  <c r="J606" i="5"/>
  <c r="K606" i="5"/>
  <c r="A607" i="5"/>
  <c r="C607" i="5"/>
  <c r="D607" i="5"/>
  <c r="E607" i="5"/>
  <c r="F607" i="5"/>
  <c r="G607" i="5"/>
  <c r="I607" i="5"/>
  <c r="J607" i="5"/>
  <c r="K607" i="5"/>
  <c r="A608" i="5"/>
  <c r="C608" i="5"/>
  <c r="D608" i="5"/>
  <c r="E608" i="5"/>
  <c r="F608" i="5"/>
  <c r="G608" i="5"/>
  <c r="I608" i="5"/>
  <c r="J608" i="5"/>
  <c r="K608" i="5"/>
  <c r="A609" i="5"/>
  <c r="C609" i="5"/>
  <c r="D609" i="5"/>
  <c r="E609" i="5"/>
  <c r="F609" i="5"/>
  <c r="G609" i="5"/>
  <c r="I609" i="5"/>
  <c r="J609" i="5"/>
  <c r="K609" i="5"/>
  <c r="A610" i="5"/>
  <c r="C610" i="5"/>
  <c r="D610" i="5"/>
  <c r="E610" i="5"/>
  <c r="F610" i="5"/>
  <c r="G610" i="5"/>
  <c r="I610" i="5"/>
  <c r="J610" i="5"/>
  <c r="K610" i="5"/>
  <c r="A611" i="5"/>
  <c r="C611" i="5"/>
  <c r="D611" i="5"/>
  <c r="E611" i="5"/>
  <c r="F611" i="5"/>
  <c r="G611" i="5"/>
  <c r="I611" i="5"/>
  <c r="J611" i="5"/>
  <c r="K611" i="5"/>
  <c r="A612" i="5"/>
  <c r="C612" i="5"/>
  <c r="D612" i="5"/>
  <c r="E612" i="5"/>
  <c r="F612" i="5"/>
  <c r="G612" i="5"/>
  <c r="I612" i="5"/>
  <c r="J612" i="5"/>
  <c r="K612" i="5"/>
  <c r="A613" i="5"/>
  <c r="C613" i="5"/>
  <c r="D613" i="5"/>
  <c r="E613" i="5"/>
  <c r="F613" i="5"/>
  <c r="G613" i="5"/>
  <c r="I613" i="5"/>
  <c r="J613" i="5"/>
  <c r="K613" i="5"/>
  <c r="A614" i="5"/>
  <c r="C614" i="5"/>
  <c r="D614" i="5"/>
  <c r="E614" i="5"/>
  <c r="F614" i="5"/>
  <c r="G614" i="5"/>
  <c r="I614" i="5"/>
  <c r="J614" i="5"/>
  <c r="K614" i="5"/>
  <c r="A615" i="5"/>
  <c r="C615" i="5"/>
  <c r="D615" i="5"/>
  <c r="E615" i="5"/>
  <c r="F615" i="5"/>
  <c r="G615" i="5"/>
  <c r="I615" i="5"/>
  <c r="J615" i="5"/>
  <c r="K615" i="5"/>
  <c r="A616" i="5"/>
  <c r="C616" i="5"/>
  <c r="D616" i="5"/>
  <c r="E616" i="5"/>
  <c r="F616" i="5"/>
  <c r="G616" i="5"/>
  <c r="I616" i="5"/>
  <c r="J616" i="5"/>
  <c r="K616" i="5"/>
  <c r="A617" i="5"/>
  <c r="C617" i="5"/>
  <c r="D617" i="5"/>
  <c r="E617" i="5"/>
  <c r="F617" i="5"/>
  <c r="G617" i="5"/>
  <c r="I617" i="5"/>
  <c r="J617" i="5"/>
  <c r="K617" i="5"/>
  <c r="A2" i="4"/>
  <c r="C2" i="4"/>
  <c r="D2" i="4"/>
  <c r="E2" i="4"/>
  <c r="F2" i="4"/>
  <c r="G2" i="4"/>
  <c r="I2" i="4"/>
  <c r="J2" i="4"/>
  <c r="K2" i="4"/>
  <c r="A3" i="4"/>
  <c r="C3" i="4"/>
  <c r="D3" i="4"/>
  <c r="E3" i="4"/>
  <c r="F3" i="4"/>
  <c r="G3" i="4"/>
  <c r="I3" i="4"/>
  <c r="J3" i="4"/>
  <c r="K3" i="4"/>
  <c r="A4" i="4"/>
  <c r="C4" i="4"/>
  <c r="D4" i="4"/>
  <c r="E4" i="4"/>
  <c r="F4" i="4"/>
  <c r="G4" i="4"/>
  <c r="I4" i="4"/>
  <c r="J4" i="4"/>
  <c r="K4" i="4"/>
  <c r="A5" i="4"/>
  <c r="C5" i="4"/>
  <c r="D5" i="4"/>
  <c r="E5" i="4"/>
  <c r="F5" i="4"/>
  <c r="G5" i="4"/>
  <c r="I5" i="4"/>
  <c r="J5" i="4"/>
  <c r="K5" i="4"/>
  <c r="A6" i="4"/>
  <c r="C6" i="4"/>
  <c r="D6" i="4"/>
  <c r="E6" i="4"/>
  <c r="F6" i="4"/>
  <c r="G6" i="4"/>
  <c r="I6" i="4"/>
  <c r="J6" i="4"/>
  <c r="K6" i="4"/>
  <c r="A7" i="4"/>
  <c r="C7" i="4"/>
  <c r="D7" i="4"/>
  <c r="E7" i="4"/>
  <c r="F7" i="4"/>
  <c r="G7" i="4"/>
  <c r="I7" i="4"/>
  <c r="J7" i="4"/>
  <c r="K7" i="4"/>
  <c r="A8" i="4"/>
  <c r="C8" i="4"/>
  <c r="D8" i="4"/>
  <c r="E8" i="4"/>
  <c r="F8" i="4"/>
  <c r="G8" i="4"/>
  <c r="I8" i="4"/>
  <c r="J8" i="4"/>
  <c r="K8" i="4"/>
  <c r="A9" i="4"/>
  <c r="C9" i="4"/>
  <c r="D9" i="4"/>
  <c r="E9" i="4"/>
  <c r="F9" i="4"/>
  <c r="G9" i="4"/>
  <c r="I9" i="4"/>
  <c r="J9" i="4"/>
  <c r="K9" i="4"/>
  <c r="A10" i="4"/>
  <c r="C10" i="4"/>
  <c r="D10" i="4"/>
  <c r="E10" i="4"/>
  <c r="F10" i="4"/>
  <c r="G10" i="4"/>
  <c r="I10" i="4"/>
  <c r="J10" i="4"/>
  <c r="K10" i="4"/>
  <c r="A11" i="4"/>
  <c r="C11" i="4"/>
  <c r="D11" i="4"/>
  <c r="E11" i="4"/>
  <c r="F11" i="4"/>
  <c r="G11" i="4"/>
  <c r="I11" i="4"/>
  <c r="J11" i="4"/>
  <c r="K11" i="4"/>
  <c r="A12" i="4"/>
  <c r="C12" i="4"/>
  <c r="D12" i="4"/>
  <c r="E12" i="4"/>
  <c r="F12" i="4"/>
  <c r="G12" i="4"/>
  <c r="I12" i="4"/>
  <c r="J12" i="4"/>
  <c r="K12" i="4"/>
  <c r="A13" i="4"/>
  <c r="C13" i="4"/>
  <c r="D13" i="4"/>
  <c r="E13" i="4"/>
  <c r="F13" i="4"/>
  <c r="G13" i="4"/>
  <c r="I13" i="4"/>
  <c r="J13" i="4"/>
  <c r="K13" i="4"/>
  <c r="A14" i="4"/>
  <c r="C14" i="4"/>
  <c r="D14" i="4"/>
  <c r="E14" i="4"/>
  <c r="F14" i="4"/>
  <c r="G14" i="4"/>
  <c r="I14" i="4"/>
  <c r="J14" i="4"/>
  <c r="K14" i="4"/>
  <c r="A15" i="4"/>
  <c r="C15" i="4"/>
  <c r="D15" i="4"/>
  <c r="E15" i="4"/>
  <c r="F15" i="4"/>
  <c r="G15" i="4"/>
  <c r="I15" i="4"/>
  <c r="J15" i="4"/>
  <c r="K15" i="4"/>
  <c r="A16" i="4"/>
  <c r="C16" i="4"/>
  <c r="D16" i="4"/>
  <c r="E16" i="4"/>
  <c r="F16" i="4"/>
  <c r="G16" i="4"/>
  <c r="I16" i="4"/>
  <c r="J16" i="4"/>
  <c r="K16" i="4"/>
  <c r="A17" i="4"/>
  <c r="C17" i="4"/>
  <c r="D17" i="4"/>
  <c r="E17" i="4"/>
  <c r="F17" i="4"/>
  <c r="G17" i="4"/>
  <c r="I17" i="4"/>
  <c r="J17" i="4"/>
  <c r="K17" i="4"/>
  <c r="A18" i="4"/>
  <c r="C18" i="4"/>
  <c r="D18" i="4"/>
  <c r="E18" i="4"/>
  <c r="F18" i="4"/>
  <c r="G18" i="4"/>
  <c r="I18" i="4"/>
  <c r="J18" i="4"/>
  <c r="K18" i="4"/>
  <c r="A19" i="4"/>
  <c r="C19" i="4"/>
  <c r="D19" i="4"/>
  <c r="E19" i="4"/>
  <c r="F19" i="4"/>
  <c r="G19" i="4"/>
  <c r="I19" i="4"/>
  <c r="J19" i="4"/>
  <c r="K19" i="4"/>
  <c r="A20" i="4"/>
  <c r="C20" i="4"/>
  <c r="D20" i="4"/>
  <c r="E20" i="4"/>
  <c r="F20" i="4"/>
  <c r="G20" i="4"/>
  <c r="I20" i="4"/>
  <c r="J20" i="4"/>
  <c r="K20" i="4"/>
  <c r="A21" i="4"/>
  <c r="C21" i="4"/>
  <c r="D21" i="4"/>
  <c r="E21" i="4"/>
  <c r="F21" i="4"/>
  <c r="G21" i="4"/>
  <c r="I21" i="4"/>
  <c r="J21" i="4"/>
  <c r="K21" i="4"/>
  <c r="A22" i="4"/>
  <c r="C22" i="4"/>
  <c r="D22" i="4"/>
  <c r="E22" i="4"/>
  <c r="F22" i="4"/>
  <c r="G22" i="4"/>
  <c r="I22" i="4"/>
  <c r="J22" i="4"/>
  <c r="K22" i="4"/>
  <c r="A23" i="4"/>
  <c r="C23" i="4"/>
  <c r="D23" i="4"/>
  <c r="E23" i="4"/>
  <c r="F23" i="4"/>
  <c r="G23" i="4"/>
  <c r="I23" i="4"/>
  <c r="J23" i="4"/>
  <c r="K23" i="4"/>
  <c r="A24" i="4"/>
  <c r="C24" i="4"/>
  <c r="D24" i="4"/>
  <c r="E24" i="4"/>
  <c r="F24" i="4"/>
  <c r="G24" i="4"/>
  <c r="I24" i="4"/>
  <c r="J24" i="4"/>
  <c r="K24" i="4"/>
  <c r="A25" i="4"/>
  <c r="C25" i="4"/>
  <c r="D25" i="4"/>
  <c r="E25" i="4"/>
  <c r="F25" i="4"/>
  <c r="G25" i="4"/>
  <c r="I25" i="4"/>
  <c r="J25" i="4"/>
  <c r="K25" i="4"/>
  <c r="A26" i="4"/>
  <c r="C26" i="4"/>
  <c r="D26" i="4"/>
  <c r="E26" i="4"/>
  <c r="F26" i="4"/>
  <c r="G26" i="4"/>
  <c r="I26" i="4"/>
  <c r="J26" i="4"/>
  <c r="K26" i="4"/>
  <c r="A27" i="4"/>
  <c r="C27" i="4"/>
  <c r="D27" i="4"/>
  <c r="E27" i="4"/>
  <c r="F27" i="4"/>
  <c r="G27" i="4"/>
  <c r="I27" i="4"/>
  <c r="J27" i="4"/>
  <c r="K27" i="4"/>
  <c r="A28" i="4"/>
  <c r="C28" i="4"/>
  <c r="D28" i="4"/>
  <c r="E28" i="4"/>
  <c r="F28" i="4"/>
  <c r="G28" i="4"/>
  <c r="I28" i="4"/>
  <c r="J28" i="4"/>
  <c r="K28" i="4"/>
  <c r="A29" i="4"/>
  <c r="C29" i="4"/>
  <c r="D29" i="4"/>
  <c r="E29" i="4"/>
  <c r="F29" i="4"/>
  <c r="G29" i="4"/>
  <c r="I29" i="4"/>
  <c r="J29" i="4"/>
  <c r="K29" i="4"/>
  <c r="A30" i="4"/>
  <c r="C30" i="4"/>
  <c r="D30" i="4"/>
  <c r="E30" i="4"/>
  <c r="F30" i="4"/>
  <c r="G30" i="4"/>
  <c r="I30" i="4"/>
  <c r="J30" i="4"/>
  <c r="K30" i="4"/>
  <c r="A31" i="4"/>
  <c r="C31" i="4"/>
  <c r="D31" i="4"/>
  <c r="E31" i="4"/>
  <c r="F31" i="4"/>
  <c r="G31" i="4"/>
  <c r="I31" i="4"/>
  <c r="J31" i="4"/>
  <c r="K31" i="4"/>
  <c r="A32" i="4"/>
  <c r="C32" i="4"/>
  <c r="D32" i="4"/>
  <c r="E32" i="4"/>
  <c r="F32" i="4"/>
  <c r="G32" i="4"/>
  <c r="I32" i="4"/>
  <c r="J32" i="4"/>
  <c r="K32" i="4"/>
  <c r="A33" i="4"/>
  <c r="C33" i="4"/>
  <c r="D33" i="4"/>
  <c r="E33" i="4"/>
  <c r="F33" i="4"/>
  <c r="G33" i="4"/>
  <c r="I33" i="4"/>
  <c r="J33" i="4"/>
  <c r="K33" i="4"/>
  <c r="A34" i="4"/>
  <c r="C34" i="4"/>
  <c r="D34" i="4"/>
  <c r="E34" i="4"/>
  <c r="F34" i="4"/>
  <c r="G34" i="4"/>
  <c r="I34" i="4"/>
  <c r="J34" i="4"/>
  <c r="K34" i="4"/>
  <c r="A35" i="4"/>
  <c r="C35" i="4"/>
  <c r="D35" i="4"/>
  <c r="E35" i="4"/>
  <c r="F35" i="4"/>
  <c r="G35" i="4"/>
  <c r="I35" i="4"/>
  <c r="J35" i="4"/>
  <c r="K35" i="4"/>
  <c r="A36" i="4"/>
  <c r="C36" i="4"/>
  <c r="D36" i="4"/>
  <c r="E36" i="4"/>
  <c r="F36" i="4"/>
  <c r="G36" i="4"/>
  <c r="I36" i="4"/>
  <c r="J36" i="4"/>
  <c r="K36" i="4"/>
  <c r="A37" i="4"/>
  <c r="C37" i="4"/>
  <c r="D37" i="4"/>
  <c r="E37" i="4"/>
  <c r="F37" i="4"/>
  <c r="G37" i="4"/>
  <c r="I37" i="4"/>
  <c r="J37" i="4"/>
  <c r="K37" i="4"/>
  <c r="A38" i="4"/>
  <c r="C38" i="4"/>
  <c r="D38" i="4"/>
  <c r="E38" i="4"/>
  <c r="F38" i="4"/>
  <c r="G38" i="4"/>
  <c r="I38" i="4"/>
  <c r="J38" i="4"/>
  <c r="K38" i="4"/>
  <c r="A39" i="4"/>
  <c r="C39" i="4"/>
  <c r="D39" i="4"/>
  <c r="E39" i="4"/>
  <c r="F39" i="4"/>
  <c r="G39" i="4"/>
  <c r="I39" i="4"/>
  <c r="J39" i="4"/>
  <c r="K39" i="4"/>
  <c r="A40" i="4"/>
  <c r="C40" i="4"/>
  <c r="D40" i="4"/>
  <c r="E40" i="4"/>
  <c r="F40" i="4"/>
  <c r="G40" i="4"/>
  <c r="I40" i="4"/>
  <c r="J40" i="4"/>
  <c r="K40" i="4"/>
  <c r="A41" i="4"/>
  <c r="C41" i="4"/>
  <c r="D41" i="4"/>
  <c r="E41" i="4"/>
  <c r="F41" i="4"/>
  <c r="G41" i="4"/>
  <c r="I41" i="4"/>
  <c r="J41" i="4"/>
  <c r="K41" i="4"/>
  <c r="A42" i="4"/>
  <c r="C42" i="4"/>
  <c r="D42" i="4"/>
  <c r="E42" i="4"/>
  <c r="F42" i="4"/>
  <c r="G42" i="4"/>
  <c r="I42" i="4"/>
  <c r="J42" i="4"/>
  <c r="K42" i="4"/>
  <c r="A43" i="4"/>
  <c r="C43" i="4"/>
  <c r="D43" i="4"/>
  <c r="E43" i="4"/>
  <c r="F43" i="4"/>
  <c r="G43" i="4"/>
  <c r="I43" i="4"/>
  <c r="J43" i="4"/>
  <c r="K43" i="4"/>
  <c r="A44" i="4"/>
  <c r="C44" i="4"/>
  <c r="D44" i="4"/>
  <c r="E44" i="4"/>
  <c r="F44" i="4"/>
  <c r="G44" i="4"/>
  <c r="I44" i="4"/>
  <c r="J44" i="4"/>
  <c r="K44" i="4"/>
  <c r="A45" i="4"/>
  <c r="C45" i="4"/>
  <c r="D45" i="4"/>
  <c r="E45" i="4"/>
  <c r="F45" i="4"/>
  <c r="G45" i="4"/>
  <c r="I45" i="4"/>
  <c r="J45" i="4"/>
  <c r="K45" i="4"/>
  <c r="A46" i="4"/>
  <c r="C46" i="4"/>
  <c r="D46" i="4"/>
  <c r="E46" i="4"/>
  <c r="F46" i="4"/>
  <c r="G46" i="4"/>
  <c r="I46" i="4"/>
  <c r="J46" i="4"/>
  <c r="K46" i="4"/>
  <c r="A47" i="4"/>
  <c r="C47" i="4"/>
  <c r="D47" i="4"/>
  <c r="E47" i="4"/>
  <c r="F47" i="4"/>
  <c r="G47" i="4"/>
  <c r="I47" i="4"/>
  <c r="J47" i="4"/>
  <c r="K47" i="4"/>
  <c r="A48" i="4"/>
  <c r="C48" i="4"/>
  <c r="D48" i="4"/>
  <c r="E48" i="4"/>
  <c r="F48" i="4"/>
  <c r="G48" i="4"/>
  <c r="I48" i="4"/>
  <c r="J48" i="4"/>
  <c r="K48" i="4"/>
  <c r="A49" i="4"/>
  <c r="C49" i="4"/>
  <c r="D49" i="4"/>
  <c r="E49" i="4"/>
  <c r="F49" i="4"/>
  <c r="G49" i="4"/>
  <c r="I49" i="4"/>
  <c r="J49" i="4"/>
  <c r="K49" i="4"/>
  <c r="A50" i="4"/>
  <c r="C50" i="4"/>
  <c r="D50" i="4"/>
  <c r="E50" i="4"/>
  <c r="F50" i="4"/>
  <c r="G50" i="4"/>
  <c r="I50" i="4"/>
  <c r="J50" i="4"/>
  <c r="K50" i="4"/>
  <c r="A51" i="4"/>
  <c r="C51" i="4"/>
  <c r="D51" i="4"/>
  <c r="E51" i="4"/>
  <c r="F51" i="4"/>
  <c r="G51" i="4"/>
  <c r="I51" i="4"/>
  <c r="J51" i="4"/>
  <c r="K51" i="4"/>
  <c r="A52" i="4"/>
  <c r="C52" i="4"/>
  <c r="D52" i="4"/>
  <c r="E52" i="4"/>
  <c r="F52" i="4"/>
  <c r="G52" i="4"/>
  <c r="I52" i="4"/>
  <c r="J52" i="4"/>
  <c r="K52" i="4"/>
  <c r="A53" i="4"/>
  <c r="C53" i="4"/>
  <c r="D53" i="4"/>
  <c r="E53" i="4"/>
  <c r="F53" i="4"/>
  <c r="G53" i="4"/>
  <c r="I53" i="4"/>
  <c r="J53" i="4"/>
  <c r="K53" i="4"/>
  <c r="A54" i="4"/>
  <c r="C54" i="4"/>
  <c r="D54" i="4"/>
  <c r="E54" i="4"/>
  <c r="F54" i="4"/>
  <c r="G54" i="4"/>
  <c r="I54" i="4"/>
  <c r="J54" i="4"/>
  <c r="K54" i="4"/>
  <c r="A55" i="4"/>
  <c r="C55" i="4"/>
  <c r="D55" i="4"/>
  <c r="E55" i="4"/>
  <c r="F55" i="4"/>
  <c r="G55" i="4"/>
  <c r="I55" i="4"/>
  <c r="J55" i="4"/>
  <c r="K55" i="4"/>
  <c r="A56" i="4"/>
  <c r="C56" i="4"/>
  <c r="D56" i="4"/>
  <c r="E56" i="4"/>
  <c r="F56" i="4"/>
  <c r="G56" i="4"/>
  <c r="I56" i="4"/>
  <c r="J56" i="4"/>
  <c r="K56" i="4"/>
  <c r="A57" i="4"/>
  <c r="C57" i="4"/>
  <c r="D57" i="4"/>
  <c r="E57" i="4"/>
  <c r="F57" i="4"/>
  <c r="G57" i="4"/>
  <c r="I57" i="4"/>
  <c r="J57" i="4"/>
  <c r="K57" i="4"/>
  <c r="A58" i="4"/>
  <c r="C58" i="4"/>
  <c r="D58" i="4"/>
  <c r="E58" i="4"/>
  <c r="F58" i="4"/>
  <c r="G58" i="4"/>
  <c r="I58" i="4"/>
  <c r="J58" i="4"/>
  <c r="K58" i="4"/>
  <c r="A59" i="4"/>
  <c r="C59" i="4"/>
  <c r="D59" i="4"/>
  <c r="E59" i="4"/>
  <c r="F59" i="4"/>
  <c r="G59" i="4"/>
  <c r="I59" i="4"/>
  <c r="J59" i="4"/>
  <c r="K59" i="4"/>
  <c r="A60" i="4"/>
  <c r="C60" i="4"/>
  <c r="D60" i="4"/>
  <c r="E60" i="4"/>
  <c r="F60" i="4"/>
  <c r="G60" i="4"/>
  <c r="I60" i="4"/>
  <c r="J60" i="4"/>
  <c r="K60" i="4"/>
  <c r="A61" i="4"/>
  <c r="C61" i="4"/>
  <c r="D61" i="4"/>
  <c r="E61" i="4"/>
  <c r="F61" i="4"/>
  <c r="G61" i="4"/>
  <c r="I61" i="4"/>
  <c r="J61" i="4"/>
  <c r="K61" i="4"/>
  <c r="A62" i="4"/>
  <c r="C62" i="4"/>
  <c r="D62" i="4"/>
  <c r="E62" i="4"/>
  <c r="F62" i="4"/>
  <c r="G62" i="4"/>
  <c r="I62" i="4"/>
  <c r="J62" i="4"/>
  <c r="K62" i="4"/>
  <c r="A63" i="4"/>
  <c r="C63" i="4"/>
  <c r="D63" i="4"/>
  <c r="E63" i="4"/>
  <c r="F63" i="4"/>
  <c r="G63" i="4"/>
  <c r="I63" i="4"/>
  <c r="J63" i="4"/>
  <c r="K63" i="4"/>
  <c r="A64" i="4"/>
  <c r="C64" i="4"/>
  <c r="D64" i="4"/>
  <c r="E64" i="4"/>
  <c r="F64" i="4"/>
  <c r="G64" i="4"/>
  <c r="I64" i="4"/>
  <c r="J64" i="4"/>
  <c r="K64" i="4"/>
  <c r="A65" i="4"/>
  <c r="C65" i="4"/>
  <c r="D65" i="4"/>
  <c r="E65" i="4"/>
  <c r="F65" i="4"/>
  <c r="G65" i="4"/>
  <c r="I65" i="4"/>
  <c r="J65" i="4"/>
  <c r="K65" i="4"/>
  <c r="A66" i="4"/>
  <c r="C66" i="4"/>
  <c r="D66" i="4"/>
  <c r="E66" i="4"/>
  <c r="F66" i="4"/>
  <c r="G66" i="4"/>
  <c r="I66" i="4"/>
  <c r="J66" i="4"/>
  <c r="K66" i="4"/>
  <c r="A67" i="4"/>
  <c r="C67" i="4"/>
  <c r="D67" i="4"/>
  <c r="E67" i="4"/>
  <c r="F67" i="4"/>
  <c r="G67" i="4"/>
  <c r="I67" i="4"/>
  <c r="J67" i="4"/>
  <c r="K67" i="4"/>
  <c r="A68" i="4"/>
  <c r="C68" i="4"/>
  <c r="D68" i="4"/>
  <c r="E68" i="4"/>
  <c r="F68" i="4"/>
  <c r="G68" i="4"/>
  <c r="I68" i="4"/>
  <c r="J68" i="4"/>
  <c r="K68" i="4"/>
  <c r="A69" i="4"/>
  <c r="C69" i="4"/>
  <c r="D69" i="4"/>
  <c r="E69" i="4"/>
  <c r="F69" i="4"/>
  <c r="G69" i="4"/>
  <c r="I69" i="4"/>
  <c r="J69" i="4"/>
  <c r="K69" i="4"/>
  <c r="A70" i="4"/>
  <c r="C70" i="4"/>
  <c r="D70" i="4"/>
  <c r="E70" i="4"/>
  <c r="F70" i="4"/>
  <c r="G70" i="4"/>
  <c r="I70" i="4"/>
  <c r="J70" i="4"/>
  <c r="K70" i="4"/>
  <c r="A71" i="4"/>
  <c r="C71" i="4"/>
  <c r="D71" i="4"/>
  <c r="E71" i="4"/>
  <c r="F71" i="4"/>
  <c r="G71" i="4"/>
  <c r="I71" i="4"/>
  <c r="J71" i="4"/>
  <c r="K71" i="4"/>
  <c r="A72" i="4"/>
  <c r="C72" i="4"/>
  <c r="D72" i="4"/>
  <c r="E72" i="4"/>
  <c r="F72" i="4"/>
  <c r="G72" i="4"/>
  <c r="I72" i="4"/>
  <c r="J72" i="4"/>
  <c r="K72" i="4"/>
  <c r="A73" i="4"/>
  <c r="C73" i="4"/>
  <c r="D73" i="4"/>
  <c r="E73" i="4"/>
  <c r="F73" i="4"/>
  <c r="G73" i="4"/>
  <c r="I73" i="4"/>
  <c r="J73" i="4"/>
  <c r="K73" i="4"/>
  <c r="A74" i="4"/>
  <c r="C74" i="4"/>
  <c r="D74" i="4"/>
  <c r="E74" i="4"/>
  <c r="F74" i="4"/>
  <c r="G74" i="4"/>
  <c r="I74" i="4"/>
  <c r="J74" i="4"/>
  <c r="K74" i="4"/>
  <c r="A75" i="4"/>
  <c r="C75" i="4"/>
  <c r="D75" i="4"/>
  <c r="E75" i="4"/>
  <c r="F75" i="4"/>
  <c r="G75" i="4"/>
  <c r="I75" i="4"/>
  <c r="J75" i="4"/>
  <c r="K75" i="4"/>
  <c r="A76" i="4"/>
  <c r="C76" i="4"/>
  <c r="D76" i="4"/>
  <c r="E76" i="4"/>
  <c r="F76" i="4"/>
  <c r="G76" i="4"/>
  <c r="I76" i="4"/>
  <c r="J76" i="4"/>
  <c r="K76" i="4"/>
  <c r="A77" i="4"/>
  <c r="C77" i="4"/>
  <c r="D77" i="4"/>
  <c r="E77" i="4"/>
  <c r="F77" i="4"/>
  <c r="G77" i="4"/>
  <c r="I77" i="4"/>
  <c r="J77" i="4"/>
  <c r="K77" i="4"/>
  <c r="A78" i="4"/>
  <c r="C78" i="4"/>
  <c r="D78" i="4"/>
  <c r="E78" i="4"/>
  <c r="F78" i="4"/>
  <c r="G78" i="4"/>
  <c r="I78" i="4"/>
  <c r="J78" i="4"/>
  <c r="K78" i="4"/>
  <c r="A79" i="4"/>
  <c r="C79" i="4"/>
  <c r="D79" i="4"/>
  <c r="E79" i="4"/>
  <c r="F79" i="4"/>
  <c r="G79" i="4"/>
  <c r="I79" i="4"/>
  <c r="J79" i="4"/>
  <c r="K79" i="4"/>
  <c r="A80" i="4"/>
  <c r="C80" i="4"/>
  <c r="D80" i="4"/>
  <c r="E80" i="4"/>
  <c r="F80" i="4"/>
  <c r="G80" i="4"/>
  <c r="I80" i="4"/>
  <c r="J80" i="4"/>
  <c r="K80" i="4"/>
  <c r="A81" i="4"/>
  <c r="C81" i="4"/>
  <c r="D81" i="4"/>
  <c r="E81" i="4"/>
  <c r="F81" i="4"/>
  <c r="G81" i="4"/>
  <c r="I81" i="4"/>
  <c r="J81" i="4"/>
  <c r="K81" i="4"/>
  <c r="A82" i="4"/>
  <c r="C82" i="4"/>
  <c r="D82" i="4"/>
  <c r="E82" i="4"/>
  <c r="F82" i="4"/>
  <c r="G82" i="4"/>
  <c r="I82" i="4"/>
  <c r="J82" i="4"/>
  <c r="K82" i="4"/>
  <c r="A83" i="4"/>
  <c r="C83" i="4"/>
  <c r="D83" i="4"/>
  <c r="E83" i="4"/>
  <c r="F83" i="4"/>
  <c r="G83" i="4"/>
  <c r="I83" i="4"/>
  <c r="J83" i="4"/>
  <c r="K83" i="4"/>
  <c r="A84" i="4"/>
  <c r="C84" i="4"/>
  <c r="D84" i="4"/>
  <c r="E84" i="4"/>
  <c r="F84" i="4"/>
  <c r="G84" i="4"/>
  <c r="I84" i="4"/>
  <c r="J84" i="4"/>
  <c r="K84" i="4"/>
  <c r="A85" i="4"/>
  <c r="C85" i="4"/>
  <c r="D85" i="4"/>
  <c r="E85" i="4"/>
  <c r="F85" i="4"/>
  <c r="G85" i="4"/>
  <c r="I85" i="4"/>
  <c r="J85" i="4"/>
  <c r="K85" i="4"/>
  <c r="A86" i="4"/>
  <c r="C86" i="4"/>
  <c r="D86" i="4"/>
  <c r="E86" i="4"/>
  <c r="F86" i="4"/>
  <c r="G86" i="4"/>
  <c r="I86" i="4"/>
  <c r="J86" i="4"/>
  <c r="K86" i="4"/>
  <c r="A87" i="4"/>
  <c r="C87" i="4"/>
  <c r="D87" i="4"/>
  <c r="E87" i="4"/>
  <c r="F87" i="4"/>
  <c r="G87" i="4"/>
  <c r="I87" i="4"/>
  <c r="J87" i="4"/>
  <c r="K87" i="4"/>
  <c r="A88" i="4"/>
  <c r="C88" i="4"/>
  <c r="D88" i="4"/>
  <c r="E88" i="4"/>
  <c r="F88" i="4"/>
  <c r="G88" i="4"/>
  <c r="I88" i="4"/>
  <c r="J88" i="4"/>
  <c r="K88" i="4"/>
  <c r="A89" i="4"/>
  <c r="C89" i="4"/>
  <c r="D89" i="4"/>
  <c r="E89" i="4"/>
  <c r="F89" i="4"/>
  <c r="G89" i="4"/>
  <c r="I89" i="4"/>
  <c r="J89" i="4"/>
  <c r="K89" i="4"/>
  <c r="A90" i="4"/>
  <c r="C90" i="4"/>
  <c r="D90" i="4"/>
  <c r="E90" i="4"/>
  <c r="F90" i="4"/>
  <c r="G90" i="4"/>
  <c r="I90" i="4"/>
  <c r="J90" i="4"/>
  <c r="K90" i="4"/>
  <c r="A91" i="4"/>
  <c r="C91" i="4"/>
  <c r="D91" i="4"/>
  <c r="E91" i="4"/>
  <c r="F91" i="4"/>
  <c r="G91" i="4"/>
  <c r="I91" i="4"/>
  <c r="J91" i="4"/>
  <c r="K91" i="4"/>
  <c r="A92" i="4"/>
  <c r="C92" i="4"/>
  <c r="D92" i="4"/>
  <c r="E92" i="4"/>
  <c r="F92" i="4"/>
  <c r="G92" i="4"/>
  <c r="I92" i="4"/>
  <c r="J92" i="4"/>
  <c r="K92" i="4"/>
  <c r="A93" i="4"/>
  <c r="C93" i="4"/>
  <c r="D93" i="4"/>
  <c r="E93" i="4"/>
  <c r="F93" i="4"/>
  <c r="G93" i="4"/>
  <c r="I93" i="4"/>
  <c r="J93" i="4"/>
  <c r="K93" i="4"/>
  <c r="A94" i="4"/>
  <c r="C94" i="4"/>
  <c r="D94" i="4"/>
  <c r="E94" i="4"/>
  <c r="F94" i="4"/>
  <c r="G94" i="4"/>
  <c r="I94" i="4"/>
  <c r="J94" i="4"/>
  <c r="K94" i="4"/>
  <c r="A95" i="4"/>
  <c r="C95" i="4"/>
  <c r="D95" i="4"/>
  <c r="E95" i="4"/>
  <c r="F95" i="4"/>
  <c r="G95" i="4"/>
  <c r="I95" i="4"/>
  <c r="J95" i="4"/>
  <c r="K95" i="4"/>
  <c r="A96" i="4"/>
  <c r="C96" i="4"/>
  <c r="D96" i="4"/>
  <c r="E96" i="4"/>
  <c r="F96" i="4"/>
  <c r="G96" i="4"/>
  <c r="I96" i="4"/>
  <c r="J96" i="4"/>
  <c r="K96" i="4"/>
  <c r="A97" i="4"/>
  <c r="C97" i="4"/>
  <c r="D97" i="4"/>
  <c r="E97" i="4"/>
  <c r="F97" i="4"/>
  <c r="G97" i="4"/>
  <c r="I97" i="4"/>
  <c r="J97" i="4"/>
  <c r="K97" i="4"/>
  <c r="A98" i="4"/>
  <c r="C98" i="4"/>
  <c r="D98" i="4"/>
  <c r="E98" i="4"/>
  <c r="F98" i="4"/>
  <c r="G98" i="4"/>
  <c r="I98" i="4"/>
  <c r="J98" i="4"/>
  <c r="K98" i="4"/>
  <c r="A99" i="4"/>
  <c r="C99" i="4"/>
  <c r="D99" i="4"/>
  <c r="E99" i="4"/>
  <c r="F99" i="4"/>
  <c r="G99" i="4"/>
  <c r="I99" i="4"/>
  <c r="J99" i="4"/>
  <c r="K99" i="4"/>
  <c r="A100" i="4"/>
  <c r="C100" i="4"/>
  <c r="D100" i="4"/>
  <c r="E100" i="4"/>
  <c r="F100" i="4"/>
  <c r="G100" i="4"/>
  <c r="I100" i="4"/>
  <c r="J100" i="4"/>
  <c r="K100" i="4"/>
  <c r="A101" i="4"/>
  <c r="C101" i="4"/>
  <c r="D101" i="4"/>
  <c r="E101" i="4"/>
  <c r="F101" i="4"/>
  <c r="G101" i="4"/>
  <c r="I101" i="4"/>
  <c r="J101" i="4"/>
  <c r="K101" i="4"/>
  <c r="A102" i="4"/>
  <c r="C102" i="4"/>
  <c r="D102" i="4"/>
  <c r="E102" i="4"/>
  <c r="F102" i="4"/>
  <c r="G102" i="4"/>
  <c r="I102" i="4"/>
  <c r="J102" i="4"/>
  <c r="K102" i="4"/>
  <c r="A103" i="4"/>
  <c r="C103" i="4"/>
  <c r="D103" i="4"/>
  <c r="E103" i="4"/>
  <c r="F103" i="4"/>
  <c r="G103" i="4"/>
  <c r="I103" i="4"/>
  <c r="J103" i="4"/>
  <c r="K103" i="4"/>
  <c r="A104" i="4"/>
  <c r="C104" i="4"/>
  <c r="D104" i="4"/>
  <c r="E104" i="4"/>
  <c r="F104" i="4"/>
  <c r="G104" i="4"/>
  <c r="I104" i="4"/>
  <c r="J104" i="4"/>
  <c r="K104" i="4"/>
  <c r="A105" i="4"/>
  <c r="C105" i="4"/>
  <c r="D105" i="4"/>
  <c r="E105" i="4"/>
  <c r="F105" i="4"/>
  <c r="G105" i="4"/>
  <c r="I105" i="4"/>
  <c r="J105" i="4"/>
  <c r="K105" i="4"/>
  <c r="A106" i="4"/>
  <c r="C106" i="4"/>
  <c r="D106" i="4"/>
  <c r="E106" i="4"/>
  <c r="F106" i="4"/>
  <c r="G106" i="4"/>
  <c r="I106" i="4"/>
  <c r="J106" i="4"/>
  <c r="K106" i="4"/>
  <c r="A107" i="4"/>
  <c r="C107" i="4"/>
  <c r="D107" i="4"/>
  <c r="E107" i="4"/>
  <c r="F107" i="4"/>
  <c r="G107" i="4"/>
  <c r="I107" i="4"/>
  <c r="J107" i="4"/>
  <c r="K107" i="4"/>
  <c r="A108" i="4"/>
  <c r="C108" i="4"/>
  <c r="D108" i="4"/>
  <c r="E108" i="4"/>
  <c r="F108" i="4"/>
  <c r="G108" i="4"/>
  <c r="I108" i="4"/>
  <c r="J108" i="4"/>
  <c r="K108" i="4"/>
  <c r="A109" i="4"/>
  <c r="C109" i="4"/>
  <c r="D109" i="4"/>
  <c r="E109" i="4"/>
  <c r="F109" i="4"/>
  <c r="G109" i="4"/>
  <c r="I109" i="4"/>
  <c r="J109" i="4"/>
  <c r="K109" i="4"/>
  <c r="A110" i="4"/>
  <c r="C110" i="4"/>
  <c r="D110" i="4"/>
  <c r="E110" i="4"/>
  <c r="F110" i="4"/>
  <c r="G110" i="4"/>
  <c r="I110" i="4"/>
  <c r="J110" i="4"/>
  <c r="K110" i="4"/>
  <c r="A111" i="4"/>
  <c r="C111" i="4"/>
  <c r="D111" i="4"/>
  <c r="E111" i="4"/>
  <c r="F111" i="4"/>
  <c r="G111" i="4"/>
  <c r="I111" i="4"/>
  <c r="J111" i="4"/>
  <c r="K111" i="4"/>
  <c r="A112" i="4"/>
  <c r="C112" i="4"/>
  <c r="D112" i="4"/>
  <c r="E112" i="4"/>
  <c r="F112" i="4"/>
  <c r="G112" i="4"/>
  <c r="I112" i="4"/>
  <c r="J112" i="4"/>
  <c r="K112" i="4"/>
  <c r="A113" i="4"/>
  <c r="C113" i="4"/>
  <c r="D113" i="4"/>
  <c r="E113" i="4"/>
  <c r="F113" i="4"/>
  <c r="G113" i="4"/>
  <c r="I113" i="4"/>
  <c r="J113" i="4"/>
  <c r="K113" i="4"/>
  <c r="A114" i="4"/>
  <c r="C114" i="4"/>
  <c r="D114" i="4"/>
  <c r="E114" i="4"/>
  <c r="F114" i="4"/>
  <c r="G114" i="4"/>
  <c r="I114" i="4"/>
  <c r="J114" i="4"/>
  <c r="K114" i="4"/>
  <c r="A115" i="4"/>
  <c r="C115" i="4"/>
  <c r="D115" i="4"/>
  <c r="E115" i="4"/>
  <c r="F115" i="4"/>
  <c r="G115" i="4"/>
  <c r="I115" i="4"/>
  <c r="J115" i="4"/>
  <c r="K115" i="4"/>
  <c r="A116" i="4"/>
  <c r="C116" i="4"/>
  <c r="D116" i="4"/>
  <c r="E116" i="4"/>
  <c r="F116" i="4"/>
  <c r="G116" i="4"/>
  <c r="I116" i="4"/>
  <c r="J116" i="4"/>
  <c r="K116" i="4"/>
  <c r="A117" i="4"/>
  <c r="C117" i="4"/>
  <c r="D117" i="4"/>
  <c r="E117" i="4"/>
  <c r="F117" i="4"/>
  <c r="G117" i="4"/>
  <c r="I117" i="4"/>
  <c r="J117" i="4"/>
  <c r="K117" i="4"/>
  <c r="A118" i="4"/>
  <c r="C118" i="4"/>
  <c r="D118" i="4"/>
  <c r="E118" i="4"/>
  <c r="F118" i="4"/>
  <c r="G118" i="4"/>
  <c r="I118" i="4"/>
  <c r="J118" i="4"/>
  <c r="K118" i="4"/>
  <c r="A119" i="4"/>
  <c r="C119" i="4"/>
  <c r="D119" i="4"/>
  <c r="E119" i="4"/>
  <c r="F119" i="4"/>
  <c r="G119" i="4"/>
  <c r="I119" i="4"/>
  <c r="J119" i="4"/>
  <c r="K119" i="4"/>
  <c r="A120" i="4"/>
  <c r="C120" i="4"/>
  <c r="D120" i="4"/>
  <c r="E120" i="4"/>
  <c r="F120" i="4"/>
  <c r="G120" i="4"/>
  <c r="I120" i="4"/>
  <c r="J120" i="4"/>
  <c r="K120" i="4"/>
  <c r="A121" i="4"/>
  <c r="C121" i="4"/>
  <c r="D121" i="4"/>
  <c r="E121" i="4"/>
  <c r="F121" i="4"/>
  <c r="G121" i="4"/>
  <c r="I121" i="4"/>
  <c r="J121" i="4"/>
  <c r="K121" i="4"/>
  <c r="A122" i="4"/>
  <c r="C122" i="4"/>
  <c r="D122" i="4"/>
  <c r="E122" i="4"/>
  <c r="F122" i="4"/>
  <c r="G122" i="4"/>
  <c r="I122" i="4"/>
  <c r="J122" i="4"/>
  <c r="K122" i="4"/>
  <c r="A123" i="4"/>
  <c r="C123" i="4"/>
  <c r="D123" i="4"/>
  <c r="E123" i="4"/>
  <c r="F123" i="4"/>
  <c r="G123" i="4"/>
  <c r="I123" i="4"/>
  <c r="J123" i="4"/>
  <c r="K123" i="4"/>
  <c r="A124" i="4"/>
  <c r="C124" i="4"/>
  <c r="D124" i="4"/>
  <c r="E124" i="4"/>
  <c r="F124" i="4"/>
  <c r="G124" i="4"/>
  <c r="I124" i="4"/>
  <c r="J124" i="4"/>
  <c r="K124" i="4"/>
  <c r="A125" i="4"/>
  <c r="C125" i="4"/>
  <c r="D125" i="4"/>
  <c r="E125" i="4"/>
  <c r="F125" i="4"/>
  <c r="G125" i="4"/>
  <c r="I125" i="4"/>
  <c r="J125" i="4"/>
  <c r="K125" i="4"/>
  <c r="A126" i="4"/>
  <c r="C126" i="4"/>
  <c r="D126" i="4"/>
  <c r="E126" i="4"/>
  <c r="F126" i="4"/>
  <c r="G126" i="4"/>
  <c r="I126" i="4"/>
  <c r="J126" i="4"/>
  <c r="K126" i="4"/>
  <c r="A127" i="4"/>
  <c r="C127" i="4"/>
  <c r="D127" i="4"/>
  <c r="E127" i="4"/>
  <c r="F127" i="4"/>
  <c r="G127" i="4"/>
  <c r="I127" i="4"/>
  <c r="J127" i="4"/>
  <c r="K127" i="4"/>
  <c r="A128" i="4"/>
  <c r="C128" i="4"/>
  <c r="D128" i="4"/>
  <c r="E128" i="4"/>
  <c r="F128" i="4"/>
  <c r="G128" i="4"/>
  <c r="I128" i="4"/>
  <c r="J128" i="4"/>
  <c r="K128" i="4"/>
  <c r="A129" i="4"/>
  <c r="C129" i="4"/>
  <c r="D129" i="4"/>
  <c r="E129" i="4"/>
  <c r="F129" i="4"/>
  <c r="G129" i="4"/>
  <c r="I129" i="4"/>
  <c r="J129" i="4"/>
  <c r="K129" i="4"/>
  <c r="A130" i="4"/>
  <c r="C130" i="4"/>
  <c r="D130" i="4"/>
  <c r="E130" i="4"/>
  <c r="F130" i="4"/>
  <c r="G130" i="4"/>
  <c r="I130" i="4"/>
  <c r="J130" i="4"/>
  <c r="K130" i="4"/>
  <c r="A131" i="4"/>
  <c r="C131" i="4"/>
  <c r="D131" i="4"/>
  <c r="E131" i="4"/>
  <c r="F131" i="4"/>
  <c r="G131" i="4"/>
  <c r="I131" i="4"/>
  <c r="J131" i="4"/>
  <c r="K131" i="4"/>
  <c r="A132" i="4"/>
  <c r="C132" i="4"/>
  <c r="D132" i="4"/>
  <c r="E132" i="4"/>
  <c r="F132" i="4"/>
  <c r="G132" i="4"/>
  <c r="I132" i="4"/>
  <c r="J132" i="4"/>
  <c r="K132" i="4"/>
  <c r="A133" i="4"/>
  <c r="C133" i="4"/>
  <c r="D133" i="4"/>
  <c r="E133" i="4"/>
  <c r="F133" i="4"/>
  <c r="G133" i="4"/>
  <c r="I133" i="4"/>
  <c r="J133" i="4"/>
  <c r="K133" i="4"/>
  <c r="A134" i="4"/>
  <c r="C134" i="4"/>
  <c r="D134" i="4"/>
  <c r="E134" i="4"/>
  <c r="F134" i="4"/>
  <c r="G134" i="4"/>
  <c r="I134" i="4"/>
  <c r="J134" i="4"/>
  <c r="K134" i="4"/>
  <c r="A135" i="4"/>
  <c r="C135" i="4"/>
  <c r="D135" i="4"/>
  <c r="E135" i="4"/>
  <c r="F135" i="4"/>
  <c r="G135" i="4"/>
  <c r="I135" i="4"/>
  <c r="J135" i="4"/>
  <c r="K135" i="4"/>
  <c r="A136" i="4"/>
  <c r="C136" i="4"/>
  <c r="D136" i="4"/>
  <c r="E136" i="4"/>
  <c r="F136" i="4"/>
  <c r="G136" i="4"/>
  <c r="I136" i="4"/>
  <c r="J136" i="4"/>
  <c r="K136" i="4"/>
  <c r="A137" i="4"/>
  <c r="C137" i="4"/>
  <c r="D137" i="4"/>
  <c r="E137" i="4"/>
  <c r="F137" i="4"/>
  <c r="G137" i="4"/>
  <c r="I137" i="4"/>
  <c r="J137" i="4"/>
  <c r="K137" i="4"/>
  <c r="A138" i="4"/>
  <c r="C138" i="4"/>
  <c r="D138" i="4"/>
  <c r="E138" i="4"/>
  <c r="F138" i="4"/>
  <c r="G138" i="4"/>
  <c r="I138" i="4"/>
  <c r="J138" i="4"/>
  <c r="K138" i="4"/>
  <c r="A139" i="4"/>
  <c r="C139" i="4"/>
  <c r="D139" i="4"/>
  <c r="E139" i="4"/>
  <c r="F139" i="4"/>
  <c r="G139" i="4"/>
  <c r="I139" i="4"/>
  <c r="J139" i="4"/>
  <c r="K139" i="4"/>
  <c r="A140" i="4"/>
  <c r="C140" i="4"/>
  <c r="D140" i="4"/>
  <c r="E140" i="4"/>
  <c r="F140" i="4"/>
  <c r="G140" i="4"/>
  <c r="I140" i="4"/>
  <c r="J140" i="4"/>
  <c r="K140" i="4"/>
  <c r="A141" i="4"/>
  <c r="C141" i="4"/>
  <c r="D141" i="4"/>
  <c r="E141" i="4"/>
  <c r="F141" i="4"/>
  <c r="G141" i="4"/>
  <c r="I141" i="4"/>
  <c r="J141" i="4"/>
  <c r="K141" i="4"/>
  <c r="A142" i="4"/>
  <c r="C142" i="4"/>
  <c r="D142" i="4"/>
  <c r="E142" i="4"/>
  <c r="F142" i="4"/>
  <c r="G142" i="4"/>
  <c r="I142" i="4"/>
  <c r="J142" i="4"/>
  <c r="K142" i="4"/>
  <c r="A143" i="4"/>
  <c r="C143" i="4"/>
  <c r="D143" i="4"/>
  <c r="E143" i="4"/>
  <c r="F143" i="4"/>
  <c r="G143" i="4"/>
  <c r="I143" i="4"/>
  <c r="J143" i="4"/>
  <c r="K143" i="4"/>
  <c r="A144" i="4"/>
  <c r="C144" i="4"/>
  <c r="D144" i="4"/>
  <c r="E144" i="4"/>
  <c r="F144" i="4"/>
  <c r="G144" i="4"/>
  <c r="I144" i="4"/>
  <c r="J144" i="4"/>
  <c r="K144" i="4"/>
  <c r="A145" i="4"/>
  <c r="C145" i="4"/>
  <c r="D145" i="4"/>
  <c r="E145" i="4"/>
  <c r="F145" i="4"/>
  <c r="G145" i="4"/>
  <c r="I145" i="4"/>
  <c r="J145" i="4"/>
  <c r="K145" i="4"/>
  <c r="A146" i="4"/>
  <c r="C146" i="4"/>
  <c r="D146" i="4"/>
  <c r="E146" i="4"/>
  <c r="F146" i="4"/>
  <c r="G146" i="4"/>
  <c r="I146" i="4"/>
  <c r="J146" i="4"/>
  <c r="K146" i="4"/>
  <c r="A147" i="4"/>
  <c r="C147" i="4"/>
  <c r="D147" i="4"/>
  <c r="E147" i="4"/>
  <c r="F147" i="4"/>
  <c r="G147" i="4"/>
  <c r="I147" i="4"/>
  <c r="J147" i="4"/>
  <c r="K147" i="4"/>
  <c r="A148" i="4"/>
  <c r="C148" i="4"/>
  <c r="D148" i="4"/>
  <c r="E148" i="4"/>
  <c r="F148" i="4"/>
  <c r="G148" i="4"/>
  <c r="I148" i="4"/>
  <c r="J148" i="4"/>
  <c r="K148" i="4"/>
  <c r="A149" i="4"/>
  <c r="C149" i="4"/>
  <c r="D149" i="4"/>
  <c r="E149" i="4"/>
  <c r="F149" i="4"/>
  <c r="G149" i="4"/>
  <c r="I149" i="4"/>
  <c r="J149" i="4"/>
  <c r="K149" i="4"/>
  <c r="A150" i="4"/>
  <c r="C150" i="4"/>
  <c r="D150" i="4"/>
  <c r="E150" i="4"/>
  <c r="F150" i="4"/>
  <c r="G150" i="4"/>
  <c r="I150" i="4"/>
  <c r="J150" i="4"/>
  <c r="K150" i="4"/>
  <c r="A151" i="4"/>
  <c r="C151" i="4"/>
  <c r="D151" i="4"/>
  <c r="E151" i="4"/>
  <c r="F151" i="4"/>
  <c r="G151" i="4"/>
  <c r="I151" i="4"/>
  <c r="J151" i="4"/>
  <c r="K151" i="4"/>
  <c r="A152" i="4"/>
  <c r="C152" i="4"/>
  <c r="D152" i="4"/>
  <c r="E152" i="4"/>
  <c r="F152" i="4"/>
  <c r="G152" i="4"/>
  <c r="I152" i="4"/>
  <c r="J152" i="4"/>
  <c r="K152" i="4"/>
  <c r="A153" i="4"/>
  <c r="C153" i="4"/>
  <c r="D153" i="4"/>
  <c r="E153" i="4"/>
  <c r="F153" i="4"/>
  <c r="G153" i="4"/>
  <c r="I153" i="4"/>
  <c r="J153" i="4"/>
  <c r="K153" i="4"/>
  <c r="A154" i="4"/>
  <c r="C154" i="4"/>
  <c r="D154" i="4"/>
  <c r="E154" i="4"/>
  <c r="F154" i="4"/>
  <c r="G154" i="4"/>
  <c r="I154" i="4"/>
  <c r="J154" i="4"/>
  <c r="K154" i="4"/>
  <c r="A155" i="4"/>
  <c r="C155" i="4"/>
  <c r="D155" i="4"/>
  <c r="E155" i="4"/>
  <c r="F155" i="4"/>
  <c r="G155" i="4"/>
  <c r="I155" i="4"/>
  <c r="J155" i="4"/>
  <c r="K155" i="4"/>
  <c r="A156" i="4"/>
  <c r="C156" i="4"/>
  <c r="D156" i="4"/>
  <c r="E156" i="4"/>
  <c r="F156" i="4"/>
  <c r="G156" i="4"/>
  <c r="I156" i="4"/>
  <c r="J156" i="4"/>
  <c r="K156" i="4"/>
  <c r="A157" i="4"/>
  <c r="C157" i="4"/>
  <c r="D157" i="4"/>
  <c r="E157" i="4"/>
  <c r="F157" i="4"/>
  <c r="G157" i="4"/>
  <c r="I157" i="4"/>
  <c r="J157" i="4"/>
  <c r="K157" i="4"/>
  <c r="A158" i="4"/>
  <c r="C158" i="4"/>
  <c r="D158" i="4"/>
  <c r="E158" i="4"/>
  <c r="F158" i="4"/>
  <c r="G158" i="4"/>
  <c r="I158" i="4"/>
  <c r="J158" i="4"/>
  <c r="K158" i="4"/>
  <c r="A159" i="4"/>
  <c r="C159" i="4"/>
  <c r="D159" i="4"/>
  <c r="E159" i="4"/>
  <c r="F159" i="4"/>
  <c r="G159" i="4"/>
  <c r="I159" i="4"/>
  <c r="J159" i="4"/>
  <c r="K159" i="4"/>
  <c r="A160" i="4"/>
  <c r="C160" i="4"/>
  <c r="D160" i="4"/>
  <c r="E160" i="4"/>
  <c r="F160" i="4"/>
  <c r="G160" i="4"/>
  <c r="I160" i="4"/>
  <c r="J160" i="4"/>
  <c r="K160" i="4"/>
  <c r="A161" i="4"/>
  <c r="C161" i="4"/>
  <c r="D161" i="4"/>
  <c r="E161" i="4"/>
  <c r="F161" i="4"/>
  <c r="G161" i="4"/>
  <c r="I161" i="4"/>
  <c r="J161" i="4"/>
  <c r="K161" i="4"/>
  <c r="A162" i="4"/>
  <c r="C162" i="4"/>
  <c r="D162" i="4"/>
  <c r="E162" i="4"/>
  <c r="F162" i="4"/>
  <c r="G162" i="4"/>
  <c r="I162" i="4"/>
  <c r="J162" i="4"/>
  <c r="K162" i="4"/>
  <c r="A163" i="4"/>
  <c r="C163" i="4"/>
  <c r="D163" i="4"/>
  <c r="E163" i="4"/>
  <c r="F163" i="4"/>
  <c r="G163" i="4"/>
  <c r="I163" i="4"/>
  <c r="J163" i="4"/>
  <c r="K163" i="4"/>
  <c r="A164" i="4"/>
  <c r="C164" i="4"/>
  <c r="D164" i="4"/>
  <c r="E164" i="4"/>
  <c r="F164" i="4"/>
  <c r="G164" i="4"/>
  <c r="I164" i="4"/>
  <c r="J164" i="4"/>
  <c r="K164" i="4"/>
  <c r="A165" i="4"/>
  <c r="C165" i="4"/>
  <c r="D165" i="4"/>
  <c r="E165" i="4"/>
  <c r="F165" i="4"/>
  <c r="G165" i="4"/>
  <c r="I165" i="4"/>
  <c r="J165" i="4"/>
  <c r="K165" i="4"/>
  <c r="A166" i="4"/>
  <c r="C166" i="4"/>
  <c r="D166" i="4"/>
  <c r="E166" i="4"/>
  <c r="F166" i="4"/>
  <c r="G166" i="4"/>
  <c r="I166" i="4"/>
  <c r="J166" i="4"/>
  <c r="K166" i="4"/>
  <c r="A167" i="4"/>
  <c r="C167" i="4"/>
  <c r="D167" i="4"/>
  <c r="E167" i="4"/>
  <c r="F167" i="4"/>
  <c r="G167" i="4"/>
  <c r="I167" i="4"/>
  <c r="J167" i="4"/>
  <c r="K167" i="4"/>
  <c r="A168" i="4"/>
  <c r="C168" i="4"/>
  <c r="D168" i="4"/>
  <c r="E168" i="4"/>
  <c r="F168" i="4"/>
  <c r="G168" i="4"/>
  <c r="I168" i="4"/>
  <c r="J168" i="4"/>
  <c r="K168" i="4"/>
  <c r="A169" i="4"/>
  <c r="C169" i="4"/>
  <c r="D169" i="4"/>
  <c r="E169" i="4"/>
  <c r="F169" i="4"/>
  <c r="G169" i="4"/>
  <c r="I169" i="4"/>
  <c r="J169" i="4"/>
  <c r="K169" i="4"/>
  <c r="A170" i="4"/>
  <c r="C170" i="4"/>
  <c r="D170" i="4"/>
  <c r="E170" i="4"/>
  <c r="F170" i="4"/>
  <c r="G170" i="4"/>
  <c r="I170" i="4"/>
  <c r="J170" i="4"/>
  <c r="K170" i="4"/>
  <c r="A171" i="4"/>
  <c r="C171" i="4"/>
  <c r="D171" i="4"/>
  <c r="E171" i="4"/>
  <c r="F171" i="4"/>
  <c r="G171" i="4"/>
  <c r="I171" i="4"/>
  <c r="J171" i="4"/>
  <c r="K171" i="4"/>
  <c r="A172" i="4"/>
  <c r="C172" i="4"/>
  <c r="D172" i="4"/>
  <c r="E172" i="4"/>
  <c r="F172" i="4"/>
  <c r="G172" i="4"/>
  <c r="I172" i="4"/>
  <c r="J172" i="4"/>
  <c r="K172" i="4"/>
  <c r="A173" i="4"/>
  <c r="C173" i="4"/>
  <c r="D173" i="4"/>
  <c r="E173" i="4"/>
  <c r="F173" i="4"/>
  <c r="G173" i="4"/>
  <c r="I173" i="4"/>
  <c r="J173" i="4"/>
  <c r="K173" i="4"/>
  <c r="A174" i="4"/>
  <c r="C174" i="4"/>
  <c r="D174" i="4"/>
  <c r="E174" i="4"/>
  <c r="F174" i="4"/>
  <c r="G174" i="4"/>
  <c r="I174" i="4"/>
  <c r="J174" i="4"/>
  <c r="K174" i="4"/>
  <c r="A175" i="4"/>
  <c r="C175" i="4"/>
  <c r="D175" i="4"/>
  <c r="E175" i="4"/>
  <c r="F175" i="4"/>
  <c r="G175" i="4"/>
  <c r="I175" i="4"/>
  <c r="J175" i="4"/>
  <c r="K175" i="4"/>
  <c r="A176" i="4"/>
  <c r="C176" i="4"/>
  <c r="D176" i="4"/>
  <c r="E176" i="4"/>
  <c r="F176" i="4"/>
  <c r="G176" i="4"/>
  <c r="I176" i="4"/>
  <c r="J176" i="4"/>
  <c r="K176" i="4"/>
  <c r="A177" i="4"/>
  <c r="C177" i="4"/>
  <c r="D177" i="4"/>
  <c r="E177" i="4"/>
  <c r="F177" i="4"/>
  <c r="G177" i="4"/>
  <c r="I177" i="4"/>
  <c r="J177" i="4"/>
  <c r="K177" i="4"/>
  <c r="A178" i="4"/>
  <c r="C178" i="4"/>
  <c r="D178" i="4"/>
  <c r="E178" i="4"/>
  <c r="F178" i="4"/>
  <c r="G178" i="4"/>
  <c r="I178" i="4"/>
  <c r="J178" i="4"/>
  <c r="K178" i="4"/>
  <c r="A179" i="4"/>
  <c r="C179" i="4"/>
  <c r="D179" i="4"/>
  <c r="E179" i="4"/>
  <c r="F179" i="4"/>
  <c r="G179" i="4"/>
  <c r="I179" i="4"/>
  <c r="J179" i="4"/>
  <c r="K179" i="4"/>
  <c r="A180" i="4"/>
  <c r="C180" i="4"/>
  <c r="D180" i="4"/>
  <c r="E180" i="4"/>
  <c r="F180" i="4"/>
  <c r="G180" i="4"/>
  <c r="I180" i="4"/>
  <c r="J180" i="4"/>
  <c r="K180" i="4"/>
  <c r="A181" i="4"/>
  <c r="C181" i="4"/>
  <c r="D181" i="4"/>
  <c r="E181" i="4"/>
  <c r="F181" i="4"/>
  <c r="G181" i="4"/>
  <c r="I181" i="4"/>
  <c r="J181" i="4"/>
  <c r="K181" i="4"/>
  <c r="A182" i="4"/>
  <c r="C182" i="4"/>
  <c r="D182" i="4"/>
  <c r="E182" i="4"/>
  <c r="F182" i="4"/>
  <c r="G182" i="4"/>
  <c r="I182" i="4"/>
  <c r="J182" i="4"/>
  <c r="K182" i="4"/>
  <c r="A183" i="4"/>
  <c r="C183" i="4"/>
  <c r="D183" i="4"/>
  <c r="E183" i="4"/>
  <c r="F183" i="4"/>
  <c r="G183" i="4"/>
  <c r="I183" i="4"/>
  <c r="J183" i="4"/>
  <c r="K183" i="4"/>
  <c r="A184" i="4"/>
  <c r="C184" i="4"/>
  <c r="D184" i="4"/>
  <c r="E184" i="4"/>
  <c r="F184" i="4"/>
  <c r="G184" i="4"/>
  <c r="I184" i="4"/>
  <c r="J184" i="4"/>
  <c r="K184" i="4"/>
  <c r="A185" i="4"/>
  <c r="C185" i="4"/>
  <c r="D185" i="4"/>
  <c r="E185" i="4"/>
  <c r="F185" i="4"/>
  <c r="G185" i="4"/>
  <c r="I185" i="4"/>
  <c r="J185" i="4"/>
  <c r="K185" i="4"/>
  <c r="A186" i="4"/>
  <c r="C186" i="4"/>
  <c r="D186" i="4"/>
  <c r="E186" i="4"/>
  <c r="F186" i="4"/>
  <c r="G186" i="4"/>
  <c r="I186" i="4"/>
  <c r="J186" i="4"/>
  <c r="K186" i="4"/>
  <c r="A187" i="4"/>
  <c r="C187" i="4"/>
  <c r="D187" i="4"/>
  <c r="E187" i="4"/>
  <c r="F187" i="4"/>
  <c r="G187" i="4"/>
  <c r="I187" i="4"/>
  <c r="J187" i="4"/>
  <c r="K187" i="4"/>
  <c r="A188" i="4"/>
  <c r="C188" i="4"/>
  <c r="D188" i="4"/>
  <c r="E188" i="4"/>
  <c r="F188" i="4"/>
  <c r="G188" i="4"/>
  <c r="I188" i="4"/>
  <c r="J188" i="4"/>
  <c r="K188" i="4"/>
  <c r="A189" i="4"/>
  <c r="C189" i="4"/>
  <c r="D189" i="4"/>
  <c r="E189" i="4"/>
  <c r="F189" i="4"/>
  <c r="G189" i="4"/>
  <c r="I189" i="4"/>
  <c r="J189" i="4"/>
  <c r="K189" i="4"/>
  <c r="A190" i="4"/>
  <c r="C190" i="4"/>
  <c r="D190" i="4"/>
  <c r="E190" i="4"/>
  <c r="F190" i="4"/>
  <c r="G190" i="4"/>
  <c r="I190" i="4"/>
  <c r="J190" i="4"/>
  <c r="K190" i="4"/>
  <c r="A191" i="4"/>
  <c r="C191" i="4"/>
  <c r="D191" i="4"/>
  <c r="E191" i="4"/>
  <c r="F191" i="4"/>
  <c r="G191" i="4"/>
  <c r="I191" i="4"/>
  <c r="J191" i="4"/>
  <c r="K191" i="4"/>
  <c r="A192" i="4"/>
  <c r="C192" i="4"/>
  <c r="D192" i="4"/>
  <c r="E192" i="4"/>
  <c r="F192" i="4"/>
  <c r="G192" i="4"/>
  <c r="I192" i="4"/>
  <c r="J192" i="4"/>
  <c r="K192" i="4"/>
  <c r="A193" i="4"/>
  <c r="C193" i="4"/>
  <c r="D193" i="4"/>
  <c r="E193" i="4"/>
  <c r="F193" i="4"/>
  <c r="G193" i="4"/>
  <c r="I193" i="4"/>
  <c r="J193" i="4"/>
  <c r="K193" i="4"/>
  <c r="A194" i="4"/>
  <c r="C194" i="4"/>
  <c r="D194" i="4"/>
  <c r="E194" i="4"/>
  <c r="F194" i="4"/>
  <c r="G194" i="4"/>
  <c r="I194" i="4"/>
  <c r="J194" i="4"/>
  <c r="K194" i="4"/>
  <c r="A195" i="4"/>
  <c r="C195" i="4"/>
  <c r="D195" i="4"/>
  <c r="E195" i="4"/>
  <c r="F195" i="4"/>
  <c r="G195" i="4"/>
  <c r="I195" i="4"/>
  <c r="J195" i="4"/>
  <c r="K195" i="4"/>
  <c r="A196" i="4"/>
  <c r="C196" i="4"/>
  <c r="D196" i="4"/>
  <c r="E196" i="4"/>
  <c r="F196" i="4"/>
  <c r="G196" i="4"/>
  <c r="I196" i="4"/>
  <c r="J196" i="4"/>
  <c r="K196" i="4"/>
  <c r="A197" i="4"/>
  <c r="C197" i="4"/>
  <c r="D197" i="4"/>
  <c r="E197" i="4"/>
  <c r="F197" i="4"/>
  <c r="G197" i="4"/>
  <c r="I197" i="4"/>
  <c r="J197" i="4"/>
  <c r="K197" i="4"/>
  <c r="A198" i="4"/>
  <c r="C198" i="4"/>
  <c r="D198" i="4"/>
  <c r="E198" i="4"/>
  <c r="F198" i="4"/>
  <c r="G198" i="4"/>
  <c r="I198" i="4"/>
  <c r="J198" i="4"/>
  <c r="K198" i="4"/>
  <c r="A199" i="4"/>
  <c r="C199" i="4"/>
  <c r="D199" i="4"/>
  <c r="E199" i="4"/>
  <c r="F199" i="4"/>
  <c r="G199" i="4"/>
  <c r="I199" i="4"/>
  <c r="J199" i="4"/>
  <c r="K199" i="4"/>
  <c r="A200" i="4"/>
  <c r="C200" i="4"/>
  <c r="D200" i="4"/>
  <c r="E200" i="4"/>
  <c r="F200" i="4"/>
  <c r="G200" i="4"/>
  <c r="I200" i="4"/>
  <c r="J200" i="4"/>
  <c r="K200" i="4"/>
  <c r="A201" i="4"/>
  <c r="C201" i="4"/>
  <c r="D201" i="4"/>
  <c r="E201" i="4"/>
  <c r="F201" i="4"/>
  <c r="G201" i="4"/>
  <c r="I201" i="4"/>
  <c r="J201" i="4"/>
  <c r="K201" i="4"/>
  <c r="A202" i="4"/>
  <c r="C202" i="4"/>
  <c r="D202" i="4"/>
  <c r="E202" i="4"/>
  <c r="F202" i="4"/>
  <c r="G202" i="4"/>
  <c r="I202" i="4"/>
  <c r="J202" i="4"/>
  <c r="K202" i="4"/>
  <c r="A203" i="4"/>
  <c r="C203" i="4"/>
  <c r="D203" i="4"/>
  <c r="E203" i="4"/>
  <c r="F203" i="4"/>
  <c r="G203" i="4"/>
  <c r="I203" i="4"/>
  <c r="J203" i="4"/>
  <c r="K203" i="4"/>
  <c r="A204" i="4"/>
  <c r="C204" i="4"/>
  <c r="D204" i="4"/>
  <c r="E204" i="4"/>
  <c r="F204" i="4"/>
  <c r="G204" i="4"/>
  <c r="I204" i="4"/>
  <c r="J204" i="4"/>
  <c r="K204" i="4"/>
  <c r="A205" i="4"/>
  <c r="C205" i="4"/>
  <c r="D205" i="4"/>
  <c r="E205" i="4"/>
  <c r="F205" i="4"/>
  <c r="G205" i="4"/>
  <c r="I205" i="4"/>
  <c r="J205" i="4"/>
  <c r="K205" i="4"/>
  <c r="A206" i="4"/>
  <c r="C206" i="4"/>
  <c r="D206" i="4"/>
  <c r="E206" i="4"/>
  <c r="F206" i="4"/>
  <c r="G206" i="4"/>
  <c r="I206" i="4"/>
  <c r="J206" i="4"/>
  <c r="K206" i="4"/>
  <c r="A207" i="4"/>
  <c r="C207" i="4"/>
  <c r="D207" i="4"/>
  <c r="E207" i="4"/>
  <c r="F207" i="4"/>
  <c r="G207" i="4"/>
  <c r="I207" i="4"/>
  <c r="J207" i="4"/>
  <c r="K207" i="4"/>
  <c r="A208" i="4"/>
  <c r="C208" i="4"/>
  <c r="D208" i="4"/>
  <c r="E208" i="4"/>
  <c r="F208" i="4"/>
  <c r="G208" i="4"/>
  <c r="I208" i="4"/>
  <c r="J208" i="4"/>
  <c r="K208" i="4"/>
  <c r="A209" i="4"/>
  <c r="C209" i="4"/>
  <c r="D209" i="4"/>
  <c r="E209" i="4"/>
  <c r="F209" i="4"/>
  <c r="G209" i="4"/>
  <c r="I209" i="4"/>
  <c r="J209" i="4"/>
  <c r="K209" i="4"/>
  <c r="A210" i="4"/>
  <c r="C210" i="4"/>
  <c r="D210" i="4"/>
  <c r="E210" i="4"/>
  <c r="F210" i="4"/>
  <c r="G210" i="4"/>
  <c r="I210" i="4"/>
  <c r="J210" i="4"/>
  <c r="K210" i="4"/>
  <c r="A211" i="4"/>
  <c r="C211" i="4"/>
  <c r="D211" i="4"/>
  <c r="E211" i="4"/>
  <c r="F211" i="4"/>
  <c r="G211" i="4"/>
  <c r="I211" i="4"/>
  <c r="J211" i="4"/>
  <c r="K211" i="4"/>
  <c r="A212" i="4"/>
  <c r="C212" i="4"/>
  <c r="D212" i="4"/>
  <c r="E212" i="4"/>
  <c r="F212" i="4"/>
  <c r="G212" i="4"/>
  <c r="I212" i="4"/>
  <c r="J212" i="4"/>
  <c r="K212" i="4"/>
  <c r="A213" i="4"/>
  <c r="C213" i="4"/>
  <c r="D213" i="4"/>
  <c r="E213" i="4"/>
  <c r="F213" i="4"/>
  <c r="G213" i="4"/>
  <c r="I213" i="4"/>
  <c r="J213" i="4"/>
  <c r="K213" i="4"/>
  <c r="A214" i="4"/>
  <c r="C214" i="4"/>
  <c r="D214" i="4"/>
  <c r="E214" i="4"/>
  <c r="F214" i="4"/>
  <c r="G214" i="4"/>
  <c r="I214" i="4"/>
  <c r="J214" i="4"/>
  <c r="K214" i="4"/>
  <c r="A215" i="4"/>
  <c r="C215" i="4"/>
  <c r="D215" i="4"/>
  <c r="E215" i="4"/>
  <c r="F215" i="4"/>
  <c r="G215" i="4"/>
  <c r="I215" i="4"/>
  <c r="J215" i="4"/>
  <c r="K215" i="4"/>
  <c r="A216" i="4"/>
  <c r="C216" i="4"/>
  <c r="D216" i="4"/>
  <c r="E216" i="4"/>
  <c r="F216" i="4"/>
  <c r="G216" i="4"/>
  <c r="I216" i="4"/>
  <c r="J216" i="4"/>
  <c r="K216" i="4"/>
  <c r="A217" i="4"/>
  <c r="C217" i="4"/>
  <c r="D217" i="4"/>
  <c r="E217" i="4"/>
  <c r="F217" i="4"/>
  <c r="G217" i="4"/>
  <c r="I217" i="4"/>
  <c r="J217" i="4"/>
  <c r="K217" i="4"/>
  <c r="A218" i="4"/>
  <c r="C218" i="4"/>
  <c r="D218" i="4"/>
  <c r="E218" i="4"/>
  <c r="F218" i="4"/>
  <c r="G218" i="4"/>
  <c r="I218" i="4"/>
  <c r="J218" i="4"/>
  <c r="K218" i="4"/>
  <c r="A219" i="4"/>
  <c r="C219" i="4"/>
  <c r="D219" i="4"/>
  <c r="E219" i="4"/>
  <c r="F219" i="4"/>
  <c r="G219" i="4"/>
  <c r="I219" i="4"/>
  <c r="J219" i="4"/>
  <c r="K219" i="4"/>
  <c r="A220" i="4"/>
  <c r="C220" i="4"/>
  <c r="D220" i="4"/>
  <c r="E220" i="4"/>
  <c r="F220" i="4"/>
  <c r="G220" i="4"/>
  <c r="I220" i="4"/>
  <c r="J220" i="4"/>
  <c r="K220" i="4"/>
  <c r="A221" i="4"/>
  <c r="C221" i="4"/>
  <c r="D221" i="4"/>
  <c r="E221" i="4"/>
  <c r="F221" i="4"/>
  <c r="G221" i="4"/>
  <c r="I221" i="4"/>
  <c r="J221" i="4"/>
  <c r="K221" i="4"/>
  <c r="A222" i="4"/>
  <c r="C222" i="4"/>
  <c r="D222" i="4"/>
  <c r="E222" i="4"/>
  <c r="F222" i="4"/>
  <c r="G222" i="4"/>
  <c r="I222" i="4"/>
  <c r="J222" i="4"/>
  <c r="K222" i="4"/>
  <c r="A223" i="4"/>
  <c r="C223" i="4"/>
  <c r="D223" i="4"/>
  <c r="E223" i="4"/>
  <c r="F223" i="4"/>
  <c r="G223" i="4"/>
  <c r="I223" i="4"/>
  <c r="J223" i="4"/>
  <c r="K223" i="4"/>
  <c r="A224" i="4"/>
  <c r="C224" i="4"/>
  <c r="D224" i="4"/>
  <c r="E224" i="4"/>
  <c r="F224" i="4"/>
  <c r="G224" i="4"/>
  <c r="I224" i="4"/>
  <c r="J224" i="4"/>
  <c r="K224" i="4"/>
  <c r="A225" i="4"/>
  <c r="C225" i="4"/>
  <c r="D225" i="4"/>
  <c r="E225" i="4"/>
  <c r="F225" i="4"/>
  <c r="G225" i="4"/>
  <c r="I225" i="4"/>
  <c r="J225" i="4"/>
  <c r="K225" i="4"/>
  <c r="A226" i="4"/>
  <c r="C226" i="4"/>
  <c r="D226" i="4"/>
  <c r="E226" i="4"/>
  <c r="F226" i="4"/>
  <c r="G226" i="4"/>
  <c r="I226" i="4"/>
  <c r="J226" i="4"/>
  <c r="K226" i="4"/>
  <c r="A227" i="4"/>
  <c r="C227" i="4"/>
  <c r="D227" i="4"/>
  <c r="E227" i="4"/>
  <c r="F227" i="4"/>
  <c r="G227" i="4"/>
  <c r="I227" i="4"/>
  <c r="J227" i="4"/>
  <c r="K227" i="4"/>
  <c r="A228" i="4"/>
  <c r="C228" i="4"/>
  <c r="D228" i="4"/>
  <c r="E228" i="4"/>
  <c r="F228" i="4"/>
  <c r="G228" i="4"/>
  <c r="I228" i="4"/>
  <c r="J228" i="4"/>
  <c r="K228" i="4"/>
  <c r="A229" i="4"/>
  <c r="C229" i="4"/>
  <c r="D229" i="4"/>
  <c r="E229" i="4"/>
  <c r="F229" i="4"/>
  <c r="G229" i="4"/>
  <c r="I229" i="4"/>
  <c r="J229" i="4"/>
  <c r="K229" i="4"/>
  <c r="A230" i="4"/>
  <c r="C230" i="4"/>
  <c r="D230" i="4"/>
  <c r="E230" i="4"/>
  <c r="F230" i="4"/>
  <c r="G230" i="4"/>
  <c r="I230" i="4"/>
  <c r="J230" i="4"/>
  <c r="K230" i="4"/>
  <c r="A231" i="4"/>
  <c r="C231" i="4"/>
  <c r="D231" i="4"/>
  <c r="E231" i="4"/>
  <c r="F231" i="4"/>
  <c r="G231" i="4"/>
  <c r="I231" i="4"/>
  <c r="J231" i="4"/>
  <c r="K231" i="4"/>
  <c r="A232" i="4"/>
  <c r="C232" i="4"/>
  <c r="D232" i="4"/>
  <c r="E232" i="4"/>
  <c r="F232" i="4"/>
  <c r="G232" i="4"/>
  <c r="I232" i="4"/>
  <c r="J232" i="4"/>
  <c r="K232" i="4"/>
  <c r="A233" i="4"/>
  <c r="C233" i="4"/>
  <c r="D233" i="4"/>
  <c r="E233" i="4"/>
  <c r="F233" i="4"/>
  <c r="G233" i="4"/>
  <c r="I233" i="4"/>
  <c r="J233" i="4"/>
  <c r="K233" i="4"/>
  <c r="A234" i="4"/>
  <c r="C234" i="4"/>
  <c r="D234" i="4"/>
  <c r="E234" i="4"/>
  <c r="F234" i="4"/>
  <c r="G234" i="4"/>
  <c r="I234" i="4"/>
  <c r="J234" i="4"/>
  <c r="K234" i="4"/>
  <c r="A235" i="4"/>
  <c r="C235" i="4"/>
  <c r="D235" i="4"/>
  <c r="E235" i="4"/>
  <c r="F235" i="4"/>
  <c r="G235" i="4"/>
  <c r="I235" i="4"/>
  <c r="J235" i="4"/>
  <c r="K235" i="4"/>
  <c r="A236" i="4"/>
  <c r="C236" i="4"/>
  <c r="D236" i="4"/>
  <c r="E236" i="4"/>
  <c r="F236" i="4"/>
  <c r="G236" i="4"/>
  <c r="I236" i="4"/>
  <c r="J236" i="4"/>
  <c r="K236" i="4"/>
  <c r="A237" i="4"/>
  <c r="C237" i="4"/>
  <c r="D237" i="4"/>
  <c r="E237" i="4"/>
  <c r="F237" i="4"/>
  <c r="G237" i="4"/>
  <c r="I237" i="4"/>
  <c r="J237" i="4"/>
  <c r="K237" i="4"/>
  <c r="A238" i="4"/>
  <c r="C238" i="4"/>
  <c r="D238" i="4"/>
  <c r="E238" i="4"/>
  <c r="F238" i="4"/>
  <c r="G238" i="4"/>
  <c r="I238" i="4"/>
  <c r="J238" i="4"/>
  <c r="K238" i="4"/>
  <c r="A239" i="4"/>
  <c r="C239" i="4"/>
  <c r="D239" i="4"/>
  <c r="E239" i="4"/>
  <c r="F239" i="4"/>
  <c r="G239" i="4"/>
  <c r="I239" i="4"/>
  <c r="J239" i="4"/>
  <c r="K239" i="4"/>
  <c r="A240" i="4"/>
  <c r="C240" i="4"/>
  <c r="D240" i="4"/>
  <c r="E240" i="4"/>
  <c r="F240" i="4"/>
  <c r="G240" i="4"/>
  <c r="I240" i="4"/>
  <c r="J240" i="4"/>
  <c r="K240" i="4"/>
  <c r="A241" i="4"/>
  <c r="C241" i="4"/>
  <c r="D241" i="4"/>
  <c r="E241" i="4"/>
  <c r="F241" i="4"/>
  <c r="G241" i="4"/>
  <c r="I241" i="4"/>
  <c r="J241" i="4"/>
  <c r="K241" i="4"/>
  <c r="A242" i="4"/>
  <c r="C242" i="4"/>
  <c r="D242" i="4"/>
  <c r="E242" i="4"/>
  <c r="F242" i="4"/>
  <c r="G242" i="4"/>
  <c r="I242" i="4"/>
  <c r="J242" i="4"/>
  <c r="K242" i="4"/>
  <c r="A243" i="4"/>
  <c r="C243" i="4"/>
  <c r="D243" i="4"/>
  <c r="E243" i="4"/>
  <c r="F243" i="4"/>
  <c r="G243" i="4"/>
  <c r="I243" i="4"/>
  <c r="J243" i="4"/>
  <c r="K243" i="4"/>
  <c r="A244" i="4"/>
  <c r="C244" i="4"/>
  <c r="D244" i="4"/>
  <c r="E244" i="4"/>
  <c r="F244" i="4"/>
  <c r="G244" i="4"/>
  <c r="I244" i="4"/>
  <c r="J244" i="4"/>
  <c r="K244" i="4"/>
  <c r="A245" i="4"/>
  <c r="C245" i="4"/>
  <c r="D245" i="4"/>
  <c r="E245" i="4"/>
  <c r="F245" i="4"/>
  <c r="G245" i="4"/>
  <c r="I245" i="4"/>
  <c r="J245" i="4"/>
  <c r="K245" i="4"/>
  <c r="A246" i="4"/>
  <c r="C246" i="4"/>
  <c r="D246" i="4"/>
  <c r="E246" i="4"/>
  <c r="F246" i="4"/>
  <c r="G246" i="4"/>
  <c r="I246" i="4"/>
  <c r="J246" i="4"/>
  <c r="K246" i="4"/>
  <c r="A247" i="4"/>
  <c r="C247" i="4"/>
  <c r="D247" i="4"/>
  <c r="E247" i="4"/>
  <c r="F247" i="4"/>
  <c r="G247" i="4"/>
  <c r="I247" i="4"/>
  <c r="J247" i="4"/>
  <c r="K247" i="4"/>
  <c r="A248" i="4"/>
  <c r="C248" i="4"/>
  <c r="D248" i="4"/>
  <c r="E248" i="4"/>
  <c r="F248" i="4"/>
  <c r="G248" i="4"/>
  <c r="I248" i="4"/>
  <c r="J248" i="4"/>
  <c r="K248" i="4"/>
  <c r="A249" i="4"/>
  <c r="C249" i="4"/>
  <c r="D249" i="4"/>
  <c r="E249" i="4"/>
  <c r="F249" i="4"/>
  <c r="G249" i="4"/>
  <c r="I249" i="4"/>
  <c r="J249" i="4"/>
  <c r="K249" i="4"/>
  <c r="A250" i="4"/>
  <c r="C250" i="4"/>
  <c r="D250" i="4"/>
  <c r="E250" i="4"/>
  <c r="F250" i="4"/>
  <c r="G250" i="4"/>
  <c r="I250" i="4"/>
  <c r="J250" i="4"/>
  <c r="K250" i="4"/>
  <c r="A251" i="4"/>
  <c r="C251" i="4"/>
  <c r="D251" i="4"/>
  <c r="E251" i="4"/>
  <c r="F251" i="4"/>
  <c r="G251" i="4"/>
  <c r="I251" i="4"/>
  <c r="J251" i="4"/>
  <c r="K251" i="4"/>
  <c r="A252" i="4"/>
  <c r="C252" i="4"/>
  <c r="D252" i="4"/>
  <c r="E252" i="4"/>
  <c r="F252" i="4"/>
  <c r="G252" i="4"/>
  <c r="I252" i="4"/>
  <c r="J252" i="4"/>
  <c r="K252" i="4"/>
  <c r="A253" i="4"/>
  <c r="C253" i="4"/>
  <c r="D253" i="4"/>
  <c r="E253" i="4"/>
  <c r="F253" i="4"/>
  <c r="G253" i="4"/>
  <c r="I253" i="4"/>
  <c r="J253" i="4"/>
  <c r="K253" i="4"/>
  <c r="A254" i="4"/>
  <c r="C254" i="4"/>
  <c r="D254" i="4"/>
  <c r="E254" i="4"/>
  <c r="F254" i="4"/>
  <c r="G254" i="4"/>
  <c r="I254" i="4"/>
  <c r="J254" i="4"/>
  <c r="K254" i="4"/>
  <c r="A255" i="4"/>
  <c r="C255" i="4"/>
  <c r="D255" i="4"/>
  <c r="E255" i="4"/>
  <c r="F255" i="4"/>
  <c r="G255" i="4"/>
  <c r="I255" i="4"/>
  <c r="J255" i="4"/>
  <c r="K255" i="4"/>
  <c r="A256" i="4"/>
  <c r="C256" i="4"/>
  <c r="D256" i="4"/>
  <c r="E256" i="4"/>
  <c r="F256" i="4"/>
  <c r="G256" i="4"/>
  <c r="I256" i="4"/>
  <c r="J256" i="4"/>
  <c r="K256" i="4"/>
  <c r="A257" i="4"/>
  <c r="C257" i="4"/>
  <c r="D257" i="4"/>
  <c r="E257" i="4"/>
  <c r="F257" i="4"/>
  <c r="G257" i="4"/>
  <c r="I257" i="4"/>
  <c r="J257" i="4"/>
  <c r="K257" i="4"/>
  <c r="A258" i="4"/>
  <c r="C258" i="4"/>
  <c r="D258" i="4"/>
  <c r="E258" i="4"/>
  <c r="F258" i="4"/>
  <c r="G258" i="4"/>
  <c r="I258" i="4"/>
  <c r="J258" i="4"/>
  <c r="K258" i="4"/>
  <c r="A259" i="4"/>
  <c r="C259" i="4"/>
  <c r="D259" i="4"/>
  <c r="E259" i="4"/>
  <c r="F259" i="4"/>
  <c r="G259" i="4"/>
  <c r="I259" i="4"/>
  <c r="J259" i="4"/>
  <c r="K259" i="4"/>
  <c r="A260" i="4"/>
  <c r="C260" i="4"/>
  <c r="D260" i="4"/>
  <c r="E260" i="4"/>
  <c r="F260" i="4"/>
  <c r="G260" i="4"/>
  <c r="I260" i="4"/>
  <c r="J260" i="4"/>
  <c r="K260" i="4"/>
  <c r="A261" i="4"/>
  <c r="C261" i="4"/>
  <c r="D261" i="4"/>
  <c r="E261" i="4"/>
  <c r="F261" i="4"/>
  <c r="G261" i="4"/>
  <c r="I261" i="4"/>
  <c r="J261" i="4"/>
  <c r="K261" i="4"/>
  <c r="A262" i="4"/>
  <c r="C262" i="4"/>
  <c r="D262" i="4"/>
  <c r="E262" i="4"/>
  <c r="F262" i="4"/>
  <c r="G262" i="4"/>
  <c r="I262" i="4"/>
  <c r="J262" i="4"/>
  <c r="K262" i="4"/>
  <c r="A263" i="4"/>
  <c r="C263" i="4"/>
  <c r="D263" i="4"/>
  <c r="E263" i="4"/>
  <c r="F263" i="4"/>
  <c r="G263" i="4"/>
  <c r="I263" i="4"/>
  <c r="J263" i="4"/>
  <c r="K263" i="4"/>
  <c r="A264" i="4"/>
  <c r="C264" i="4"/>
  <c r="D264" i="4"/>
  <c r="E264" i="4"/>
  <c r="F264" i="4"/>
  <c r="G264" i="4"/>
  <c r="I264" i="4"/>
  <c r="J264" i="4"/>
  <c r="K264" i="4"/>
  <c r="A265" i="4"/>
  <c r="C265" i="4"/>
  <c r="D265" i="4"/>
  <c r="E265" i="4"/>
  <c r="F265" i="4"/>
  <c r="G265" i="4"/>
  <c r="I265" i="4"/>
  <c r="J265" i="4"/>
  <c r="K265" i="4"/>
  <c r="A266" i="4"/>
  <c r="C266" i="4"/>
  <c r="D266" i="4"/>
  <c r="E266" i="4"/>
  <c r="F266" i="4"/>
  <c r="G266" i="4"/>
  <c r="I266" i="4"/>
  <c r="J266" i="4"/>
  <c r="K266" i="4"/>
  <c r="A267" i="4"/>
  <c r="C267" i="4"/>
  <c r="D267" i="4"/>
  <c r="E267" i="4"/>
  <c r="F267" i="4"/>
  <c r="G267" i="4"/>
  <c r="I267" i="4"/>
  <c r="J267" i="4"/>
  <c r="K267" i="4"/>
  <c r="A268" i="4"/>
  <c r="C268" i="4"/>
  <c r="D268" i="4"/>
  <c r="E268" i="4"/>
  <c r="F268" i="4"/>
  <c r="G268" i="4"/>
  <c r="I268" i="4"/>
  <c r="J268" i="4"/>
  <c r="K268" i="4"/>
  <c r="A269" i="4"/>
  <c r="C269" i="4"/>
  <c r="D269" i="4"/>
  <c r="E269" i="4"/>
  <c r="F269" i="4"/>
  <c r="G269" i="4"/>
  <c r="I269" i="4"/>
  <c r="J269" i="4"/>
  <c r="K269" i="4"/>
  <c r="A270" i="4"/>
  <c r="C270" i="4"/>
  <c r="D270" i="4"/>
  <c r="E270" i="4"/>
  <c r="F270" i="4"/>
  <c r="G270" i="4"/>
  <c r="I270" i="4"/>
  <c r="J270" i="4"/>
  <c r="K270" i="4"/>
  <c r="A271" i="4"/>
  <c r="C271" i="4"/>
  <c r="D271" i="4"/>
  <c r="E271" i="4"/>
  <c r="F271" i="4"/>
  <c r="G271" i="4"/>
  <c r="I271" i="4"/>
  <c r="J271" i="4"/>
  <c r="K271" i="4"/>
  <c r="A272" i="4"/>
  <c r="C272" i="4"/>
  <c r="D272" i="4"/>
  <c r="E272" i="4"/>
  <c r="F272" i="4"/>
  <c r="G272" i="4"/>
  <c r="I272" i="4"/>
  <c r="J272" i="4"/>
  <c r="K272" i="4"/>
  <c r="A273" i="4"/>
  <c r="C273" i="4"/>
  <c r="D273" i="4"/>
  <c r="E273" i="4"/>
  <c r="F273" i="4"/>
  <c r="G273" i="4"/>
  <c r="I273" i="4"/>
  <c r="J273" i="4"/>
  <c r="K273" i="4"/>
  <c r="A274" i="4"/>
  <c r="C274" i="4"/>
  <c r="D274" i="4"/>
  <c r="E274" i="4"/>
  <c r="F274" i="4"/>
  <c r="G274" i="4"/>
  <c r="I274" i="4"/>
  <c r="J274" i="4"/>
  <c r="K274" i="4"/>
  <c r="A275" i="4"/>
  <c r="C275" i="4"/>
  <c r="D275" i="4"/>
  <c r="E275" i="4"/>
  <c r="F275" i="4"/>
  <c r="G275" i="4"/>
  <c r="I275" i="4"/>
  <c r="J275" i="4"/>
  <c r="K275" i="4"/>
  <c r="A276" i="4"/>
  <c r="C276" i="4"/>
  <c r="D276" i="4"/>
  <c r="E276" i="4"/>
  <c r="F276" i="4"/>
  <c r="G276" i="4"/>
  <c r="I276" i="4"/>
  <c r="J276" i="4"/>
  <c r="K276" i="4"/>
  <c r="A277" i="4"/>
  <c r="C277" i="4"/>
  <c r="D277" i="4"/>
  <c r="E277" i="4"/>
  <c r="F277" i="4"/>
  <c r="G277" i="4"/>
  <c r="I277" i="4"/>
  <c r="J277" i="4"/>
  <c r="K277" i="4"/>
  <c r="A278" i="4"/>
  <c r="C278" i="4"/>
  <c r="D278" i="4"/>
  <c r="E278" i="4"/>
  <c r="F278" i="4"/>
  <c r="G278" i="4"/>
  <c r="I278" i="4"/>
  <c r="J278" i="4"/>
  <c r="K278" i="4"/>
  <c r="A279" i="4"/>
  <c r="C279" i="4"/>
  <c r="D279" i="4"/>
  <c r="E279" i="4"/>
  <c r="F279" i="4"/>
  <c r="G279" i="4"/>
  <c r="I279" i="4"/>
  <c r="J279" i="4"/>
  <c r="K279" i="4"/>
  <c r="A280" i="4"/>
  <c r="C280" i="4"/>
  <c r="D280" i="4"/>
  <c r="E280" i="4"/>
  <c r="F280" i="4"/>
  <c r="G280" i="4"/>
  <c r="I280" i="4"/>
  <c r="J280" i="4"/>
  <c r="K280" i="4"/>
  <c r="A281" i="4"/>
  <c r="C281" i="4"/>
  <c r="D281" i="4"/>
  <c r="E281" i="4"/>
  <c r="F281" i="4"/>
  <c r="G281" i="4"/>
  <c r="I281" i="4"/>
  <c r="J281" i="4"/>
  <c r="K281" i="4"/>
  <c r="A282" i="4"/>
  <c r="C282" i="4"/>
  <c r="D282" i="4"/>
  <c r="E282" i="4"/>
  <c r="F282" i="4"/>
  <c r="G282" i="4"/>
  <c r="I282" i="4"/>
  <c r="J282" i="4"/>
  <c r="K282" i="4"/>
  <c r="A283" i="4"/>
  <c r="C283" i="4"/>
  <c r="D283" i="4"/>
  <c r="E283" i="4"/>
  <c r="F283" i="4"/>
  <c r="G283" i="4"/>
  <c r="I283" i="4"/>
  <c r="J283" i="4"/>
  <c r="K283" i="4"/>
  <c r="A284" i="4"/>
  <c r="C284" i="4"/>
  <c r="D284" i="4"/>
  <c r="E284" i="4"/>
  <c r="F284" i="4"/>
  <c r="G284" i="4"/>
  <c r="I284" i="4"/>
  <c r="J284" i="4"/>
  <c r="K284" i="4"/>
  <c r="A285" i="4"/>
  <c r="C285" i="4"/>
  <c r="D285" i="4"/>
  <c r="E285" i="4"/>
  <c r="F285" i="4"/>
  <c r="G285" i="4"/>
  <c r="I285" i="4"/>
  <c r="J285" i="4"/>
  <c r="K285" i="4"/>
  <c r="A286" i="4"/>
  <c r="C286" i="4"/>
  <c r="D286" i="4"/>
  <c r="E286" i="4"/>
  <c r="F286" i="4"/>
  <c r="G286" i="4"/>
  <c r="I286" i="4"/>
  <c r="J286" i="4"/>
  <c r="K286" i="4"/>
  <c r="A287" i="4"/>
  <c r="C287" i="4"/>
  <c r="D287" i="4"/>
  <c r="E287" i="4"/>
  <c r="F287" i="4"/>
  <c r="G287" i="4"/>
  <c r="I287" i="4"/>
  <c r="J287" i="4"/>
  <c r="K287" i="4"/>
  <c r="A288" i="4"/>
  <c r="C288" i="4"/>
  <c r="D288" i="4"/>
  <c r="E288" i="4"/>
  <c r="F288" i="4"/>
  <c r="G288" i="4"/>
  <c r="I288" i="4"/>
  <c r="J288" i="4"/>
  <c r="K288" i="4"/>
  <c r="A289" i="4"/>
  <c r="C289" i="4"/>
  <c r="D289" i="4"/>
  <c r="E289" i="4"/>
  <c r="F289" i="4"/>
  <c r="G289" i="4"/>
  <c r="I289" i="4"/>
  <c r="J289" i="4"/>
  <c r="K289" i="4"/>
  <c r="A290" i="4"/>
  <c r="C290" i="4"/>
  <c r="D290" i="4"/>
  <c r="E290" i="4"/>
  <c r="F290" i="4"/>
  <c r="G290" i="4"/>
  <c r="I290" i="4"/>
  <c r="J290" i="4"/>
  <c r="K290" i="4"/>
  <c r="A291" i="4"/>
  <c r="C291" i="4"/>
  <c r="D291" i="4"/>
  <c r="E291" i="4"/>
  <c r="F291" i="4"/>
  <c r="G291" i="4"/>
  <c r="I291" i="4"/>
  <c r="J291" i="4"/>
  <c r="K291" i="4"/>
  <c r="A292" i="4"/>
  <c r="C292" i="4"/>
  <c r="D292" i="4"/>
  <c r="E292" i="4"/>
  <c r="F292" i="4"/>
  <c r="G292" i="4"/>
  <c r="I292" i="4"/>
  <c r="J292" i="4"/>
  <c r="K292" i="4"/>
  <c r="A293" i="4"/>
  <c r="C293" i="4"/>
  <c r="D293" i="4"/>
  <c r="E293" i="4"/>
  <c r="F293" i="4"/>
  <c r="G293" i="4"/>
  <c r="I293" i="4"/>
  <c r="J293" i="4"/>
  <c r="K293" i="4"/>
  <c r="A294" i="4"/>
  <c r="C294" i="4"/>
  <c r="D294" i="4"/>
  <c r="E294" i="4"/>
  <c r="F294" i="4"/>
  <c r="G294" i="4"/>
  <c r="I294" i="4"/>
  <c r="J294" i="4"/>
  <c r="K294" i="4"/>
  <c r="A295" i="4"/>
  <c r="C295" i="4"/>
  <c r="D295" i="4"/>
  <c r="E295" i="4"/>
  <c r="F295" i="4"/>
  <c r="G295" i="4"/>
  <c r="I295" i="4"/>
  <c r="J295" i="4"/>
  <c r="K295" i="4"/>
  <c r="A296" i="4"/>
  <c r="C296" i="4"/>
  <c r="D296" i="4"/>
  <c r="E296" i="4"/>
  <c r="F296" i="4"/>
  <c r="G296" i="4"/>
  <c r="I296" i="4"/>
  <c r="J296" i="4"/>
  <c r="K296" i="4"/>
  <c r="A297" i="4"/>
  <c r="C297" i="4"/>
  <c r="D297" i="4"/>
  <c r="E297" i="4"/>
  <c r="F297" i="4"/>
  <c r="G297" i="4"/>
  <c r="I297" i="4"/>
  <c r="J297" i="4"/>
  <c r="K297" i="4"/>
  <c r="A298" i="4"/>
  <c r="C298" i="4"/>
  <c r="D298" i="4"/>
  <c r="E298" i="4"/>
  <c r="F298" i="4"/>
  <c r="G298" i="4"/>
  <c r="I298" i="4"/>
  <c r="J298" i="4"/>
  <c r="K298" i="4"/>
  <c r="A299" i="4"/>
  <c r="C299" i="4"/>
  <c r="D299" i="4"/>
  <c r="E299" i="4"/>
  <c r="F299" i="4"/>
  <c r="G299" i="4"/>
  <c r="I299" i="4"/>
  <c r="J299" i="4"/>
  <c r="K299" i="4"/>
  <c r="A300" i="4"/>
  <c r="C300" i="4"/>
  <c r="D300" i="4"/>
  <c r="E300" i="4"/>
  <c r="F300" i="4"/>
  <c r="G300" i="4"/>
  <c r="I300" i="4"/>
  <c r="J300" i="4"/>
  <c r="K300" i="4"/>
  <c r="A301" i="4"/>
  <c r="C301" i="4"/>
  <c r="D301" i="4"/>
  <c r="E301" i="4"/>
  <c r="F301" i="4"/>
  <c r="G301" i="4"/>
  <c r="I301" i="4"/>
  <c r="J301" i="4"/>
  <c r="K301" i="4"/>
  <c r="A302" i="4"/>
  <c r="C302" i="4"/>
  <c r="D302" i="4"/>
  <c r="E302" i="4"/>
  <c r="F302" i="4"/>
  <c r="G302" i="4"/>
  <c r="I302" i="4"/>
  <c r="J302" i="4"/>
  <c r="K302" i="4"/>
  <c r="A303" i="4"/>
  <c r="C303" i="4"/>
  <c r="D303" i="4"/>
  <c r="E303" i="4"/>
  <c r="F303" i="4"/>
  <c r="G303" i="4"/>
  <c r="I303" i="4"/>
  <c r="J303" i="4"/>
  <c r="K303" i="4"/>
  <c r="A304" i="4"/>
  <c r="C304" i="4"/>
  <c r="D304" i="4"/>
  <c r="E304" i="4"/>
  <c r="F304" i="4"/>
  <c r="G304" i="4"/>
  <c r="I304" i="4"/>
  <c r="J304" i="4"/>
  <c r="K304" i="4"/>
  <c r="A305" i="4"/>
  <c r="C305" i="4"/>
  <c r="D305" i="4"/>
  <c r="E305" i="4"/>
  <c r="F305" i="4"/>
  <c r="G305" i="4"/>
  <c r="I305" i="4"/>
  <c r="J305" i="4"/>
  <c r="K305" i="4"/>
  <c r="A306" i="4"/>
  <c r="C306" i="4"/>
  <c r="D306" i="4"/>
  <c r="E306" i="4"/>
  <c r="F306" i="4"/>
  <c r="G306" i="4"/>
  <c r="I306" i="4"/>
  <c r="J306" i="4"/>
  <c r="K306" i="4"/>
  <c r="A307" i="4"/>
  <c r="C307" i="4"/>
  <c r="D307" i="4"/>
  <c r="E307" i="4"/>
  <c r="F307" i="4"/>
  <c r="G307" i="4"/>
  <c r="I307" i="4"/>
  <c r="J307" i="4"/>
  <c r="K307" i="4"/>
  <c r="A308" i="4"/>
  <c r="C308" i="4"/>
  <c r="D308" i="4"/>
  <c r="E308" i="4"/>
  <c r="F308" i="4"/>
  <c r="G308" i="4"/>
  <c r="I308" i="4"/>
  <c r="J308" i="4"/>
  <c r="K308" i="4"/>
  <c r="A309" i="4"/>
  <c r="C309" i="4"/>
  <c r="D309" i="4"/>
  <c r="E309" i="4"/>
  <c r="F309" i="4"/>
  <c r="G309" i="4"/>
  <c r="I309" i="4"/>
  <c r="J309" i="4"/>
  <c r="K309" i="4"/>
  <c r="A310" i="4"/>
  <c r="C310" i="4"/>
  <c r="D310" i="4"/>
  <c r="E310" i="4"/>
  <c r="F310" i="4"/>
  <c r="G310" i="4"/>
  <c r="I310" i="4"/>
  <c r="J310" i="4"/>
  <c r="K310" i="4"/>
  <c r="A311" i="4"/>
  <c r="C311" i="4"/>
  <c r="D311" i="4"/>
  <c r="E311" i="4"/>
  <c r="F311" i="4"/>
  <c r="G311" i="4"/>
  <c r="I311" i="4"/>
  <c r="J311" i="4"/>
  <c r="K311" i="4"/>
  <c r="A312" i="4"/>
  <c r="C312" i="4"/>
  <c r="D312" i="4"/>
  <c r="E312" i="4"/>
  <c r="F312" i="4"/>
  <c r="G312" i="4"/>
  <c r="I312" i="4"/>
  <c r="J312" i="4"/>
  <c r="K312" i="4"/>
  <c r="A313" i="4"/>
  <c r="C313" i="4"/>
  <c r="D313" i="4"/>
  <c r="E313" i="4"/>
  <c r="F313" i="4"/>
  <c r="G313" i="4"/>
  <c r="I313" i="4"/>
  <c r="J313" i="4"/>
  <c r="K313" i="4"/>
  <c r="A314" i="4"/>
  <c r="C314" i="4"/>
  <c r="D314" i="4"/>
  <c r="E314" i="4"/>
  <c r="F314" i="4"/>
  <c r="G314" i="4"/>
  <c r="I314" i="4"/>
  <c r="J314" i="4"/>
  <c r="K314" i="4"/>
  <c r="A315" i="4"/>
  <c r="C315" i="4"/>
  <c r="D315" i="4"/>
  <c r="E315" i="4"/>
  <c r="F315" i="4"/>
  <c r="G315" i="4"/>
  <c r="I315" i="4"/>
  <c r="J315" i="4"/>
  <c r="K315" i="4"/>
  <c r="A316" i="4"/>
  <c r="C316" i="4"/>
  <c r="D316" i="4"/>
  <c r="E316" i="4"/>
  <c r="F316" i="4"/>
  <c r="G316" i="4"/>
  <c r="I316" i="4"/>
  <c r="J316" i="4"/>
  <c r="K316" i="4"/>
  <c r="A317" i="4"/>
  <c r="C317" i="4"/>
  <c r="D317" i="4"/>
  <c r="E317" i="4"/>
  <c r="F317" i="4"/>
  <c r="G317" i="4"/>
  <c r="I317" i="4"/>
  <c r="J317" i="4"/>
  <c r="K317" i="4"/>
  <c r="A318" i="4"/>
  <c r="C318" i="4"/>
  <c r="D318" i="4"/>
  <c r="E318" i="4"/>
  <c r="F318" i="4"/>
  <c r="G318" i="4"/>
  <c r="I318" i="4"/>
  <c r="J318" i="4"/>
  <c r="K318" i="4"/>
  <c r="A319" i="4"/>
  <c r="C319" i="4"/>
  <c r="D319" i="4"/>
  <c r="E319" i="4"/>
  <c r="F319" i="4"/>
  <c r="G319" i="4"/>
  <c r="I319" i="4"/>
  <c r="J319" i="4"/>
  <c r="K319" i="4"/>
  <c r="A320" i="4"/>
  <c r="C320" i="4"/>
  <c r="D320" i="4"/>
  <c r="E320" i="4"/>
  <c r="F320" i="4"/>
  <c r="G320" i="4"/>
  <c r="I320" i="4"/>
  <c r="J320" i="4"/>
  <c r="K320" i="4"/>
  <c r="A321" i="4"/>
  <c r="C321" i="4"/>
  <c r="D321" i="4"/>
  <c r="E321" i="4"/>
  <c r="F321" i="4"/>
  <c r="G321" i="4"/>
  <c r="I321" i="4"/>
  <c r="J321" i="4"/>
  <c r="K321" i="4"/>
  <c r="A322" i="4"/>
  <c r="C322" i="4"/>
  <c r="D322" i="4"/>
  <c r="E322" i="4"/>
  <c r="F322" i="4"/>
  <c r="G322" i="4"/>
  <c r="I322" i="4"/>
  <c r="J322" i="4"/>
  <c r="K322" i="4"/>
  <c r="A323" i="4"/>
  <c r="C323" i="4"/>
  <c r="D323" i="4"/>
  <c r="E323" i="4"/>
  <c r="F323" i="4"/>
  <c r="G323" i="4"/>
  <c r="I323" i="4"/>
  <c r="J323" i="4"/>
  <c r="K323" i="4"/>
  <c r="A324" i="4"/>
  <c r="C324" i="4"/>
  <c r="D324" i="4"/>
  <c r="E324" i="4"/>
  <c r="F324" i="4"/>
  <c r="G324" i="4"/>
  <c r="I324" i="4"/>
  <c r="J324" i="4"/>
  <c r="K324" i="4"/>
  <c r="A325" i="4"/>
  <c r="C325" i="4"/>
  <c r="D325" i="4"/>
  <c r="E325" i="4"/>
  <c r="F325" i="4"/>
  <c r="G325" i="4"/>
  <c r="I325" i="4"/>
  <c r="J325" i="4"/>
  <c r="K325" i="4"/>
  <c r="A326" i="4"/>
  <c r="C326" i="4"/>
  <c r="D326" i="4"/>
  <c r="E326" i="4"/>
  <c r="F326" i="4"/>
  <c r="G326" i="4"/>
  <c r="I326" i="4"/>
  <c r="J326" i="4"/>
  <c r="K326" i="4"/>
  <c r="A327" i="4"/>
  <c r="C327" i="4"/>
  <c r="D327" i="4"/>
  <c r="E327" i="4"/>
  <c r="F327" i="4"/>
  <c r="G327" i="4"/>
  <c r="I327" i="4"/>
  <c r="J327" i="4"/>
  <c r="K327" i="4"/>
  <c r="A328" i="4"/>
  <c r="C328" i="4"/>
  <c r="D328" i="4"/>
  <c r="E328" i="4"/>
  <c r="F328" i="4"/>
  <c r="G328" i="4"/>
  <c r="I328" i="4"/>
  <c r="J328" i="4"/>
  <c r="K328" i="4"/>
  <c r="A329" i="4"/>
  <c r="C329" i="4"/>
  <c r="D329" i="4"/>
  <c r="E329" i="4"/>
  <c r="F329" i="4"/>
  <c r="G329" i="4"/>
  <c r="I329" i="4"/>
  <c r="J329" i="4"/>
  <c r="K329" i="4"/>
  <c r="A330" i="4"/>
  <c r="C330" i="4"/>
  <c r="D330" i="4"/>
  <c r="E330" i="4"/>
  <c r="F330" i="4"/>
  <c r="G330" i="4"/>
  <c r="I330" i="4"/>
  <c r="J330" i="4"/>
  <c r="K330" i="4"/>
  <c r="A331" i="4"/>
  <c r="C331" i="4"/>
  <c r="D331" i="4"/>
  <c r="E331" i="4"/>
  <c r="F331" i="4"/>
  <c r="G331" i="4"/>
  <c r="I331" i="4"/>
  <c r="J331" i="4"/>
  <c r="K331" i="4"/>
  <c r="A332" i="4"/>
  <c r="C332" i="4"/>
  <c r="D332" i="4"/>
  <c r="E332" i="4"/>
  <c r="F332" i="4"/>
  <c r="G332" i="4"/>
  <c r="I332" i="4"/>
  <c r="J332" i="4"/>
  <c r="K332" i="4"/>
  <c r="A333" i="4"/>
  <c r="C333" i="4"/>
  <c r="D333" i="4"/>
  <c r="E333" i="4"/>
  <c r="F333" i="4"/>
  <c r="G333" i="4"/>
  <c r="I333" i="4"/>
  <c r="J333" i="4"/>
  <c r="K333" i="4"/>
  <c r="A334" i="4"/>
  <c r="C334" i="4"/>
  <c r="D334" i="4"/>
  <c r="E334" i="4"/>
  <c r="F334" i="4"/>
  <c r="G334" i="4"/>
  <c r="I334" i="4"/>
  <c r="J334" i="4"/>
  <c r="K334" i="4"/>
  <c r="A335" i="4"/>
  <c r="C335" i="4"/>
  <c r="D335" i="4"/>
  <c r="E335" i="4"/>
  <c r="F335" i="4"/>
  <c r="G335" i="4"/>
  <c r="I335" i="4"/>
  <c r="J335" i="4"/>
  <c r="K335" i="4"/>
  <c r="A336" i="4"/>
  <c r="C336" i="4"/>
  <c r="D336" i="4"/>
  <c r="E336" i="4"/>
  <c r="F336" i="4"/>
  <c r="G336" i="4"/>
  <c r="I336" i="4"/>
  <c r="J336" i="4"/>
  <c r="K336" i="4"/>
  <c r="A337" i="4"/>
  <c r="C337" i="4"/>
  <c r="D337" i="4"/>
  <c r="E337" i="4"/>
  <c r="F337" i="4"/>
  <c r="G337" i="4"/>
  <c r="I337" i="4"/>
  <c r="J337" i="4"/>
  <c r="K337" i="4"/>
  <c r="A338" i="4"/>
  <c r="C338" i="4"/>
  <c r="D338" i="4"/>
  <c r="E338" i="4"/>
  <c r="F338" i="4"/>
  <c r="G338" i="4"/>
  <c r="I338" i="4"/>
  <c r="J338" i="4"/>
  <c r="K338" i="4"/>
  <c r="A339" i="4"/>
  <c r="C339" i="4"/>
  <c r="D339" i="4"/>
  <c r="E339" i="4"/>
  <c r="F339" i="4"/>
  <c r="G339" i="4"/>
  <c r="I339" i="4"/>
  <c r="J339" i="4"/>
  <c r="K339" i="4"/>
  <c r="A340" i="4"/>
  <c r="C340" i="4"/>
  <c r="D340" i="4"/>
  <c r="E340" i="4"/>
  <c r="F340" i="4"/>
  <c r="G340" i="4"/>
  <c r="I340" i="4"/>
  <c r="J340" i="4"/>
  <c r="K340" i="4"/>
  <c r="A341" i="4"/>
  <c r="C341" i="4"/>
  <c r="D341" i="4"/>
  <c r="E341" i="4"/>
  <c r="F341" i="4"/>
  <c r="G341" i="4"/>
  <c r="I341" i="4"/>
  <c r="J341" i="4"/>
  <c r="K341" i="4"/>
  <c r="A342" i="4"/>
  <c r="C342" i="4"/>
  <c r="D342" i="4"/>
  <c r="E342" i="4"/>
  <c r="F342" i="4"/>
  <c r="G342" i="4"/>
  <c r="I342" i="4"/>
  <c r="J342" i="4"/>
  <c r="K342" i="4"/>
  <c r="A343" i="4"/>
  <c r="C343" i="4"/>
  <c r="D343" i="4"/>
  <c r="E343" i="4"/>
  <c r="F343" i="4"/>
  <c r="G343" i="4"/>
  <c r="I343" i="4"/>
  <c r="J343" i="4"/>
  <c r="K343" i="4"/>
  <c r="A344" i="4"/>
  <c r="C344" i="4"/>
  <c r="D344" i="4"/>
  <c r="E344" i="4"/>
  <c r="F344" i="4"/>
  <c r="G344" i="4"/>
  <c r="I344" i="4"/>
  <c r="J344" i="4"/>
  <c r="K344" i="4"/>
  <c r="A345" i="4"/>
  <c r="C345" i="4"/>
  <c r="D345" i="4"/>
  <c r="E345" i="4"/>
  <c r="F345" i="4"/>
  <c r="G345" i="4"/>
  <c r="I345" i="4"/>
  <c r="J345" i="4"/>
  <c r="K345" i="4"/>
  <c r="A346" i="4"/>
  <c r="C346" i="4"/>
  <c r="D346" i="4"/>
  <c r="E346" i="4"/>
  <c r="F346" i="4"/>
  <c r="G346" i="4"/>
  <c r="I346" i="4"/>
  <c r="J346" i="4"/>
  <c r="K346" i="4"/>
  <c r="A347" i="4"/>
  <c r="C347" i="4"/>
  <c r="D347" i="4"/>
  <c r="E347" i="4"/>
  <c r="F347" i="4"/>
  <c r="G347" i="4"/>
  <c r="I347" i="4"/>
  <c r="J347" i="4"/>
  <c r="K347" i="4"/>
  <c r="A348" i="4"/>
  <c r="C348" i="4"/>
  <c r="D348" i="4"/>
  <c r="E348" i="4"/>
  <c r="F348" i="4"/>
  <c r="G348" i="4"/>
  <c r="I348" i="4"/>
  <c r="J348" i="4"/>
  <c r="K348" i="4"/>
  <c r="A349" i="4"/>
  <c r="C349" i="4"/>
  <c r="D349" i="4"/>
  <c r="E349" i="4"/>
  <c r="F349" i="4"/>
  <c r="G349" i="4"/>
  <c r="I349" i="4"/>
  <c r="J349" i="4"/>
  <c r="K349" i="4"/>
  <c r="A350" i="4"/>
  <c r="C350" i="4"/>
  <c r="D350" i="4"/>
  <c r="E350" i="4"/>
  <c r="F350" i="4"/>
  <c r="G350" i="4"/>
  <c r="I350" i="4"/>
  <c r="J350" i="4"/>
  <c r="K350" i="4"/>
  <c r="A351" i="4"/>
  <c r="C351" i="4"/>
  <c r="D351" i="4"/>
  <c r="E351" i="4"/>
  <c r="F351" i="4"/>
  <c r="G351" i="4"/>
  <c r="I351" i="4"/>
  <c r="J351" i="4"/>
  <c r="K351" i="4"/>
  <c r="A352" i="4"/>
  <c r="C352" i="4"/>
  <c r="D352" i="4"/>
  <c r="E352" i="4"/>
  <c r="F352" i="4"/>
  <c r="G352" i="4"/>
  <c r="I352" i="4"/>
  <c r="J352" i="4"/>
  <c r="K352" i="4"/>
  <c r="A353" i="4"/>
  <c r="C353" i="4"/>
  <c r="D353" i="4"/>
  <c r="E353" i="4"/>
  <c r="F353" i="4"/>
  <c r="G353" i="4"/>
  <c r="I353" i="4"/>
  <c r="J353" i="4"/>
  <c r="K353" i="4"/>
  <c r="A354" i="4"/>
  <c r="C354" i="4"/>
  <c r="D354" i="4"/>
  <c r="E354" i="4"/>
  <c r="F354" i="4"/>
  <c r="G354" i="4"/>
  <c r="I354" i="4"/>
  <c r="J354" i="4"/>
  <c r="K354" i="4"/>
  <c r="A355" i="4"/>
  <c r="C355" i="4"/>
  <c r="D355" i="4"/>
  <c r="E355" i="4"/>
  <c r="F355" i="4"/>
  <c r="G355" i="4"/>
  <c r="I355" i="4"/>
  <c r="J355" i="4"/>
  <c r="K355" i="4"/>
  <c r="A356" i="4"/>
  <c r="C356" i="4"/>
  <c r="D356" i="4"/>
  <c r="E356" i="4"/>
  <c r="F356" i="4"/>
  <c r="G356" i="4"/>
  <c r="I356" i="4"/>
  <c r="J356" i="4"/>
  <c r="K356" i="4"/>
  <c r="A357" i="4"/>
  <c r="C357" i="4"/>
  <c r="D357" i="4"/>
  <c r="E357" i="4"/>
  <c r="F357" i="4"/>
  <c r="G357" i="4"/>
  <c r="I357" i="4"/>
  <c r="J357" i="4"/>
  <c r="K357" i="4"/>
  <c r="A358" i="4"/>
  <c r="C358" i="4"/>
  <c r="D358" i="4"/>
  <c r="E358" i="4"/>
  <c r="F358" i="4"/>
  <c r="G358" i="4"/>
  <c r="I358" i="4"/>
  <c r="J358" i="4"/>
  <c r="K358" i="4"/>
  <c r="A359" i="4"/>
  <c r="C359" i="4"/>
  <c r="D359" i="4"/>
  <c r="E359" i="4"/>
  <c r="F359" i="4"/>
  <c r="G359" i="4"/>
  <c r="I359" i="4"/>
  <c r="J359" i="4"/>
  <c r="K359" i="4"/>
  <c r="A360" i="4"/>
  <c r="C360" i="4"/>
  <c r="D360" i="4"/>
  <c r="E360" i="4"/>
  <c r="F360" i="4"/>
  <c r="G360" i="4"/>
  <c r="I360" i="4"/>
  <c r="J360" i="4"/>
  <c r="K360" i="4"/>
  <c r="A361" i="4"/>
  <c r="C361" i="4"/>
  <c r="D361" i="4"/>
  <c r="E361" i="4"/>
  <c r="F361" i="4"/>
  <c r="G361" i="4"/>
  <c r="I361" i="4"/>
  <c r="J361" i="4"/>
  <c r="K361" i="4"/>
  <c r="A362" i="4"/>
  <c r="C362" i="4"/>
  <c r="D362" i="4"/>
  <c r="E362" i="4"/>
  <c r="F362" i="4"/>
  <c r="G362" i="4"/>
  <c r="I362" i="4"/>
  <c r="J362" i="4"/>
  <c r="K362" i="4"/>
  <c r="A363" i="4"/>
  <c r="C363" i="4"/>
  <c r="D363" i="4"/>
  <c r="E363" i="4"/>
  <c r="F363" i="4"/>
  <c r="G363" i="4"/>
  <c r="I363" i="4"/>
  <c r="J363" i="4"/>
  <c r="K363" i="4"/>
  <c r="A364" i="4"/>
  <c r="C364" i="4"/>
  <c r="D364" i="4"/>
  <c r="E364" i="4"/>
  <c r="F364" i="4"/>
  <c r="G364" i="4"/>
  <c r="I364" i="4"/>
  <c r="J364" i="4"/>
  <c r="K364" i="4"/>
  <c r="A365" i="4"/>
  <c r="C365" i="4"/>
  <c r="D365" i="4"/>
  <c r="E365" i="4"/>
  <c r="F365" i="4"/>
  <c r="G365" i="4"/>
  <c r="I365" i="4"/>
  <c r="J365" i="4"/>
  <c r="K365" i="4"/>
  <c r="A366" i="4"/>
  <c r="C366" i="4"/>
  <c r="D366" i="4"/>
  <c r="E366" i="4"/>
  <c r="F366" i="4"/>
  <c r="G366" i="4"/>
  <c r="I366" i="4"/>
  <c r="J366" i="4"/>
  <c r="K366" i="4"/>
  <c r="A367" i="4"/>
  <c r="C367" i="4"/>
  <c r="D367" i="4"/>
  <c r="E367" i="4"/>
  <c r="F367" i="4"/>
  <c r="G367" i="4"/>
  <c r="I367" i="4"/>
  <c r="J367" i="4"/>
  <c r="K367" i="4"/>
  <c r="A368" i="4"/>
  <c r="C368" i="4"/>
  <c r="D368" i="4"/>
  <c r="E368" i="4"/>
  <c r="F368" i="4"/>
  <c r="G368" i="4"/>
  <c r="I368" i="4"/>
  <c r="J368" i="4"/>
  <c r="K368" i="4"/>
  <c r="A369" i="4"/>
  <c r="C369" i="4"/>
  <c r="D369" i="4"/>
  <c r="E369" i="4"/>
  <c r="F369" i="4"/>
  <c r="G369" i="4"/>
  <c r="I369" i="4"/>
  <c r="J369" i="4"/>
  <c r="K369" i="4"/>
  <c r="A370" i="4"/>
  <c r="C370" i="4"/>
  <c r="D370" i="4"/>
  <c r="E370" i="4"/>
  <c r="F370" i="4"/>
  <c r="G370" i="4"/>
  <c r="I370" i="4"/>
  <c r="J370" i="4"/>
  <c r="K370" i="4"/>
  <c r="A371" i="4"/>
  <c r="C371" i="4"/>
  <c r="D371" i="4"/>
  <c r="E371" i="4"/>
  <c r="F371" i="4"/>
  <c r="G371" i="4"/>
  <c r="I371" i="4"/>
  <c r="J371" i="4"/>
  <c r="K371" i="4"/>
  <c r="A372" i="4"/>
  <c r="C372" i="4"/>
  <c r="D372" i="4"/>
  <c r="E372" i="4"/>
  <c r="F372" i="4"/>
  <c r="G372" i="4"/>
  <c r="I372" i="4"/>
  <c r="J372" i="4"/>
  <c r="K372" i="4"/>
  <c r="A373" i="4"/>
  <c r="C373" i="4"/>
  <c r="D373" i="4"/>
  <c r="E373" i="4"/>
  <c r="F373" i="4"/>
  <c r="G373" i="4"/>
  <c r="I373" i="4"/>
  <c r="J373" i="4"/>
  <c r="K373" i="4"/>
  <c r="A374" i="4"/>
  <c r="C374" i="4"/>
  <c r="D374" i="4"/>
  <c r="E374" i="4"/>
  <c r="F374" i="4"/>
  <c r="G374" i="4"/>
  <c r="I374" i="4"/>
  <c r="J374" i="4"/>
  <c r="K374" i="4"/>
  <c r="A375" i="4"/>
  <c r="C375" i="4"/>
  <c r="D375" i="4"/>
  <c r="E375" i="4"/>
  <c r="F375" i="4"/>
  <c r="G375" i="4"/>
  <c r="I375" i="4"/>
  <c r="J375" i="4"/>
  <c r="K375" i="4"/>
  <c r="A376" i="4"/>
  <c r="C376" i="4"/>
  <c r="D376" i="4"/>
  <c r="E376" i="4"/>
  <c r="F376" i="4"/>
  <c r="G376" i="4"/>
  <c r="I376" i="4"/>
  <c r="J376" i="4"/>
  <c r="K376" i="4"/>
  <c r="A377" i="4"/>
  <c r="C377" i="4"/>
  <c r="D377" i="4"/>
  <c r="E377" i="4"/>
  <c r="F377" i="4"/>
  <c r="G377" i="4"/>
  <c r="I377" i="4"/>
  <c r="J377" i="4"/>
  <c r="K377" i="4"/>
  <c r="A378" i="4"/>
  <c r="C378" i="4"/>
  <c r="D378" i="4"/>
  <c r="E378" i="4"/>
  <c r="F378" i="4"/>
  <c r="G378" i="4"/>
  <c r="I378" i="4"/>
  <c r="J378" i="4"/>
  <c r="K378" i="4"/>
  <c r="A379" i="4"/>
  <c r="C379" i="4"/>
  <c r="D379" i="4"/>
  <c r="E379" i="4"/>
  <c r="F379" i="4"/>
  <c r="G379" i="4"/>
  <c r="I379" i="4"/>
  <c r="J379" i="4"/>
  <c r="K379" i="4"/>
  <c r="A380" i="4"/>
  <c r="C380" i="4"/>
  <c r="D380" i="4"/>
  <c r="E380" i="4"/>
  <c r="F380" i="4"/>
  <c r="G380" i="4"/>
  <c r="I380" i="4"/>
  <c r="J380" i="4"/>
  <c r="K380" i="4"/>
  <c r="A381" i="4"/>
  <c r="C381" i="4"/>
  <c r="D381" i="4"/>
  <c r="E381" i="4"/>
  <c r="F381" i="4"/>
  <c r="G381" i="4"/>
  <c r="I381" i="4"/>
  <c r="J381" i="4"/>
  <c r="K381" i="4"/>
  <c r="A382" i="4"/>
  <c r="C382" i="4"/>
  <c r="D382" i="4"/>
  <c r="E382" i="4"/>
  <c r="F382" i="4"/>
  <c r="G382" i="4"/>
  <c r="I382" i="4"/>
  <c r="J382" i="4"/>
  <c r="K382" i="4"/>
  <c r="A383" i="4"/>
  <c r="C383" i="4"/>
  <c r="D383" i="4"/>
  <c r="E383" i="4"/>
  <c r="F383" i="4"/>
  <c r="G383" i="4"/>
  <c r="I383" i="4"/>
  <c r="J383" i="4"/>
  <c r="K383" i="4"/>
  <c r="A384" i="4"/>
  <c r="C384" i="4"/>
  <c r="D384" i="4"/>
  <c r="E384" i="4"/>
  <c r="F384" i="4"/>
  <c r="G384" i="4"/>
  <c r="I384" i="4"/>
  <c r="J384" i="4"/>
  <c r="K384" i="4"/>
  <c r="A385" i="4"/>
  <c r="C385" i="4"/>
  <c r="D385" i="4"/>
  <c r="E385" i="4"/>
  <c r="F385" i="4"/>
  <c r="G385" i="4"/>
  <c r="I385" i="4"/>
  <c r="J385" i="4"/>
  <c r="K385" i="4"/>
  <c r="A386" i="4"/>
  <c r="C386" i="4"/>
  <c r="D386" i="4"/>
  <c r="E386" i="4"/>
  <c r="F386" i="4"/>
  <c r="G386" i="4"/>
  <c r="I386" i="4"/>
  <c r="J386" i="4"/>
  <c r="K386" i="4"/>
  <c r="A387" i="4"/>
  <c r="C387" i="4"/>
  <c r="D387" i="4"/>
  <c r="E387" i="4"/>
  <c r="F387" i="4"/>
  <c r="G387" i="4"/>
  <c r="I387" i="4"/>
  <c r="J387" i="4"/>
  <c r="K387" i="4"/>
  <c r="A388" i="4"/>
  <c r="C388" i="4"/>
  <c r="D388" i="4"/>
  <c r="E388" i="4"/>
  <c r="F388" i="4"/>
  <c r="G388" i="4"/>
  <c r="I388" i="4"/>
  <c r="J388" i="4"/>
  <c r="K388" i="4"/>
  <c r="A389" i="4"/>
  <c r="C389" i="4"/>
  <c r="D389" i="4"/>
  <c r="E389" i="4"/>
  <c r="F389" i="4"/>
  <c r="G389" i="4"/>
  <c r="I389" i="4"/>
  <c r="J389" i="4"/>
  <c r="K389" i="4"/>
  <c r="A390" i="4"/>
  <c r="C390" i="4"/>
  <c r="D390" i="4"/>
  <c r="E390" i="4"/>
  <c r="F390" i="4"/>
  <c r="G390" i="4"/>
  <c r="I390" i="4"/>
  <c r="J390" i="4"/>
  <c r="K390" i="4"/>
  <c r="A391" i="4"/>
  <c r="C391" i="4"/>
  <c r="D391" i="4"/>
  <c r="E391" i="4"/>
  <c r="F391" i="4"/>
  <c r="G391" i="4"/>
  <c r="I391" i="4"/>
  <c r="J391" i="4"/>
  <c r="K391" i="4"/>
  <c r="A392" i="4"/>
  <c r="C392" i="4"/>
  <c r="D392" i="4"/>
  <c r="E392" i="4"/>
  <c r="F392" i="4"/>
  <c r="G392" i="4"/>
  <c r="I392" i="4"/>
  <c r="J392" i="4"/>
  <c r="K392" i="4"/>
  <c r="A393" i="4"/>
  <c r="C393" i="4"/>
  <c r="D393" i="4"/>
  <c r="E393" i="4"/>
  <c r="F393" i="4"/>
  <c r="G393" i="4"/>
  <c r="I393" i="4"/>
  <c r="J393" i="4"/>
  <c r="K393" i="4"/>
  <c r="A394" i="4"/>
  <c r="C394" i="4"/>
  <c r="D394" i="4"/>
  <c r="E394" i="4"/>
  <c r="F394" i="4"/>
  <c r="G394" i="4"/>
  <c r="I394" i="4"/>
  <c r="J394" i="4"/>
  <c r="K394" i="4"/>
  <c r="A395" i="4"/>
  <c r="C395" i="4"/>
  <c r="D395" i="4"/>
  <c r="E395" i="4"/>
  <c r="F395" i="4"/>
  <c r="G395" i="4"/>
  <c r="I395" i="4"/>
  <c r="J395" i="4"/>
  <c r="K395" i="4"/>
  <c r="A396" i="4"/>
  <c r="C396" i="4"/>
  <c r="D396" i="4"/>
  <c r="E396" i="4"/>
  <c r="F396" i="4"/>
  <c r="G396" i="4"/>
  <c r="I396" i="4"/>
  <c r="J396" i="4"/>
  <c r="K396" i="4"/>
  <c r="A397" i="4"/>
  <c r="C397" i="4"/>
  <c r="D397" i="4"/>
  <c r="E397" i="4"/>
  <c r="F397" i="4"/>
  <c r="G397" i="4"/>
  <c r="I397" i="4"/>
  <c r="J397" i="4"/>
  <c r="K397" i="4"/>
  <c r="A398" i="4"/>
  <c r="C398" i="4"/>
  <c r="D398" i="4"/>
  <c r="E398" i="4"/>
  <c r="F398" i="4"/>
  <c r="G398" i="4"/>
  <c r="I398" i="4"/>
  <c r="J398" i="4"/>
  <c r="K398" i="4"/>
  <c r="A399" i="4"/>
  <c r="C399" i="4"/>
  <c r="D399" i="4"/>
  <c r="E399" i="4"/>
  <c r="F399" i="4"/>
  <c r="G399" i="4"/>
  <c r="I399" i="4"/>
  <c r="J399" i="4"/>
  <c r="K399" i="4"/>
  <c r="A400" i="4"/>
  <c r="C400" i="4"/>
  <c r="D400" i="4"/>
  <c r="E400" i="4"/>
  <c r="F400" i="4"/>
  <c r="G400" i="4"/>
  <c r="I400" i="4"/>
  <c r="J400" i="4"/>
  <c r="K400" i="4"/>
  <c r="A401" i="4"/>
  <c r="C401" i="4"/>
  <c r="D401" i="4"/>
  <c r="E401" i="4"/>
  <c r="F401" i="4"/>
  <c r="G401" i="4"/>
  <c r="I401" i="4"/>
  <c r="J401" i="4"/>
  <c r="K401" i="4"/>
  <c r="A402" i="4"/>
  <c r="C402" i="4"/>
  <c r="D402" i="4"/>
  <c r="E402" i="4"/>
  <c r="F402" i="4"/>
  <c r="G402" i="4"/>
  <c r="I402" i="4"/>
  <c r="J402" i="4"/>
  <c r="K402" i="4"/>
  <c r="A403" i="4"/>
  <c r="C403" i="4"/>
  <c r="D403" i="4"/>
  <c r="E403" i="4"/>
  <c r="F403" i="4"/>
  <c r="G403" i="4"/>
  <c r="I403" i="4"/>
  <c r="J403" i="4"/>
  <c r="K403" i="4"/>
  <c r="A404" i="4"/>
  <c r="C404" i="4"/>
  <c r="D404" i="4"/>
  <c r="E404" i="4"/>
  <c r="F404" i="4"/>
  <c r="G404" i="4"/>
  <c r="I404" i="4"/>
  <c r="J404" i="4"/>
  <c r="K404" i="4"/>
  <c r="A405" i="4"/>
  <c r="C405" i="4"/>
  <c r="D405" i="4"/>
  <c r="E405" i="4"/>
  <c r="F405" i="4"/>
  <c r="G405" i="4"/>
  <c r="I405" i="4"/>
  <c r="J405" i="4"/>
  <c r="K405" i="4"/>
  <c r="A406" i="4"/>
  <c r="C406" i="4"/>
  <c r="D406" i="4"/>
  <c r="E406" i="4"/>
  <c r="F406" i="4"/>
  <c r="G406" i="4"/>
  <c r="I406" i="4"/>
  <c r="J406" i="4"/>
  <c r="K406" i="4"/>
  <c r="A407" i="4"/>
  <c r="C407" i="4"/>
  <c r="D407" i="4"/>
  <c r="E407" i="4"/>
  <c r="F407" i="4"/>
  <c r="G407" i="4"/>
  <c r="I407" i="4"/>
  <c r="J407" i="4"/>
  <c r="K407" i="4"/>
  <c r="A408" i="4"/>
  <c r="C408" i="4"/>
  <c r="D408" i="4"/>
  <c r="E408" i="4"/>
  <c r="F408" i="4"/>
  <c r="G408" i="4"/>
  <c r="I408" i="4"/>
  <c r="J408" i="4"/>
  <c r="K408" i="4"/>
  <c r="A409" i="4"/>
  <c r="C409" i="4"/>
  <c r="D409" i="4"/>
  <c r="E409" i="4"/>
  <c r="F409" i="4"/>
  <c r="G409" i="4"/>
  <c r="I409" i="4"/>
  <c r="J409" i="4"/>
  <c r="K409" i="4"/>
  <c r="A410" i="4"/>
  <c r="C410" i="4"/>
  <c r="D410" i="4"/>
  <c r="E410" i="4"/>
  <c r="F410" i="4"/>
  <c r="G410" i="4"/>
  <c r="I410" i="4"/>
  <c r="J410" i="4"/>
  <c r="K410" i="4"/>
  <c r="A411" i="4"/>
  <c r="C411" i="4"/>
  <c r="D411" i="4"/>
  <c r="E411" i="4"/>
  <c r="F411" i="4"/>
  <c r="G411" i="4"/>
  <c r="I411" i="4"/>
  <c r="J411" i="4"/>
  <c r="K411" i="4"/>
  <c r="A412" i="4"/>
  <c r="C412" i="4"/>
  <c r="D412" i="4"/>
  <c r="E412" i="4"/>
  <c r="F412" i="4"/>
  <c r="G412" i="4"/>
  <c r="I412" i="4"/>
  <c r="J412" i="4"/>
  <c r="K412" i="4"/>
  <c r="A413" i="4"/>
  <c r="C413" i="4"/>
  <c r="D413" i="4"/>
  <c r="E413" i="4"/>
  <c r="F413" i="4"/>
  <c r="G413" i="4"/>
  <c r="I413" i="4"/>
  <c r="J413" i="4"/>
  <c r="K413" i="4"/>
  <c r="A414" i="4"/>
  <c r="C414" i="4"/>
  <c r="D414" i="4"/>
  <c r="E414" i="4"/>
  <c r="F414" i="4"/>
  <c r="G414" i="4"/>
  <c r="I414" i="4"/>
  <c r="J414" i="4"/>
  <c r="K414" i="4"/>
  <c r="A415" i="4"/>
  <c r="C415" i="4"/>
  <c r="D415" i="4"/>
  <c r="E415" i="4"/>
  <c r="F415" i="4"/>
  <c r="G415" i="4"/>
  <c r="I415" i="4"/>
  <c r="J415" i="4"/>
  <c r="K415" i="4"/>
  <c r="A416" i="4"/>
  <c r="C416" i="4"/>
  <c r="D416" i="4"/>
  <c r="E416" i="4"/>
  <c r="F416" i="4"/>
  <c r="G416" i="4"/>
  <c r="I416" i="4"/>
  <c r="J416" i="4"/>
  <c r="K416" i="4"/>
  <c r="A417" i="4"/>
  <c r="C417" i="4"/>
  <c r="D417" i="4"/>
  <c r="E417" i="4"/>
  <c r="F417" i="4"/>
  <c r="G417" i="4"/>
  <c r="I417" i="4"/>
  <c r="J417" i="4"/>
  <c r="K417" i="4"/>
  <c r="A418" i="4"/>
  <c r="C418" i="4"/>
  <c r="D418" i="4"/>
  <c r="E418" i="4"/>
  <c r="F418" i="4"/>
  <c r="G418" i="4"/>
  <c r="I418" i="4"/>
  <c r="J418" i="4"/>
  <c r="K418" i="4"/>
  <c r="A419" i="4"/>
  <c r="C419" i="4"/>
  <c r="D419" i="4"/>
  <c r="E419" i="4"/>
  <c r="F419" i="4"/>
  <c r="G419" i="4"/>
  <c r="I419" i="4"/>
  <c r="J419" i="4"/>
  <c r="K419" i="4"/>
  <c r="A420" i="4"/>
  <c r="C420" i="4"/>
  <c r="D420" i="4"/>
  <c r="E420" i="4"/>
  <c r="F420" i="4"/>
  <c r="G420" i="4"/>
  <c r="I420" i="4"/>
  <c r="J420" i="4"/>
  <c r="K420" i="4"/>
  <c r="A421" i="4"/>
  <c r="C421" i="4"/>
  <c r="D421" i="4"/>
  <c r="E421" i="4"/>
  <c r="F421" i="4"/>
  <c r="G421" i="4"/>
  <c r="I421" i="4"/>
  <c r="J421" i="4"/>
  <c r="K421" i="4"/>
  <c r="A422" i="4"/>
  <c r="C422" i="4"/>
  <c r="D422" i="4"/>
  <c r="E422" i="4"/>
  <c r="F422" i="4"/>
  <c r="G422" i="4"/>
  <c r="I422" i="4"/>
  <c r="J422" i="4"/>
  <c r="K422" i="4"/>
  <c r="A423" i="4"/>
  <c r="C423" i="4"/>
  <c r="D423" i="4"/>
  <c r="E423" i="4"/>
  <c r="F423" i="4"/>
  <c r="G423" i="4"/>
  <c r="I423" i="4"/>
  <c r="J423" i="4"/>
  <c r="K423" i="4"/>
  <c r="A424" i="4"/>
  <c r="C424" i="4"/>
  <c r="D424" i="4"/>
  <c r="E424" i="4"/>
  <c r="F424" i="4"/>
  <c r="G424" i="4"/>
  <c r="I424" i="4"/>
  <c r="J424" i="4"/>
  <c r="K424" i="4"/>
  <c r="A425" i="4"/>
  <c r="C425" i="4"/>
  <c r="D425" i="4"/>
  <c r="E425" i="4"/>
  <c r="F425" i="4"/>
  <c r="G425" i="4"/>
  <c r="I425" i="4"/>
  <c r="J425" i="4"/>
  <c r="K425" i="4"/>
  <c r="A426" i="4"/>
  <c r="C426" i="4"/>
  <c r="D426" i="4"/>
  <c r="E426" i="4"/>
  <c r="F426" i="4"/>
  <c r="G426" i="4"/>
  <c r="I426" i="4"/>
  <c r="J426" i="4"/>
  <c r="K426" i="4"/>
  <c r="A427" i="4"/>
  <c r="C427" i="4"/>
  <c r="D427" i="4"/>
  <c r="E427" i="4"/>
  <c r="F427" i="4"/>
  <c r="G427" i="4"/>
  <c r="I427" i="4"/>
  <c r="J427" i="4"/>
  <c r="K427" i="4"/>
  <c r="A428" i="4"/>
  <c r="C428" i="4"/>
  <c r="D428" i="4"/>
  <c r="E428" i="4"/>
  <c r="F428" i="4"/>
  <c r="G428" i="4"/>
  <c r="I428" i="4"/>
  <c r="J428" i="4"/>
  <c r="K428" i="4"/>
  <c r="A429" i="4"/>
  <c r="C429" i="4"/>
  <c r="D429" i="4"/>
  <c r="E429" i="4"/>
  <c r="F429" i="4"/>
  <c r="G429" i="4"/>
  <c r="I429" i="4"/>
  <c r="J429" i="4"/>
  <c r="K429" i="4"/>
  <c r="A430" i="4"/>
  <c r="C430" i="4"/>
  <c r="D430" i="4"/>
  <c r="E430" i="4"/>
  <c r="F430" i="4"/>
  <c r="G430" i="4"/>
  <c r="I430" i="4"/>
  <c r="J430" i="4"/>
  <c r="K430" i="4"/>
  <c r="A431" i="4"/>
  <c r="C431" i="4"/>
  <c r="D431" i="4"/>
  <c r="E431" i="4"/>
  <c r="F431" i="4"/>
  <c r="G431" i="4"/>
  <c r="I431" i="4"/>
  <c r="J431" i="4"/>
  <c r="K431" i="4"/>
  <c r="A432" i="4"/>
  <c r="C432" i="4"/>
  <c r="D432" i="4"/>
  <c r="E432" i="4"/>
  <c r="F432" i="4"/>
  <c r="G432" i="4"/>
  <c r="I432" i="4"/>
  <c r="J432" i="4"/>
  <c r="K432" i="4"/>
  <c r="A433" i="4"/>
  <c r="C433" i="4"/>
  <c r="D433" i="4"/>
  <c r="E433" i="4"/>
  <c r="F433" i="4"/>
  <c r="G433" i="4"/>
  <c r="I433" i="4"/>
  <c r="J433" i="4"/>
  <c r="K433" i="4"/>
  <c r="A434" i="4"/>
  <c r="C434" i="4"/>
  <c r="D434" i="4"/>
  <c r="E434" i="4"/>
  <c r="F434" i="4"/>
  <c r="G434" i="4"/>
  <c r="I434" i="4"/>
  <c r="J434" i="4"/>
  <c r="K434" i="4"/>
  <c r="A435" i="4"/>
  <c r="C435" i="4"/>
  <c r="D435" i="4"/>
  <c r="E435" i="4"/>
  <c r="F435" i="4"/>
  <c r="G435" i="4"/>
  <c r="I435" i="4"/>
  <c r="J435" i="4"/>
  <c r="K435" i="4"/>
  <c r="A436" i="4"/>
  <c r="C436" i="4"/>
  <c r="D436" i="4"/>
  <c r="E436" i="4"/>
  <c r="F436" i="4"/>
  <c r="G436" i="4"/>
  <c r="I436" i="4"/>
  <c r="J436" i="4"/>
  <c r="K436" i="4"/>
  <c r="A437" i="4"/>
  <c r="C437" i="4"/>
  <c r="D437" i="4"/>
  <c r="E437" i="4"/>
  <c r="F437" i="4"/>
  <c r="G437" i="4"/>
  <c r="I437" i="4"/>
  <c r="J437" i="4"/>
  <c r="K437" i="4"/>
  <c r="A438" i="4"/>
  <c r="C438" i="4"/>
  <c r="D438" i="4"/>
  <c r="E438" i="4"/>
  <c r="F438" i="4"/>
  <c r="G438" i="4"/>
  <c r="I438" i="4"/>
  <c r="J438" i="4"/>
  <c r="K438" i="4"/>
  <c r="A439" i="4"/>
  <c r="C439" i="4"/>
  <c r="D439" i="4"/>
  <c r="E439" i="4"/>
  <c r="F439" i="4"/>
  <c r="G439" i="4"/>
  <c r="I439" i="4"/>
  <c r="J439" i="4"/>
  <c r="K439" i="4"/>
  <c r="A440" i="4"/>
  <c r="C440" i="4"/>
  <c r="D440" i="4"/>
  <c r="E440" i="4"/>
  <c r="F440" i="4"/>
  <c r="G440" i="4"/>
  <c r="I440" i="4"/>
  <c r="J440" i="4"/>
  <c r="K440" i="4"/>
  <c r="A441" i="4"/>
  <c r="C441" i="4"/>
  <c r="D441" i="4"/>
  <c r="E441" i="4"/>
  <c r="F441" i="4"/>
  <c r="G441" i="4"/>
  <c r="I441" i="4"/>
  <c r="J441" i="4"/>
  <c r="K441" i="4"/>
  <c r="A442" i="4"/>
  <c r="C442" i="4"/>
  <c r="D442" i="4"/>
  <c r="E442" i="4"/>
  <c r="F442" i="4"/>
  <c r="G442" i="4"/>
  <c r="I442" i="4"/>
  <c r="J442" i="4"/>
  <c r="K442" i="4"/>
  <c r="A443" i="4"/>
  <c r="C443" i="4"/>
  <c r="D443" i="4"/>
  <c r="E443" i="4"/>
  <c r="F443" i="4"/>
  <c r="G443" i="4"/>
  <c r="I443" i="4"/>
  <c r="J443" i="4"/>
  <c r="K443" i="4"/>
  <c r="A444" i="4"/>
  <c r="C444" i="4"/>
  <c r="D444" i="4"/>
  <c r="E444" i="4"/>
  <c r="F444" i="4"/>
  <c r="G444" i="4"/>
  <c r="I444" i="4"/>
  <c r="J444" i="4"/>
  <c r="K444" i="4"/>
  <c r="A445" i="4"/>
  <c r="C445" i="4"/>
  <c r="D445" i="4"/>
  <c r="E445" i="4"/>
  <c r="F445" i="4"/>
  <c r="G445" i="4"/>
  <c r="I445" i="4"/>
  <c r="J445" i="4"/>
  <c r="K445" i="4"/>
  <c r="A446" i="4"/>
  <c r="C446" i="4"/>
  <c r="D446" i="4"/>
  <c r="E446" i="4"/>
  <c r="F446" i="4"/>
  <c r="G446" i="4"/>
  <c r="I446" i="4"/>
  <c r="J446" i="4"/>
  <c r="K446" i="4"/>
  <c r="A447" i="4"/>
  <c r="C447" i="4"/>
  <c r="D447" i="4"/>
  <c r="E447" i="4"/>
  <c r="F447" i="4"/>
  <c r="G447" i="4"/>
  <c r="I447" i="4"/>
  <c r="J447" i="4"/>
  <c r="K447" i="4"/>
  <c r="A448" i="4"/>
  <c r="C448" i="4"/>
  <c r="D448" i="4"/>
  <c r="E448" i="4"/>
  <c r="F448" i="4"/>
  <c r="G448" i="4"/>
  <c r="I448" i="4"/>
  <c r="J448" i="4"/>
  <c r="K448" i="4"/>
  <c r="A449" i="4"/>
  <c r="C449" i="4"/>
  <c r="D449" i="4"/>
  <c r="E449" i="4"/>
  <c r="F449" i="4"/>
  <c r="G449" i="4"/>
  <c r="I449" i="4"/>
  <c r="J449" i="4"/>
  <c r="K449" i="4"/>
  <c r="A450" i="4"/>
  <c r="C450" i="4"/>
  <c r="D450" i="4"/>
  <c r="E450" i="4"/>
  <c r="F450" i="4"/>
  <c r="G450" i="4"/>
  <c r="I450" i="4"/>
  <c r="J450" i="4"/>
  <c r="K450" i="4"/>
  <c r="A451" i="4"/>
  <c r="C451" i="4"/>
  <c r="D451" i="4"/>
  <c r="E451" i="4"/>
  <c r="F451" i="4"/>
  <c r="G451" i="4"/>
  <c r="I451" i="4"/>
  <c r="J451" i="4"/>
  <c r="K451" i="4"/>
  <c r="A452" i="4"/>
  <c r="C452" i="4"/>
  <c r="D452" i="4"/>
  <c r="E452" i="4"/>
  <c r="F452" i="4"/>
  <c r="G452" i="4"/>
  <c r="I452" i="4"/>
  <c r="J452" i="4"/>
  <c r="K452" i="4"/>
  <c r="A453" i="4"/>
  <c r="C453" i="4"/>
  <c r="D453" i="4"/>
  <c r="E453" i="4"/>
  <c r="F453" i="4"/>
  <c r="G453" i="4"/>
  <c r="I453" i="4"/>
  <c r="J453" i="4"/>
  <c r="K453" i="4"/>
  <c r="A454" i="4"/>
  <c r="C454" i="4"/>
  <c r="D454" i="4"/>
  <c r="E454" i="4"/>
  <c r="F454" i="4"/>
  <c r="G454" i="4"/>
  <c r="I454" i="4"/>
  <c r="J454" i="4"/>
  <c r="K454" i="4"/>
  <c r="A455" i="4"/>
  <c r="C455" i="4"/>
  <c r="D455" i="4"/>
  <c r="E455" i="4"/>
  <c r="F455" i="4"/>
  <c r="G455" i="4"/>
  <c r="I455" i="4"/>
  <c r="J455" i="4"/>
  <c r="K455" i="4"/>
  <c r="A456" i="4"/>
  <c r="C456" i="4"/>
  <c r="D456" i="4"/>
  <c r="E456" i="4"/>
  <c r="F456" i="4"/>
  <c r="G456" i="4"/>
  <c r="I456" i="4"/>
  <c r="J456" i="4"/>
  <c r="K456" i="4"/>
  <c r="A457" i="4"/>
  <c r="C457" i="4"/>
  <c r="D457" i="4"/>
  <c r="E457" i="4"/>
  <c r="F457" i="4"/>
  <c r="G457" i="4"/>
  <c r="I457" i="4"/>
  <c r="J457" i="4"/>
  <c r="K457" i="4"/>
  <c r="A458" i="4"/>
  <c r="C458" i="4"/>
  <c r="D458" i="4"/>
  <c r="E458" i="4"/>
  <c r="F458" i="4"/>
  <c r="G458" i="4"/>
  <c r="I458" i="4"/>
  <c r="J458" i="4"/>
  <c r="K458" i="4"/>
  <c r="A459" i="4"/>
  <c r="C459" i="4"/>
  <c r="D459" i="4"/>
  <c r="E459" i="4"/>
  <c r="F459" i="4"/>
  <c r="G459" i="4"/>
  <c r="I459" i="4"/>
  <c r="J459" i="4"/>
  <c r="K459" i="4"/>
  <c r="A460" i="4"/>
  <c r="C460" i="4"/>
  <c r="D460" i="4"/>
  <c r="E460" i="4"/>
  <c r="F460" i="4"/>
  <c r="G460" i="4"/>
  <c r="I460" i="4"/>
  <c r="J460" i="4"/>
  <c r="K460" i="4"/>
  <c r="A461" i="4"/>
  <c r="C461" i="4"/>
  <c r="D461" i="4"/>
  <c r="E461" i="4"/>
  <c r="F461" i="4"/>
  <c r="G461" i="4"/>
  <c r="I461" i="4"/>
  <c r="J461" i="4"/>
  <c r="K461" i="4"/>
  <c r="A462" i="4"/>
  <c r="C462" i="4"/>
  <c r="D462" i="4"/>
  <c r="E462" i="4"/>
  <c r="F462" i="4"/>
  <c r="G462" i="4"/>
  <c r="I462" i="4"/>
  <c r="J462" i="4"/>
  <c r="K462" i="4"/>
  <c r="A463" i="4"/>
  <c r="C463" i="4"/>
  <c r="D463" i="4"/>
  <c r="E463" i="4"/>
  <c r="F463" i="4"/>
  <c r="G463" i="4"/>
  <c r="I463" i="4"/>
  <c r="J463" i="4"/>
  <c r="K463" i="4"/>
  <c r="A464" i="4"/>
  <c r="C464" i="4"/>
  <c r="D464" i="4"/>
  <c r="E464" i="4"/>
  <c r="F464" i="4"/>
  <c r="G464" i="4"/>
  <c r="I464" i="4"/>
  <c r="J464" i="4"/>
  <c r="K464" i="4"/>
  <c r="A465" i="4"/>
  <c r="C465" i="4"/>
  <c r="D465" i="4"/>
  <c r="E465" i="4"/>
  <c r="F465" i="4"/>
  <c r="G465" i="4"/>
  <c r="I465" i="4"/>
  <c r="J465" i="4"/>
  <c r="K465" i="4"/>
  <c r="A466" i="4"/>
  <c r="C466" i="4"/>
  <c r="D466" i="4"/>
  <c r="E466" i="4"/>
  <c r="F466" i="4"/>
  <c r="G466" i="4"/>
  <c r="I466" i="4"/>
  <c r="J466" i="4"/>
  <c r="K466" i="4"/>
  <c r="A467" i="4"/>
  <c r="C467" i="4"/>
  <c r="D467" i="4"/>
  <c r="E467" i="4"/>
  <c r="F467" i="4"/>
  <c r="G467" i="4"/>
  <c r="I467" i="4"/>
  <c r="J467" i="4"/>
  <c r="K467" i="4"/>
  <c r="A468" i="4"/>
  <c r="C468" i="4"/>
  <c r="D468" i="4"/>
  <c r="E468" i="4"/>
  <c r="F468" i="4"/>
  <c r="G468" i="4"/>
  <c r="I468" i="4"/>
  <c r="J468" i="4"/>
  <c r="K468" i="4"/>
  <c r="A469" i="4"/>
  <c r="C469" i="4"/>
  <c r="D469" i="4"/>
  <c r="E469" i="4"/>
  <c r="F469" i="4"/>
  <c r="G469" i="4"/>
  <c r="I469" i="4"/>
  <c r="J469" i="4"/>
  <c r="K469" i="4"/>
  <c r="A470" i="4"/>
  <c r="C470" i="4"/>
  <c r="D470" i="4"/>
  <c r="E470" i="4"/>
  <c r="F470" i="4"/>
  <c r="G470" i="4"/>
  <c r="I470" i="4"/>
  <c r="J470" i="4"/>
  <c r="K470" i="4"/>
  <c r="A471" i="4"/>
  <c r="C471" i="4"/>
  <c r="D471" i="4"/>
  <c r="E471" i="4"/>
  <c r="F471" i="4"/>
  <c r="G471" i="4"/>
  <c r="I471" i="4"/>
  <c r="J471" i="4"/>
  <c r="K471" i="4"/>
  <c r="A472" i="4"/>
  <c r="C472" i="4"/>
  <c r="D472" i="4"/>
  <c r="E472" i="4"/>
  <c r="F472" i="4"/>
  <c r="G472" i="4"/>
  <c r="I472" i="4"/>
  <c r="J472" i="4"/>
  <c r="K472" i="4"/>
  <c r="A473" i="4"/>
  <c r="C473" i="4"/>
  <c r="D473" i="4"/>
  <c r="E473" i="4"/>
  <c r="F473" i="4"/>
  <c r="G473" i="4"/>
  <c r="I473" i="4"/>
  <c r="J473" i="4"/>
  <c r="K473" i="4"/>
  <c r="A474" i="4"/>
  <c r="C474" i="4"/>
  <c r="D474" i="4"/>
  <c r="E474" i="4"/>
  <c r="F474" i="4"/>
  <c r="G474" i="4"/>
  <c r="I474" i="4"/>
  <c r="J474" i="4"/>
  <c r="K474" i="4"/>
  <c r="A475" i="4"/>
  <c r="C475" i="4"/>
  <c r="D475" i="4"/>
  <c r="E475" i="4"/>
  <c r="F475" i="4"/>
  <c r="G475" i="4"/>
  <c r="I475" i="4"/>
  <c r="J475" i="4"/>
  <c r="K475" i="4"/>
  <c r="A476" i="4"/>
  <c r="C476" i="4"/>
  <c r="D476" i="4"/>
  <c r="E476" i="4"/>
  <c r="F476" i="4"/>
  <c r="G476" i="4"/>
  <c r="I476" i="4"/>
  <c r="J476" i="4"/>
  <c r="K476" i="4"/>
  <c r="A477" i="4"/>
  <c r="C477" i="4"/>
  <c r="D477" i="4"/>
  <c r="E477" i="4"/>
  <c r="F477" i="4"/>
  <c r="G477" i="4"/>
  <c r="I477" i="4"/>
  <c r="J477" i="4"/>
  <c r="K477" i="4"/>
  <c r="A478" i="4"/>
  <c r="C478" i="4"/>
  <c r="D478" i="4"/>
  <c r="E478" i="4"/>
  <c r="F478" i="4"/>
  <c r="G478" i="4"/>
  <c r="I478" i="4"/>
  <c r="J478" i="4"/>
  <c r="K478" i="4"/>
  <c r="A479" i="4"/>
  <c r="C479" i="4"/>
  <c r="D479" i="4"/>
  <c r="E479" i="4"/>
  <c r="F479" i="4"/>
  <c r="G479" i="4"/>
  <c r="I479" i="4"/>
  <c r="J479" i="4"/>
  <c r="K479" i="4"/>
  <c r="A480" i="4"/>
  <c r="C480" i="4"/>
  <c r="D480" i="4"/>
  <c r="E480" i="4"/>
  <c r="F480" i="4"/>
  <c r="G480" i="4"/>
  <c r="I480" i="4"/>
  <c r="J480" i="4"/>
  <c r="K480" i="4"/>
  <c r="A481" i="4"/>
  <c r="C481" i="4"/>
  <c r="D481" i="4"/>
  <c r="E481" i="4"/>
  <c r="F481" i="4"/>
  <c r="G481" i="4"/>
  <c r="I481" i="4"/>
  <c r="J481" i="4"/>
  <c r="K481" i="4"/>
  <c r="A482" i="4"/>
  <c r="C482" i="4"/>
  <c r="D482" i="4"/>
  <c r="E482" i="4"/>
  <c r="F482" i="4"/>
  <c r="G482" i="4"/>
  <c r="I482" i="4"/>
  <c r="J482" i="4"/>
  <c r="K482" i="4"/>
  <c r="A483" i="4"/>
  <c r="C483" i="4"/>
  <c r="D483" i="4"/>
  <c r="E483" i="4"/>
  <c r="F483" i="4"/>
  <c r="G483" i="4"/>
  <c r="I483" i="4"/>
  <c r="J483" i="4"/>
  <c r="K483" i="4"/>
  <c r="A484" i="4"/>
  <c r="C484" i="4"/>
  <c r="D484" i="4"/>
  <c r="E484" i="4"/>
  <c r="F484" i="4"/>
  <c r="G484" i="4"/>
  <c r="I484" i="4"/>
  <c r="J484" i="4"/>
  <c r="K484" i="4"/>
  <c r="A485" i="4"/>
  <c r="C485" i="4"/>
  <c r="D485" i="4"/>
  <c r="E485" i="4"/>
  <c r="F485" i="4"/>
  <c r="G485" i="4"/>
  <c r="I485" i="4"/>
  <c r="J485" i="4"/>
  <c r="K485" i="4"/>
  <c r="A486" i="4"/>
  <c r="C486" i="4"/>
  <c r="D486" i="4"/>
  <c r="E486" i="4"/>
  <c r="F486" i="4"/>
  <c r="G486" i="4"/>
  <c r="I486" i="4"/>
  <c r="J486" i="4"/>
  <c r="K486" i="4"/>
  <c r="A487" i="4"/>
  <c r="C487" i="4"/>
  <c r="D487" i="4"/>
  <c r="E487" i="4"/>
  <c r="F487" i="4"/>
  <c r="G487" i="4"/>
  <c r="I487" i="4"/>
  <c r="J487" i="4"/>
  <c r="K487" i="4"/>
  <c r="A488" i="4"/>
  <c r="C488" i="4"/>
  <c r="D488" i="4"/>
  <c r="E488" i="4"/>
  <c r="F488" i="4"/>
  <c r="G488" i="4"/>
  <c r="I488" i="4"/>
  <c r="J488" i="4"/>
  <c r="K488" i="4"/>
  <c r="A489" i="4"/>
  <c r="C489" i="4"/>
  <c r="D489" i="4"/>
  <c r="E489" i="4"/>
  <c r="F489" i="4"/>
  <c r="G489" i="4"/>
  <c r="I489" i="4"/>
  <c r="J489" i="4"/>
  <c r="K489" i="4"/>
  <c r="A490" i="4"/>
  <c r="C490" i="4"/>
  <c r="D490" i="4"/>
  <c r="E490" i="4"/>
  <c r="F490" i="4"/>
  <c r="G490" i="4"/>
  <c r="I490" i="4"/>
  <c r="J490" i="4"/>
  <c r="K490" i="4"/>
  <c r="A491" i="4"/>
  <c r="C491" i="4"/>
  <c r="D491" i="4"/>
  <c r="E491" i="4"/>
  <c r="F491" i="4"/>
  <c r="G491" i="4"/>
  <c r="I491" i="4"/>
  <c r="J491" i="4"/>
  <c r="K491" i="4"/>
  <c r="A492" i="4"/>
  <c r="C492" i="4"/>
  <c r="D492" i="4"/>
  <c r="E492" i="4"/>
  <c r="F492" i="4"/>
  <c r="G492" i="4"/>
  <c r="I492" i="4"/>
  <c r="J492" i="4"/>
  <c r="K492" i="4"/>
  <c r="A493" i="4"/>
  <c r="C493" i="4"/>
  <c r="D493" i="4"/>
  <c r="E493" i="4"/>
  <c r="F493" i="4"/>
  <c r="G493" i="4"/>
  <c r="I493" i="4"/>
  <c r="J493" i="4"/>
  <c r="K493" i="4"/>
  <c r="A494" i="4"/>
  <c r="C494" i="4"/>
  <c r="D494" i="4"/>
  <c r="E494" i="4"/>
  <c r="F494" i="4"/>
  <c r="G494" i="4"/>
  <c r="I494" i="4"/>
  <c r="J494" i="4"/>
  <c r="K494" i="4"/>
  <c r="A495" i="4"/>
  <c r="C495" i="4"/>
  <c r="D495" i="4"/>
  <c r="E495" i="4"/>
  <c r="F495" i="4"/>
  <c r="G495" i="4"/>
  <c r="I495" i="4"/>
  <c r="J495" i="4"/>
  <c r="K495" i="4"/>
  <c r="A496" i="4"/>
  <c r="C496" i="4"/>
  <c r="D496" i="4"/>
  <c r="E496" i="4"/>
  <c r="F496" i="4"/>
  <c r="G496" i="4"/>
  <c r="I496" i="4"/>
  <c r="J496" i="4"/>
  <c r="K496" i="4"/>
  <c r="A497" i="4"/>
  <c r="C497" i="4"/>
  <c r="D497" i="4"/>
  <c r="E497" i="4"/>
  <c r="F497" i="4"/>
  <c r="G497" i="4"/>
  <c r="I497" i="4"/>
  <c r="J497" i="4"/>
  <c r="K497" i="4"/>
  <c r="A498" i="4"/>
  <c r="C498" i="4"/>
  <c r="D498" i="4"/>
  <c r="E498" i="4"/>
  <c r="F498" i="4"/>
  <c r="G498" i="4"/>
  <c r="I498" i="4"/>
  <c r="J498" i="4"/>
  <c r="K498" i="4"/>
  <c r="A499" i="4"/>
  <c r="C499" i="4"/>
  <c r="D499" i="4"/>
  <c r="E499" i="4"/>
  <c r="F499" i="4"/>
  <c r="G499" i="4"/>
  <c r="I499" i="4"/>
  <c r="J499" i="4"/>
  <c r="K499" i="4"/>
  <c r="A500" i="4"/>
  <c r="C500" i="4"/>
  <c r="D500" i="4"/>
  <c r="E500" i="4"/>
  <c r="F500" i="4"/>
  <c r="G500" i="4"/>
  <c r="I500" i="4"/>
  <c r="J500" i="4"/>
  <c r="K500" i="4"/>
  <c r="A501" i="4"/>
  <c r="C501" i="4"/>
  <c r="D501" i="4"/>
  <c r="E501" i="4"/>
  <c r="F501" i="4"/>
  <c r="G501" i="4"/>
  <c r="I501" i="4"/>
  <c r="J501" i="4"/>
  <c r="K501" i="4"/>
  <c r="A502" i="4"/>
  <c r="C502" i="4"/>
  <c r="D502" i="4"/>
  <c r="E502" i="4"/>
  <c r="F502" i="4"/>
  <c r="G502" i="4"/>
  <c r="I502" i="4"/>
  <c r="J502" i="4"/>
  <c r="K502" i="4"/>
  <c r="A503" i="4"/>
  <c r="C503" i="4"/>
  <c r="D503" i="4"/>
  <c r="E503" i="4"/>
  <c r="F503" i="4"/>
  <c r="G503" i="4"/>
  <c r="I503" i="4"/>
  <c r="J503" i="4"/>
  <c r="K503" i="4"/>
  <c r="A504" i="4"/>
  <c r="C504" i="4"/>
  <c r="D504" i="4"/>
  <c r="E504" i="4"/>
  <c r="F504" i="4"/>
  <c r="G504" i="4"/>
  <c r="I504" i="4"/>
  <c r="J504" i="4"/>
  <c r="K504" i="4"/>
  <c r="A505" i="4"/>
  <c r="C505" i="4"/>
  <c r="D505" i="4"/>
  <c r="E505" i="4"/>
  <c r="F505" i="4"/>
  <c r="G505" i="4"/>
  <c r="I505" i="4"/>
  <c r="J505" i="4"/>
  <c r="K505" i="4"/>
  <c r="A506" i="4"/>
  <c r="C506" i="4"/>
  <c r="D506" i="4"/>
  <c r="E506" i="4"/>
  <c r="F506" i="4"/>
  <c r="G506" i="4"/>
  <c r="I506" i="4"/>
  <c r="J506" i="4"/>
  <c r="K506" i="4"/>
  <c r="A507" i="4"/>
  <c r="C507" i="4"/>
  <c r="D507" i="4"/>
  <c r="E507" i="4"/>
  <c r="F507" i="4"/>
  <c r="G507" i="4"/>
  <c r="I507" i="4"/>
  <c r="J507" i="4"/>
  <c r="K507" i="4"/>
  <c r="A508" i="4"/>
  <c r="C508" i="4"/>
  <c r="D508" i="4"/>
  <c r="E508" i="4"/>
  <c r="F508" i="4"/>
  <c r="G508" i="4"/>
  <c r="I508" i="4"/>
  <c r="J508" i="4"/>
  <c r="K508" i="4"/>
  <c r="A509" i="4"/>
  <c r="C509" i="4"/>
  <c r="D509" i="4"/>
  <c r="E509" i="4"/>
  <c r="F509" i="4"/>
  <c r="G509" i="4"/>
  <c r="I509" i="4"/>
  <c r="J509" i="4"/>
  <c r="K509" i="4"/>
  <c r="A510" i="4"/>
  <c r="C510" i="4"/>
  <c r="D510" i="4"/>
  <c r="E510" i="4"/>
  <c r="F510" i="4"/>
  <c r="G510" i="4"/>
  <c r="I510" i="4"/>
  <c r="J510" i="4"/>
  <c r="K510" i="4"/>
  <c r="A511" i="4"/>
  <c r="C511" i="4"/>
  <c r="D511" i="4"/>
  <c r="E511" i="4"/>
  <c r="F511" i="4"/>
  <c r="G511" i="4"/>
  <c r="I511" i="4"/>
  <c r="J511" i="4"/>
  <c r="K511" i="4"/>
  <c r="A512" i="4"/>
  <c r="C512" i="4"/>
  <c r="D512" i="4"/>
  <c r="E512" i="4"/>
  <c r="F512" i="4"/>
  <c r="G512" i="4"/>
  <c r="I512" i="4"/>
  <c r="J512" i="4"/>
  <c r="K512" i="4"/>
  <c r="A513" i="4"/>
  <c r="C513" i="4"/>
  <c r="D513" i="4"/>
  <c r="E513" i="4"/>
  <c r="F513" i="4"/>
  <c r="G513" i="4"/>
  <c r="I513" i="4"/>
  <c r="J513" i="4"/>
  <c r="K513" i="4"/>
  <c r="A514" i="4"/>
  <c r="C514" i="4"/>
  <c r="D514" i="4"/>
  <c r="E514" i="4"/>
  <c r="F514" i="4"/>
  <c r="G514" i="4"/>
  <c r="I514" i="4"/>
  <c r="J514" i="4"/>
  <c r="K514" i="4"/>
  <c r="A515" i="4"/>
  <c r="C515" i="4"/>
  <c r="D515" i="4"/>
  <c r="E515" i="4"/>
  <c r="F515" i="4"/>
  <c r="G515" i="4"/>
  <c r="I515" i="4"/>
  <c r="J515" i="4"/>
  <c r="K515" i="4"/>
  <c r="A516" i="4"/>
  <c r="C516" i="4"/>
  <c r="D516" i="4"/>
  <c r="E516" i="4"/>
  <c r="F516" i="4"/>
  <c r="G516" i="4"/>
  <c r="I516" i="4"/>
  <c r="J516" i="4"/>
  <c r="K516" i="4"/>
  <c r="A517" i="4"/>
  <c r="C517" i="4"/>
  <c r="D517" i="4"/>
  <c r="E517" i="4"/>
  <c r="F517" i="4"/>
  <c r="G517" i="4"/>
  <c r="I517" i="4"/>
  <c r="J517" i="4"/>
  <c r="K517" i="4"/>
  <c r="A518" i="4"/>
  <c r="C518" i="4"/>
  <c r="D518" i="4"/>
  <c r="E518" i="4"/>
  <c r="F518" i="4"/>
  <c r="G518" i="4"/>
  <c r="I518" i="4"/>
  <c r="J518" i="4"/>
  <c r="K518" i="4"/>
  <c r="A519" i="4"/>
  <c r="C519" i="4"/>
  <c r="D519" i="4"/>
  <c r="E519" i="4"/>
  <c r="F519" i="4"/>
  <c r="G519" i="4"/>
  <c r="I519" i="4"/>
  <c r="J519" i="4"/>
  <c r="K519" i="4"/>
  <c r="A520" i="4"/>
  <c r="C520" i="4"/>
  <c r="D520" i="4"/>
  <c r="E520" i="4"/>
  <c r="F520" i="4"/>
  <c r="G520" i="4"/>
  <c r="I520" i="4"/>
  <c r="J520" i="4"/>
  <c r="K520" i="4"/>
  <c r="A521" i="4"/>
  <c r="C521" i="4"/>
  <c r="D521" i="4"/>
  <c r="E521" i="4"/>
  <c r="F521" i="4"/>
  <c r="G521" i="4"/>
  <c r="I521" i="4"/>
  <c r="J521" i="4"/>
  <c r="K521" i="4"/>
  <c r="A522" i="4"/>
  <c r="C522" i="4"/>
  <c r="D522" i="4"/>
  <c r="E522" i="4"/>
  <c r="F522" i="4"/>
  <c r="G522" i="4"/>
  <c r="I522" i="4"/>
  <c r="J522" i="4"/>
  <c r="K522" i="4"/>
  <c r="A523" i="4"/>
  <c r="C523" i="4"/>
  <c r="D523" i="4"/>
  <c r="E523" i="4"/>
  <c r="F523" i="4"/>
  <c r="G523" i="4"/>
  <c r="I523" i="4"/>
  <c r="J523" i="4"/>
  <c r="K523" i="4"/>
  <c r="A524" i="4"/>
  <c r="C524" i="4"/>
  <c r="D524" i="4"/>
  <c r="E524" i="4"/>
  <c r="F524" i="4"/>
  <c r="G524" i="4"/>
  <c r="I524" i="4"/>
  <c r="J524" i="4"/>
  <c r="K524" i="4"/>
  <c r="A525" i="4"/>
  <c r="C525" i="4"/>
  <c r="D525" i="4"/>
  <c r="E525" i="4"/>
  <c r="F525" i="4"/>
  <c r="G525" i="4"/>
  <c r="I525" i="4"/>
  <c r="J525" i="4"/>
  <c r="K525" i="4"/>
  <c r="A526" i="4"/>
  <c r="C526" i="4"/>
  <c r="D526" i="4"/>
  <c r="E526" i="4"/>
  <c r="F526" i="4"/>
  <c r="G526" i="4"/>
  <c r="I526" i="4"/>
  <c r="J526" i="4"/>
  <c r="K526" i="4"/>
  <c r="A527" i="4"/>
  <c r="C527" i="4"/>
  <c r="D527" i="4"/>
  <c r="E527" i="4"/>
  <c r="F527" i="4"/>
  <c r="G527" i="4"/>
  <c r="I527" i="4"/>
  <c r="J527" i="4"/>
  <c r="K527" i="4"/>
  <c r="A528" i="4"/>
  <c r="C528" i="4"/>
  <c r="D528" i="4"/>
  <c r="E528" i="4"/>
  <c r="F528" i="4"/>
  <c r="G528" i="4"/>
  <c r="I528" i="4"/>
  <c r="J528" i="4"/>
  <c r="K528" i="4"/>
  <c r="A529" i="4"/>
  <c r="C529" i="4"/>
  <c r="D529" i="4"/>
  <c r="E529" i="4"/>
  <c r="F529" i="4"/>
  <c r="G529" i="4"/>
  <c r="I529" i="4"/>
  <c r="J529" i="4"/>
  <c r="K529" i="4"/>
  <c r="A530" i="4"/>
  <c r="C530" i="4"/>
  <c r="D530" i="4"/>
  <c r="E530" i="4"/>
  <c r="F530" i="4"/>
  <c r="G530" i="4"/>
  <c r="I530" i="4"/>
  <c r="J530" i="4"/>
  <c r="K530" i="4"/>
  <c r="A531" i="4"/>
  <c r="C531" i="4"/>
  <c r="D531" i="4"/>
  <c r="E531" i="4"/>
  <c r="F531" i="4"/>
  <c r="G531" i="4"/>
  <c r="I531" i="4"/>
  <c r="J531" i="4"/>
  <c r="K531" i="4"/>
  <c r="A532" i="4"/>
  <c r="C532" i="4"/>
  <c r="D532" i="4"/>
  <c r="E532" i="4"/>
  <c r="F532" i="4"/>
  <c r="G532" i="4"/>
  <c r="I532" i="4"/>
  <c r="J532" i="4"/>
  <c r="K532" i="4"/>
  <c r="A533" i="4"/>
  <c r="C533" i="4"/>
  <c r="D533" i="4"/>
  <c r="E533" i="4"/>
  <c r="F533" i="4"/>
  <c r="G533" i="4"/>
  <c r="I533" i="4"/>
  <c r="J533" i="4"/>
  <c r="K533" i="4"/>
  <c r="A534" i="4"/>
  <c r="C534" i="4"/>
  <c r="D534" i="4"/>
  <c r="E534" i="4"/>
  <c r="F534" i="4"/>
  <c r="G534" i="4"/>
  <c r="I534" i="4"/>
  <c r="J534" i="4"/>
  <c r="K534" i="4"/>
  <c r="A535" i="4"/>
  <c r="C535" i="4"/>
  <c r="D535" i="4"/>
  <c r="E535" i="4"/>
  <c r="F535" i="4"/>
  <c r="G535" i="4"/>
  <c r="I535" i="4"/>
  <c r="J535" i="4"/>
  <c r="K535" i="4"/>
  <c r="A536" i="4"/>
  <c r="C536" i="4"/>
  <c r="D536" i="4"/>
  <c r="E536" i="4"/>
  <c r="F536" i="4"/>
  <c r="G536" i="4"/>
  <c r="I536" i="4"/>
  <c r="J536" i="4"/>
  <c r="K536" i="4"/>
  <c r="A537" i="4"/>
  <c r="C537" i="4"/>
  <c r="D537" i="4"/>
  <c r="E537" i="4"/>
  <c r="F537" i="4"/>
  <c r="G537" i="4"/>
  <c r="I537" i="4"/>
  <c r="J537" i="4"/>
  <c r="K537" i="4"/>
  <c r="A538" i="4"/>
  <c r="C538" i="4"/>
  <c r="D538" i="4"/>
  <c r="E538" i="4"/>
  <c r="F538" i="4"/>
  <c r="G538" i="4"/>
  <c r="I538" i="4"/>
  <c r="J538" i="4"/>
  <c r="K538" i="4"/>
  <c r="A539" i="4"/>
  <c r="C539" i="4"/>
  <c r="D539" i="4"/>
  <c r="E539" i="4"/>
  <c r="F539" i="4"/>
  <c r="G539" i="4"/>
  <c r="I539" i="4"/>
  <c r="J539" i="4"/>
  <c r="K539" i="4"/>
  <c r="A540" i="4"/>
  <c r="C540" i="4"/>
  <c r="D540" i="4"/>
  <c r="E540" i="4"/>
  <c r="F540" i="4"/>
  <c r="G540" i="4"/>
  <c r="I540" i="4"/>
  <c r="J540" i="4"/>
  <c r="K540" i="4"/>
  <c r="A541" i="4"/>
  <c r="C541" i="4"/>
  <c r="D541" i="4"/>
  <c r="E541" i="4"/>
  <c r="F541" i="4"/>
  <c r="G541" i="4"/>
  <c r="I541" i="4"/>
  <c r="J541" i="4"/>
  <c r="K541" i="4"/>
  <c r="A542" i="4"/>
  <c r="C542" i="4"/>
  <c r="D542" i="4"/>
  <c r="E542" i="4"/>
  <c r="F542" i="4"/>
  <c r="G542" i="4"/>
  <c r="I542" i="4"/>
  <c r="J542" i="4"/>
  <c r="K542" i="4"/>
  <c r="A543" i="4"/>
  <c r="C543" i="4"/>
  <c r="D543" i="4"/>
  <c r="E543" i="4"/>
  <c r="F543" i="4"/>
  <c r="G543" i="4"/>
  <c r="I543" i="4"/>
  <c r="J543" i="4"/>
  <c r="K543" i="4"/>
  <c r="A2" i="3"/>
  <c r="C2" i="3"/>
  <c r="D2" i="3"/>
  <c r="E2" i="3"/>
  <c r="F2" i="3"/>
  <c r="G2" i="3"/>
  <c r="I2" i="3"/>
  <c r="J2" i="3"/>
  <c r="K2" i="3"/>
  <c r="A3" i="3"/>
  <c r="C3" i="3"/>
  <c r="D3" i="3"/>
  <c r="E3" i="3"/>
  <c r="F3" i="3"/>
  <c r="G3" i="3"/>
  <c r="I3" i="3"/>
  <c r="J3" i="3"/>
  <c r="K3" i="3"/>
  <c r="A4" i="3"/>
  <c r="C4" i="3"/>
  <c r="D4" i="3"/>
  <c r="E4" i="3"/>
  <c r="F4" i="3"/>
  <c r="G4" i="3"/>
  <c r="I4" i="3"/>
  <c r="J4" i="3"/>
  <c r="K4" i="3"/>
  <c r="A5" i="3"/>
  <c r="C5" i="3"/>
  <c r="D5" i="3"/>
  <c r="E5" i="3"/>
  <c r="F5" i="3"/>
  <c r="G5" i="3"/>
  <c r="I5" i="3"/>
  <c r="J5" i="3"/>
  <c r="K5" i="3"/>
  <c r="A6" i="3"/>
  <c r="C6" i="3"/>
  <c r="D6" i="3"/>
  <c r="E6" i="3"/>
  <c r="F6" i="3"/>
  <c r="G6" i="3"/>
  <c r="I6" i="3"/>
  <c r="J6" i="3"/>
  <c r="K6" i="3"/>
  <c r="A7" i="3"/>
  <c r="C7" i="3"/>
  <c r="D7" i="3"/>
  <c r="E7" i="3"/>
  <c r="F7" i="3"/>
  <c r="G7" i="3"/>
  <c r="I7" i="3"/>
  <c r="J7" i="3"/>
  <c r="K7" i="3"/>
  <c r="A8" i="3"/>
  <c r="C8" i="3"/>
  <c r="D8" i="3"/>
  <c r="E8" i="3"/>
  <c r="F8" i="3"/>
  <c r="G8" i="3"/>
  <c r="I8" i="3"/>
  <c r="J8" i="3"/>
  <c r="K8" i="3"/>
  <c r="A9" i="3"/>
  <c r="C9" i="3"/>
  <c r="D9" i="3"/>
  <c r="E9" i="3"/>
  <c r="F9" i="3"/>
  <c r="G9" i="3"/>
  <c r="I9" i="3"/>
  <c r="J9" i="3"/>
  <c r="K9" i="3"/>
  <c r="A10" i="3"/>
  <c r="C10" i="3"/>
  <c r="D10" i="3"/>
  <c r="E10" i="3"/>
  <c r="F10" i="3"/>
  <c r="G10" i="3"/>
  <c r="I10" i="3"/>
  <c r="J10" i="3"/>
  <c r="K10" i="3"/>
  <c r="A11" i="3"/>
  <c r="C11" i="3"/>
  <c r="D11" i="3"/>
  <c r="E11" i="3"/>
  <c r="F11" i="3"/>
  <c r="G11" i="3"/>
  <c r="I11" i="3"/>
  <c r="J11" i="3"/>
  <c r="K11" i="3"/>
  <c r="A12" i="3"/>
  <c r="C12" i="3"/>
  <c r="D12" i="3"/>
  <c r="E12" i="3"/>
  <c r="F12" i="3"/>
  <c r="G12" i="3"/>
  <c r="I12" i="3"/>
  <c r="J12" i="3"/>
  <c r="K12" i="3"/>
  <c r="A13" i="3"/>
  <c r="C13" i="3"/>
  <c r="D13" i="3"/>
  <c r="E13" i="3"/>
  <c r="F13" i="3"/>
  <c r="G13" i="3"/>
  <c r="I13" i="3"/>
  <c r="J13" i="3"/>
  <c r="K13" i="3"/>
  <c r="A14" i="3"/>
  <c r="C14" i="3"/>
  <c r="D14" i="3"/>
  <c r="E14" i="3"/>
  <c r="F14" i="3"/>
  <c r="G14" i="3"/>
  <c r="I14" i="3"/>
  <c r="J14" i="3"/>
  <c r="K14" i="3"/>
  <c r="A15" i="3"/>
  <c r="C15" i="3"/>
  <c r="D15" i="3"/>
  <c r="E15" i="3"/>
  <c r="F15" i="3"/>
  <c r="G15" i="3"/>
  <c r="I15" i="3"/>
  <c r="J15" i="3"/>
  <c r="K15" i="3"/>
  <c r="A16" i="3"/>
  <c r="C16" i="3"/>
  <c r="D16" i="3"/>
  <c r="E16" i="3"/>
  <c r="F16" i="3"/>
  <c r="G16" i="3"/>
  <c r="I16" i="3"/>
  <c r="J16" i="3"/>
  <c r="K16" i="3"/>
  <c r="A17" i="3"/>
  <c r="C17" i="3"/>
  <c r="D17" i="3"/>
  <c r="E17" i="3"/>
  <c r="F17" i="3"/>
  <c r="G17" i="3"/>
  <c r="I17" i="3"/>
  <c r="J17" i="3"/>
  <c r="K17" i="3"/>
  <c r="A18" i="3"/>
  <c r="C18" i="3"/>
  <c r="D18" i="3"/>
  <c r="E18" i="3"/>
  <c r="F18" i="3"/>
  <c r="G18" i="3"/>
  <c r="I18" i="3"/>
  <c r="J18" i="3"/>
  <c r="K18" i="3"/>
  <c r="A19" i="3"/>
  <c r="C19" i="3"/>
  <c r="D19" i="3"/>
  <c r="E19" i="3"/>
  <c r="F19" i="3"/>
  <c r="G19" i="3"/>
  <c r="I19" i="3"/>
  <c r="J19" i="3"/>
  <c r="K19" i="3"/>
  <c r="A20" i="3"/>
  <c r="C20" i="3"/>
  <c r="D20" i="3"/>
  <c r="E20" i="3"/>
  <c r="F20" i="3"/>
  <c r="G20" i="3"/>
  <c r="I20" i="3"/>
  <c r="J20" i="3"/>
  <c r="K20" i="3"/>
  <c r="A21" i="3"/>
  <c r="C21" i="3"/>
  <c r="D21" i="3"/>
  <c r="E21" i="3"/>
  <c r="F21" i="3"/>
  <c r="G21" i="3"/>
  <c r="I21" i="3"/>
  <c r="J21" i="3"/>
  <c r="K21" i="3"/>
  <c r="A22" i="3"/>
  <c r="C22" i="3"/>
  <c r="D22" i="3"/>
  <c r="E22" i="3"/>
  <c r="F22" i="3"/>
  <c r="G22" i="3"/>
  <c r="I22" i="3"/>
  <c r="J22" i="3"/>
  <c r="K22" i="3"/>
  <c r="A23" i="3"/>
  <c r="C23" i="3"/>
  <c r="D23" i="3"/>
  <c r="E23" i="3"/>
  <c r="F23" i="3"/>
  <c r="G23" i="3"/>
  <c r="I23" i="3"/>
  <c r="J23" i="3"/>
  <c r="K23" i="3"/>
  <c r="A24" i="3"/>
  <c r="C24" i="3"/>
  <c r="D24" i="3"/>
  <c r="E24" i="3"/>
  <c r="F24" i="3"/>
  <c r="G24" i="3"/>
  <c r="I24" i="3"/>
  <c r="J24" i="3"/>
  <c r="K24" i="3"/>
  <c r="A25" i="3"/>
  <c r="C25" i="3"/>
  <c r="D25" i="3"/>
  <c r="E25" i="3"/>
  <c r="F25" i="3"/>
  <c r="G25" i="3"/>
  <c r="I25" i="3"/>
  <c r="J25" i="3"/>
  <c r="K25" i="3"/>
  <c r="A26" i="3"/>
  <c r="C26" i="3"/>
  <c r="D26" i="3"/>
  <c r="E26" i="3"/>
  <c r="F26" i="3"/>
  <c r="G26" i="3"/>
  <c r="I26" i="3"/>
  <c r="J26" i="3"/>
  <c r="K26" i="3"/>
  <c r="A27" i="3"/>
  <c r="C27" i="3"/>
  <c r="D27" i="3"/>
  <c r="E27" i="3"/>
  <c r="F27" i="3"/>
  <c r="G27" i="3"/>
  <c r="I27" i="3"/>
  <c r="J27" i="3"/>
  <c r="K27" i="3"/>
  <c r="A28" i="3"/>
  <c r="C28" i="3"/>
  <c r="D28" i="3"/>
  <c r="E28" i="3"/>
  <c r="F28" i="3"/>
  <c r="G28" i="3"/>
  <c r="I28" i="3"/>
  <c r="J28" i="3"/>
  <c r="K28" i="3"/>
  <c r="A29" i="3"/>
  <c r="C29" i="3"/>
  <c r="D29" i="3"/>
  <c r="E29" i="3"/>
  <c r="F29" i="3"/>
  <c r="G29" i="3"/>
  <c r="I29" i="3"/>
  <c r="J29" i="3"/>
  <c r="K29" i="3"/>
  <c r="A30" i="3"/>
  <c r="C30" i="3"/>
  <c r="D30" i="3"/>
  <c r="E30" i="3"/>
  <c r="F30" i="3"/>
  <c r="G30" i="3"/>
  <c r="I30" i="3"/>
  <c r="J30" i="3"/>
  <c r="K30" i="3"/>
  <c r="A31" i="3"/>
  <c r="C31" i="3"/>
  <c r="D31" i="3"/>
  <c r="E31" i="3"/>
  <c r="F31" i="3"/>
  <c r="G31" i="3"/>
  <c r="I31" i="3"/>
  <c r="J31" i="3"/>
  <c r="K31" i="3"/>
  <c r="A32" i="3"/>
  <c r="C32" i="3"/>
  <c r="D32" i="3"/>
  <c r="E32" i="3"/>
  <c r="F32" i="3"/>
  <c r="G32" i="3"/>
  <c r="I32" i="3"/>
  <c r="J32" i="3"/>
  <c r="K32" i="3"/>
  <c r="A33" i="3"/>
  <c r="C33" i="3"/>
  <c r="D33" i="3"/>
  <c r="E33" i="3"/>
  <c r="F33" i="3"/>
  <c r="G33" i="3"/>
  <c r="I33" i="3"/>
  <c r="J33" i="3"/>
  <c r="K33" i="3"/>
  <c r="A34" i="3"/>
  <c r="C34" i="3"/>
  <c r="D34" i="3"/>
  <c r="E34" i="3"/>
  <c r="F34" i="3"/>
  <c r="G34" i="3"/>
  <c r="I34" i="3"/>
  <c r="J34" i="3"/>
  <c r="K34" i="3"/>
  <c r="A35" i="3"/>
  <c r="C35" i="3"/>
  <c r="D35" i="3"/>
  <c r="E35" i="3"/>
  <c r="F35" i="3"/>
  <c r="G35" i="3"/>
  <c r="I35" i="3"/>
  <c r="J35" i="3"/>
  <c r="K35" i="3"/>
  <c r="A36" i="3"/>
  <c r="C36" i="3"/>
  <c r="D36" i="3"/>
  <c r="E36" i="3"/>
  <c r="F36" i="3"/>
  <c r="G36" i="3"/>
  <c r="I36" i="3"/>
  <c r="J36" i="3"/>
  <c r="K36" i="3"/>
  <c r="A37" i="3"/>
  <c r="C37" i="3"/>
  <c r="D37" i="3"/>
  <c r="E37" i="3"/>
  <c r="F37" i="3"/>
  <c r="G37" i="3"/>
  <c r="I37" i="3"/>
  <c r="J37" i="3"/>
  <c r="K37" i="3"/>
  <c r="A38" i="3"/>
  <c r="C38" i="3"/>
  <c r="D38" i="3"/>
  <c r="E38" i="3"/>
  <c r="F38" i="3"/>
  <c r="G38" i="3"/>
  <c r="I38" i="3"/>
  <c r="J38" i="3"/>
  <c r="K38" i="3"/>
  <c r="A39" i="3"/>
  <c r="C39" i="3"/>
  <c r="D39" i="3"/>
  <c r="E39" i="3"/>
  <c r="F39" i="3"/>
  <c r="G39" i="3"/>
  <c r="I39" i="3"/>
  <c r="J39" i="3"/>
  <c r="K39" i="3"/>
  <c r="A40" i="3"/>
  <c r="C40" i="3"/>
  <c r="D40" i="3"/>
  <c r="E40" i="3"/>
  <c r="F40" i="3"/>
  <c r="G40" i="3"/>
  <c r="I40" i="3"/>
  <c r="J40" i="3"/>
  <c r="K40" i="3"/>
  <c r="A41" i="3"/>
  <c r="C41" i="3"/>
  <c r="D41" i="3"/>
  <c r="E41" i="3"/>
  <c r="F41" i="3"/>
  <c r="G41" i="3"/>
  <c r="I41" i="3"/>
  <c r="J41" i="3"/>
  <c r="K41" i="3"/>
  <c r="A42" i="3"/>
  <c r="C42" i="3"/>
  <c r="D42" i="3"/>
  <c r="E42" i="3"/>
  <c r="F42" i="3"/>
  <c r="G42" i="3"/>
  <c r="I42" i="3"/>
  <c r="J42" i="3"/>
  <c r="K42" i="3"/>
  <c r="A43" i="3"/>
  <c r="C43" i="3"/>
  <c r="D43" i="3"/>
  <c r="E43" i="3"/>
  <c r="F43" i="3"/>
  <c r="G43" i="3"/>
  <c r="I43" i="3"/>
  <c r="J43" i="3"/>
  <c r="K43" i="3"/>
  <c r="A44" i="3"/>
  <c r="C44" i="3"/>
  <c r="D44" i="3"/>
  <c r="E44" i="3"/>
  <c r="F44" i="3"/>
  <c r="G44" i="3"/>
  <c r="I44" i="3"/>
  <c r="J44" i="3"/>
  <c r="K44" i="3"/>
  <c r="A45" i="3"/>
  <c r="C45" i="3"/>
  <c r="D45" i="3"/>
  <c r="E45" i="3"/>
  <c r="F45" i="3"/>
  <c r="G45" i="3"/>
  <c r="I45" i="3"/>
  <c r="J45" i="3"/>
  <c r="K45" i="3"/>
  <c r="A46" i="3"/>
  <c r="C46" i="3"/>
  <c r="D46" i="3"/>
  <c r="E46" i="3"/>
  <c r="F46" i="3"/>
  <c r="G46" i="3"/>
  <c r="I46" i="3"/>
  <c r="J46" i="3"/>
  <c r="K46" i="3"/>
  <c r="A47" i="3"/>
  <c r="C47" i="3"/>
  <c r="D47" i="3"/>
  <c r="E47" i="3"/>
  <c r="F47" i="3"/>
  <c r="G47" i="3"/>
  <c r="I47" i="3"/>
  <c r="J47" i="3"/>
  <c r="K47" i="3"/>
  <c r="A48" i="3"/>
  <c r="C48" i="3"/>
  <c r="D48" i="3"/>
  <c r="E48" i="3"/>
  <c r="F48" i="3"/>
  <c r="G48" i="3"/>
  <c r="I48" i="3"/>
  <c r="J48" i="3"/>
  <c r="K48" i="3"/>
  <c r="A49" i="3"/>
  <c r="C49" i="3"/>
  <c r="D49" i="3"/>
  <c r="E49" i="3"/>
  <c r="F49" i="3"/>
  <c r="G49" i="3"/>
  <c r="I49" i="3"/>
  <c r="J49" i="3"/>
  <c r="K49" i="3"/>
  <c r="A50" i="3"/>
  <c r="C50" i="3"/>
  <c r="D50" i="3"/>
  <c r="E50" i="3"/>
  <c r="F50" i="3"/>
  <c r="G50" i="3"/>
  <c r="I50" i="3"/>
  <c r="J50" i="3"/>
  <c r="K50" i="3"/>
  <c r="A51" i="3"/>
  <c r="C51" i="3"/>
  <c r="D51" i="3"/>
  <c r="E51" i="3"/>
  <c r="F51" i="3"/>
  <c r="G51" i="3"/>
  <c r="I51" i="3"/>
  <c r="J51" i="3"/>
  <c r="K51" i="3"/>
  <c r="A52" i="3"/>
  <c r="C52" i="3"/>
  <c r="D52" i="3"/>
  <c r="E52" i="3"/>
  <c r="F52" i="3"/>
  <c r="G52" i="3"/>
  <c r="I52" i="3"/>
  <c r="J52" i="3"/>
  <c r="K52" i="3"/>
  <c r="A53" i="3"/>
  <c r="C53" i="3"/>
  <c r="D53" i="3"/>
  <c r="E53" i="3"/>
  <c r="F53" i="3"/>
  <c r="G53" i="3"/>
  <c r="I53" i="3"/>
  <c r="J53" i="3"/>
  <c r="K53" i="3"/>
  <c r="A54" i="3"/>
  <c r="C54" i="3"/>
  <c r="D54" i="3"/>
  <c r="E54" i="3"/>
  <c r="F54" i="3"/>
  <c r="G54" i="3"/>
  <c r="I54" i="3"/>
  <c r="J54" i="3"/>
  <c r="K54" i="3"/>
  <c r="A55" i="3"/>
  <c r="C55" i="3"/>
  <c r="D55" i="3"/>
  <c r="E55" i="3"/>
  <c r="F55" i="3"/>
  <c r="G55" i="3"/>
  <c r="I55" i="3"/>
  <c r="J55" i="3"/>
  <c r="K55" i="3"/>
  <c r="A56" i="3"/>
  <c r="C56" i="3"/>
  <c r="D56" i="3"/>
  <c r="E56" i="3"/>
  <c r="F56" i="3"/>
  <c r="G56" i="3"/>
  <c r="I56" i="3"/>
  <c r="J56" i="3"/>
  <c r="K56" i="3"/>
  <c r="A57" i="3"/>
  <c r="C57" i="3"/>
  <c r="D57" i="3"/>
  <c r="E57" i="3"/>
  <c r="F57" i="3"/>
  <c r="G57" i="3"/>
  <c r="I57" i="3"/>
  <c r="J57" i="3"/>
  <c r="K57" i="3"/>
  <c r="A58" i="3"/>
  <c r="C58" i="3"/>
  <c r="D58" i="3"/>
  <c r="E58" i="3"/>
  <c r="F58" i="3"/>
  <c r="G58" i="3"/>
  <c r="I58" i="3"/>
  <c r="J58" i="3"/>
  <c r="K58" i="3"/>
  <c r="A59" i="3"/>
  <c r="C59" i="3"/>
  <c r="D59" i="3"/>
  <c r="E59" i="3"/>
  <c r="F59" i="3"/>
  <c r="G59" i="3"/>
  <c r="I59" i="3"/>
  <c r="J59" i="3"/>
  <c r="K59" i="3"/>
  <c r="A60" i="3"/>
  <c r="C60" i="3"/>
  <c r="D60" i="3"/>
  <c r="E60" i="3"/>
  <c r="F60" i="3"/>
  <c r="G60" i="3"/>
  <c r="I60" i="3"/>
  <c r="J60" i="3"/>
  <c r="K60" i="3"/>
  <c r="A61" i="3"/>
  <c r="C61" i="3"/>
  <c r="D61" i="3"/>
  <c r="E61" i="3"/>
  <c r="F61" i="3"/>
  <c r="G61" i="3"/>
  <c r="I61" i="3"/>
  <c r="J61" i="3"/>
  <c r="K61" i="3"/>
  <c r="A62" i="3"/>
  <c r="C62" i="3"/>
  <c r="D62" i="3"/>
  <c r="E62" i="3"/>
  <c r="F62" i="3"/>
  <c r="G62" i="3"/>
  <c r="I62" i="3"/>
  <c r="J62" i="3"/>
  <c r="K62" i="3"/>
  <c r="A63" i="3"/>
  <c r="C63" i="3"/>
  <c r="D63" i="3"/>
  <c r="E63" i="3"/>
  <c r="F63" i="3"/>
  <c r="G63" i="3"/>
  <c r="I63" i="3"/>
  <c r="J63" i="3"/>
  <c r="K63" i="3"/>
  <c r="A64" i="3"/>
  <c r="C64" i="3"/>
  <c r="D64" i="3"/>
  <c r="E64" i="3"/>
  <c r="F64" i="3"/>
  <c r="G64" i="3"/>
  <c r="I64" i="3"/>
  <c r="J64" i="3"/>
  <c r="K64" i="3"/>
  <c r="A65" i="3"/>
  <c r="C65" i="3"/>
  <c r="D65" i="3"/>
  <c r="E65" i="3"/>
  <c r="F65" i="3"/>
  <c r="G65" i="3"/>
  <c r="I65" i="3"/>
  <c r="J65" i="3"/>
  <c r="K65" i="3"/>
  <c r="A66" i="3"/>
  <c r="C66" i="3"/>
  <c r="D66" i="3"/>
  <c r="E66" i="3"/>
  <c r="F66" i="3"/>
  <c r="G66" i="3"/>
  <c r="I66" i="3"/>
  <c r="J66" i="3"/>
  <c r="K66" i="3"/>
  <c r="A67" i="3"/>
  <c r="C67" i="3"/>
  <c r="D67" i="3"/>
  <c r="E67" i="3"/>
  <c r="F67" i="3"/>
  <c r="G67" i="3"/>
  <c r="I67" i="3"/>
  <c r="J67" i="3"/>
  <c r="K67" i="3"/>
  <c r="A68" i="3"/>
  <c r="C68" i="3"/>
  <c r="D68" i="3"/>
  <c r="E68" i="3"/>
  <c r="F68" i="3"/>
  <c r="G68" i="3"/>
  <c r="I68" i="3"/>
  <c r="J68" i="3"/>
  <c r="K68" i="3"/>
  <c r="A69" i="3"/>
  <c r="C69" i="3"/>
  <c r="D69" i="3"/>
  <c r="E69" i="3"/>
  <c r="F69" i="3"/>
  <c r="G69" i="3"/>
  <c r="I69" i="3"/>
  <c r="J69" i="3"/>
  <c r="K69" i="3"/>
  <c r="A70" i="3"/>
  <c r="C70" i="3"/>
  <c r="D70" i="3"/>
  <c r="E70" i="3"/>
  <c r="F70" i="3"/>
  <c r="G70" i="3"/>
  <c r="I70" i="3"/>
  <c r="J70" i="3"/>
  <c r="K70" i="3"/>
  <c r="A71" i="3"/>
  <c r="C71" i="3"/>
  <c r="D71" i="3"/>
  <c r="E71" i="3"/>
  <c r="F71" i="3"/>
  <c r="G71" i="3"/>
  <c r="I71" i="3"/>
  <c r="J71" i="3"/>
  <c r="K71" i="3"/>
  <c r="A72" i="3"/>
  <c r="C72" i="3"/>
  <c r="D72" i="3"/>
  <c r="E72" i="3"/>
  <c r="F72" i="3"/>
  <c r="G72" i="3"/>
  <c r="I72" i="3"/>
  <c r="J72" i="3"/>
  <c r="K72" i="3"/>
  <c r="A73" i="3"/>
  <c r="C73" i="3"/>
  <c r="D73" i="3"/>
  <c r="E73" i="3"/>
  <c r="F73" i="3"/>
  <c r="G73" i="3"/>
  <c r="I73" i="3"/>
  <c r="J73" i="3"/>
  <c r="K73" i="3"/>
  <c r="A74" i="3"/>
  <c r="C74" i="3"/>
  <c r="D74" i="3"/>
  <c r="E74" i="3"/>
  <c r="F74" i="3"/>
  <c r="G74" i="3"/>
  <c r="I74" i="3"/>
  <c r="J74" i="3"/>
  <c r="K74" i="3"/>
  <c r="A75" i="3"/>
  <c r="C75" i="3"/>
  <c r="D75" i="3"/>
  <c r="E75" i="3"/>
  <c r="F75" i="3"/>
  <c r="G75" i="3"/>
  <c r="I75" i="3"/>
  <c r="J75" i="3"/>
  <c r="K75" i="3"/>
  <c r="A76" i="3"/>
  <c r="C76" i="3"/>
  <c r="D76" i="3"/>
  <c r="E76" i="3"/>
  <c r="F76" i="3"/>
  <c r="G76" i="3"/>
  <c r="I76" i="3"/>
  <c r="J76" i="3"/>
  <c r="K76" i="3"/>
  <c r="A77" i="3"/>
  <c r="C77" i="3"/>
  <c r="D77" i="3"/>
  <c r="E77" i="3"/>
  <c r="F77" i="3"/>
  <c r="G77" i="3"/>
  <c r="I77" i="3"/>
  <c r="J77" i="3"/>
  <c r="K77" i="3"/>
  <c r="A78" i="3"/>
  <c r="C78" i="3"/>
  <c r="D78" i="3"/>
  <c r="E78" i="3"/>
  <c r="F78" i="3"/>
  <c r="G78" i="3"/>
  <c r="I78" i="3"/>
  <c r="J78" i="3"/>
  <c r="K78" i="3"/>
  <c r="A79" i="3"/>
  <c r="C79" i="3"/>
  <c r="D79" i="3"/>
  <c r="E79" i="3"/>
  <c r="F79" i="3"/>
  <c r="G79" i="3"/>
  <c r="I79" i="3"/>
  <c r="J79" i="3"/>
  <c r="K79" i="3"/>
  <c r="A80" i="3"/>
  <c r="C80" i="3"/>
  <c r="D80" i="3"/>
  <c r="E80" i="3"/>
  <c r="F80" i="3"/>
  <c r="G80" i="3"/>
  <c r="I80" i="3"/>
  <c r="J80" i="3"/>
  <c r="K80" i="3"/>
  <c r="A81" i="3"/>
  <c r="C81" i="3"/>
  <c r="D81" i="3"/>
  <c r="E81" i="3"/>
  <c r="F81" i="3"/>
  <c r="G81" i="3"/>
  <c r="I81" i="3"/>
  <c r="J81" i="3"/>
  <c r="K81" i="3"/>
  <c r="A82" i="3"/>
  <c r="C82" i="3"/>
  <c r="D82" i="3"/>
  <c r="E82" i="3"/>
  <c r="F82" i="3"/>
  <c r="G82" i="3"/>
  <c r="I82" i="3"/>
  <c r="J82" i="3"/>
  <c r="K82" i="3"/>
  <c r="A83" i="3"/>
  <c r="C83" i="3"/>
  <c r="D83" i="3"/>
  <c r="E83" i="3"/>
  <c r="F83" i="3"/>
  <c r="G83" i="3"/>
  <c r="I83" i="3"/>
  <c r="J83" i="3"/>
  <c r="K83" i="3"/>
  <c r="A84" i="3"/>
  <c r="C84" i="3"/>
  <c r="D84" i="3"/>
  <c r="E84" i="3"/>
  <c r="F84" i="3"/>
  <c r="G84" i="3"/>
  <c r="I84" i="3"/>
  <c r="J84" i="3"/>
  <c r="K84" i="3"/>
  <c r="A85" i="3"/>
  <c r="C85" i="3"/>
  <c r="D85" i="3"/>
  <c r="E85" i="3"/>
  <c r="F85" i="3"/>
  <c r="G85" i="3"/>
  <c r="I85" i="3"/>
  <c r="J85" i="3"/>
  <c r="K85" i="3"/>
  <c r="A86" i="3"/>
  <c r="C86" i="3"/>
  <c r="D86" i="3"/>
  <c r="E86" i="3"/>
  <c r="F86" i="3"/>
  <c r="G86" i="3"/>
  <c r="I86" i="3"/>
  <c r="J86" i="3"/>
  <c r="K86" i="3"/>
  <c r="A87" i="3"/>
  <c r="C87" i="3"/>
  <c r="D87" i="3"/>
  <c r="E87" i="3"/>
  <c r="F87" i="3"/>
  <c r="G87" i="3"/>
  <c r="I87" i="3"/>
  <c r="J87" i="3"/>
  <c r="K87" i="3"/>
  <c r="A88" i="3"/>
  <c r="C88" i="3"/>
  <c r="D88" i="3"/>
  <c r="E88" i="3"/>
  <c r="F88" i="3"/>
  <c r="G88" i="3"/>
  <c r="I88" i="3"/>
  <c r="J88" i="3"/>
  <c r="K88" i="3"/>
  <c r="A89" i="3"/>
  <c r="C89" i="3"/>
  <c r="D89" i="3"/>
  <c r="E89" i="3"/>
  <c r="F89" i="3"/>
  <c r="G89" i="3"/>
  <c r="I89" i="3"/>
  <c r="J89" i="3"/>
  <c r="K89" i="3"/>
  <c r="A90" i="3"/>
  <c r="C90" i="3"/>
  <c r="D90" i="3"/>
  <c r="E90" i="3"/>
  <c r="F90" i="3"/>
  <c r="G90" i="3"/>
  <c r="I90" i="3"/>
  <c r="J90" i="3"/>
  <c r="K90" i="3"/>
  <c r="A91" i="3"/>
  <c r="C91" i="3"/>
  <c r="D91" i="3"/>
  <c r="E91" i="3"/>
  <c r="F91" i="3"/>
  <c r="G91" i="3"/>
  <c r="I91" i="3"/>
  <c r="J91" i="3"/>
  <c r="K91" i="3"/>
  <c r="A92" i="3"/>
  <c r="C92" i="3"/>
  <c r="D92" i="3"/>
  <c r="E92" i="3"/>
  <c r="F92" i="3"/>
  <c r="G92" i="3"/>
  <c r="I92" i="3"/>
  <c r="J92" i="3"/>
  <c r="K92" i="3"/>
  <c r="A93" i="3"/>
  <c r="C93" i="3"/>
  <c r="D93" i="3"/>
  <c r="E93" i="3"/>
  <c r="F93" i="3"/>
  <c r="G93" i="3"/>
  <c r="I93" i="3"/>
  <c r="J93" i="3"/>
  <c r="K93" i="3"/>
  <c r="A94" i="3"/>
  <c r="C94" i="3"/>
  <c r="D94" i="3"/>
  <c r="E94" i="3"/>
  <c r="F94" i="3"/>
  <c r="G94" i="3"/>
  <c r="I94" i="3"/>
  <c r="J94" i="3"/>
  <c r="K94" i="3"/>
  <c r="A95" i="3"/>
  <c r="C95" i="3"/>
  <c r="D95" i="3"/>
  <c r="E95" i="3"/>
  <c r="F95" i="3"/>
  <c r="G95" i="3"/>
  <c r="I95" i="3"/>
  <c r="J95" i="3"/>
  <c r="K95" i="3"/>
  <c r="A96" i="3"/>
  <c r="C96" i="3"/>
  <c r="D96" i="3"/>
  <c r="E96" i="3"/>
  <c r="F96" i="3"/>
  <c r="G96" i="3"/>
  <c r="I96" i="3"/>
  <c r="J96" i="3"/>
  <c r="K96" i="3"/>
  <c r="A97" i="3"/>
  <c r="C97" i="3"/>
  <c r="D97" i="3"/>
  <c r="E97" i="3"/>
  <c r="F97" i="3"/>
  <c r="G97" i="3"/>
  <c r="I97" i="3"/>
  <c r="J97" i="3"/>
  <c r="K97" i="3"/>
  <c r="A98" i="3"/>
  <c r="C98" i="3"/>
  <c r="D98" i="3"/>
  <c r="E98" i="3"/>
  <c r="F98" i="3"/>
  <c r="G98" i="3"/>
  <c r="I98" i="3"/>
  <c r="J98" i="3"/>
  <c r="K98" i="3"/>
  <c r="A99" i="3"/>
  <c r="C99" i="3"/>
  <c r="D99" i="3"/>
  <c r="E99" i="3"/>
  <c r="F99" i="3"/>
  <c r="G99" i="3"/>
  <c r="I99" i="3"/>
  <c r="J99" i="3"/>
  <c r="K99" i="3"/>
  <c r="A100" i="3"/>
  <c r="C100" i="3"/>
  <c r="D100" i="3"/>
  <c r="E100" i="3"/>
  <c r="F100" i="3"/>
  <c r="G100" i="3"/>
  <c r="I100" i="3"/>
  <c r="J100" i="3"/>
  <c r="K100" i="3"/>
  <c r="A101" i="3"/>
  <c r="C101" i="3"/>
  <c r="D101" i="3"/>
  <c r="E101" i="3"/>
  <c r="F101" i="3"/>
  <c r="G101" i="3"/>
  <c r="I101" i="3"/>
  <c r="J101" i="3"/>
  <c r="K101" i="3"/>
  <c r="A102" i="3"/>
  <c r="C102" i="3"/>
  <c r="D102" i="3"/>
  <c r="E102" i="3"/>
  <c r="F102" i="3"/>
  <c r="G102" i="3"/>
  <c r="I102" i="3"/>
  <c r="J102" i="3"/>
  <c r="K102" i="3"/>
  <c r="A103" i="3"/>
  <c r="C103" i="3"/>
  <c r="D103" i="3"/>
  <c r="E103" i="3"/>
  <c r="F103" i="3"/>
  <c r="G103" i="3"/>
  <c r="I103" i="3"/>
  <c r="J103" i="3"/>
  <c r="K103" i="3"/>
  <c r="A104" i="3"/>
  <c r="C104" i="3"/>
  <c r="D104" i="3"/>
  <c r="E104" i="3"/>
  <c r="F104" i="3"/>
  <c r="G104" i="3"/>
  <c r="I104" i="3"/>
  <c r="J104" i="3"/>
  <c r="K104" i="3"/>
  <c r="A105" i="3"/>
  <c r="C105" i="3"/>
  <c r="D105" i="3"/>
  <c r="E105" i="3"/>
  <c r="F105" i="3"/>
  <c r="G105" i="3"/>
  <c r="I105" i="3"/>
  <c r="J105" i="3"/>
  <c r="K105" i="3"/>
  <c r="A106" i="3"/>
  <c r="C106" i="3"/>
  <c r="D106" i="3"/>
  <c r="E106" i="3"/>
  <c r="F106" i="3"/>
  <c r="G106" i="3"/>
  <c r="I106" i="3"/>
  <c r="J106" i="3"/>
  <c r="K106" i="3"/>
  <c r="A107" i="3"/>
  <c r="C107" i="3"/>
  <c r="D107" i="3"/>
  <c r="E107" i="3"/>
  <c r="F107" i="3"/>
  <c r="G107" i="3"/>
  <c r="I107" i="3"/>
  <c r="J107" i="3"/>
  <c r="K107" i="3"/>
  <c r="A108" i="3"/>
  <c r="C108" i="3"/>
  <c r="D108" i="3"/>
  <c r="E108" i="3"/>
  <c r="F108" i="3"/>
  <c r="G108" i="3"/>
  <c r="I108" i="3"/>
  <c r="J108" i="3"/>
  <c r="K108" i="3"/>
  <c r="A109" i="3"/>
  <c r="C109" i="3"/>
  <c r="D109" i="3"/>
  <c r="E109" i="3"/>
  <c r="F109" i="3"/>
  <c r="G109" i="3"/>
  <c r="I109" i="3"/>
  <c r="J109" i="3"/>
  <c r="K109" i="3"/>
  <c r="A110" i="3"/>
  <c r="C110" i="3"/>
  <c r="D110" i="3"/>
  <c r="E110" i="3"/>
  <c r="F110" i="3"/>
  <c r="G110" i="3"/>
  <c r="I110" i="3"/>
  <c r="J110" i="3"/>
  <c r="K110" i="3"/>
  <c r="A111" i="3"/>
  <c r="C111" i="3"/>
  <c r="D111" i="3"/>
  <c r="E111" i="3"/>
  <c r="F111" i="3"/>
  <c r="G111" i="3"/>
  <c r="I111" i="3"/>
  <c r="J111" i="3"/>
  <c r="K111" i="3"/>
  <c r="A112" i="3"/>
  <c r="C112" i="3"/>
  <c r="D112" i="3"/>
  <c r="E112" i="3"/>
  <c r="F112" i="3"/>
  <c r="G112" i="3"/>
  <c r="I112" i="3"/>
  <c r="J112" i="3"/>
  <c r="K112" i="3"/>
  <c r="A113" i="3"/>
  <c r="C113" i="3"/>
  <c r="D113" i="3"/>
  <c r="E113" i="3"/>
  <c r="F113" i="3"/>
  <c r="G113" i="3"/>
  <c r="I113" i="3"/>
  <c r="J113" i="3"/>
  <c r="K113" i="3"/>
  <c r="A114" i="3"/>
  <c r="C114" i="3"/>
  <c r="D114" i="3"/>
  <c r="E114" i="3"/>
  <c r="F114" i="3"/>
  <c r="G114" i="3"/>
  <c r="I114" i="3"/>
  <c r="J114" i="3"/>
  <c r="K114" i="3"/>
  <c r="A115" i="3"/>
  <c r="C115" i="3"/>
  <c r="D115" i="3"/>
  <c r="E115" i="3"/>
  <c r="F115" i="3"/>
  <c r="G115" i="3"/>
  <c r="I115" i="3"/>
  <c r="J115" i="3"/>
  <c r="K115" i="3"/>
  <c r="A116" i="3"/>
  <c r="C116" i="3"/>
  <c r="D116" i="3"/>
  <c r="E116" i="3"/>
  <c r="F116" i="3"/>
  <c r="G116" i="3"/>
  <c r="I116" i="3"/>
  <c r="J116" i="3"/>
  <c r="K116" i="3"/>
  <c r="A117" i="3"/>
  <c r="C117" i="3"/>
  <c r="D117" i="3"/>
  <c r="E117" i="3"/>
  <c r="F117" i="3"/>
  <c r="G117" i="3"/>
  <c r="I117" i="3"/>
  <c r="J117" i="3"/>
  <c r="K117" i="3"/>
  <c r="A118" i="3"/>
  <c r="C118" i="3"/>
  <c r="D118" i="3"/>
  <c r="E118" i="3"/>
  <c r="F118" i="3"/>
  <c r="G118" i="3"/>
  <c r="I118" i="3"/>
  <c r="J118" i="3"/>
  <c r="K118" i="3"/>
  <c r="A119" i="3"/>
  <c r="C119" i="3"/>
  <c r="D119" i="3"/>
  <c r="E119" i="3"/>
  <c r="F119" i="3"/>
  <c r="G119" i="3"/>
  <c r="I119" i="3"/>
  <c r="J119" i="3"/>
  <c r="K119" i="3"/>
  <c r="A120" i="3"/>
  <c r="C120" i="3"/>
  <c r="D120" i="3"/>
  <c r="E120" i="3"/>
  <c r="F120" i="3"/>
  <c r="G120" i="3"/>
  <c r="I120" i="3"/>
  <c r="J120" i="3"/>
  <c r="K120" i="3"/>
  <c r="A121" i="3"/>
  <c r="C121" i="3"/>
  <c r="D121" i="3"/>
  <c r="E121" i="3"/>
  <c r="F121" i="3"/>
  <c r="G121" i="3"/>
  <c r="I121" i="3"/>
  <c r="J121" i="3"/>
  <c r="K121" i="3"/>
  <c r="A122" i="3"/>
  <c r="C122" i="3"/>
  <c r="D122" i="3"/>
  <c r="E122" i="3"/>
  <c r="F122" i="3"/>
  <c r="G122" i="3"/>
  <c r="I122" i="3"/>
  <c r="J122" i="3"/>
  <c r="K122" i="3"/>
  <c r="A123" i="3"/>
  <c r="C123" i="3"/>
  <c r="D123" i="3"/>
  <c r="E123" i="3"/>
  <c r="F123" i="3"/>
  <c r="G123" i="3"/>
  <c r="I123" i="3"/>
  <c r="J123" i="3"/>
  <c r="K123" i="3"/>
  <c r="A124" i="3"/>
  <c r="C124" i="3"/>
  <c r="D124" i="3"/>
  <c r="E124" i="3"/>
  <c r="F124" i="3"/>
  <c r="G124" i="3"/>
  <c r="I124" i="3"/>
  <c r="J124" i="3"/>
  <c r="K124" i="3"/>
  <c r="A125" i="3"/>
  <c r="C125" i="3"/>
  <c r="D125" i="3"/>
  <c r="E125" i="3"/>
  <c r="F125" i="3"/>
  <c r="G125" i="3"/>
  <c r="I125" i="3"/>
  <c r="J125" i="3"/>
  <c r="K125" i="3"/>
  <c r="A126" i="3"/>
  <c r="C126" i="3"/>
  <c r="D126" i="3"/>
  <c r="E126" i="3"/>
  <c r="F126" i="3"/>
  <c r="G126" i="3"/>
  <c r="I126" i="3"/>
  <c r="J126" i="3"/>
  <c r="K126" i="3"/>
  <c r="A127" i="3"/>
  <c r="C127" i="3"/>
  <c r="D127" i="3"/>
  <c r="E127" i="3"/>
  <c r="F127" i="3"/>
  <c r="G127" i="3"/>
  <c r="I127" i="3"/>
  <c r="J127" i="3"/>
  <c r="K127" i="3"/>
  <c r="A128" i="3"/>
  <c r="C128" i="3"/>
  <c r="D128" i="3"/>
  <c r="E128" i="3"/>
  <c r="F128" i="3"/>
  <c r="G128" i="3"/>
  <c r="I128" i="3"/>
  <c r="J128" i="3"/>
  <c r="K128" i="3"/>
  <c r="A129" i="3"/>
  <c r="C129" i="3"/>
  <c r="D129" i="3"/>
  <c r="E129" i="3"/>
  <c r="F129" i="3"/>
  <c r="G129" i="3"/>
  <c r="I129" i="3"/>
  <c r="J129" i="3"/>
  <c r="K129" i="3"/>
  <c r="A130" i="3"/>
  <c r="C130" i="3"/>
  <c r="D130" i="3"/>
  <c r="E130" i="3"/>
  <c r="F130" i="3"/>
  <c r="G130" i="3"/>
  <c r="I130" i="3"/>
  <c r="J130" i="3"/>
  <c r="K130" i="3"/>
  <c r="A131" i="3"/>
  <c r="C131" i="3"/>
  <c r="D131" i="3"/>
  <c r="E131" i="3"/>
  <c r="F131" i="3"/>
  <c r="G131" i="3"/>
  <c r="I131" i="3"/>
  <c r="J131" i="3"/>
  <c r="K131" i="3"/>
  <c r="A132" i="3"/>
  <c r="C132" i="3"/>
  <c r="D132" i="3"/>
  <c r="E132" i="3"/>
  <c r="F132" i="3"/>
  <c r="G132" i="3"/>
  <c r="I132" i="3"/>
  <c r="J132" i="3"/>
  <c r="K132" i="3"/>
  <c r="A133" i="3"/>
  <c r="C133" i="3"/>
  <c r="D133" i="3"/>
  <c r="E133" i="3"/>
  <c r="F133" i="3"/>
  <c r="G133" i="3"/>
  <c r="I133" i="3"/>
  <c r="J133" i="3"/>
  <c r="K133" i="3"/>
  <c r="A134" i="3"/>
  <c r="C134" i="3"/>
  <c r="D134" i="3"/>
  <c r="E134" i="3"/>
  <c r="F134" i="3"/>
  <c r="G134" i="3"/>
  <c r="I134" i="3"/>
  <c r="J134" i="3"/>
  <c r="K134" i="3"/>
  <c r="A135" i="3"/>
  <c r="C135" i="3"/>
  <c r="D135" i="3"/>
  <c r="E135" i="3"/>
  <c r="F135" i="3"/>
  <c r="G135" i="3"/>
  <c r="I135" i="3"/>
  <c r="J135" i="3"/>
  <c r="K135" i="3"/>
  <c r="A136" i="3"/>
  <c r="C136" i="3"/>
  <c r="D136" i="3"/>
  <c r="E136" i="3"/>
  <c r="F136" i="3"/>
  <c r="G136" i="3"/>
  <c r="I136" i="3"/>
  <c r="J136" i="3"/>
  <c r="K136" i="3"/>
  <c r="A137" i="3"/>
  <c r="C137" i="3"/>
  <c r="D137" i="3"/>
  <c r="E137" i="3"/>
  <c r="F137" i="3"/>
  <c r="G137" i="3"/>
  <c r="I137" i="3"/>
  <c r="J137" i="3"/>
  <c r="K137" i="3"/>
  <c r="A138" i="3"/>
  <c r="C138" i="3"/>
  <c r="D138" i="3"/>
  <c r="E138" i="3"/>
  <c r="F138" i="3"/>
  <c r="G138" i="3"/>
  <c r="I138" i="3"/>
  <c r="J138" i="3"/>
  <c r="K138" i="3"/>
  <c r="A139" i="3"/>
  <c r="C139" i="3"/>
  <c r="D139" i="3"/>
  <c r="E139" i="3"/>
  <c r="F139" i="3"/>
  <c r="G139" i="3"/>
  <c r="I139" i="3"/>
  <c r="J139" i="3"/>
  <c r="K139" i="3"/>
  <c r="A140" i="3"/>
  <c r="C140" i="3"/>
  <c r="D140" i="3"/>
  <c r="E140" i="3"/>
  <c r="F140" i="3"/>
  <c r="G140" i="3"/>
  <c r="I140" i="3"/>
  <c r="J140" i="3"/>
  <c r="K140" i="3"/>
  <c r="A141" i="3"/>
  <c r="C141" i="3"/>
  <c r="D141" i="3"/>
  <c r="E141" i="3"/>
  <c r="F141" i="3"/>
  <c r="G141" i="3"/>
  <c r="I141" i="3"/>
  <c r="J141" i="3"/>
  <c r="K141" i="3"/>
  <c r="A142" i="3"/>
  <c r="C142" i="3"/>
  <c r="D142" i="3"/>
  <c r="E142" i="3"/>
  <c r="F142" i="3"/>
  <c r="G142" i="3"/>
  <c r="I142" i="3"/>
  <c r="J142" i="3"/>
  <c r="K142" i="3"/>
  <c r="A143" i="3"/>
  <c r="C143" i="3"/>
  <c r="D143" i="3"/>
  <c r="E143" i="3"/>
  <c r="F143" i="3"/>
  <c r="G143" i="3"/>
  <c r="I143" i="3"/>
  <c r="J143" i="3"/>
  <c r="K143" i="3"/>
  <c r="A144" i="3"/>
  <c r="C144" i="3"/>
  <c r="D144" i="3"/>
  <c r="E144" i="3"/>
  <c r="F144" i="3"/>
  <c r="G144" i="3"/>
  <c r="I144" i="3"/>
  <c r="J144" i="3"/>
  <c r="K144" i="3"/>
  <c r="A145" i="3"/>
  <c r="C145" i="3"/>
  <c r="D145" i="3"/>
  <c r="E145" i="3"/>
  <c r="F145" i="3"/>
  <c r="G145" i="3"/>
  <c r="I145" i="3"/>
  <c r="J145" i="3"/>
  <c r="K145" i="3"/>
  <c r="A146" i="3"/>
  <c r="C146" i="3"/>
  <c r="D146" i="3"/>
  <c r="E146" i="3"/>
  <c r="F146" i="3"/>
  <c r="G146" i="3"/>
  <c r="I146" i="3"/>
  <c r="J146" i="3"/>
  <c r="K146" i="3"/>
  <c r="A147" i="3"/>
  <c r="C147" i="3"/>
  <c r="D147" i="3"/>
  <c r="E147" i="3"/>
  <c r="F147" i="3"/>
  <c r="G147" i="3"/>
  <c r="I147" i="3"/>
  <c r="J147" i="3"/>
  <c r="K147" i="3"/>
  <c r="A148" i="3"/>
  <c r="C148" i="3"/>
  <c r="D148" i="3"/>
  <c r="E148" i="3"/>
  <c r="F148" i="3"/>
  <c r="G148" i="3"/>
  <c r="I148" i="3"/>
  <c r="J148" i="3"/>
  <c r="K148" i="3"/>
  <c r="A149" i="3"/>
  <c r="C149" i="3"/>
  <c r="D149" i="3"/>
  <c r="E149" i="3"/>
  <c r="F149" i="3"/>
  <c r="G149" i="3"/>
  <c r="I149" i="3"/>
  <c r="J149" i="3"/>
  <c r="K149" i="3"/>
  <c r="A150" i="3"/>
  <c r="C150" i="3"/>
  <c r="D150" i="3"/>
  <c r="E150" i="3"/>
  <c r="F150" i="3"/>
  <c r="G150" i="3"/>
  <c r="I150" i="3"/>
  <c r="J150" i="3"/>
  <c r="K150" i="3"/>
  <c r="A151" i="3"/>
  <c r="C151" i="3"/>
  <c r="D151" i="3"/>
  <c r="E151" i="3"/>
  <c r="F151" i="3"/>
  <c r="G151" i="3"/>
  <c r="I151" i="3"/>
  <c r="J151" i="3"/>
  <c r="K151" i="3"/>
  <c r="A152" i="3"/>
  <c r="C152" i="3"/>
  <c r="D152" i="3"/>
  <c r="E152" i="3"/>
  <c r="F152" i="3"/>
  <c r="G152" i="3"/>
  <c r="I152" i="3"/>
  <c r="J152" i="3"/>
  <c r="K152" i="3"/>
  <c r="A153" i="3"/>
  <c r="C153" i="3"/>
  <c r="D153" i="3"/>
  <c r="E153" i="3"/>
  <c r="F153" i="3"/>
  <c r="G153" i="3"/>
  <c r="I153" i="3"/>
  <c r="J153" i="3"/>
  <c r="K153" i="3"/>
  <c r="A154" i="3"/>
  <c r="C154" i="3"/>
  <c r="D154" i="3"/>
  <c r="E154" i="3"/>
  <c r="F154" i="3"/>
  <c r="G154" i="3"/>
  <c r="I154" i="3"/>
  <c r="J154" i="3"/>
  <c r="K154" i="3"/>
  <c r="A155" i="3"/>
  <c r="C155" i="3"/>
  <c r="D155" i="3"/>
  <c r="E155" i="3"/>
  <c r="F155" i="3"/>
  <c r="G155" i="3"/>
  <c r="I155" i="3"/>
  <c r="J155" i="3"/>
  <c r="K155" i="3"/>
  <c r="A156" i="3"/>
  <c r="C156" i="3"/>
  <c r="D156" i="3"/>
  <c r="E156" i="3"/>
  <c r="F156" i="3"/>
  <c r="G156" i="3"/>
  <c r="I156" i="3"/>
  <c r="J156" i="3"/>
  <c r="K156" i="3"/>
  <c r="A157" i="3"/>
  <c r="C157" i="3"/>
  <c r="D157" i="3"/>
  <c r="E157" i="3"/>
  <c r="F157" i="3"/>
  <c r="G157" i="3"/>
  <c r="I157" i="3"/>
  <c r="J157" i="3"/>
  <c r="K157" i="3"/>
  <c r="A158" i="3"/>
  <c r="C158" i="3"/>
  <c r="D158" i="3"/>
  <c r="E158" i="3"/>
  <c r="F158" i="3"/>
  <c r="G158" i="3"/>
  <c r="I158" i="3"/>
  <c r="J158" i="3"/>
  <c r="K158" i="3"/>
  <c r="A159" i="3"/>
  <c r="C159" i="3"/>
  <c r="D159" i="3"/>
  <c r="E159" i="3"/>
  <c r="F159" i="3"/>
  <c r="G159" i="3"/>
  <c r="I159" i="3"/>
  <c r="J159" i="3"/>
  <c r="K159" i="3"/>
  <c r="A160" i="3"/>
  <c r="C160" i="3"/>
  <c r="D160" i="3"/>
  <c r="E160" i="3"/>
  <c r="F160" i="3"/>
  <c r="G160" i="3"/>
  <c r="I160" i="3"/>
  <c r="J160" i="3"/>
  <c r="K160" i="3"/>
  <c r="A161" i="3"/>
  <c r="C161" i="3"/>
  <c r="D161" i="3"/>
  <c r="E161" i="3"/>
  <c r="F161" i="3"/>
  <c r="G161" i="3"/>
  <c r="I161" i="3"/>
  <c r="J161" i="3"/>
  <c r="K161" i="3"/>
  <c r="A162" i="3"/>
  <c r="C162" i="3"/>
  <c r="D162" i="3"/>
  <c r="E162" i="3"/>
  <c r="F162" i="3"/>
  <c r="G162" i="3"/>
  <c r="I162" i="3"/>
  <c r="J162" i="3"/>
  <c r="K162" i="3"/>
  <c r="A163" i="3"/>
  <c r="C163" i="3"/>
  <c r="D163" i="3"/>
  <c r="E163" i="3"/>
  <c r="F163" i="3"/>
  <c r="G163" i="3"/>
  <c r="I163" i="3"/>
  <c r="J163" i="3"/>
  <c r="K163" i="3"/>
  <c r="A164" i="3"/>
  <c r="C164" i="3"/>
  <c r="D164" i="3"/>
  <c r="E164" i="3"/>
  <c r="F164" i="3"/>
  <c r="G164" i="3"/>
  <c r="I164" i="3"/>
  <c r="J164" i="3"/>
  <c r="K164" i="3"/>
  <c r="A165" i="3"/>
  <c r="C165" i="3"/>
  <c r="D165" i="3"/>
  <c r="E165" i="3"/>
  <c r="F165" i="3"/>
  <c r="G165" i="3"/>
  <c r="I165" i="3"/>
  <c r="J165" i="3"/>
  <c r="K165" i="3"/>
  <c r="A166" i="3"/>
  <c r="C166" i="3"/>
  <c r="D166" i="3"/>
  <c r="E166" i="3"/>
  <c r="F166" i="3"/>
  <c r="G166" i="3"/>
  <c r="I166" i="3"/>
  <c r="J166" i="3"/>
  <c r="K166" i="3"/>
  <c r="A167" i="3"/>
  <c r="C167" i="3"/>
  <c r="D167" i="3"/>
  <c r="E167" i="3"/>
  <c r="F167" i="3"/>
  <c r="G167" i="3"/>
  <c r="I167" i="3"/>
  <c r="J167" i="3"/>
  <c r="K167" i="3"/>
  <c r="A168" i="3"/>
  <c r="C168" i="3"/>
  <c r="D168" i="3"/>
  <c r="E168" i="3"/>
  <c r="F168" i="3"/>
  <c r="G168" i="3"/>
  <c r="I168" i="3"/>
  <c r="J168" i="3"/>
  <c r="K168" i="3"/>
  <c r="A169" i="3"/>
  <c r="C169" i="3"/>
  <c r="D169" i="3"/>
  <c r="E169" i="3"/>
  <c r="F169" i="3"/>
  <c r="G169" i="3"/>
  <c r="I169" i="3"/>
  <c r="J169" i="3"/>
  <c r="K169" i="3"/>
  <c r="A170" i="3"/>
  <c r="C170" i="3"/>
  <c r="D170" i="3"/>
  <c r="E170" i="3"/>
  <c r="F170" i="3"/>
  <c r="G170" i="3"/>
  <c r="I170" i="3"/>
  <c r="J170" i="3"/>
  <c r="K170" i="3"/>
  <c r="A171" i="3"/>
  <c r="C171" i="3"/>
  <c r="D171" i="3"/>
  <c r="E171" i="3"/>
  <c r="F171" i="3"/>
  <c r="G171" i="3"/>
  <c r="I171" i="3"/>
  <c r="J171" i="3"/>
  <c r="K171" i="3"/>
  <c r="A172" i="3"/>
  <c r="C172" i="3"/>
  <c r="D172" i="3"/>
  <c r="E172" i="3"/>
  <c r="F172" i="3"/>
  <c r="G172" i="3"/>
  <c r="I172" i="3"/>
  <c r="J172" i="3"/>
  <c r="K172" i="3"/>
  <c r="A173" i="3"/>
  <c r="C173" i="3"/>
  <c r="D173" i="3"/>
  <c r="E173" i="3"/>
  <c r="F173" i="3"/>
  <c r="G173" i="3"/>
  <c r="I173" i="3"/>
  <c r="J173" i="3"/>
  <c r="K173" i="3"/>
  <c r="A174" i="3"/>
  <c r="C174" i="3"/>
  <c r="D174" i="3"/>
  <c r="E174" i="3"/>
  <c r="F174" i="3"/>
  <c r="G174" i="3"/>
  <c r="I174" i="3"/>
  <c r="J174" i="3"/>
  <c r="K174" i="3"/>
  <c r="A175" i="3"/>
  <c r="C175" i="3"/>
  <c r="D175" i="3"/>
  <c r="E175" i="3"/>
  <c r="F175" i="3"/>
  <c r="G175" i="3"/>
  <c r="I175" i="3"/>
  <c r="J175" i="3"/>
  <c r="K175" i="3"/>
  <c r="A176" i="3"/>
  <c r="C176" i="3"/>
  <c r="D176" i="3"/>
  <c r="E176" i="3"/>
  <c r="F176" i="3"/>
  <c r="G176" i="3"/>
  <c r="I176" i="3"/>
  <c r="J176" i="3"/>
  <c r="K176" i="3"/>
  <c r="A177" i="3"/>
  <c r="C177" i="3"/>
  <c r="D177" i="3"/>
  <c r="E177" i="3"/>
  <c r="F177" i="3"/>
  <c r="G177" i="3"/>
  <c r="I177" i="3"/>
  <c r="J177" i="3"/>
  <c r="K177" i="3"/>
  <c r="A178" i="3"/>
  <c r="C178" i="3"/>
  <c r="D178" i="3"/>
  <c r="E178" i="3"/>
  <c r="F178" i="3"/>
  <c r="G178" i="3"/>
  <c r="I178" i="3"/>
  <c r="J178" i="3"/>
  <c r="K178" i="3"/>
  <c r="A179" i="3"/>
  <c r="C179" i="3"/>
  <c r="D179" i="3"/>
  <c r="E179" i="3"/>
  <c r="F179" i="3"/>
  <c r="G179" i="3"/>
  <c r="I179" i="3"/>
  <c r="J179" i="3"/>
  <c r="K179" i="3"/>
  <c r="A180" i="3"/>
  <c r="C180" i="3"/>
  <c r="D180" i="3"/>
  <c r="E180" i="3"/>
  <c r="F180" i="3"/>
  <c r="G180" i="3"/>
  <c r="I180" i="3"/>
  <c r="J180" i="3"/>
  <c r="K180" i="3"/>
  <c r="A181" i="3"/>
  <c r="C181" i="3"/>
  <c r="D181" i="3"/>
  <c r="E181" i="3"/>
  <c r="F181" i="3"/>
  <c r="G181" i="3"/>
  <c r="I181" i="3"/>
  <c r="J181" i="3"/>
  <c r="K181" i="3"/>
  <c r="A182" i="3"/>
  <c r="C182" i="3"/>
  <c r="D182" i="3"/>
  <c r="E182" i="3"/>
  <c r="F182" i="3"/>
  <c r="G182" i="3"/>
  <c r="I182" i="3"/>
  <c r="J182" i="3"/>
  <c r="K182" i="3"/>
  <c r="A183" i="3"/>
  <c r="C183" i="3"/>
  <c r="D183" i="3"/>
  <c r="E183" i="3"/>
  <c r="F183" i="3"/>
  <c r="G183" i="3"/>
  <c r="I183" i="3"/>
  <c r="J183" i="3"/>
  <c r="K183" i="3"/>
  <c r="A184" i="3"/>
  <c r="C184" i="3"/>
  <c r="D184" i="3"/>
  <c r="E184" i="3"/>
  <c r="F184" i="3"/>
  <c r="G184" i="3"/>
  <c r="I184" i="3"/>
  <c r="J184" i="3"/>
  <c r="K184" i="3"/>
  <c r="A185" i="3"/>
  <c r="C185" i="3"/>
  <c r="D185" i="3"/>
  <c r="E185" i="3"/>
  <c r="F185" i="3"/>
  <c r="G185" i="3"/>
  <c r="I185" i="3"/>
  <c r="J185" i="3"/>
  <c r="K185" i="3"/>
  <c r="A186" i="3"/>
  <c r="C186" i="3"/>
  <c r="D186" i="3"/>
  <c r="E186" i="3"/>
  <c r="F186" i="3"/>
  <c r="G186" i="3"/>
  <c r="I186" i="3"/>
  <c r="J186" i="3"/>
  <c r="K186" i="3"/>
  <c r="A187" i="3"/>
  <c r="C187" i="3"/>
  <c r="D187" i="3"/>
  <c r="E187" i="3"/>
  <c r="F187" i="3"/>
  <c r="G187" i="3"/>
  <c r="I187" i="3"/>
  <c r="J187" i="3"/>
  <c r="K187" i="3"/>
  <c r="A188" i="3"/>
  <c r="C188" i="3"/>
  <c r="D188" i="3"/>
  <c r="E188" i="3"/>
  <c r="F188" i="3"/>
  <c r="G188" i="3"/>
  <c r="I188" i="3"/>
  <c r="J188" i="3"/>
  <c r="K188" i="3"/>
  <c r="A189" i="3"/>
  <c r="C189" i="3"/>
  <c r="D189" i="3"/>
  <c r="E189" i="3"/>
  <c r="F189" i="3"/>
  <c r="G189" i="3"/>
  <c r="I189" i="3"/>
  <c r="J189" i="3"/>
  <c r="K189" i="3"/>
  <c r="A190" i="3"/>
  <c r="C190" i="3"/>
  <c r="D190" i="3"/>
  <c r="E190" i="3"/>
  <c r="F190" i="3"/>
  <c r="G190" i="3"/>
  <c r="I190" i="3"/>
  <c r="J190" i="3"/>
  <c r="K190" i="3"/>
  <c r="A191" i="3"/>
  <c r="C191" i="3"/>
  <c r="D191" i="3"/>
  <c r="E191" i="3"/>
  <c r="F191" i="3"/>
  <c r="G191" i="3"/>
  <c r="I191" i="3"/>
  <c r="J191" i="3"/>
  <c r="K191" i="3"/>
  <c r="A192" i="3"/>
  <c r="C192" i="3"/>
  <c r="D192" i="3"/>
  <c r="E192" i="3"/>
  <c r="F192" i="3"/>
  <c r="G192" i="3"/>
  <c r="I192" i="3"/>
  <c r="J192" i="3"/>
  <c r="K192" i="3"/>
  <c r="A193" i="3"/>
  <c r="C193" i="3"/>
  <c r="D193" i="3"/>
  <c r="E193" i="3"/>
  <c r="F193" i="3"/>
  <c r="G193" i="3"/>
  <c r="I193" i="3"/>
  <c r="J193" i="3"/>
  <c r="K193" i="3"/>
  <c r="A194" i="3"/>
  <c r="C194" i="3"/>
  <c r="D194" i="3"/>
  <c r="E194" i="3"/>
  <c r="F194" i="3"/>
  <c r="G194" i="3"/>
  <c r="I194" i="3"/>
  <c r="J194" i="3"/>
  <c r="K194" i="3"/>
  <c r="A195" i="3"/>
  <c r="C195" i="3"/>
  <c r="D195" i="3"/>
  <c r="E195" i="3"/>
  <c r="F195" i="3"/>
  <c r="G195" i="3"/>
  <c r="I195" i="3"/>
  <c r="J195" i="3"/>
  <c r="K195" i="3"/>
  <c r="A196" i="3"/>
  <c r="C196" i="3"/>
  <c r="D196" i="3"/>
  <c r="E196" i="3"/>
  <c r="F196" i="3"/>
  <c r="G196" i="3"/>
  <c r="I196" i="3"/>
  <c r="J196" i="3"/>
  <c r="K196" i="3"/>
  <c r="A197" i="3"/>
  <c r="C197" i="3"/>
  <c r="D197" i="3"/>
  <c r="E197" i="3"/>
  <c r="F197" i="3"/>
  <c r="G197" i="3"/>
  <c r="I197" i="3"/>
  <c r="J197" i="3"/>
  <c r="K197" i="3"/>
  <c r="A198" i="3"/>
  <c r="C198" i="3"/>
  <c r="D198" i="3"/>
  <c r="E198" i="3"/>
  <c r="F198" i="3"/>
  <c r="G198" i="3"/>
  <c r="I198" i="3"/>
  <c r="J198" i="3"/>
  <c r="K198" i="3"/>
  <c r="A199" i="3"/>
  <c r="C199" i="3"/>
  <c r="D199" i="3"/>
  <c r="E199" i="3"/>
  <c r="F199" i="3"/>
  <c r="G199" i="3"/>
  <c r="I199" i="3"/>
  <c r="J199" i="3"/>
  <c r="K199" i="3"/>
  <c r="A200" i="3"/>
  <c r="C200" i="3"/>
  <c r="D200" i="3"/>
  <c r="E200" i="3"/>
  <c r="F200" i="3"/>
  <c r="G200" i="3"/>
  <c r="I200" i="3"/>
  <c r="J200" i="3"/>
  <c r="K200" i="3"/>
  <c r="A201" i="3"/>
  <c r="C201" i="3"/>
  <c r="D201" i="3"/>
  <c r="E201" i="3"/>
  <c r="F201" i="3"/>
  <c r="G201" i="3"/>
  <c r="I201" i="3"/>
  <c r="J201" i="3"/>
  <c r="K201" i="3"/>
  <c r="A202" i="3"/>
  <c r="C202" i="3"/>
  <c r="D202" i="3"/>
  <c r="E202" i="3"/>
  <c r="F202" i="3"/>
  <c r="G202" i="3"/>
  <c r="I202" i="3"/>
  <c r="J202" i="3"/>
  <c r="K202" i="3"/>
  <c r="A203" i="3"/>
  <c r="C203" i="3"/>
  <c r="D203" i="3"/>
  <c r="E203" i="3"/>
  <c r="F203" i="3"/>
  <c r="G203" i="3"/>
  <c r="I203" i="3"/>
  <c r="J203" i="3"/>
  <c r="K203" i="3"/>
  <c r="A204" i="3"/>
  <c r="C204" i="3"/>
  <c r="D204" i="3"/>
  <c r="E204" i="3"/>
  <c r="F204" i="3"/>
  <c r="G204" i="3"/>
  <c r="I204" i="3"/>
  <c r="J204" i="3"/>
  <c r="K204" i="3"/>
  <c r="A205" i="3"/>
  <c r="C205" i="3"/>
  <c r="D205" i="3"/>
  <c r="E205" i="3"/>
  <c r="F205" i="3"/>
  <c r="G205" i="3"/>
  <c r="I205" i="3"/>
  <c r="J205" i="3"/>
  <c r="K205" i="3"/>
  <c r="A206" i="3"/>
  <c r="C206" i="3"/>
  <c r="D206" i="3"/>
  <c r="E206" i="3"/>
  <c r="F206" i="3"/>
  <c r="G206" i="3"/>
  <c r="I206" i="3"/>
  <c r="J206" i="3"/>
  <c r="K206" i="3"/>
  <c r="A207" i="3"/>
  <c r="C207" i="3"/>
  <c r="D207" i="3"/>
  <c r="E207" i="3"/>
  <c r="F207" i="3"/>
  <c r="G207" i="3"/>
  <c r="I207" i="3"/>
  <c r="J207" i="3"/>
  <c r="K207" i="3"/>
  <c r="A208" i="3"/>
  <c r="C208" i="3"/>
  <c r="D208" i="3"/>
  <c r="E208" i="3"/>
  <c r="F208" i="3"/>
  <c r="G208" i="3"/>
  <c r="I208" i="3"/>
  <c r="J208" i="3"/>
  <c r="K208" i="3"/>
  <c r="A209" i="3"/>
  <c r="C209" i="3"/>
  <c r="D209" i="3"/>
  <c r="E209" i="3"/>
  <c r="F209" i="3"/>
  <c r="G209" i="3"/>
  <c r="I209" i="3"/>
  <c r="J209" i="3"/>
  <c r="K209" i="3"/>
  <c r="A210" i="3"/>
  <c r="C210" i="3"/>
  <c r="D210" i="3"/>
  <c r="E210" i="3"/>
  <c r="F210" i="3"/>
  <c r="G210" i="3"/>
  <c r="I210" i="3"/>
  <c r="J210" i="3"/>
  <c r="K210" i="3"/>
  <c r="A211" i="3"/>
  <c r="C211" i="3"/>
  <c r="D211" i="3"/>
  <c r="E211" i="3"/>
  <c r="F211" i="3"/>
  <c r="G211" i="3"/>
  <c r="I211" i="3"/>
  <c r="J211" i="3"/>
  <c r="K211" i="3"/>
  <c r="A212" i="3"/>
  <c r="C212" i="3"/>
  <c r="D212" i="3"/>
  <c r="E212" i="3"/>
  <c r="F212" i="3"/>
  <c r="G212" i="3"/>
  <c r="I212" i="3"/>
  <c r="J212" i="3"/>
  <c r="K212" i="3"/>
  <c r="A213" i="3"/>
  <c r="C213" i="3"/>
  <c r="D213" i="3"/>
  <c r="E213" i="3"/>
  <c r="F213" i="3"/>
  <c r="G213" i="3"/>
  <c r="I213" i="3"/>
  <c r="J213" i="3"/>
  <c r="K213" i="3"/>
  <c r="A214" i="3"/>
  <c r="C214" i="3"/>
  <c r="D214" i="3"/>
  <c r="E214" i="3"/>
  <c r="F214" i="3"/>
  <c r="G214" i="3"/>
  <c r="I214" i="3"/>
  <c r="J214" i="3"/>
  <c r="K214" i="3"/>
  <c r="A215" i="3"/>
  <c r="C215" i="3"/>
  <c r="D215" i="3"/>
  <c r="E215" i="3"/>
  <c r="F215" i="3"/>
  <c r="G215" i="3"/>
  <c r="I215" i="3"/>
  <c r="J215" i="3"/>
  <c r="K215" i="3"/>
  <c r="A216" i="3"/>
  <c r="C216" i="3"/>
  <c r="D216" i="3"/>
  <c r="E216" i="3"/>
  <c r="F216" i="3"/>
  <c r="G216" i="3"/>
  <c r="I216" i="3"/>
  <c r="J216" i="3"/>
  <c r="K216" i="3"/>
  <c r="A217" i="3"/>
  <c r="C217" i="3"/>
  <c r="D217" i="3"/>
  <c r="E217" i="3"/>
  <c r="F217" i="3"/>
  <c r="G217" i="3"/>
  <c r="I217" i="3"/>
  <c r="J217" i="3"/>
  <c r="K217" i="3"/>
  <c r="A218" i="3"/>
  <c r="C218" i="3"/>
  <c r="D218" i="3"/>
  <c r="E218" i="3"/>
  <c r="F218" i="3"/>
  <c r="G218" i="3"/>
  <c r="I218" i="3"/>
  <c r="J218" i="3"/>
  <c r="K218" i="3"/>
  <c r="A219" i="3"/>
  <c r="C219" i="3"/>
  <c r="D219" i="3"/>
  <c r="E219" i="3"/>
  <c r="F219" i="3"/>
  <c r="G219" i="3"/>
  <c r="I219" i="3"/>
  <c r="J219" i="3"/>
  <c r="K219" i="3"/>
  <c r="A220" i="3"/>
  <c r="C220" i="3"/>
  <c r="D220" i="3"/>
  <c r="E220" i="3"/>
  <c r="F220" i="3"/>
  <c r="G220" i="3"/>
  <c r="I220" i="3"/>
  <c r="J220" i="3"/>
  <c r="K220" i="3"/>
  <c r="A221" i="3"/>
  <c r="C221" i="3"/>
  <c r="D221" i="3"/>
  <c r="E221" i="3"/>
  <c r="F221" i="3"/>
  <c r="G221" i="3"/>
  <c r="I221" i="3"/>
  <c r="J221" i="3"/>
  <c r="K221" i="3"/>
  <c r="A222" i="3"/>
  <c r="C222" i="3"/>
  <c r="D222" i="3"/>
  <c r="E222" i="3"/>
  <c r="F222" i="3"/>
  <c r="G222" i="3"/>
  <c r="I222" i="3"/>
  <c r="J222" i="3"/>
  <c r="K222" i="3"/>
  <c r="A223" i="3"/>
  <c r="C223" i="3"/>
  <c r="D223" i="3"/>
  <c r="E223" i="3"/>
  <c r="F223" i="3"/>
  <c r="G223" i="3"/>
  <c r="I223" i="3"/>
  <c r="J223" i="3"/>
  <c r="K223" i="3"/>
  <c r="A224" i="3"/>
  <c r="C224" i="3"/>
  <c r="D224" i="3"/>
  <c r="E224" i="3"/>
  <c r="F224" i="3"/>
  <c r="G224" i="3"/>
  <c r="I224" i="3"/>
  <c r="J224" i="3"/>
  <c r="K224" i="3"/>
  <c r="A225" i="3"/>
  <c r="C225" i="3"/>
  <c r="D225" i="3"/>
  <c r="E225" i="3"/>
  <c r="F225" i="3"/>
  <c r="G225" i="3"/>
  <c r="I225" i="3"/>
  <c r="J225" i="3"/>
  <c r="K225" i="3"/>
  <c r="A226" i="3"/>
  <c r="C226" i="3"/>
  <c r="D226" i="3"/>
  <c r="E226" i="3"/>
  <c r="F226" i="3"/>
  <c r="G226" i="3"/>
  <c r="I226" i="3"/>
  <c r="J226" i="3"/>
  <c r="K226" i="3"/>
  <c r="A227" i="3"/>
  <c r="C227" i="3"/>
  <c r="D227" i="3"/>
  <c r="E227" i="3"/>
  <c r="F227" i="3"/>
  <c r="G227" i="3"/>
  <c r="I227" i="3"/>
  <c r="J227" i="3"/>
  <c r="K227" i="3"/>
  <c r="A228" i="3"/>
  <c r="C228" i="3"/>
  <c r="D228" i="3"/>
  <c r="E228" i="3"/>
  <c r="F228" i="3"/>
  <c r="G228" i="3"/>
  <c r="I228" i="3"/>
  <c r="J228" i="3"/>
  <c r="K228" i="3"/>
  <c r="A229" i="3"/>
  <c r="C229" i="3"/>
  <c r="D229" i="3"/>
  <c r="E229" i="3"/>
  <c r="F229" i="3"/>
  <c r="G229" i="3"/>
  <c r="I229" i="3"/>
  <c r="J229" i="3"/>
  <c r="K229" i="3"/>
  <c r="A230" i="3"/>
  <c r="C230" i="3"/>
  <c r="D230" i="3"/>
  <c r="E230" i="3"/>
  <c r="F230" i="3"/>
  <c r="G230" i="3"/>
  <c r="I230" i="3"/>
  <c r="J230" i="3"/>
  <c r="K230" i="3"/>
  <c r="A231" i="3"/>
  <c r="C231" i="3"/>
  <c r="D231" i="3"/>
  <c r="E231" i="3"/>
  <c r="F231" i="3"/>
  <c r="G231" i="3"/>
  <c r="I231" i="3"/>
  <c r="J231" i="3"/>
  <c r="K231" i="3"/>
  <c r="A232" i="3"/>
  <c r="C232" i="3"/>
  <c r="D232" i="3"/>
  <c r="E232" i="3"/>
  <c r="F232" i="3"/>
  <c r="G232" i="3"/>
  <c r="I232" i="3"/>
  <c r="J232" i="3"/>
  <c r="K232" i="3"/>
  <c r="A233" i="3"/>
  <c r="C233" i="3"/>
  <c r="D233" i="3"/>
  <c r="E233" i="3"/>
  <c r="F233" i="3"/>
  <c r="G233" i="3"/>
  <c r="I233" i="3"/>
  <c r="J233" i="3"/>
  <c r="K233" i="3"/>
  <c r="A234" i="3"/>
  <c r="C234" i="3"/>
  <c r="D234" i="3"/>
  <c r="E234" i="3"/>
  <c r="F234" i="3"/>
  <c r="G234" i="3"/>
  <c r="I234" i="3"/>
  <c r="J234" i="3"/>
  <c r="K234" i="3"/>
  <c r="A235" i="3"/>
  <c r="C235" i="3"/>
  <c r="D235" i="3"/>
  <c r="E235" i="3"/>
  <c r="F235" i="3"/>
  <c r="G235" i="3"/>
  <c r="I235" i="3"/>
  <c r="J235" i="3"/>
  <c r="K235" i="3"/>
  <c r="A236" i="3"/>
  <c r="C236" i="3"/>
  <c r="D236" i="3"/>
  <c r="E236" i="3"/>
  <c r="F236" i="3"/>
  <c r="G236" i="3"/>
  <c r="I236" i="3"/>
  <c r="J236" i="3"/>
  <c r="K236" i="3"/>
  <c r="A237" i="3"/>
  <c r="C237" i="3"/>
  <c r="D237" i="3"/>
  <c r="E237" i="3"/>
  <c r="F237" i="3"/>
  <c r="G237" i="3"/>
  <c r="I237" i="3"/>
  <c r="J237" i="3"/>
  <c r="K237" i="3"/>
  <c r="A238" i="3"/>
  <c r="C238" i="3"/>
  <c r="D238" i="3"/>
  <c r="E238" i="3"/>
  <c r="F238" i="3"/>
  <c r="G238" i="3"/>
  <c r="I238" i="3"/>
  <c r="J238" i="3"/>
  <c r="K238" i="3"/>
  <c r="A239" i="3"/>
  <c r="C239" i="3"/>
  <c r="D239" i="3"/>
  <c r="E239" i="3"/>
  <c r="F239" i="3"/>
  <c r="G239" i="3"/>
  <c r="I239" i="3"/>
  <c r="J239" i="3"/>
  <c r="K239" i="3"/>
  <c r="A240" i="3"/>
  <c r="C240" i="3"/>
  <c r="D240" i="3"/>
  <c r="E240" i="3"/>
  <c r="F240" i="3"/>
  <c r="G240" i="3"/>
  <c r="I240" i="3"/>
  <c r="J240" i="3"/>
  <c r="K240" i="3"/>
  <c r="A241" i="3"/>
  <c r="C241" i="3"/>
  <c r="D241" i="3"/>
  <c r="E241" i="3"/>
  <c r="F241" i="3"/>
  <c r="G241" i="3"/>
  <c r="I241" i="3"/>
  <c r="J241" i="3"/>
  <c r="K241" i="3"/>
  <c r="A242" i="3"/>
  <c r="C242" i="3"/>
  <c r="D242" i="3"/>
  <c r="E242" i="3"/>
  <c r="F242" i="3"/>
  <c r="G242" i="3"/>
  <c r="I242" i="3"/>
  <c r="J242" i="3"/>
  <c r="K242" i="3"/>
  <c r="A243" i="3"/>
  <c r="C243" i="3"/>
  <c r="D243" i="3"/>
  <c r="E243" i="3"/>
  <c r="F243" i="3"/>
  <c r="G243" i="3"/>
  <c r="I243" i="3"/>
  <c r="J243" i="3"/>
  <c r="K243" i="3"/>
  <c r="A244" i="3"/>
  <c r="C244" i="3"/>
  <c r="D244" i="3"/>
  <c r="E244" i="3"/>
  <c r="F244" i="3"/>
  <c r="G244" i="3"/>
  <c r="I244" i="3"/>
  <c r="J244" i="3"/>
  <c r="K244" i="3"/>
  <c r="A245" i="3"/>
  <c r="C245" i="3"/>
  <c r="D245" i="3"/>
  <c r="E245" i="3"/>
  <c r="F245" i="3"/>
  <c r="G245" i="3"/>
  <c r="I245" i="3"/>
  <c r="J245" i="3"/>
  <c r="K245" i="3"/>
  <c r="A246" i="3"/>
  <c r="C246" i="3"/>
  <c r="D246" i="3"/>
  <c r="E246" i="3"/>
  <c r="F246" i="3"/>
  <c r="G246" i="3"/>
  <c r="I246" i="3"/>
  <c r="J246" i="3"/>
  <c r="K246" i="3"/>
  <c r="A247" i="3"/>
  <c r="C247" i="3"/>
  <c r="D247" i="3"/>
  <c r="E247" i="3"/>
  <c r="F247" i="3"/>
  <c r="G247" i="3"/>
  <c r="I247" i="3"/>
  <c r="J247" i="3"/>
  <c r="K247" i="3"/>
  <c r="A248" i="3"/>
  <c r="C248" i="3"/>
  <c r="D248" i="3"/>
  <c r="E248" i="3"/>
  <c r="F248" i="3"/>
  <c r="G248" i="3"/>
  <c r="I248" i="3"/>
  <c r="J248" i="3"/>
  <c r="K248" i="3"/>
  <c r="A249" i="3"/>
  <c r="C249" i="3"/>
  <c r="D249" i="3"/>
  <c r="E249" i="3"/>
  <c r="F249" i="3"/>
  <c r="G249" i="3"/>
  <c r="I249" i="3"/>
  <c r="J249" i="3"/>
  <c r="K249" i="3"/>
  <c r="A250" i="3"/>
  <c r="C250" i="3"/>
  <c r="D250" i="3"/>
  <c r="E250" i="3"/>
  <c r="F250" i="3"/>
  <c r="G250" i="3"/>
  <c r="I250" i="3"/>
  <c r="J250" i="3"/>
  <c r="K250" i="3"/>
  <c r="A251" i="3"/>
  <c r="C251" i="3"/>
  <c r="D251" i="3"/>
  <c r="E251" i="3"/>
  <c r="F251" i="3"/>
  <c r="G251" i="3"/>
  <c r="I251" i="3"/>
  <c r="J251" i="3"/>
  <c r="K251" i="3"/>
  <c r="A252" i="3"/>
  <c r="C252" i="3"/>
  <c r="D252" i="3"/>
  <c r="E252" i="3"/>
  <c r="F252" i="3"/>
  <c r="G252" i="3"/>
  <c r="I252" i="3"/>
  <c r="J252" i="3"/>
  <c r="K252" i="3"/>
  <c r="A253" i="3"/>
  <c r="C253" i="3"/>
  <c r="D253" i="3"/>
  <c r="E253" i="3"/>
  <c r="F253" i="3"/>
  <c r="G253" i="3"/>
  <c r="I253" i="3"/>
  <c r="J253" i="3"/>
  <c r="K253" i="3"/>
  <c r="A254" i="3"/>
  <c r="C254" i="3"/>
  <c r="D254" i="3"/>
  <c r="E254" i="3"/>
  <c r="F254" i="3"/>
  <c r="G254" i="3"/>
  <c r="I254" i="3"/>
  <c r="J254" i="3"/>
  <c r="K254" i="3"/>
  <c r="A255" i="3"/>
  <c r="C255" i="3"/>
  <c r="D255" i="3"/>
  <c r="E255" i="3"/>
  <c r="F255" i="3"/>
  <c r="G255" i="3"/>
  <c r="I255" i="3"/>
  <c r="J255" i="3"/>
  <c r="K255" i="3"/>
  <c r="A256" i="3"/>
  <c r="C256" i="3"/>
  <c r="D256" i="3"/>
  <c r="E256" i="3"/>
  <c r="F256" i="3"/>
  <c r="G256" i="3"/>
  <c r="I256" i="3"/>
  <c r="J256" i="3"/>
  <c r="K256" i="3"/>
  <c r="A257" i="3"/>
  <c r="C257" i="3"/>
  <c r="D257" i="3"/>
  <c r="E257" i="3"/>
  <c r="F257" i="3"/>
  <c r="G257" i="3"/>
  <c r="I257" i="3"/>
  <c r="J257" i="3"/>
  <c r="K257" i="3"/>
  <c r="A258" i="3"/>
  <c r="C258" i="3"/>
  <c r="D258" i="3"/>
  <c r="E258" i="3"/>
  <c r="F258" i="3"/>
  <c r="G258" i="3"/>
  <c r="I258" i="3"/>
  <c r="J258" i="3"/>
  <c r="K258" i="3"/>
  <c r="A259" i="3"/>
  <c r="C259" i="3"/>
  <c r="D259" i="3"/>
  <c r="E259" i="3"/>
  <c r="F259" i="3"/>
  <c r="G259" i="3"/>
  <c r="I259" i="3"/>
  <c r="J259" i="3"/>
  <c r="K259" i="3"/>
  <c r="A260" i="3"/>
  <c r="C260" i="3"/>
  <c r="D260" i="3"/>
  <c r="E260" i="3"/>
  <c r="F260" i="3"/>
  <c r="G260" i="3"/>
  <c r="I260" i="3"/>
  <c r="J260" i="3"/>
  <c r="K260" i="3"/>
  <c r="A261" i="3"/>
  <c r="C261" i="3"/>
  <c r="D261" i="3"/>
  <c r="E261" i="3"/>
  <c r="F261" i="3"/>
  <c r="G261" i="3"/>
  <c r="I261" i="3"/>
  <c r="J261" i="3"/>
  <c r="K261" i="3"/>
  <c r="A262" i="3"/>
  <c r="C262" i="3"/>
  <c r="D262" i="3"/>
  <c r="E262" i="3"/>
  <c r="F262" i="3"/>
  <c r="G262" i="3"/>
  <c r="I262" i="3"/>
  <c r="J262" i="3"/>
  <c r="K262" i="3"/>
  <c r="A263" i="3"/>
  <c r="C263" i="3"/>
  <c r="D263" i="3"/>
  <c r="E263" i="3"/>
  <c r="F263" i="3"/>
  <c r="G263" i="3"/>
  <c r="I263" i="3"/>
  <c r="J263" i="3"/>
  <c r="K263" i="3"/>
  <c r="A264" i="3"/>
  <c r="C264" i="3"/>
  <c r="D264" i="3"/>
  <c r="E264" i="3"/>
  <c r="F264" i="3"/>
  <c r="G264" i="3"/>
  <c r="I264" i="3"/>
  <c r="J264" i="3"/>
  <c r="K264" i="3"/>
  <c r="A265" i="3"/>
  <c r="C265" i="3"/>
  <c r="D265" i="3"/>
  <c r="E265" i="3"/>
  <c r="F265" i="3"/>
  <c r="G265" i="3"/>
  <c r="I265" i="3"/>
  <c r="J265" i="3"/>
  <c r="K265" i="3"/>
  <c r="A266" i="3"/>
  <c r="C266" i="3"/>
  <c r="D266" i="3"/>
  <c r="E266" i="3"/>
  <c r="F266" i="3"/>
  <c r="G266" i="3"/>
  <c r="I266" i="3"/>
  <c r="J266" i="3"/>
  <c r="K266" i="3"/>
  <c r="A267" i="3"/>
  <c r="C267" i="3"/>
  <c r="D267" i="3"/>
  <c r="E267" i="3"/>
  <c r="F267" i="3"/>
  <c r="G267" i="3"/>
  <c r="I267" i="3"/>
  <c r="J267" i="3"/>
  <c r="K267" i="3"/>
  <c r="A268" i="3"/>
  <c r="C268" i="3"/>
  <c r="D268" i="3"/>
  <c r="E268" i="3"/>
  <c r="F268" i="3"/>
  <c r="G268" i="3"/>
  <c r="I268" i="3"/>
  <c r="J268" i="3"/>
  <c r="K268" i="3"/>
  <c r="A269" i="3"/>
  <c r="C269" i="3"/>
  <c r="D269" i="3"/>
  <c r="E269" i="3"/>
  <c r="F269" i="3"/>
  <c r="G269" i="3"/>
  <c r="I269" i="3"/>
  <c r="J269" i="3"/>
  <c r="K269" i="3"/>
  <c r="A270" i="3"/>
  <c r="C270" i="3"/>
  <c r="D270" i="3"/>
  <c r="E270" i="3"/>
  <c r="F270" i="3"/>
  <c r="G270" i="3"/>
  <c r="I270" i="3"/>
  <c r="J270" i="3"/>
  <c r="K270" i="3"/>
  <c r="A271" i="3"/>
  <c r="C271" i="3"/>
  <c r="D271" i="3"/>
  <c r="E271" i="3"/>
  <c r="F271" i="3"/>
  <c r="G271" i="3"/>
  <c r="I271" i="3"/>
  <c r="J271" i="3"/>
  <c r="K271" i="3"/>
  <c r="A272" i="3"/>
  <c r="C272" i="3"/>
  <c r="D272" i="3"/>
  <c r="E272" i="3"/>
  <c r="F272" i="3"/>
  <c r="G272" i="3"/>
  <c r="I272" i="3"/>
  <c r="J272" i="3"/>
  <c r="K272" i="3"/>
  <c r="A273" i="3"/>
  <c r="C273" i="3"/>
  <c r="D273" i="3"/>
  <c r="E273" i="3"/>
  <c r="F273" i="3"/>
  <c r="G273" i="3"/>
  <c r="I273" i="3"/>
  <c r="J273" i="3"/>
  <c r="K273" i="3"/>
  <c r="A274" i="3"/>
  <c r="C274" i="3"/>
  <c r="D274" i="3"/>
  <c r="E274" i="3"/>
  <c r="F274" i="3"/>
  <c r="G274" i="3"/>
  <c r="I274" i="3"/>
  <c r="J274" i="3"/>
  <c r="K274" i="3"/>
  <c r="A275" i="3"/>
  <c r="C275" i="3"/>
  <c r="D275" i="3"/>
  <c r="E275" i="3"/>
  <c r="F275" i="3"/>
  <c r="G275" i="3"/>
  <c r="I275" i="3"/>
  <c r="J275" i="3"/>
  <c r="K275" i="3"/>
  <c r="A276" i="3"/>
  <c r="C276" i="3"/>
  <c r="D276" i="3"/>
  <c r="E276" i="3"/>
  <c r="F276" i="3"/>
  <c r="G276" i="3"/>
  <c r="I276" i="3"/>
  <c r="J276" i="3"/>
  <c r="K276" i="3"/>
  <c r="A277" i="3"/>
  <c r="C277" i="3"/>
  <c r="D277" i="3"/>
  <c r="E277" i="3"/>
  <c r="F277" i="3"/>
  <c r="G277" i="3"/>
  <c r="I277" i="3"/>
  <c r="J277" i="3"/>
  <c r="K277" i="3"/>
  <c r="A278" i="3"/>
  <c r="C278" i="3"/>
  <c r="D278" i="3"/>
  <c r="E278" i="3"/>
  <c r="F278" i="3"/>
  <c r="G278" i="3"/>
  <c r="I278" i="3"/>
  <c r="J278" i="3"/>
  <c r="K278" i="3"/>
  <c r="A279" i="3"/>
  <c r="C279" i="3"/>
  <c r="D279" i="3"/>
  <c r="E279" i="3"/>
  <c r="F279" i="3"/>
  <c r="G279" i="3"/>
  <c r="I279" i="3"/>
  <c r="J279" i="3"/>
  <c r="K279" i="3"/>
  <c r="A280" i="3"/>
  <c r="C280" i="3"/>
  <c r="D280" i="3"/>
  <c r="E280" i="3"/>
  <c r="F280" i="3"/>
  <c r="G280" i="3"/>
  <c r="I280" i="3"/>
  <c r="J280" i="3"/>
  <c r="K280" i="3"/>
  <c r="A281" i="3"/>
  <c r="C281" i="3"/>
  <c r="D281" i="3"/>
  <c r="E281" i="3"/>
  <c r="F281" i="3"/>
  <c r="G281" i="3"/>
  <c r="I281" i="3"/>
  <c r="J281" i="3"/>
  <c r="K281" i="3"/>
  <c r="A282" i="3"/>
  <c r="C282" i="3"/>
  <c r="D282" i="3"/>
  <c r="E282" i="3"/>
  <c r="F282" i="3"/>
  <c r="G282" i="3"/>
  <c r="I282" i="3"/>
  <c r="J282" i="3"/>
  <c r="K282" i="3"/>
  <c r="A283" i="3"/>
  <c r="C283" i="3"/>
  <c r="D283" i="3"/>
  <c r="E283" i="3"/>
  <c r="F283" i="3"/>
  <c r="G283" i="3"/>
  <c r="I283" i="3"/>
  <c r="J283" i="3"/>
  <c r="K283" i="3"/>
  <c r="A284" i="3"/>
  <c r="C284" i="3"/>
  <c r="D284" i="3"/>
  <c r="E284" i="3"/>
  <c r="F284" i="3"/>
  <c r="G284" i="3"/>
  <c r="I284" i="3"/>
  <c r="J284" i="3"/>
  <c r="K284" i="3"/>
  <c r="A285" i="3"/>
  <c r="C285" i="3"/>
  <c r="D285" i="3"/>
  <c r="E285" i="3"/>
  <c r="F285" i="3"/>
  <c r="G285" i="3"/>
  <c r="I285" i="3"/>
  <c r="J285" i="3"/>
  <c r="K285" i="3"/>
  <c r="A286" i="3"/>
  <c r="C286" i="3"/>
  <c r="D286" i="3"/>
  <c r="E286" i="3"/>
  <c r="F286" i="3"/>
  <c r="G286" i="3"/>
  <c r="I286" i="3"/>
  <c r="J286" i="3"/>
  <c r="K286" i="3"/>
  <c r="A287" i="3"/>
  <c r="C287" i="3"/>
  <c r="D287" i="3"/>
  <c r="E287" i="3"/>
  <c r="F287" i="3"/>
  <c r="G287" i="3"/>
  <c r="I287" i="3"/>
  <c r="J287" i="3"/>
  <c r="K287" i="3"/>
  <c r="A288" i="3"/>
  <c r="C288" i="3"/>
  <c r="D288" i="3"/>
  <c r="E288" i="3"/>
  <c r="F288" i="3"/>
  <c r="G288" i="3"/>
  <c r="I288" i="3"/>
  <c r="J288" i="3"/>
  <c r="K288" i="3"/>
  <c r="A289" i="3"/>
  <c r="C289" i="3"/>
  <c r="D289" i="3"/>
  <c r="E289" i="3"/>
  <c r="F289" i="3"/>
  <c r="G289" i="3"/>
  <c r="I289" i="3"/>
  <c r="J289" i="3"/>
  <c r="K289" i="3"/>
  <c r="A290" i="3"/>
  <c r="C290" i="3"/>
  <c r="D290" i="3"/>
  <c r="E290" i="3"/>
  <c r="F290" i="3"/>
  <c r="G290" i="3"/>
  <c r="I290" i="3"/>
  <c r="J290" i="3"/>
  <c r="K290" i="3"/>
  <c r="A291" i="3"/>
  <c r="C291" i="3"/>
  <c r="D291" i="3"/>
  <c r="E291" i="3"/>
  <c r="F291" i="3"/>
  <c r="G291" i="3"/>
  <c r="I291" i="3"/>
  <c r="J291" i="3"/>
  <c r="K291" i="3"/>
  <c r="A292" i="3"/>
  <c r="C292" i="3"/>
  <c r="D292" i="3"/>
  <c r="E292" i="3"/>
  <c r="F292" i="3"/>
  <c r="G292" i="3"/>
  <c r="I292" i="3"/>
  <c r="J292" i="3"/>
  <c r="K292" i="3"/>
  <c r="A293" i="3"/>
  <c r="C293" i="3"/>
  <c r="D293" i="3"/>
  <c r="E293" i="3"/>
  <c r="F293" i="3"/>
  <c r="G293" i="3"/>
  <c r="I293" i="3"/>
  <c r="J293" i="3"/>
  <c r="K293" i="3"/>
  <c r="A294" i="3"/>
  <c r="C294" i="3"/>
  <c r="D294" i="3"/>
  <c r="E294" i="3"/>
  <c r="F294" i="3"/>
  <c r="G294" i="3"/>
  <c r="I294" i="3"/>
  <c r="J294" i="3"/>
  <c r="K294" i="3"/>
  <c r="A295" i="3"/>
  <c r="C295" i="3"/>
  <c r="D295" i="3"/>
  <c r="E295" i="3"/>
  <c r="F295" i="3"/>
  <c r="G295" i="3"/>
  <c r="I295" i="3"/>
  <c r="J295" i="3"/>
  <c r="K295" i="3"/>
  <c r="A296" i="3"/>
  <c r="C296" i="3"/>
  <c r="D296" i="3"/>
  <c r="E296" i="3"/>
  <c r="F296" i="3"/>
  <c r="G296" i="3"/>
  <c r="I296" i="3"/>
  <c r="J296" i="3"/>
  <c r="K296" i="3"/>
  <c r="A297" i="3"/>
  <c r="C297" i="3"/>
  <c r="D297" i="3"/>
  <c r="E297" i="3"/>
  <c r="F297" i="3"/>
  <c r="G297" i="3"/>
  <c r="I297" i="3"/>
  <c r="J297" i="3"/>
  <c r="K297" i="3"/>
  <c r="A298" i="3"/>
  <c r="C298" i="3"/>
  <c r="D298" i="3"/>
  <c r="E298" i="3"/>
  <c r="F298" i="3"/>
  <c r="G298" i="3"/>
  <c r="I298" i="3"/>
  <c r="J298" i="3"/>
  <c r="K298" i="3"/>
  <c r="A299" i="3"/>
  <c r="C299" i="3"/>
  <c r="D299" i="3"/>
  <c r="E299" i="3"/>
  <c r="F299" i="3"/>
  <c r="G299" i="3"/>
  <c r="I299" i="3"/>
  <c r="J299" i="3"/>
  <c r="K299" i="3"/>
  <c r="A300" i="3"/>
  <c r="C300" i="3"/>
  <c r="D300" i="3"/>
  <c r="E300" i="3"/>
  <c r="F300" i="3"/>
  <c r="G300" i="3"/>
  <c r="I300" i="3"/>
  <c r="J300" i="3"/>
  <c r="K300" i="3"/>
  <c r="A301" i="3"/>
  <c r="C301" i="3"/>
  <c r="D301" i="3"/>
  <c r="E301" i="3"/>
  <c r="F301" i="3"/>
  <c r="G301" i="3"/>
  <c r="I301" i="3"/>
  <c r="J301" i="3"/>
  <c r="K301" i="3"/>
  <c r="A302" i="3"/>
  <c r="C302" i="3"/>
  <c r="D302" i="3"/>
  <c r="E302" i="3"/>
  <c r="F302" i="3"/>
  <c r="G302" i="3"/>
  <c r="I302" i="3"/>
  <c r="J302" i="3"/>
  <c r="K302" i="3"/>
  <c r="A303" i="3"/>
  <c r="C303" i="3"/>
  <c r="D303" i="3"/>
  <c r="E303" i="3"/>
  <c r="F303" i="3"/>
  <c r="G303" i="3"/>
  <c r="I303" i="3"/>
  <c r="J303" i="3"/>
  <c r="K303" i="3"/>
  <c r="A304" i="3"/>
  <c r="C304" i="3"/>
  <c r="D304" i="3"/>
  <c r="E304" i="3"/>
  <c r="F304" i="3"/>
  <c r="G304" i="3"/>
  <c r="I304" i="3"/>
  <c r="J304" i="3"/>
  <c r="K304" i="3"/>
  <c r="A305" i="3"/>
  <c r="C305" i="3"/>
  <c r="D305" i="3"/>
  <c r="E305" i="3"/>
  <c r="F305" i="3"/>
  <c r="G305" i="3"/>
  <c r="I305" i="3"/>
  <c r="J305" i="3"/>
  <c r="K305" i="3"/>
  <c r="A306" i="3"/>
  <c r="C306" i="3"/>
  <c r="D306" i="3"/>
  <c r="E306" i="3"/>
  <c r="F306" i="3"/>
  <c r="G306" i="3"/>
  <c r="I306" i="3"/>
  <c r="J306" i="3"/>
  <c r="K306" i="3"/>
  <c r="A307" i="3"/>
  <c r="C307" i="3"/>
  <c r="D307" i="3"/>
  <c r="E307" i="3"/>
  <c r="F307" i="3"/>
  <c r="G307" i="3"/>
  <c r="I307" i="3"/>
  <c r="J307" i="3"/>
  <c r="K307" i="3"/>
  <c r="A308" i="3"/>
  <c r="C308" i="3"/>
  <c r="D308" i="3"/>
  <c r="E308" i="3"/>
  <c r="F308" i="3"/>
  <c r="G308" i="3"/>
  <c r="I308" i="3"/>
  <c r="J308" i="3"/>
  <c r="K308" i="3"/>
  <c r="A309" i="3"/>
  <c r="C309" i="3"/>
  <c r="D309" i="3"/>
  <c r="E309" i="3"/>
  <c r="F309" i="3"/>
  <c r="G309" i="3"/>
  <c r="I309" i="3"/>
  <c r="J309" i="3"/>
  <c r="K309" i="3"/>
  <c r="A310" i="3"/>
  <c r="C310" i="3"/>
  <c r="D310" i="3"/>
  <c r="E310" i="3"/>
  <c r="F310" i="3"/>
  <c r="G310" i="3"/>
  <c r="I310" i="3"/>
  <c r="J310" i="3"/>
  <c r="K310" i="3"/>
  <c r="A311" i="3"/>
  <c r="C311" i="3"/>
  <c r="D311" i="3"/>
  <c r="E311" i="3"/>
  <c r="F311" i="3"/>
  <c r="G311" i="3"/>
  <c r="I311" i="3"/>
  <c r="J311" i="3"/>
  <c r="K311" i="3"/>
  <c r="A312" i="3"/>
  <c r="C312" i="3"/>
  <c r="D312" i="3"/>
  <c r="E312" i="3"/>
  <c r="F312" i="3"/>
  <c r="G312" i="3"/>
  <c r="I312" i="3"/>
  <c r="J312" i="3"/>
  <c r="K312" i="3"/>
  <c r="A313" i="3"/>
  <c r="C313" i="3"/>
  <c r="D313" i="3"/>
  <c r="E313" i="3"/>
  <c r="F313" i="3"/>
  <c r="G313" i="3"/>
  <c r="I313" i="3"/>
  <c r="J313" i="3"/>
  <c r="K313" i="3"/>
  <c r="A314" i="3"/>
  <c r="C314" i="3"/>
  <c r="D314" i="3"/>
  <c r="E314" i="3"/>
  <c r="F314" i="3"/>
  <c r="G314" i="3"/>
  <c r="I314" i="3"/>
  <c r="J314" i="3"/>
  <c r="K314" i="3"/>
  <c r="A315" i="3"/>
  <c r="C315" i="3"/>
  <c r="D315" i="3"/>
  <c r="E315" i="3"/>
  <c r="F315" i="3"/>
  <c r="G315" i="3"/>
  <c r="I315" i="3"/>
  <c r="J315" i="3"/>
  <c r="K315" i="3"/>
  <c r="A316" i="3"/>
  <c r="C316" i="3"/>
  <c r="D316" i="3"/>
  <c r="E316" i="3"/>
  <c r="F316" i="3"/>
  <c r="G316" i="3"/>
  <c r="I316" i="3"/>
  <c r="J316" i="3"/>
  <c r="K316" i="3"/>
  <c r="A317" i="3"/>
  <c r="C317" i="3"/>
  <c r="D317" i="3"/>
  <c r="E317" i="3"/>
  <c r="F317" i="3"/>
  <c r="G317" i="3"/>
  <c r="I317" i="3"/>
  <c r="J317" i="3"/>
  <c r="K317" i="3"/>
  <c r="A318" i="3"/>
  <c r="C318" i="3"/>
  <c r="D318" i="3"/>
  <c r="E318" i="3"/>
  <c r="F318" i="3"/>
  <c r="G318" i="3"/>
  <c r="I318" i="3"/>
  <c r="J318" i="3"/>
  <c r="K318" i="3"/>
  <c r="A319" i="3"/>
  <c r="C319" i="3"/>
  <c r="D319" i="3"/>
  <c r="E319" i="3"/>
  <c r="F319" i="3"/>
  <c r="G319" i="3"/>
  <c r="I319" i="3"/>
  <c r="J319" i="3"/>
  <c r="K319" i="3"/>
  <c r="A320" i="3"/>
  <c r="C320" i="3"/>
  <c r="D320" i="3"/>
  <c r="E320" i="3"/>
  <c r="F320" i="3"/>
  <c r="G320" i="3"/>
  <c r="I320" i="3"/>
  <c r="J320" i="3"/>
  <c r="K320" i="3"/>
  <c r="A321" i="3"/>
  <c r="C321" i="3"/>
  <c r="D321" i="3"/>
  <c r="E321" i="3"/>
  <c r="F321" i="3"/>
  <c r="G321" i="3"/>
  <c r="I321" i="3"/>
  <c r="J321" i="3"/>
  <c r="K321" i="3"/>
  <c r="A322" i="3"/>
  <c r="C322" i="3"/>
  <c r="D322" i="3"/>
  <c r="E322" i="3"/>
  <c r="F322" i="3"/>
  <c r="G322" i="3"/>
  <c r="I322" i="3"/>
  <c r="J322" i="3"/>
  <c r="K322" i="3"/>
  <c r="A323" i="3"/>
  <c r="C323" i="3"/>
  <c r="D323" i="3"/>
  <c r="E323" i="3"/>
  <c r="F323" i="3"/>
  <c r="G323" i="3"/>
  <c r="I323" i="3"/>
  <c r="J323" i="3"/>
  <c r="K323" i="3"/>
  <c r="A324" i="3"/>
  <c r="C324" i="3"/>
  <c r="D324" i="3"/>
  <c r="E324" i="3"/>
  <c r="F324" i="3"/>
  <c r="G324" i="3"/>
  <c r="I324" i="3"/>
  <c r="J324" i="3"/>
  <c r="K324" i="3"/>
  <c r="A325" i="3"/>
  <c r="C325" i="3"/>
  <c r="D325" i="3"/>
  <c r="E325" i="3"/>
  <c r="F325" i="3"/>
  <c r="G325" i="3"/>
  <c r="I325" i="3"/>
  <c r="J325" i="3"/>
  <c r="K325" i="3"/>
  <c r="A326" i="3"/>
  <c r="C326" i="3"/>
  <c r="D326" i="3"/>
  <c r="E326" i="3"/>
  <c r="F326" i="3"/>
  <c r="G326" i="3"/>
  <c r="I326" i="3"/>
  <c r="J326" i="3"/>
  <c r="K326" i="3"/>
  <c r="A327" i="3"/>
  <c r="C327" i="3"/>
  <c r="D327" i="3"/>
  <c r="E327" i="3"/>
  <c r="F327" i="3"/>
  <c r="G327" i="3"/>
  <c r="I327" i="3"/>
  <c r="J327" i="3"/>
  <c r="K327" i="3"/>
  <c r="A328" i="3"/>
  <c r="C328" i="3"/>
  <c r="D328" i="3"/>
  <c r="E328" i="3"/>
  <c r="F328" i="3"/>
  <c r="G328" i="3"/>
  <c r="I328" i="3"/>
  <c r="J328" i="3"/>
  <c r="K328" i="3"/>
  <c r="A329" i="3"/>
  <c r="C329" i="3"/>
  <c r="D329" i="3"/>
  <c r="E329" i="3"/>
  <c r="F329" i="3"/>
  <c r="G329" i="3"/>
  <c r="I329" i="3"/>
  <c r="J329" i="3"/>
  <c r="K329" i="3"/>
  <c r="A330" i="3"/>
  <c r="C330" i="3"/>
  <c r="D330" i="3"/>
  <c r="E330" i="3"/>
  <c r="F330" i="3"/>
  <c r="G330" i="3"/>
  <c r="I330" i="3"/>
  <c r="J330" i="3"/>
  <c r="K330" i="3"/>
  <c r="A331" i="3"/>
  <c r="C331" i="3"/>
  <c r="D331" i="3"/>
  <c r="E331" i="3"/>
  <c r="F331" i="3"/>
  <c r="G331" i="3"/>
  <c r="I331" i="3"/>
  <c r="J331" i="3"/>
  <c r="K331" i="3"/>
  <c r="A332" i="3"/>
  <c r="C332" i="3"/>
  <c r="D332" i="3"/>
  <c r="E332" i="3"/>
  <c r="F332" i="3"/>
  <c r="G332" i="3"/>
  <c r="I332" i="3"/>
  <c r="J332" i="3"/>
  <c r="K332" i="3"/>
  <c r="A333" i="3"/>
  <c r="C333" i="3"/>
  <c r="D333" i="3"/>
  <c r="E333" i="3"/>
  <c r="F333" i="3"/>
  <c r="G333" i="3"/>
  <c r="I333" i="3"/>
  <c r="J333" i="3"/>
  <c r="K333" i="3"/>
  <c r="A334" i="3"/>
  <c r="C334" i="3"/>
  <c r="D334" i="3"/>
  <c r="E334" i="3"/>
  <c r="F334" i="3"/>
  <c r="G334" i="3"/>
  <c r="I334" i="3"/>
  <c r="J334" i="3"/>
  <c r="K334" i="3"/>
  <c r="A335" i="3"/>
  <c r="C335" i="3"/>
  <c r="D335" i="3"/>
  <c r="E335" i="3"/>
  <c r="F335" i="3"/>
  <c r="G335" i="3"/>
  <c r="I335" i="3"/>
  <c r="J335" i="3"/>
  <c r="K335" i="3"/>
  <c r="A336" i="3"/>
  <c r="C336" i="3"/>
  <c r="D336" i="3"/>
  <c r="E336" i="3"/>
  <c r="F336" i="3"/>
  <c r="G336" i="3"/>
  <c r="I336" i="3"/>
  <c r="J336" i="3"/>
  <c r="K336" i="3"/>
  <c r="A337" i="3"/>
  <c r="C337" i="3"/>
  <c r="D337" i="3"/>
  <c r="E337" i="3"/>
  <c r="F337" i="3"/>
  <c r="G337" i="3"/>
  <c r="I337" i="3"/>
  <c r="J337" i="3"/>
  <c r="K337" i="3"/>
  <c r="A338" i="3"/>
  <c r="C338" i="3"/>
  <c r="D338" i="3"/>
  <c r="E338" i="3"/>
  <c r="F338" i="3"/>
  <c r="G338" i="3"/>
  <c r="I338" i="3"/>
  <c r="J338" i="3"/>
  <c r="K338" i="3"/>
  <c r="A339" i="3"/>
  <c r="C339" i="3"/>
  <c r="D339" i="3"/>
  <c r="E339" i="3"/>
  <c r="F339" i="3"/>
  <c r="G339" i="3"/>
  <c r="I339" i="3"/>
  <c r="J339" i="3"/>
  <c r="K339" i="3"/>
  <c r="A340" i="3"/>
  <c r="C340" i="3"/>
  <c r="D340" i="3"/>
  <c r="E340" i="3"/>
  <c r="F340" i="3"/>
  <c r="G340" i="3"/>
  <c r="I340" i="3"/>
  <c r="J340" i="3"/>
  <c r="K340" i="3"/>
  <c r="A341" i="3"/>
  <c r="C341" i="3"/>
  <c r="D341" i="3"/>
  <c r="E341" i="3"/>
  <c r="F341" i="3"/>
  <c r="G341" i="3"/>
  <c r="I341" i="3"/>
  <c r="J341" i="3"/>
  <c r="K341" i="3"/>
  <c r="A342" i="3"/>
  <c r="C342" i="3"/>
  <c r="D342" i="3"/>
  <c r="E342" i="3"/>
  <c r="F342" i="3"/>
  <c r="G342" i="3"/>
  <c r="I342" i="3"/>
  <c r="J342" i="3"/>
  <c r="K342" i="3"/>
  <c r="A343" i="3"/>
  <c r="C343" i="3"/>
  <c r="D343" i="3"/>
  <c r="E343" i="3"/>
  <c r="F343" i="3"/>
  <c r="G343" i="3"/>
  <c r="I343" i="3"/>
  <c r="J343" i="3"/>
  <c r="K343" i="3"/>
  <c r="A344" i="3"/>
  <c r="C344" i="3"/>
  <c r="D344" i="3"/>
  <c r="E344" i="3"/>
  <c r="F344" i="3"/>
  <c r="G344" i="3"/>
  <c r="I344" i="3"/>
  <c r="J344" i="3"/>
  <c r="K344" i="3"/>
  <c r="A345" i="3"/>
  <c r="C345" i="3"/>
  <c r="D345" i="3"/>
  <c r="E345" i="3"/>
  <c r="F345" i="3"/>
  <c r="G345" i="3"/>
  <c r="I345" i="3"/>
  <c r="J345" i="3"/>
  <c r="K345" i="3"/>
  <c r="A346" i="3"/>
  <c r="C346" i="3"/>
  <c r="D346" i="3"/>
  <c r="E346" i="3"/>
  <c r="F346" i="3"/>
  <c r="G346" i="3"/>
  <c r="I346" i="3"/>
  <c r="J346" i="3"/>
  <c r="K346" i="3"/>
  <c r="A347" i="3"/>
  <c r="C347" i="3"/>
  <c r="D347" i="3"/>
  <c r="E347" i="3"/>
  <c r="F347" i="3"/>
  <c r="G347" i="3"/>
  <c r="I347" i="3"/>
  <c r="J347" i="3"/>
  <c r="K347" i="3"/>
  <c r="A348" i="3"/>
  <c r="C348" i="3"/>
  <c r="D348" i="3"/>
  <c r="E348" i="3"/>
  <c r="F348" i="3"/>
  <c r="G348" i="3"/>
  <c r="I348" i="3"/>
  <c r="J348" i="3"/>
  <c r="K348" i="3"/>
  <c r="A349" i="3"/>
  <c r="C349" i="3"/>
  <c r="D349" i="3"/>
  <c r="E349" i="3"/>
  <c r="F349" i="3"/>
  <c r="G349" i="3"/>
  <c r="I349" i="3"/>
  <c r="J349" i="3"/>
  <c r="K349" i="3"/>
  <c r="A350" i="3"/>
  <c r="C350" i="3"/>
  <c r="D350" i="3"/>
  <c r="E350" i="3"/>
  <c r="F350" i="3"/>
  <c r="G350" i="3"/>
  <c r="I350" i="3"/>
  <c r="J350" i="3"/>
  <c r="K350" i="3"/>
  <c r="A351" i="3"/>
  <c r="C351" i="3"/>
  <c r="D351" i="3"/>
  <c r="E351" i="3"/>
  <c r="F351" i="3"/>
  <c r="G351" i="3"/>
  <c r="I351" i="3"/>
  <c r="J351" i="3"/>
  <c r="K351" i="3"/>
  <c r="A352" i="3"/>
  <c r="C352" i="3"/>
  <c r="D352" i="3"/>
  <c r="E352" i="3"/>
  <c r="F352" i="3"/>
  <c r="G352" i="3"/>
  <c r="I352" i="3"/>
  <c r="J352" i="3"/>
  <c r="K352" i="3"/>
  <c r="A353" i="3"/>
  <c r="C353" i="3"/>
  <c r="D353" i="3"/>
  <c r="E353" i="3"/>
  <c r="F353" i="3"/>
  <c r="G353" i="3"/>
  <c r="I353" i="3"/>
  <c r="J353" i="3"/>
  <c r="K353" i="3"/>
  <c r="A354" i="3"/>
  <c r="C354" i="3"/>
  <c r="D354" i="3"/>
  <c r="E354" i="3"/>
  <c r="F354" i="3"/>
  <c r="G354" i="3"/>
  <c r="I354" i="3"/>
  <c r="J354" i="3"/>
  <c r="K354" i="3"/>
  <c r="A355" i="3"/>
  <c r="C355" i="3"/>
  <c r="D355" i="3"/>
  <c r="E355" i="3"/>
  <c r="F355" i="3"/>
  <c r="G355" i="3"/>
  <c r="I355" i="3"/>
  <c r="J355" i="3"/>
  <c r="K355" i="3"/>
  <c r="A356" i="3"/>
  <c r="C356" i="3"/>
  <c r="D356" i="3"/>
  <c r="E356" i="3"/>
  <c r="F356" i="3"/>
  <c r="G356" i="3"/>
  <c r="I356" i="3"/>
  <c r="J356" i="3"/>
  <c r="K356" i="3"/>
  <c r="A357" i="3"/>
  <c r="C357" i="3"/>
  <c r="D357" i="3"/>
  <c r="E357" i="3"/>
  <c r="F357" i="3"/>
  <c r="G357" i="3"/>
  <c r="I357" i="3"/>
  <c r="J357" i="3"/>
  <c r="K357" i="3"/>
  <c r="A358" i="3"/>
  <c r="C358" i="3"/>
  <c r="D358" i="3"/>
  <c r="E358" i="3"/>
  <c r="F358" i="3"/>
  <c r="G358" i="3"/>
  <c r="I358" i="3"/>
  <c r="J358" i="3"/>
  <c r="K358" i="3"/>
  <c r="A359" i="3"/>
  <c r="C359" i="3"/>
  <c r="D359" i="3"/>
  <c r="E359" i="3"/>
  <c r="F359" i="3"/>
  <c r="G359" i="3"/>
  <c r="I359" i="3"/>
  <c r="J359" i="3"/>
  <c r="K359" i="3"/>
  <c r="A360" i="3"/>
  <c r="C360" i="3"/>
  <c r="D360" i="3"/>
  <c r="E360" i="3"/>
  <c r="F360" i="3"/>
  <c r="G360" i="3"/>
  <c r="I360" i="3"/>
  <c r="J360" i="3"/>
  <c r="K360" i="3"/>
  <c r="A361" i="3"/>
  <c r="C361" i="3"/>
  <c r="D361" i="3"/>
  <c r="E361" i="3"/>
  <c r="F361" i="3"/>
  <c r="G361" i="3"/>
  <c r="I361" i="3"/>
  <c r="J361" i="3"/>
  <c r="K361" i="3"/>
  <c r="A362" i="3"/>
  <c r="C362" i="3"/>
  <c r="D362" i="3"/>
  <c r="E362" i="3"/>
  <c r="F362" i="3"/>
  <c r="G362" i="3"/>
  <c r="I362" i="3"/>
  <c r="J362" i="3"/>
  <c r="K362" i="3"/>
  <c r="A363" i="3"/>
  <c r="C363" i="3"/>
  <c r="D363" i="3"/>
  <c r="E363" i="3"/>
  <c r="F363" i="3"/>
  <c r="G363" i="3"/>
  <c r="I363" i="3"/>
  <c r="J363" i="3"/>
  <c r="K363" i="3"/>
  <c r="A364" i="3"/>
  <c r="C364" i="3"/>
  <c r="D364" i="3"/>
  <c r="E364" i="3"/>
  <c r="F364" i="3"/>
  <c r="G364" i="3"/>
  <c r="I364" i="3"/>
  <c r="J364" i="3"/>
  <c r="K364" i="3"/>
  <c r="A365" i="3"/>
  <c r="C365" i="3"/>
  <c r="D365" i="3"/>
  <c r="E365" i="3"/>
  <c r="F365" i="3"/>
  <c r="G365" i="3"/>
  <c r="I365" i="3"/>
  <c r="J365" i="3"/>
  <c r="K365" i="3"/>
  <c r="A366" i="3"/>
  <c r="C366" i="3"/>
  <c r="D366" i="3"/>
  <c r="E366" i="3"/>
  <c r="F366" i="3"/>
  <c r="G366" i="3"/>
  <c r="I366" i="3"/>
  <c r="J366" i="3"/>
  <c r="K366" i="3"/>
  <c r="A367" i="3"/>
  <c r="C367" i="3"/>
  <c r="D367" i="3"/>
  <c r="E367" i="3"/>
  <c r="F367" i="3"/>
  <c r="G367" i="3"/>
  <c r="I367" i="3"/>
  <c r="J367" i="3"/>
  <c r="K367" i="3"/>
  <c r="A368" i="3"/>
  <c r="C368" i="3"/>
  <c r="D368" i="3"/>
  <c r="E368" i="3"/>
  <c r="F368" i="3"/>
  <c r="G368" i="3"/>
  <c r="I368" i="3"/>
  <c r="J368" i="3"/>
  <c r="K368" i="3"/>
  <c r="A369" i="3"/>
  <c r="C369" i="3"/>
  <c r="D369" i="3"/>
  <c r="E369" i="3"/>
  <c r="F369" i="3"/>
  <c r="G369" i="3"/>
  <c r="I369" i="3"/>
  <c r="J369" i="3"/>
  <c r="K369" i="3"/>
  <c r="A370" i="3"/>
  <c r="C370" i="3"/>
  <c r="D370" i="3"/>
  <c r="E370" i="3"/>
  <c r="F370" i="3"/>
  <c r="G370" i="3"/>
  <c r="I370" i="3"/>
  <c r="J370" i="3"/>
  <c r="K370" i="3"/>
  <c r="A371" i="3"/>
  <c r="C371" i="3"/>
  <c r="D371" i="3"/>
  <c r="E371" i="3"/>
  <c r="F371" i="3"/>
  <c r="G371" i="3"/>
  <c r="I371" i="3"/>
  <c r="J371" i="3"/>
  <c r="K371" i="3"/>
  <c r="A372" i="3"/>
  <c r="C372" i="3"/>
  <c r="D372" i="3"/>
  <c r="E372" i="3"/>
  <c r="F372" i="3"/>
  <c r="G372" i="3"/>
  <c r="I372" i="3"/>
  <c r="J372" i="3"/>
  <c r="K372" i="3"/>
  <c r="A373" i="3"/>
  <c r="C373" i="3"/>
  <c r="D373" i="3"/>
  <c r="E373" i="3"/>
  <c r="F373" i="3"/>
  <c r="G373" i="3"/>
  <c r="I373" i="3"/>
  <c r="J373" i="3"/>
  <c r="K373" i="3"/>
  <c r="A374" i="3"/>
  <c r="C374" i="3"/>
  <c r="D374" i="3"/>
  <c r="E374" i="3"/>
  <c r="F374" i="3"/>
  <c r="G374" i="3"/>
  <c r="I374" i="3"/>
  <c r="J374" i="3"/>
  <c r="K374" i="3"/>
  <c r="A375" i="3"/>
  <c r="C375" i="3"/>
  <c r="D375" i="3"/>
  <c r="E375" i="3"/>
  <c r="F375" i="3"/>
  <c r="G375" i="3"/>
  <c r="I375" i="3"/>
  <c r="J375" i="3"/>
  <c r="K375" i="3"/>
  <c r="A376" i="3"/>
  <c r="C376" i="3"/>
  <c r="D376" i="3"/>
  <c r="E376" i="3"/>
  <c r="F376" i="3"/>
  <c r="G376" i="3"/>
  <c r="I376" i="3"/>
  <c r="J376" i="3"/>
  <c r="K376" i="3"/>
  <c r="A377" i="3"/>
  <c r="C377" i="3"/>
  <c r="D377" i="3"/>
  <c r="E377" i="3"/>
  <c r="F377" i="3"/>
  <c r="G377" i="3"/>
  <c r="I377" i="3"/>
  <c r="J377" i="3"/>
  <c r="K377" i="3"/>
  <c r="A378" i="3"/>
  <c r="C378" i="3"/>
  <c r="D378" i="3"/>
  <c r="E378" i="3"/>
  <c r="F378" i="3"/>
  <c r="G378" i="3"/>
  <c r="I378" i="3"/>
  <c r="J378" i="3"/>
  <c r="K378" i="3"/>
  <c r="A379" i="3"/>
  <c r="C379" i="3"/>
  <c r="D379" i="3"/>
  <c r="E379" i="3"/>
  <c r="F379" i="3"/>
  <c r="G379" i="3"/>
  <c r="I379" i="3"/>
  <c r="J379" i="3"/>
  <c r="K379" i="3"/>
  <c r="A380" i="3"/>
  <c r="C380" i="3"/>
  <c r="D380" i="3"/>
  <c r="E380" i="3"/>
  <c r="F380" i="3"/>
  <c r="G380" i="3"/>
  <c r="I380" i="3"/>
  <c r="J380" i="3"/>
  <c r="K380" i="3"/>
  <c r="A381" i="3"/>
  <c r="C381" i="3"/>
  <c r="D381" i="3"/>
  <c r="E381" i="3"/>
  <c r="F381" i="3"/>
  <c r="G381" i="3"/>
  <c r="I381" i="3"/>
  <c r="J381" i="3"/>
  <c r="K381" i="3"/>
  <c r="A382" i="3"/>
  <c r="C382" i="3"/>
  <c r="D382" i="3"/>
  <c r="E382" i="3"/>
  <c r="F382" i="3"/>
  <c r="G382" i="3"/>
  <c r="I382" i="3"/>
  <c r="J382" i="3"/>
  <c r="K382" i="3"/>
  <c r="A383" i="3"/>
  <c r="C383" i="3"/>
  <c r="D383" i="3"/>
  <c r="E383" i="3"/>
  <c r="F383" i="3"/>
  <c r="G383" i="3"/>
  <c r="I383" i="3"/>
  <c r="J383" i="3"/>
  <c r="K383" i="3"/>
  <c r="A384" i="3"/>
  <c r="C384" i="3"/>
  <c r="D384" i="3"/>
  <c r="E384" i="3"/>
  <c r="F384" i="3"/>
  <c r="G384" i="3"/>
  <c r="I384" i="3"/>
  <c r="J384" i="3"/>
  <c r="K384" i="3"/>
  <c r="A385" i="3"/>
  <c r="C385" i="3"/>
  <c r="D385" i="3"/>
  <c r="E385" i="3"/>
  <c r="F385" i="3"/>
  <c r="G385" i="3"/>
  <c r="I385" i="3"/>
  <c r="J385" i="3"/>
  <c r="K385" i="3"/>
  <c r="A386" i="3"/>
  <c r="C386" i="3"/>
  <c r="D386" i="3"/>
  <c r="E386" i="3"/>
  <c r="F386" i="3"/>
  <c r="G386" i="3"/>
  <c r="I386" i="3"/>
  <c r="J386" i="3"/>
  <c r="K386" i="3"/>
  <c r="A387" i="3"/>
  <c r="C387" i="3"/>
  <c r="D387" i="3"/>
  <c r="E387" i="3"/>
  <c r="F387" i="3"/>
  <c r="G387" i="3"/>
  <c r="I387" i="3"/>
  <c r="J387" i="3"/>
  <c r="K387" i="3"/>
  <c r="A388" i="3"/>
  <c r="C388" i="3"/>
  <c r="D388" i="3"/>
  <c r="E388" i="3"/>
  <c r="F388" i="3"/>
  <c r="G388" i="3"/>
  <c r="I388" i="3"/>
  <c r="J388" i="3"/>
  <c r="K388" i="3"/>
  <c r="A389" i="3"/>
  <c r="C389" i="3"/>
  <c r="D389" i="3"/>
  <c r="E389" i="3"/>
  <c r="F389" i="3"/>
  <c r="G389" i="3"/>
  <c r="I389" i="3"/>
  <c r="J389" i="3"/>
  <c r="K389" i="3"/>
  <c r="A390" i="3"/>
  <c r="C390" i="3"/>
  <c r="D390" i="3"/>
  <c r="E390" i="3"/>
  <c r="F390" i="3"/>
  <c r="G390" i="3"/>
  <c r="I390" i="3"/>
  <c r="J390" i="3"/>
  <c r="K390" i="3"/>
  <c r="A391" i="3"/>
  <c r="C391" i="3"/>
  <c r="D391" i="3"/>
  <c r="E391" i="3"/>
  <c r="F391" i="3"/>
  <c r="G391" i="3"/>
  <c r="I391" i="3"/>
  <c r="J391" i="3"/>
  <c r="K391" i="3"/>
  <c r="A392" i="3"/>
  <c r="C392" i="3"/>
  <c r="D392" i="3"/>
  <c r="E392" i="3"/>
  <c r="F392" i="3"/>
  <c r="G392" i="3"/>
  <c r="I392" i="3"/>
  <c r="J392" i="3"/>
  <c r="K392" i="3"/>
  <c r="A393" i="3"/>
  <c r="C393" i="3"/>
  <c r="D393" i="3"/>
  <c r="E393" i="3"/>
  <c r="F393" i="3"/>
  <c r="G393" i="3"/>
  <c r="I393" i="3"/>
  <c r="J393" i="3"/>
  <c r="K393" i="3"/>
  <c r="A394" i="3"/>
  <c r="C394" i="3"/>
  <c r="D394" i="3"/>
  <c r="E394" i="3"/>
  <c r="F394" i="3"/>
  <c r="G394" i="3"/>
  <c r="I394" i="3"/>
  <c r="J394" i="3"/>
  <c r="K394" i="3"/>
  <c r="A395" i="3"/>
  <c r="C395" i="3"/>
  <c r="D395" i="3"/>
  <c r="E395" i="3"/>
  <c r="F395" i="3"/>
  <c r="G395" i="3"/>
  <c r="I395" i="3"/>
  <c r="J395" i="3"/>
  <c r="K395" i="3"/>
  <c r="A396" i="3"/>
  <c r="C396" i="3"/>
  <c r="D396" i="3"/>
  <c r="E396" i="3"/>
  <c r="F396" i="3"/>
  <c r="G396" i="3"/>
  <c r="I396" i="3"/>
  <c r="J396" i="3"/>
  <c r="K396" i="3"/>
  <c r="A397" i="3"/>
  <c r="C397" i="3"/>
  <c r="D397" i="3"/>
  <c r="E397" i="3"/>
  <c r="F397" i="3"/>
  <c r="G397" i="3"/>
  <c r="I397" i="3"/>
  <c r="J397" i="3"/>
  <c r="K397" i="3"/>
  <c r="A398" i="3"/>
  <c r="C398" i="3"/>
  <c r="D398" i="3"/>
  <c r="E398" i="3"/>
  <c r="F398" i="3"/>
  <c r="G398" i="3"/>
  <c r="I398" i="3"/>
  <c r="J398" i="3"/>
  <c r="K398" i="3"/>
  <c r="A399" i="3"/>
  <c r="C399" i="3"/>
  <c r="D399" i="3"/>
  <c r="E399" i="3"/>
  <c r="F399" i="3"/>
  <c r="G399" i="3"/>
  <c r="I399" i="3"/>
  <c r="J399" i="3"/>
  <c r="K399" i="3"/>
  <c r="A400" i="3"/>
  <c r="C400" i="3"/>
  <c r="D400" i="3"/>
  <c r="E400" i="3"/>
  <c r="F400" i="3"/>
  <c r="G400" i="3"/>
  <c r="I400" i="3"/>
  <c r="J400" i="3"/>
  <c r="K400" i="3"/>
  <c r="A401" i="3"/>
  <c r="C401" i="3"/>
  <c r="D401" i="3"/>
  <c r="E401" i="3"/>
  <c r="F401" i="3"/>
  <c r="G401" i="3"/>
  <c r="I401" i="3"/>
  <c r="J401" i="3"/>
  <c r="K401" i="3"/>
  <c r="A402" i="3"/>
  <c r="C402" i="3"/>
  <c r="D402" i="3"/>
  <c r="E402" i="3"/>
  <c r="F402" i="3"/>
  <c r="G402" i="3"/>
  <c r="I402" i="3"/>
  <c r="J402" i="3"/>
  <c r="K402" i="3"/>
  <c r="A403" i="3"/>
  <c r="C403" i="3"/>
  <c r="D403" i="3"/>
  <c r="E403" i="3"/>
  <c r="F403" i="3"/>
  <c r="G403" i="3"/>
  <c r="I403" i="3"/>
  <c r="J403" i="3"/>
  <c r="K403" i="3"/>
  <c r="A404" i="3"/>
  <c r="C404" i="3"/>
  <c r="D404" i="3"/>
  <c r="E404" i="3"/>
  <c r="F404" i="3"/>
  <c r="G404" i="3"/>
  <c r="I404" i="3"/>
  <c r="J404" i="3"/>
  <c r="K404" i="3"/>
  <c r="A405" i="3"/>
  <c r="C405" i="3"/>
  <c r="D405" i="3"/>
  <c r="E405" i="3"/>
  <c r="F405" i="3"/>
  <c r="G405" i="3"/>
  <c r="I405" i="3"/>
  <c r="J405" i="3"/>
  <c r="K405" i="3"/>
  <c r="A406" i="3"/>
  <c r="C406" i="3"/>
  <c r="D406" i="3"/>
  <c r="E406" i="3"/>
  <c r="F406" i="3"/>
  <c r="G406" i="3"/>
  <c r="I406" i="3"/>
  <c r="J406" i="3"/>
  <c r="K406" i="3"/>
  <c r="A407" i="3"/>
  <c r="C407" i="3"/>
  <c r="D407" i="3"/>
  <c r="E407" i="3"/>
  <c r="F407" i="3"/>
  <c r="G407" i="3"/>
  <c r="I407" i="3"/>
  <c r="J407" i="3"/>
  <c r="K407" i="3"/>
  <c r="A408" i="3"/>
  <c r="C408" i="3"/>
  <c r="D408" i="3"/>
  <c r="E408" i="3"/>
  <c r="F408" i="3"/>
  <c r="G408" i="3"/>
  <c r="I408" i="3"/>
  <c r="J408" i="3"/>
  <c r="K408" i="3"/>
  <c r="A409" i="3"/>
  <c r="C409" i="3"/>
  <c r="D409" i="3"/>
  <c r="E409" i="3"/>
  <c r="F409" i="3"/>
  <c r="G409" i="3"/>
  <c r="I409" i="3"/>
  <c r="J409" i="3"/>
  <c r="K409" i="3"/>
  <c r="A410" i="3"/>
  <c r="C410" i="3"/>
  <c r="D410" i="3"/>
  <c r="E410" i="3"/>
  <c r="F410" i="3"/>
  <c r="G410" i="3"/>
  <c r="I410" i="3"/>
  <c r="J410" i="3"/>
  <c r="K410" i="3"/>
  <c r="A411" i="3"/>
  <c r="C411" i="3"/>
  <c r="D411" i="3"/>
  <c r="E411" i="3"/>
  <c r="F411" i="3"/>
  <c r="G411" i="3"/>
  <c r="I411" i="3"/>
  <c r="J411" i="3"/>
  <c r="K411" i="3"/>
  <c r="A412" i="3"/>
  <c r="C412" i="3"/>
  <c r="D412" i="3"/>
  <c r="E412" i="3"/>
  <c r="F412" i="3"/>
  <c r="G412" i="3"/>
  <c r="I412" i="3"/>
  <c r="J412" i="3"/>
  <c r="K412" i="3"/>
  <c r="A413" i="3"/>
  <c r="C413" i="3"/>
  <c r="D413" i="3"/>
  <c r="E413" i="3"/>
  <c r="F413" i="3"/>
  <c r="G413" i="3"/>
  <c r="I413" i="3"/>
  <c r="J413" i="3"/>
  <c r="K413" i="3"/>
  <c r="A414" i="3"/>
  <c r="C414" i="3"/>
  <c r="D414" i="3"/>
  <c r="E414" i="3"/>
  <c r="F414" i="3"/>
  <c r="G414" i="3"/>
  <c r="I414" i="3"/>
  <c r="J414" i="3"/>
  <c r="K414" i="3"/>
  <c r="A415" i="3"/>
  <c r="C415" i="3"/>
  <c r="D415" i="3"/>
  <c r="E415" i="3"/>
  <c r="F415" i="3"/>
  <c r="G415" i="3"/>
  <c r="I415" i="3"/>
  <c r="J415" i="3"/>
  <c r="K415" i="3"/>
  <c r="A416" i="3"/>
  <c r="C416" i="3"/>
  <c r="D416" i="3"/>
  <c r="E416" i="3"/>
  <c r="F416" i="3"/>
  <c r="G416" i="3"/>
  <c r="I416" i="3"/>
  <c r="J416" i="3"/>
  <c r="K416" i="3"/>
  <c r="A417" i="3"/>
  <c r="C417" i="3"/>
  <c r="D417" i="3"/>
  <c r="E417" i="3"/>
  <c r="F417" i="3"/>
  <c r="G417" i="3"/>
  <c r="I417" i="3"/>
  <c r="J417" i="3"/>
  <c r="K417" i="3"/>
  <c r="A418" i="3"/>
  <c r="C418" i="3"/>
  <c r="D418" i="3"/>
  <c r="E418" i="3"/>
  <c r="F418" i="3"/>
  <c r="G418" i="3"/>
  <c r="I418" i="3"/>
  <c r="J418" i="3"/>
  <c r="K418" i="3"/>
  <c r="A419" i="3"/>
  <c r="C419" i="3"/>
  <c r="D419" i="3"/>
  <c r="E419" i="3"/>
  <c r="F419" i="3"/>
  <c r="G419" i="3"/>
  <c r="I419" i="3"/>
  <c r="J419" i="3"/>
  <c r="K419" i="3"/>
  <c r="A420" i="3"/>
  <c r="C420" i="3"/>
  <c r="D420" i="3"/>
  <c r="E420" i="3"/>
  <c r="F420" i="3"/>
  <c r="G420" i="3"/>
  <c r="I420" i="3"/>
  <c r="J420" i="3"/>
  <c r="K420" i="3"/>
  <c r="A421" i="3"/>
  <c r="C421" i="3"/>
  <c r="D421" i="3"/>
  <c r="E421" i="3"/>
  <c r="F421" i="3"/>
  <c r="G421" i="3"/>
  <c r="I421" i="3"/>
  <c r="J421" i="3"/>
  <c r="K421" i="3"/>
  <c r="A422" i="3"/>
  <c r="C422" i="3"/>
  <c r="D422" i="3"/>
  <c r="E422" i="3"/>
  <c r="F422" i="3"/>
  <c r="G422" i="3"/>
  <c r="I422" i="3"/>
  <c r="J422" i="3"/>
  <c r="K422" i="3"/>
  <c r="A423" i="3"/>
  <c r="C423" i="3"/>
  <c r="D423" i="3"/>
  <c r="E423" i="3"/>
  <c r="F423" i="3"/>
  <c r="G423" i="3"/>
  <c r="I423" i="3"/>
  <c r="J423" i="3"/>
  <c r="K423" i="3"/>
  <c r="A424" i="3"/>
  <c r="C424" i="3"/>
  <c r="D424" i="3"/>
  <c r="E424" i="3"/>
  <c r="F424" i="3"/>
  <c r="G424" i="3"/>
  <c r="I424" i="3"/>
  <c r="J424" i="3"/>
  <c r="K424" i="3"/>
  <c r="A425" i="3"/>
  <c r="C425" i="3"/>
  <c r="D425" i="3"/>
  <c r="E425" i="3"/>
  <c r="F425" i="3"/>
  <c r="G425" i="3"/>
  <c r="I425" i="3"/>
  <c r="J425" i="3"/>
  <c r="K425" i="3"/>
  <c r="A426" i="3"/>
  <c r="C426" i="3"/>
  <c r="D426" i="3"/>
  <c r="E426" i="3"/>
  <c r="F426" i="3"/>
  <c r="G426" i="3"/>
  <c r="I426" i="3"/>
  <c r="J426" i="3"/>
  <c r="K426" i="3"/>
  <c r="A427" i="3"/>
  <c r="C427" i="3"/>
  <c r="D427" i="3"/>
  <c r="E427" i="3"/>
  <c r="F427" i="3"/>
  <c r="G427" i="3"/>
  <c r="I427" i="3"/>
  <c r="J427" i="3"/>
  <c r="K427" i="3"/>
  <c r="A428" i="3"/>
  <c r="C428" i="3"/>
  <c r="D428" i="3"/>
  <c r="E428" i="3"/>
  <c r="F428" i="3"/>
  <c r="G428" i="3"/>
  <c r="I428" i="3"/>
  <c r="J428" i="3"/>
  <c r="K428" i="3"/>
  <c r="A429" i="3"/>
  <c r="C429" i="3"/>
  <c r="D429" i="3"/>
  <c r="E429" i="3"/>
  <c r="F429" i="3"/>
  <c r="G429" i="3"/>
  <c r="I429" i="3"/>
  <c r="J429" i="3"/>
  <c r="K429" i="3"/>
  <c r="A430" i="3"/>
  <c r="C430" i="3"/>
  <c r="D430" i="3"/>
  <c r="E430" i="3"/>
  <c r="F430" i="3"/>
  <c r="G430" i="3"/>
  <c r="I430" i="3"/>
  <c r="J430" i="3"/>
  <c r="K430" i="3"/>
  <c r="A431" i="3"/>
  <c r="C431" i="3"/>
  <c r="D431" i="3"/>
  <c r="E431" i="3"/>
  <c r="F431" i="3"/>
  <c r="G431" i="3"/>
  <c r="I431" i="3"/>
  <c r="J431" i="3"/>
  <c r="K431" i="3"/>
  <c r="A432" i="3"/>
  <c r="C432" i="3"/>
  <c r="D432" i="3"/>
  <c r="E432" i="3"/>
  <c r="F432" i="3"/>
  <c r="G432" i="3"/>
  <c r="I432" i="3"/>
  <c r="J432" i="3"/>
  <c r="K432" i="3"/>
  <c r="A433" i="3"/>
  <c r="C433" i="3"/>
  <c r="D433" i="3"/>
  <c r="E433" i="3"/>
  <c r="F433" i="3"/>
  <c r="G433" i="3"/>
  <c r="I433" i="3"/>
  <c r="J433" i="3"/>
  <c r="K433" i="3"/>
  <c r="A434" i="3"/>
  <c r="C434" i="3"/>
  <c r="D434" i="3"/>
  <c r="E434" i="3"/>
  <c r="F434" i="3"/>
  <c r="G434" i="3"/>
  <c r="I434" i="3"/>
  <c r="J434" i="3"/>
  <c r="K434" i="3"/>
  <c r="A435" i="3"/>
  <c r="C435" i="3"/>
  <c r="D435" i="3"/>
  <c r="E435" i="3"/>
  <c r="F435" i="3"/>
  <c r="G435" i="3"/>
  <c r="I435" i="3"/>
  <c r="J435" i="3"/>
  <c r="K435" i="3"/>
  <c r="A436" i="3"/>
  <c r="C436" i="3"/>
  <c r="D436" i="3"/>
  <c r="E436" i="3"/>
  <c r="F436" i="3"/>
  <c r="G436" i="3"/>
  <c r="I436" i="3"/>
  <c r="J436" i="3"/>
  <c r="K436" i="3"/>
  <c r="A437" i="3"/>
  <c r="C437" i="3"/>
  <c r="D437" i="3"/>
  <c r="E437" i="3"/>
  <c r="F437" i="3"/>
  <c r="G437" i="3"/>
  <c r="I437" i="3"/>
  <c r="J437" i="3"/>
  <c r="K437" i="3"/>
  <c r="A438" i="3"/>
  <c r="C438" i="3"/>
  <c r="D438" i="3"/>
  <c r="E438" i="3"/>
  <c r="F438" i="3"/>
  <c r="G438" i="3"/>
  <c r="I438" i="3"/>
  <c r="J438" i="3"/>
  <c r="K438" i="3"/>
  <c r="A439" i="3"/>
  <c r="C439" i="3"/>
  <c r="D439" i="3"/>
  <c r="E439" i="3"/>
  <c r="F439" i="3"/>
  <c r="G439" i="3"/>
  <c r="I439" i="3"/>
  <c r="J439" i="3"/>
  <c r="K439" i="3"/>
  <c r="A440" i="3"/>
  <c r="C440" i="3"/>
  <c r="D440" i="3"/>
  <c r="E440" i="3"/>
  <c r="F440" i="3"/>
  <c r="G440" i="3"/>
  <c r="I440" i="3"/>
  <c r="J440" i="3"/>
  <c r="K440" i="3"/>
  <c r="A441" i="3"/>
  <c r="C441" i="3"/>
  <c r="D441" i="3"/>
  <c r="E441" i="3"/>
  <c r="F441" i="3"/>
  <c r="G441" i="3"/>
  <c r="I441" i="3"/>
  <c r="J441" i="3"/>
  <c r="K441" i="3"/>
  <c r="A442" i="3"/>
  <c r="C442" i="3"/>
  <c r="D442" i="3"/>
  <c r="E442" i="3"/>
  <c r="F442" i="3"/>
  <c r="G442" i="3"/>
  <c r="I442" i="3"/>
  <c r="J442" i="3"/>
  <c r="K442" i="3"/>
  <c r="A443" i="3"/>
  <c r="C443" i="3"/>
  <c r="D443" i="3"/>
  <c r="E443" i="3"/>
  <c r="F443" i="3"/>
  <c r="G443" i="3"/>
  <c r="I443" i="3"/>
  <c r="J443" i="3"/>
  <c r="K443" i="3"/>
  <c r="A444" i="3"/>
  <c r="C444" i="3"/>
  <c r="D444" i="3"/>
  <c r="E444" i="3"/>
  <c r="F444" i="3"/>
  <c r="G444" i="3"/>
  <c r="I444" i="3"/>
  <c r="J444" i="3"/>
  <c r="K444" i="3"/>
  <c r="A445" i="3"/>
  <c r="C445" i="3"/>
  <c r="D445" i="3"/>
  <c r="E445" i="3"/>
  <c r="F445" i="3"/>
  <c r="G445" i="3"/>
  <c r="I445" i="3"/>
  <c r="J445" i="3"/>
  <c r="K445" i="3"/>
  <c r="A446" i="3"/>
  <c r="C446" i="3"/>
  <c r="D446" i="3"/>
  <c r="E446" i="3"/>
  <c r="F446" i="3"/>
  <c r="G446" i="3"/>
  <c r="I446" i="3"/>
  <c r="J446" i="3"/>
  <c r="K446" i="3"/>
  <c r="A447" i="3"/>
  <c r="C447" i="3"/>
  <c r="D447" i="3"/>
  <c r="E447" i="3"/>
  <c r="F447" i="3"/>
  <c r="G447" i="3"/>
  <c r="I447" i="3"/>
  <c r="J447" i="3"/>
  <c r="K447" i="3"/>
  <c r="A448" i="3"/>
  <c r="C448" i="3"/>
  <c r="D448" i="3"/>
  <c r="E448" i="3"/>
  <c r="F448" i="3"/>
  <c r="G448" i="3"/>
  <c r="I448" i="3"/>
  <c r="J448" i="3"/>
  <c r="K448" i="3"/>
  <c r="A449" i="3"/>
  <c r="C449" i="3"/>
  <c r="D449" i="3"/>
  <c r="E449" i="3"/>
  <c r="F449" i="3"/>
  <c r="G449" i="3"/>
  <c r="I449" i="3"/>
  <c r="J449" i="3"/>
  <c r="K449" i="3"/>
  <c r="A450" i="3"/>
  <c r="C450" i="3"/>
  <c r="D450" i="3"/>
  <c r="E450" i="3"/>
  <c r="F450" i="3"/>
  <c r="G450" i="3"/>
  <c r="I450" i="3"/>
  <c r="J450" i="3"/>
  <c r="K450" i="3"/>
  <c r="A451" i="3"/>
  <c r="C451" i="3"/>
  <c r="D451" i="3"/>
  <c r="E451" i="3"/>
  <c r="F451" i="3"/>
  <c r="G451" i="3"/>
  <c r="I451" i="3"/>
  <c r="J451" i="3"/>
  <c r="K451" i="3"/>
  <c r="A452" i="3"/>
  <c r="C452" i="3"/>
  <c r="D452" i="3"/>
  <c r="E452" i="3"/>
  <c r="F452" i="3"/>
  <c r="G452" i="3"/>
  <c r="I452" i="3"/>
  <c r="J452" i="3"/>
  <c r="K452" i="3"/>
  <c r="A453" i="3"/>
  <c r="C453" i="3"/>
  <c r="D453" i="3"/>
  <c r="E453" i="3"/>
  <c r="F453" i="3"/>
  <c r="G453" i="3"/>
  <c r="I453" i="3"/>
  <c r="J453" i="3"/>
  <c r="K453" i="3"/>
  <c r="A454" i="3"/>
  <c r="C454" i="3"/>
  <c r="D454" i="3"/>
  <c r="E454" i="3"/>
  <c r="F454" i="3"/>
  <c r="G454" i="3"/>
  <c r="I454" i="3"/>
  <c r="J454" i="3"/>
  <c r="K454" i="3"/>
  <c r="A455" i="3"/>
  <c r="C455" i="3"/>
  <c r="D455" i="3"/>
  <c r="E455" i="3"/>
  <c r="F455" i="3"/>
  <c r="G455" i="3"/>
  <c r="I455" i="3"/>
  <c r="J455" i="3"/>
  <c r="K455" i="3"/>
  <c r="A456" i="3"/>
  <c r="C456" i="3"/>
  <c r="D456" i="3"/>
  <c r="E456" i="3"/>
  <c r="F456" i="3"/>
  <c r="G456" i="3"/>
  <c r="I456" i="3"/>
  <c r="J456" i="3"/>
  <c r="K456" i="3"/>
  <c r="A457" i="3"/>
  <c r="C457" i="3"/>
  <c r="D457" i="3"/>
  <c r="E457" i="3"/>
  <c r="F457" i="3"/>
  <c r="G457" i="3"/>
  <c r="I457" i="3"/>
  <c r="J457" i="3"/>
  <c r="K457" i="3"/>
  <c r="A458" i="3"/>
  <c r="C458" i="3"/>
  <c r="D458" i="3"/>
  <c r="E458" i="3"/>
  <c r="F458" i="3"/>
  <c r="G458" i="3"/>
  <c r="I458" i="3"/>
  <c r="J458" i="3"/>
  <c r="K458" i="3"/>
  <c r="A459" i="3"/>
  <c r="C459" i="3"/>
  <c r="D459" i="3"/>
  <c r="E459" i="3"/>
  <c r="F459" i="3"/>
  <c r="G459" i="3"/>
  <c r="I459" i="3"/>
  <c r="J459" i="3"/>
  <c r="K459" i="3"/>
  <c r="A460" i="3"/>
  <c r="C460" i="3"/>
  <c r="D460" i="3"/>
  <c r="E460" i="3"/>
  <c r="F460" i="3"/>
  <c r="G460" i="3"/>
  <c r="I460" i="3"/>
  <c r="J460" i="3"/>
  <c r="K460" i="3"/>
  <c r="A461" i="3"/>
  <c r="C461" i="3"/>
  <c r="D461" i="3"/>
  <c r="E461" i="3"/>
  <c r="F461" i="3"/>
  <c r="G461" i="3"/>
  <c r="I461" i="3"/>
  <c r="J461" i="3"/>
  <c r="K461" i="3"/>
  <c r="A462" i="3"/>
  <c r="C462" i="3"/>
  <c r="D462" i="3"/>
  <c r="E462" i="3"/>
  <c r="F462" i="3"/>
  <c r="G462" i="3"/>
  <c r="I462" i="3"/>
  <c r="J462" i="3"/>
  <c r="K462" i="3"/>
  <c r="A463" i="3"/>
  <c r="C463" i="3"/>
  <c r="D463" i="3"/>
  <c r="E463" i="3"/>
  <c r="F463" i="3"/>
  <c r="G463" i="3"/>
  <c r="I463" i="3"/>
  <c r="J463" i="3"/>
  <c r="K463" i="3"/>
  <c r="A464" i="3"/>
  <c r="C464" i="3"/>
  <c r="D464" i="3"/>
  <c r="E464" i="3"/>
  <c r="F464" i="3"/>
  <c r="G464" i="3"/>
  <c r="I464" i="3"/>
  <c r="J464" i="3"/>
  <c r="K464" i="3"/>
  <c r="A465" i="3"/>
  <c r="C465" i="3"/>
  <c r="D465" i="3"/>
  <c r="E465" i="3"/>
  <c r="F465" i="3"/>
  <c r="G465" i="3"/>
  <c r="I465" i="3"/>
  <c r="J465" i="3"/>
  <c r="K465" i="3"/>
  <c r="A466" i="3"/>
  <c r="C466" i="3"/>
  <c r="D466" i="3"/>
  <c r="E466" i="3"/>
  <c r="F466" i="3"/>
  <c r="G466" i="3"/>
  <c r="I466" i="3"/>
  <c r="J466" i="3"/>
  <c r="K466" i="3"/>
  <c r="A467" i="3"/>
  <c r="C467" i="3"/>
  <c r="D467" i="3"/>
  <c r="E467" i="3"/>
  <c r="F467" i="3"/>
  <c r="G467" i="3"/>
  <c r="I467" i="3"/>
  <c r="J467" i="3"/>
  <c r="K467" i="3"/>
  <c r="A468" i="3"/>
  <c r="C468" i="3"/>
  <c r="D468" i="3"/>
  <c r="E468" i="3"/>
  <c r="F468" i="3"/>
  <c r="G468" i="3"/>
  <c r="I468" i="3"/>
  <c r="J468" i="3"/>
  <c r="K468" i="3"/>
  <c r="A469" i="3"/>
  <c r="C469" i="3"/>
  <c r="D469" i="3"/>
  <c r="E469" i="3"/>
  <c r="F469" i="3"/>
  <c r="G469" i="3"/>
  <c r="I469" i="3"/>
  <c r="J469" i="3"/>
  <c r="K469" i="3"/>
  <c r="A470" i="3"/>
  <c r="C470" i="3"/>
  <c r="D470" i="3"/>
  <c r="E470" i="3"/>
  <c r="F470" i="3"/>
  <c r="G470" i="3"/>
  <c r="I470" i="3"/>
  <c r="J470" i="3"/>
  <c r="K470" i="3"/>
  <c r="A471" i="3"/>
  <c r="C471" i="3"/>
  <c r="D471" i="3"/>
  <c r="E471" i="3"/>
  <c r="F471" i="3"/>
  <c r="G471" i="3"/>
  <c r="I471" i="3"/>
  <c r="J471" i="3"/>
  <c r="K471" i="3"/>
  <c r="A472" i="3"/>
  <c r="C472" i="3"/>
  <c r="D472" i="3"/>
  <c r="E472" i="3"/>
  <c r="F472" i="3"/>
  <c r="G472" i="3"/>
  <c r="I472" i="3"/>
  <c r="J472" i="3"/>
  <c r="K472" i="3"/>
  <c r="A473" i="3"/>
  <c r="C473" i="3"/>
  <c r="D473" i="3"/>
  <c r="E473" i="3"/>
  <c r="F473" i="3"/>
  <c r="G473" i="3"/>
  <c r="I473" i="3"/>
  <c r="J473" i="3"/>
  <c r="K473" i="3"/>
  <c r="A474" i="3"/>
  <c r="C474" i="3"/>
  <c r="D474" i="3"/>
  <c r="E474" i="3"/>
  <c r="F474" i="3"/>
  <c r="G474" i="3"/>
  <c r="I474" i="3"/>
  <c r="J474" i="3"/>
  <c r="K474" i="3"/>
  <c r="A475" i="3"/>
  <c r="C475" i="3"/>
  <c r="D475" i="3"/>
  <c r="E475" i="3"/>
  <c r="F475" i="3"/>
  <c r="G475" i="3"/>
  <c r="I475" i="3"/>
  <c r="J475" i="3"/>
  <c r="K475" i="3"/>
  <c r="A476" i="3"/>
  <c r="C476" i="3"/>
  <c r="D476" i="3"/>
  <c r="E476" i="3"/>
  <c r="F476" i="3"/>
  <c r="G476" i="3"/>
  <c r="I476" i="3"/>
  <c r="J476" i="3"/>
  <c r="K476" i="3"/>
  <c r="A477" i="3"/>
  <c r="C477" i="3"/>
  <c r="D477" i="3"/>
  <c r="E477" i="3"/>
  <c r="F477" i="3"/>
  <c r="G477" i="3"/>
  <c r="I477" i="3"/>
  <c r="J477" i="3"/>
  <c r="K477" i="3"/>
  <c r="A478" i="3"/>
  <c r="C478" i="3"/>
  <c r="D478" i="3"/>
  <c r="E478" i="3"/>
  <c r="F478" i="3"/>
  <c r="G478" i="3"/>
  <c r="I478" i="3"/>
  <c r="J478" i="3"/>
  <c r="K478" i="3"/>
  <c r="A479" i="3"/>
  <c r="C479" i="3"/>
  <c r="D479" i="3"/>
  <c r="E479" i="3"/>
  <c r="F479" i="3"/>
  <c r="G479" i="3"/>
  <c r="I479" i="3"/>
  <c r="J479" i="3"/>
  <c r="K479" i="3"/>
  <c r="A480" i="3"/>
  <c r="C480" i="3"/>
  <c r="D480" i="3"/>
  <c r="E480" i="3"/>
  <c r="F480" i="3"/>
  <c r="G480" i="3"/>
  <c r="I480" i="3"/>
  <c r="J480" i="3"/>
  <c r="K480" i="3"/>
  <c r="A481" i="3"/>
  <c r="C481" i="3"/>
  <c r="D481" i="3"/>
  <c r="E481" i="3"/>
  <c r="F481" i="3"/>
  <c r="G481" i="3"/>
  <c r="I481" i="3"/>
  <c r="J481" i="3"/>
  <c r="K481" i="3"/>
  <c r="A482" i="3"/>
  <c r="C482" i="3"/>
  <c r="D482" i="3"/>
  <c r="E482" i="3"/>
  <c r="F482" i="3"/>
  <c r="G482" i="3"/>
  <c r="I482" i="3"/>
  <c r="J482" i="3"/>
  <c r="K482" i="3"/>
  <c r="A483" i="3"/>
  <c r="C483" i="3"/>
  <c r="D483" i="3"/>
  <c r="E483" i="3"/>
  <c r="F483" i="3"/>
  <c r="G483" i="3"/>
  <c r="I483" i="3"/>
  <c r="J483" i="3"/>
  <c r="K483" i="3"/>
  <c r="A484" i="3"/>
  <c r="C484" i="3"/>
  <c r="D484" i="3"/>
  <c r="E484" i="3"/>
  <c r="F484" i="3"/>
  <c r="G484" i="3"/>
  <c r="I484" i="3"/>
  <c r="J484" i="3"/>
  <c r="K484" i="3"/>
  <c r="A485" i="3"/>
  <c r="C485" i="3"/>
  <c r="D485" i="3"/>
  <c r="E485" i="3"/>
  <c r="F485" i="3"/>
  <c r="G485" i="3"/>
  <c r="I485" i="3"/>
  <c r="J485" i="3"/>
  <c r="K485" i="3"/>
  <c r="A486" i="3"/>
  <c r="C486" i="3"/>
  <c r="D486" i="3"/>
  <c r="E486" i="3"/>
  <c r="F486" i="3"/>
  <c r="G486" i="3"/>
  <c r="I486" i="3"/>
  <c r="J486" i="3"/>
  <c r="K486" i="3"/>
  <c r="A487" i="3"/>
  <c r="C487" i="3"/>
  <c r="D487" i="3"/>
  <c r="E487" i="3"/>
  <c r="F487" i="3"/>
  <c r="G487" i="3"/>
  <c r="I487" i="3"/>
  <c r="J487" i="3"/>
  <c r="K487" i="3"/>
  <c r="A488" i="3"/>
  <c r="C488" i="3"/>
  <c r="D488" i="3"/>
  <c r="E488" i="3"/>
  <c r="F488" i="3"/>
  <c r="G488" i="3"/>
  <c r="I488" i="3"/>
  <c r="J488" i="3"/>
  <c r="K488" i="3"/>
  <c r="A489" i="3"/>
  <c r="C489" i="3"/>
  <c r="D489" i="3"/>
  <c r="E489" i="3"/>
  <c r="F489" i="3"/>
  <c r="G489" i="3"/>
  <c r="I489" i="3"/>
  <c r="J489" i="3"/>
  <c r="K489" i="3"/>
  <c r="A490" i="3"/>
  <c r="C490" i="3"/>
  <c r="D490" i="3"/>
  <c r="E490" i="3"/>
  <c r="F490" i="3"/>
  <c r="G490" i="3"/>
  <c r="I490" i="3"/>
  <c r="J490" i="3"/>
  <c r="K490" i="3"/>
  <c r="A491" i="3"/>
  <c r="C491" i="3"/>
  <c r="D491" i="3"/>
  <c r="E491" i="3"/>
  <c r="F491" i="3"/>
  <c r="G491" i="3"/>
  <c r="I491" i="3"/>
  <c r="J491" i="3"/>
  <c r="K491" i="3"/>
  <c r="A492" i="3"/>
  <c r="C492" i="3"/>
  <c r="D492" i="3"/>
  <c r="E492" i="3"/>
  <c r="F492" i="3"/>
  <c r="G492" i="3"/>
  <c r="I492" i="3"/>
  <c r="J492" i="3"/>
  <c r="K492" i="3"/>
  <c r="A493" i="3"/>
  <c r="C493" i="3"/>
  <c r="D493" i="3"/>
  <c r="E493" i="3"/>
  <c r="F493" i="3"/>
  <c r="G493" i="3"/>
  <c r="I493" i="3"/>
  <c r="J493" i="3"/>
  <c r="K493" i="3"/>
  <c r="A494" i="3"/>
  <c r="C494" i="3"/>
  <c r="D494" i="3"/>
  <c r="E494" i="3"/>
  <c r="F494" i="3"/>
  <c r="G494" i="3"/>
  <c r="I494" i="3"/>
  <c r="J494" i="3"/>
  <c r="K494" i="3"/>
  <c r="A495" i="3"/>
  <c r="C495" i="3"/>
  <c r="D495" i="3"/>
  <c r="E495" i="3"/>
  <c r="F495" i="3"/>
  <c r="G495" i="3"/>
  <c r="I495" i="3"/>
  <c r="J495" i="3"/>
  <c r="K495" i="3"/>
  <c r="A496" i="3"/>
  <c r="C496" i="3"/>
  <c r="D496" i="3"/>
  <c r="E496" i="3"/>
  <c r="F496" i="3"/>
  <c r="G496" i="3"/>
  <c r="I496" i="3"/>
  <c r="J496" i="3"/>
  <c r="K496" i="3"/>
  <c r="A497" i="3"/>
  <c r="C497" i="3"/>
  <c r="D497" i="3"/>
  <c r="E497" i="3"/>
  <c r="F497" i="3"/>
  <c r="G497" i="3"/>
  <c r="I497" i="3"/>
  <c r="J497" i="3"/>
  <c r="K497" i="3"/>
  <c r="A498" i="3"/>
  <c r="C498" i="3"/>
  <c r="D498" i="3"/>
  <c r="E498" i="3"/>
  <c r="F498" i="3"/>
  <c r="G498" i="3"/>
  <c r="I498" i="3"/>
  <c r="J498" i="3"/>
  <c r="K498" i="3"/>
  <c r="A499" i="3"/>
  <c r="C499" i="3"/>
  <c r="D499" i="3"/>
  <c r="E499" i="3"/>
  <c r="F499" i="3"/>
  <c r="G499" i="3"/>
  <c r="I499" i="3"/>
  <c r="J499" i="3"/>
  <c r="K499" i="3"/>
  <c r="A500" i="3"/>
  <c r="C500" i="3"/>
  <c r="D500" i="3"/>
  <c r="E500" i="3"/>
  <c r="F500" i="3"/>
  <c r="G500" i="3"/>
  <c r="I500" i="3"/>
  <c r="J500" i="3"/>
  <c r="K500" i="3"/>
  <c r="A501" i="3"/>
  <c r="C501" i="3"/>
  <c r="D501" i="3"/>
  <c r="E501" i="3"/>
  <c r="F501" i="3"/>
  <c r="G501" i="3"/>
  <c r="I501" i="3"/>
  <c r="J501" i="3"/>
  <c r="K501" i="3"/>
  <c r="A502" i="3"/>
  <c r="C502" i="3"/>
  <c r="D502" i="3"/>
  <c r="E502" i="3"/>
  <c r="F502" i="3"/>
  <c r="G502" i="3"/>
  <c r="I502" i="3"/>
  <c r="J502" i="3"/>
  <c r="K502" i="3"/>
  <c r="A503" i="3"/>
  <c r="C503" i="3"/>
  <c r="D503" i="3"/>
  <c r="E503" i="3"/>
  <c r="F503" i="3"/>
  <c r="G503" i="3"/>
  <c r="I503" i="3"/>
  <c r="J503" i="3"/>
  <c r="K503" i="3"/>
  <c r="A504" i="3"/>
  <c r="C504" i="3"/>
  <c r="D504" i="3"/>
  <c r="E504" i="3"/>
  <c r="F504" i="3"/>
  <c r="G504" i="3"/>
  <c r="I504" i="3"/>
  <c r="J504" i="3"/>
  <c r="K504" i="3"/>
  <c r="A505" i="3"/>
  <c r="C505" i="3"/>
  <c r="D505" i="3"/>
  <c r="E505" i="3"/>
  <c r="F505" i="3"/>
  <c r="G505" i="3"/>
  <c r="I505" i="3"/>
  <c r="J505" i="3"/>
  <c r="K505" i="3"/>
  <c r="A506" i="3"/>
  <c r="C506" i="3"/>
  <c r="D506" i="3"/>
  <c r="E506" i="3"/>
  <c r="F506" i="3"/>
  <c r="G506" i="3"/>
  <c r="I506" i="3"/>
  <c r="J506" i="3"/>
  <c r="K506" i="3"/>
  <c r="A507" i="3"/>
  <c r="C507" i="3"/>
  <c r="D507" i="3"/>
  <c r="E507" i="3"/>
  <c r="F507" i="3"/>
  <c r="G507" i="3"/>
  <c r="I507" i="3"/>
  <c r="J507" i="3"/>
  <c r="K507" i="3"/>
  <c r="A508" i="3"/>
  <c r="C508" i="3"/>
  <c r="D508" i="3"/>
  <c r="E508" i="3"/>
  <c r="F508" i="3"/>
  <c r="G508" i="3"/>
  <c r="I508" i="3"/>
  <c r="J508" i="3"/>
  <c r="K508" i="3"/>
  <c r="A509" i="3"/>
  <c r="C509" i="3"/>
  <c r="D509" i="3"/>
  <c r="E509" i="3"/>
  <c r="F509" i="3"/>
  <c r="G509" i="3"/>
  <c r="I509" i="3"/>
  <c r="J509" i="3"/>
  <c r="K509" i="3"/>
  <c r="A510" i="3"/>
  <c r="C510" i="3"/>
  <c r="D510" i="3"/>
  <c r="E510" i="3"/>
  <c r="F510" i="3"/>
  <c r="G510" i="3"/>
  <c r="I510" i="3"/>
  <c r="J510" i="3"/>
  <c r="K510" i="3"/>
  <c r="A511" i="3"/>
  <c r="C511" i="3"/>
  <c r="D511" i="3"/>
  <c r="E511" i="3"/>
  <c r="F511" i="3"/>
  <c r="G511" i="3"/>
  <c r="I511" i="3"/>
  <c r="J511" i="3"/>
  <c r="K511" i="3"/>
  <c r="A512" i="3"/>
  <c r="C512" i="3"/>
  <c r="D512" i="3"/>
  <c r="E512" i="3"/>
  <c r="F512" i="3"/>
  <c r="G512" i="3"/>
  <c r="I512" i="3"/>
  <c r="J512" i="3"/>
  <c r="K512" i="3"/>
  <c r="A513" i="3"/>
  <c r="C513" i="3"/>
  <c r="D513" i="3"/>
  <c r="E513" i="3"/>
  <c r="F513" i="3"/>
  <c r="G513" i="3"/>
  <c r="I513" i="3"/>
  <c r="J513" i="3"/>
  <c r="K513" i="3"/>
  <c r="A514" i="3"/>
  <c r="C514" i="3"/>
  <c r="D514" i="3"/>
  <c r="E514" i="3"/>
  <c r="F514" i="3"/>
  <c r="G514" i="3"/>
  <c r="I514" i="3"/>
  <c r="J514" i="3"/>
  <c r="K514" i="3"/>
  <c r="A515" i="3"/>
  <c r="C515" i="3"/>
  <c r="D515" i="3"/>
  <c r="E515" i="3"/>
  <c r="F515" i="3"/>
  <c r="G515" i="3"/>
  <c r="I515" i="3"/>
  <c r="J515" i="3"/>
  <c r="K515" i="3"/>
  <c r="A516" i="3"/>
  <c r="C516" i="3"/>
  <c r="D516" i="3"/>
  <c r="E516" i="3"/>
  <c r="F516" i="3"/>
  <c r="G516" i="3"/>
  <c r="I516" i="3"/>
  <c r="J516" i="3"/>
  <c r="K516" i="3"/>
  <c r="A517" i="3"/>
  <c r="C517" i="3"/>
  <c r="D517" i="3"/>
  <c r="E517" i="3"/>
  <c r="F517" i="3"/>
  <c r="G517" i="3"/>
  <c r="I517" i="3"/>
  <c r="J517" i="3"/>
  <c r="K517" i="3"/>
  <c r="A518" i="3"/>
  <c r="C518" i="3"/>
  <c r="D518" i="3"/>
  <c r="E518" i="3"/>
  <c r="F518" i="3"/>
  <c r="G518" i="3"/>
  <c r="I518" i="3"/>
  <c r="J518" i="3"/>
  <c r="K518" i="3"/>
  <c r="A519" i="3"/>
  <c r="C519" i="3"/>
  <c r="D519" i="3"/>
  <c r="E519" i="3"/>
  <c r="F519" i="3"/>
  <c r="G519" i="3"/>
  <c r="I519" i="3"/>
  <c r="J519" i="3"/>
  <c r="K519" i="3"/>
  <c r="A520" i="3"/>
  <c r="C520" i="3"/>
  <c r="D520" i="3"/>
  <c r="E520" i="3"/>
  <c r="F520" i="3"/>
  <c r="G520" i="3"/>
  <c r="I520" i="3"/>
  <c r="J520" i="3"/>
  <c r="K520" i="3"/>
  <c r="A521" i="3"/>
  <c r="C521" i="3"/>
  <c r="D521" i="3"/>
  <c r="E521" i="3"/>
  <c r="F521" i="3"/>
  <c r="G521" i="3"/>
  <c r="I521" i="3"/>
  <c r="J521" i="3"/>
  <c r="K521" i="3"/>
  <c r="A522" i="3"/>
  <c r="C522" i="3"/>
  <c r="D522" i="3"/>
  <c r="E522" i="3"/>
  <c r="F522" i="3"/>
  <c r="G522" i="3"/>
  <c r="I522" i="3"/>
  <c r="J522" i="3"/>
  <c r="K522" i="3"/>
  <c r="A523" i="3"/>
  <c r="C523" i="3"/>
  <c r="D523" i="3"/>
  <c r="E523" i="3"/>
  <c r="F523" i="3"/>
  <c r="G523" i="3"/>
  <c r="I523" i="3"/>
  <c r="J523" i="3"/>
  <c r="K523" i="3"/>
  <c r="A524" i="3"/>
  <c r="C524" i="3"/>
  <c r="D524" i="3"/>
  <c r="E524" i="3"/>
  <c r="F524" i="3"/>
  <c r="G524" i="3"/>
  <c r="I524" i="3"/>
  <c r="J524" i="3"/>
  <c r="K524" i="3"/>
  <c r="A525" i="3"/>
  <c r="C525" i="3"/>
  <c r="D525" i="3"/>
  <c r="E525" i="3"/>
  <c r="F525" i="3"/>
  <c r="G525" i="3"/>
  <c r="I525" i="3"/>
  <c r="J525" i="3"/>
  <c r="K525" i="3"/>
  <c r="A526" i="3"/>
  <c r="C526" i="3"/>
  <c r="D526" i="3"/>
  <c r="E526" i="3"/>
  <c r="F526" i="3"/>
  <c r="G526" i="3"/>
  <c r="I526" i="3"/>
  <c r="J526" i="3"/>
  <c r="K526" i="3"/>
  <c r="A527" i="3"/>
  <c r="C527" i="3"/>
  <c r="D527" i="3"/>
  <c r="E527" i="3"/>
  <c r="F527" i="3"/>
  <c r="G527" i="3"/>
  <c r="I527" i="3"/>
  <c r="J527" i="3"/>
  <c r="K527" i="3"/>
  <c r="A528" i="3"/>
  <c r="C528" i="3"/>
  <c r="D528" i="3"/>
  <c r="E528" i="3"/>
  <c r="F528" i="3"/>
  <c r="G528" i="3"/>
  <c r="I528" i="3"/>
  <c r="J528" i="3"/>
  <c r="K528" i="3"/>
  <c r="A529" i="3"/>
  <c r="C529" i="3"/>
  <c r="D529" i="3"/>
  <c r="E529" i="3"/>
  <c r="F529" i="3"/>
  <c r="G529" i="3"/>
  <c r="I529" i="3"/>
  <c r="J529" i="3"/>
  <c r="K529" i="3"/>
  <c r="A530" i="3"/>
  <c r="C530" i="3"/>
  <c r="D530" i="3"/>
  <c r="E530" i="3"/>
  <c r="F530" i="3"/>
  <c r="G530" i="3"/>
  <c r="I530" i="3"/>
  <c r="J530" i="3"/>
  <c r="K530" i="3"/>
  <c r="A531" i="3"/>
  <c r="C531" i="3"/>
  <c r="D531" i="3"/>
  <c r="E531" i="3"/>
  <c r="F531" i="3"/>
  <c r="G531" i="3"/>
  <c r="I531" i="3"/>
  <c r="J531" i="3"/>
  <c r="K531" i="3"/>
  <c r="A532" i="3"/>
  <c r="C532" i="3"/>
  <c r="D532" i="3"/>
  <c r="E532" i="3"/>
  <c r="F532" i="3"/>
  <c r="G532" i="3"/>
  <c r="I532" i="3"/>
  <c r="J532" i="3"/>
  <c r="K532" i="3"/>
  <c r="A533" i="3"/>
  <c r="C533" i="3"/>
  <c r="D533" i="3"/>
  <c r="E533" i="3"/>
  <c r="F533" i="3"/>
  <c r="G533" i="3"/>
  <c r="I533" i="3"/>
  <c r="J533" i="3"/>
  <c r="K533" i="3"/>
  <c r="A534" i="3"/>
  <c r="C534" i="3"/>
  <c r="D534" i="3"/>
  <c r="E534" i="3"/>
  <c r="F534" i="3"/>
  <c r="G534" i="3"/>
  <c r="I534" i="3"/>
  <c r="J534" i="3"/>
  <c r="K534" i="3"/>
  <c r="A535" i="3"/>
  <c r="C535" i="3"/>
  <c r="D535" i="3"/>
  <c r="E535" i="3"/>
  <c r="F535" i="3"/>
  <c r="G535" i="3"/>
  <c r="I535" i="3"/>
  <c r="J535" i="3"/>
  <c r="K535" i="3"/>
  <c r="A536" i="3"/>
  <c r="C536" i="3"/>
  <c r="D536" i="3"/>
  <c r="E536" i="3"/>
  <c r="F536" i="3"/>
  <c r="G536" i="3"/>
  <c r="I536" i="3"/>
  <c r="J536" i="3"/>
  <c r="K536" i="3"/>
  <c r="A537" i="3"/>
  <c r="C537" i="3"/>
  <c r="D537" i="3"/>
  <c r="E537" i="3"/>
  <c r="F537" i="3"/>
  <c r="G537" i="3"/>
  <c r="I537" i="3"/>
  <c r="J537" i="3"/>
  <c r="K537" i="3"/>
  <c r="A538" i="3"/>
  <c r="C538" i="3"/>
  <c r="D538" i="3"/>
  <c r="E538" i="3"/>
  <c r="F538" i="3"/>
  <c r="G538" i="3"/>
  <c r="I538" i="3"/>
  <c r="J538" i="3"/>
  <c r="K538" i="3"/>
  <c r="A539" i="3"/>
  <c r="C539" i="3"/>
  <c r="D539" i="3"/>
  <c r="E539" i="3"/>
  <c r="F539" i="3"/>
  <c r="G539" i="3"/>
  <c r="I539" i="3"/>
  <c r="J539" i="3"/>
  <c r="K539" i="3"/>
  <c r="A540" i="3"/>
  <c r="C540" i="3"/>
  <c r="D540" i="3"/>
  <c r="E540" i="3"/>
  <c r="F540" i="3"/>
  <c r="G540" i="3"/>
  <c r="I540" i="3"/>
  <c r="J540" i="3"/>
  <c r="K540" i="3"/>
  <c r="A541" i="3"/>
  <c r="C541" i="3"/>
  <c r="D541" i="3"/>
  <c r="E541" i="3"/>
  <c r="F541" i="3"/>
  <c r="G541" i="3"/>
  <c r="I541" i="3"/>
  <c r="J541" i="3"/>
  <c r="K541" i="3"/>
  <c r="A542" i="3"/>
  <c r="C542" i="3"/>
  <c r="D542" i="3"/>
  <c r="E542" i="3"/>
  <c r="F542" i="3"/>
  <c r="G542" i="3"/>
  <c r="I542" i="3"/>
  <c r="J542" i="3"/>
  <c r="K542" i="3"/>
  <c r="A543" i="3"/>
  <c r="C543" i="3"/>
  <c r="D543" i="3"/>
  <c r="E543" i="3"/>
  <c r="F543" i="3"/>
  <c r="G543" i="3"/>
  <c r="I543" i="3"/>
  <c r="J543" i="3"/>
  <c r="K543" i="3"/>
  <c r="A544" i="3"/>
  <c r="C544" i="3"/>
  <c r="D544" i="3"/>
  <c r="E544" i="3"/>
  <c r="F544" i="3"/>
  <c r="G544" i="3"/>
  <c r="I544" i="3"/>
  <c r="J544" i="3"/>
  <c r="K544" i="3"/>
  <c r="A545" i="3"/>
  <c r="C545" i="3"/>
  <c r="D545" i="3"/>
  <c r="E545" i="3"/>
  <c r="F545" i="3"/>
  <c r="G545" i="3"/>
  <c r="I545" i="3"/>
  <c r="J545" i="3"/>
  <c r="K545" i="3"/>
  <c r="A546" i="3"/>
  <c r="C546" i="3"/>
  <c r="D546" i="3"/>
  <c r="E546" i="3"/>
  <c r="F546" i="3"/>
  <c r="G546" i="3"/>
  <c r="I546" i="3"/>
  <c r="J546" i="3"/>
  <c r="K546" i="3"/>
  <c r="A547" i="3"/>
  <c r="C547" i="3"/>
  <c r="D547" i="3"/>
  <c r="E547" i="3"/>
  <c r="F547" i="3"/>
  <c r="G547" i="3"/>
  <c r="I547" i="3"/>
  <c r="J547" i="3"/>
  <c r="K547" i="3"/>
  <c r="A548" i="3"/>
  <c r="C548" i="3"/>
  <c r="D548" i="3"/>
  <c r="E548" i="3"/>
  <c r="F548" i="3"/>
  <c r="G548" i="3"/>
  <c r="I548" i="3"/>
  <c r="J548" i="3"/>
  <c r="K548" i="3"/>
  <c r="A549" i="3"/>
  <c r="C549" i="3"/>
  <c r="D549" i="3"/>
  <c r="E549" i="3"/>
  <c r="F549" i="3"/>
  <c r="G549" i="3"/>
  <c r="I549" i="3"/>
  <c r="J549" i="3"/>
  <c r="K549" i="3"/>
  <c r="A550" i="3"/>
  <c r="C550" i="3"/>
  <c r="D550" i="3"/>
  <c r="E550" i="3"/>
  <c r="F550" i="3"/>
  <c r="G550" i="3"/>
  <c r="I550" i="3"/>
  <c r="J550" i="3"/>
  <c r="K550" i="3"/>
  <c r="A551" i="3"/>
  <c r="C551" i="3"/>
  <c r="D551" i="3"/>
  <c r="E551" i="3"/>
  <c r="F551" i="3"/>
  <c r="G551" i="3"/>
  <c r="I551" i="3"/>
  <c r="J551" i="3"/>
  <c r="K551" i="3"/>
  <c r="A552" i="3"/>
  <c r="C552" i="3"/>
  <c r="D552" i="3"/>
  <c r="E552" i="3"/>
  <c r="F552" i="3"/>
  <c r="G552" i="3"/>
  <c r="I552" i="3"/>
  <c r="J552" i="3"/>
  <c r="K552" i="3"/>
  <c r="A553" i="3"/>
  <c r="C553" i="3"/>
  <c r="D553" i="3"/>
  <c r="E553" i="3"/>
  <c r="F553" i="3"/>
  <c r="G553" i="3"/>
  <c r="I553" i="3"/>
  <c r="J553" i="3"/>
  <c r="K553" i="3"/>
  <c r="A554" i="3"/>
  <c r="C554" i="3"/>
  <c r="D554" i="3"/>
  <c r="E554" i="3"/>
  <c r="F554" i="3"/>
  <c r="G554" i="3"/>
  <c r="I554" i="3"/>
  <c r="J554" i="3"/>
  <c r="K554" i="3"/>
  <c r="A555" i="3"/>
  <c r="C555" i="3"/>
  <c r="D555" i="3"/>
  <c r="E555" i="3"/>
  <c r="F555" i="3"/>
  <c r="G555" i="3"/>
  <c r="I555" i="3"/>
  <c r="J555" i="3"/>
  <c r="K555" i="3"/>
  <c r="A556" i="3"/>
  <c r="C556" i="3"/>
  <c r="D556" i="3"/>
  <c r="E556" i="3"/>
  <c r="F556" i="3"/>
  <c r="G556" i="3"/>
  <c r="I556" i="3"/>
  <c r="J556" i="3"/>
  <c r="K556" i="3"/>
  <c r="A557" i="3"/>
  <c r="C557" i="3"/>
  <c r="D557" i="3"/>
  <c r="E557" i="3"/>
  <c r="F557" i="3"/>
  <c r="G557" i="3"/>
  <c r="I557" i="3"/>
  <c r="J557" i="3"/>
  <c r="K557" i="3"/>
  <c r="A558" i="3"/>
  <c r="C558" i="3"/>
  <c r="D558" i="3"/>
  <c r="E558" i="3"/>
  <c r="F558" i="3"/>
  <c r="G558" i="3"/>
  <c r="I558" i="3"/>
  <c r="J558" i="3"/>
  <c r="K558" i="3"/>
  <c r="A559" i="3"/>
  <c r="C559" i="3"/>
  <c r="D559" i="3"/>
  <c r="E559" i="3"/>
  <c r="F559" i="3"/>
  <c r="G559" i="3"/>
  <c r="I559" i="3"/>
  <c r="J559" i="3"/>
  <c r="K559" i="3"/>
  <c r="A560" i="3"/>
  <c r="C560" i="3"/>
  <c r="D560" i="3"/>
  <c r="E560" i="3"/>
  <c r="F560" i="3"/>
  <c r="G560" i="3"/>
  <c r="I560" i="3"/>
  <c r="J560" i="3"/>
  <c r="K560" i="3"/>
  <c r="A561" i="3"/>
  <c r="C561" i="3"/>
  <c r="D561" i="3"/>
  <c r="E561" i="3"/>
  <c r="F561" i="3"/>
  <c r="G561" i="3"/>
  <c r="I561" i="3"/>
  <c r="J561" i="3"/>
  <c r="K561" i="3"/>
  <c r="A562" i="3"/>
  <c r="C562" i="3"/>
  <c r="D562" i="3"/>
  <c r="E562" i="3"/>
  <c r="F562" i="3"/>
  <c r="G562" i="3"/>
  <c r="I562" i="3"/>
  <c r="J562" i="3"/>
  <c r="K562" i="3"/>
  <c r="A563" i="3"/>
  <c r="C563" i="3"/>
  <c r="D563" i="3"/>
  <c r="E563" i="3"/>
  <c r="F563" i="3"/>
  <c r="G563" i="3"/>
  <c r="I563" i="3"/>
  <c r="J563" i="3"/>
  <c r="K563" i="3"/>
  <c r="A564" i="3"/>
  <c r="C564" i="3"/>
  <c r="D564" i="3"/>
  <c r="E564" i="3"/>
  <c r="F564" i="3"/>
  <c r="G564" i="3"/>
  <c r="I564" i="3"/>
  <c r="J564" i="3"/>
  <c r="K564" i="3"/>
  <c r="A565" i="3"/>
  <c r="C565" i="3"/>
  <c r="D565" i="3"/>
  <c r="E565" i="3"/>
  <c r="F565" i="3"/>
  <c r="G565" i="3"/>
  <c r="I565" i="3"/>
  <c r="J565" i="3"/>
  <c r="K565" i="3"/>
  <c r="A566" i="3"/>
  <c r="C566" i="3"/>
  <c r="D566" i="3"/>
  <c r="E566" i="3"/>
  <c r="F566" i="3"/>
  <c r="G566" i="3"/>
  <c r="I566" i="3"/>
  <c r="J566" i="3"/>
  <c r="K566" i="3"/>
  <c r="A567" i="3"/>
  <c r="C567" i="3"/>
  <c r="D567" i="3"/>
  <c r="E567" i="3"/>
  <c r="F567" i="3"/>
  <c r="G567" i="3"/>
  <c r="I567" i="3"/>
  <c r="J567" i="3"/>
  <c r="K567" i="3"/>
  <c r="A568" i="3"/>
  <c r="C568" i="3"/>
  <c r="D568" i="3"/>
  <c r="E568" i="3"/>
  <c r="F568" i="3"/>
  <c r="G568" i="3"/>
  <c r="I568" i="3"/>
  <c r="J568" i="3"/>
  <c r="K568" i="3"/>
  <c r="A569" i="3"/>
  <c r="C569" i="3"/>
  <c r="D569" i="3"/>
  <c r="E569" i="3"/>
  <c r="F569" i="3"/>
  <c r="G569" i="3"/>
  <c r="I569" i="3"/>
  <c r="J569" i="3"/>
  <c r="K569" i="3"/>
  <c r="A570" i="3"/>
  <c r="C570" i="3"/>
  <c r="D570" i="3"/>
  <c r="E570" i="3"/>
  <c r="F570" i="3"/>
  <c r="G570" i="3"/>
  <c r="I570" i="3"/>
  <c r="J570" i="3"/>
  <c r="K570" i="3"/>
  <c r="A571" i="3"/>
  <c r="C571" i="3"/>
  <c r="D571" i="3"/>
  <c r="E571" i="3"/>
  <c r="F571" i="3"/>
  <c r="G571" i="3"/>
  <c r="I571" i="3"/>
  <c r="J571" i="3"/>
  <c r="K571" i="3"/>
  <c r="A572" i="3"/>
  <c r="C572" i="3"/>
  <c r="D572" i="3"/>
  <c r="E572" i="3"/>
  <c r="F572" i="3"/>
  <c r="G572" i="3"/>
  <c r="I572" i="3"/>
  <c r="J572" i="3"/>
  <c r="K572" i="3"/>
  <c r="A573" i="3"/>
  <c r="C573" i="3"/>
  <c r="D573" i="3"/>
  <c r="E573" i="3"/>
  <c r="F573" i="3"/>
  <c r="G573" i="3"/>
  <c r="I573" i="3"/>
  <c r="J573" i="3"/>
  <c r="K573" i="3"/>
  <c r="A574" i="3"/>
  <c r="C574" i="3"/>
  <c r="D574" i="3"/>
  <c r="E574" i="3"/>
  <c r="F574" i="3"/>
  <c r="G574" i="3"/>
  <c r="I574" i="3"/>
  <c r="J574" i="3"/>
  <c r="K574" i="3"/>
  <c r="A575" i="3"/>
  <c r="C575" i="3"/>
  <c r="D575" i="3"/>
  <c r="E575" i="3"/>
  <c r="F575" i="3"/>
  <c r="G575" i="3"/>
  <c r="I575" i="3"/>
  <c r="J575" i="3"/>
  <c r="K575" i="3"/>
  <c r="A576" i="3"/>
  <c r="C576" i="3"/>
  <c r="D576" i="3"/>
  <c r="E576" i="3"/>
  <c r="F576" i="3"/>
  <c r="G576" i="3"/>
  <c r="I576" i="3"/>
  <c r="J576" i="3"/>
  <c r="K576" i="3"/>
  <c r="A577" i="3"/>
  <c r="C577" i="3"/>
  <c r="D577" i="3"/>
  <c r="E577" i="3"/>
  <c r="F577" i="3"/>
  <c r="G577" i="3"/>
  <c r="I577" i="3"/>
  <c r="J577" i="3"/>
  <c r="K577" i="3"/>
  <c r="A578" i="3"/>
  <c r="C578" i="3"/>
  <c r="D578" i="3"/>
  <c r="E578" i="3"/>
  <c r="F578" i="3"/>
  <c r="G578" i="3"/>
  <c r="I578" i="3"/>
  <c r="J578" i="3"/>
  <c r="K578" i="3"/>
  <c r="A579" i="3"/>
  <c r="C579" i="3"/>
  <c r="D579" i="3"/>
  <c r="E579" i="3"/>
  <c r="F579" i="3"/>
  <c r="G579" i="3"/>
  <c r="I579" i="3"/>
  <c r="J579" i="3"/>
  <c r="K579" i="3"/>
  <c r="A580" i="3"/>
  <c r="C580" i="3"/>
  <c r="D580" i="3"/>
  <c r="E580" i="3"/>
  <c r="F580" i="3"/>
  <c r="G580" i="3"/>
  <c r="I580" i="3"/>
  <c r="J580" i="3"/>
  <c r="K580" i="3"/>
  <c r="A581" i="3"/>
  <c r="C581" i="3"/>
  <c r="D581" i="3"/>
  <c r="E581" i="3"/>
  <c r="F581" i="3"/>
  <c r="G581" i="3"/>
  <c r="I581" i="3"/>
  <c r="J581" i="3"/>
  <c r="K581" i="3"/>
  <c r="A582" i="3"/>
  <c r="C582" i="3"/>
  <c r="D582" i="3"/>
  <c r="E582" i="3"/>
  <c r="F582" i="3"/>
  <c r="G582" i="3"/>
  <c r="I582" i="3"/>
  <c r="J582" i="3"/>
  <c r="K582" i="3"/>
  <c r="A583" i="3"/>
  <c r="C583" i="3"/>
  <c r="D583" i="3"/>
  <c r="E583" i="3"/>
  <c r="F583" i="3"/>
  <c r="G583" i="3"/>
  <c r="I583" i="3"/>
  <c r="J583" i="3"/>
  <c r="K583" i="3"/>
  <c r="A584" i="3"/>
  <c r="C584" i="3"/>
  <c r="D584" i="3"/>
  <c r="E584" i="3"/>
  <c r="F584" i="3"/>
  <c r="G584" i="3"/>
  <c r="I584" i="3"/>
  <c r="J584" i="3"/>
  <c r="K584" i="3"/>
  <c r="A585" i="3"/>
  <c r="C585" i="3"/>
  <c r="D585" i="3"/>
  <c r="E585" i="3"/>
  <c r="F585" i="3"/>
  <c r="G585" i="3"/>
  <c r="I585" i="3"/>
  <c r="J585" i="3"/>
  <c r="K585" i="3"/>
  <c r="A586" i="3"/>
  <c r="C586" i="3"/>
  <c r="D586" i="3"/>
  <c r="E586" i="3"/>
  <c r="F586" i="3"/>
  <c r="G586" i="3"/>
  <c r="I586" i="3"/>
  <c r="J586" i="3"/>
  <c r="K586" i="3"/>
  <c r="A587" i="3"/>
  <c r="C587" i="3"/>
  <c r="D587" i="3"/>
  <c r="E587" i="3"/>
  <c r="F587" i="3"/>
  <c r="G587" i="3"/>
  <c r="I587" i="3"/>
  <c r="J587" i="3"/>
  <c r="K587" i="3"/>
  <c r="A588" i="3"/>
  <c r="C588" i="3"/>
  <c r="D588" i="3"/>
  <c r="E588" i="3"/>
  <c r="F588" i="3"/>
  <c r="G588" i="3"/>
  <c r="I588" i="3"/>
  <c r="J588" i="3"/>
  <c r="K588" i="3"/>
  <c r="A589" i="3"/>
  <c r="C589" i="3"/>
  <c r="D589" i="3"/>
  <c r="E589" i="3"/>
  <c r="F589" i="3"/>
  <c r="G589" i="3"/>
  <c r="I589" i="3"/>
  <c r="J589" i="3"/>
  <c r="K589" i="3"/>
  <c r="A590" i="3"/>
  <c r="C590" i="3"/>
  <c r="D590" i="3"/>
  <c r="E590" i="3"/>
  <c r="F590" i="3"/>
  <c r="G590" i="3"/>
  <c r="I590" i="3"/>
  <c r="J590" i="3"/>
  <c r="K590" i="3"/>
  <c r="A591" i="3"/>
  <c r="C591" i="3"/>
  <c r="D591" i="3"/>
  <c r="E591" i="3"/>
  <c r="F591" i="3"/>
  <c r="G591" i="3"/>
  <c r="I591" i="3"/>
  <c r="J591" i="3"/>
  <c r="K591" i="3"/>
  <c r="A592" i="3"/>
  <c r="C592" i="3"/>
  <c r="D592" i="3"/>
  <c r="E592" i="3"/>
  <c r="F592" i="3"/>
  <c r="G592" i="3"/>
  <c r="I592" i="3"/>
  <c r="J592" i="3"/>
  <c r="K592" i="3"/>
  <c r="A593" i="3"/>
  <c r="C593" i="3"/>
  <c r="D593" i="3"/>
  <c r="E593" i="3"/>
  <c r="F593" i="3"/>
  <c r="G593" i="3"/>
  <c r="I593" i="3"/>
  <c r="J593" i="3"/>
  <c r="K593" i="3"/>
  <c r="A594" i="3"/>
  <c r="C594" i="3"/>
  <c r="D594" i="3"/>
  <c r="E594" i="3"/>
  <c r="F594" i="3"/>
  <c r="G594" i="3"/>
  <c r="I594" i="3"/>
  <c r="J594" i="3"/>
  <c r="K594" i="3"/>
  <c r="A595" i="3"/>
  <c r="C595" i="3"/>
  <c r="D595" i="3"/>
  <c r="E595" i="3"/>
  <c r="F595" i="3"/>
  <c r="G595" i="3"/>
  <c r="I595" i="3"/>
  <c r="J595" i="3"/>
  <c r="K595" i="3"/>
  <c r="A596" i="3"/>
  <c r="C596" i="3"/>
  <c r="D596" i="3"/>
  <c r="E596" i="3"/>
  <c r="F596" i="3"/>
  <c r="G596" i="3"/>
  <c r="I596" i="3"/>
  <c r="J596" i="3"/>
  <c r="K596" i="3"/>
  <c r="A597" i="3"/>
  <c r="C597" i="3"/>
  <c r="D597" i="3"/>
  <c r="E597" i="3"/>
  <c r="F597" i="3"/>
  <c r="G597" i="3"/>
  <c r="I597" i="3"/>
  <c r="J597" i="3"/>
  <c r="K597" i="3"/>
  <c r="A598" i="3"/>
  <c r="C598" i="3"/>
  <c r="D598" i="3"/>
  <c r="E598" i="3"/>
  <c r="F598" i="3"/>
  <c r="G598" i="3"/>
  <c r="I598" i="3"/>
  <c r="J598" i="3"/>
  <c r="K598" i="3"/>
  <c r="A599" i="3"/>
  <c r="C599" i="3"/>
  <c r="D599" i="3"/>
  <c r="E599" i="3"/>
  <c r="F599" i="3"/>
  <c r="G599" i="3"/>
  <c r="I599" i="3"/>
  <c r="J599" i="3"/>
  <c r="K599" i="3"/>
  <c r="A600" i="3"/>
  <c r="C600" i="3"/>
  <c r="D600" i="3"/>
  <c r="E600" i="3"/>
  <c r="F600" i="3"/>
  <c r="G600" i="3"/>
  <c r="I600" i="3"/>
  <c r="J600" i="3"/>
  <c r="K600" i="3"/>
  <c r="A601" i="3"/>
  <c r="C601" i="3"/>
  <c r="D601" i="3"/>
  <c r="E601" i="3"/>
  <c r="F601" i="3"/>
  <c r="G601" i="3"/>
  <c r="I601" i="3"/>
  <c r="J601" i="3"/>
  <c r="K601" i="3"/>
  <c r="A602" i="3"/>
  <c r="C602" i="3"/>
  <c r="D602" i="3"/>
  <c r="E602" i="3"/>
  <c r="F602" i="3"/>
  <c r="G602" i="3"/>
  <c r="I602" i="3"/>
  <c r="J602" i="3"/>
  <c r="K602" i="3"/>
  <c r="A603" i="3"/>
  <c r="C603" i="3"/>
  <c r="D603" i="3"/>
  <c r="E603" i="3"/>
  <c r="F603" i="3"/>
  <c r="G603" i="3"/>
  <c r="I603" i="3"/>
  <c r="J603" i="3"/>
  <c r="K603" i="3"/>
  <c r="A604" i="3"/>
  <c r="C604" i="3"/>
  <c r="D604" i="3"/>
  <c r="E604" i="3"/>
  <c r="F604" i="3"/>
  <c r="G604" i="3"/>
  <c r="I604" i="3"/>
  <c r="J604" i="3"/>
  <c r="K604" i="3"/>
  <c r="A605" i="3"/>
  <c r="C605" i="3"/>
  <c r="D605" i="3"/>
  <c r="E605" i="3"/>
  <c r="F605" i="3"/>
  <c r="G605" i="3"/>
  <c r="I605" i="3"/>
  <c r="J605" i="3"/>
  <c r="K605" i="3"/>
  <c r="A606" i="3"/>
  <c r="C606" i="3"/>
  <c r="D606" i="3"/>
  <c r="E606" i="3"/>
  <c r="F606" i="3"/>
  <c r="G606" i="3"/>
  <c r="I606" i="3"/>
  <c r="J606" i="3"/>
  <c r="K606" i="3"/>
  <c r="A607" i="3"/>
  <c r="C607" i="3"/>
  <c r="D607" i="3"/>
  <c r="E607" i="3"/>
  <c r="F607" i="3"/>
  <c r="G607" i="3"/>
  <c r="I607" i="3"/>
  <c r="J607" i="3"/>
  <c r="K607" i="3"/>
  <c r="A608" i="3"/>
  <c r="C608" i="3"/>
  <c r="D608" i="3"/>
  <c r="E608" i="3"/>
  <c r="F608" i="3"/>
  <c r="G608" i="3"/>
  <c r="I608" i="3"/>
  <c r="J608" i="3"/>
  <c r="K608" i="3"/>
  <c r="A609" i="3"/>
  <c r="C609" i="3"/>
  <c r="D609" i="3"/>
  <c r="E609" i="3"/>
  <c r="F609" i="3"/>
  <c r="G609" i="3"/>
  <c r="I609" i="3"/>
  <c r="J609" i="3"/>
  <c r="K609" i="3"/>
  <c r="A610" i="3"/>
  <c r="C610" i="3"/>
  <c r="D610" i="3"/>
  <c r="E610" i="3"/>
  <c r="F610" i="3"/>
  <c r="G610" i="3"/>
  <c r="I610" i="3"/>
  <c r="J610" i="3"/>
  <c r="K610" i="3"/>
  <c r="A611" i="3"/>
  <c r="C611" i="3"/>
  <c r="D611" i="3"/>
  <c r="E611" i="3"/>
  <c r="F611" i="3"/>
  <c r="G611" i="3"/>
  <c r="I611" i="3"/>
  <c r="J611" i="3"/>
  <c r="K611" i="3"/>
  <c r="A612" i="3"/>
  <c r="C612" i="3"/>
  <c r="D612" i="3"/>
  <c r="E612" i="3"/>
  <c r="F612" i="3"/>
  <c r="G612" i="3"/>
  <c r="I612" i="3"/>
  <c r="J612" i="3"/>
  <c r="K612" i="3"/>
  <c r="A613" i="3"/>
  <c r="C613" i="3"/>
  <c r="D613" i="3"/>
  <c r="E613" i="3"/>
  <c r="F613" i="3"/>
  <c r="G613" i="3"/>
  <c r="I613" i="3"/>
  <c r="J613" i="3"/>
  <c r="K613" i="3"/>
  <c r="A2" i="2"/>
  <c r="C2" i="2"/>
  <c r="D2" i="2"/>
  <c r="E2" i="2"/>
  <c r="F2" i="2"/>
  <c r="G2" i="2"/>
  <c r="I2" i="2"/>
  <c r="J2" i="2"/>
  <c r="K2" i="2"/>
  <c r="A3" i="2"/>
  <c r="C3" i="2"/>
  <c r="D3" i="2"/>
  <c r="E3" i="2"/>
  <c r="F3" i="2"/>
  <c r="G3" i="2"/>
  <c r="I3" i="2"/>
  <c r="J3" i="2"/>
  <c r="K3" i="2"/>
  <c r="A4" i="2"/>
  <c r="C4" i="2"/>
  <c r="D4" i="2"/>
  <c r="E4" i="2"/>
  <c r="F4" i="2"/>
  <c r="G4" i="2"/>
  <c r="I4" i="2"/>
  <c r="J4" i="2"/>
  <c r="K4" i="2"/>
  <c r="A5" i="2"/>
  <c r="C5" i="2"/>
  <c r="D5" i="2"/>
  <c r="E5" i="2"/>
  <c r="F5" i="2"/>
  <c r="G5" i="2"/>
  <c r="I5" i="2"/>
  <c r="J5" i="2"/>
  <c r="K5" i="2"/>
  <c r="A6" i="2"/>
  <c r="C6" i="2"/>
  <c r="D6" i="2"/>
  <c r="E6" i="2"/>
  <c r="F6" i="2"/>
  <c r="G6" i="2"/>
  <c r="I6" i="2"/>
  <c r="J6" i="2"/>
  <c r="K6" i="2"/>
  <c r="A7" i="2"/>
  <c r="C7" i="2"/>
  <c r="D7" i="2"/>
  <c r="E7" i="2"/>
  <c r="F7" i="2"/>
  <c r="G7" i="2"/>
  <c r="I7" i="2"/>
  <c r="J7" i="2"/>
  <c r="K7" i="2"/>
  <c r="A8" i="2"/>
  <c r="C8" i="2"/>
  <c r="D8" i="2"/>
  <c r="E8" i="2"/>
  <c r="F8" i="2"/>
  <c r="G8" i="2"/>
  <c r="I8" i="2"/>
  <c r="J8" i="2"/>
  <c r="K8" i="2"/>
  <c r="A9" i="2"/>
  <c r="C9" i="2"/>
  <c r="D9" i="2"/>
  <c r="E9" i="2"/>
  <c r="F9" i="2"/>
  <c r="G9" i="2"/>
  <c r="I9" i="2"/>
  <c r="J9" i="2"/>
  <c r="K9" i="2"/>
  <c r="A10" i="2"/>
  <c r="C10" i="2"/>
  <c r="D10" i="2"/>
  <c r="E10" i="2"/>
  <c r="F10" i="2"/>
  <c r="G10" i="2"/>
  <c r="I10" i="2"/>
  <c r="J10" i="2"/>
  <c r="K10" i="2"/>
  <c r="A11" i="2"/>
  <c r="C11" i="2"/>
  <c r="D11" i="2"/>
  <c r="E11" i="2"/>
  <c r="F11" i="2"/>
  <c r="G11" i="2"/>
  <c r="I11" i="2"/>
  <c r="J11" i="2"/>
  <c r="K11" i="2"/>
  <c r="A12" i="2"/>
  <c r="C12" i="2"/>
  <c r="D12" i="2"/>
  <c r="E12" i="2"/>
  <c r="F12" i="2"/>
  <c r="G12" i="2"/>
  <c r="I12" i="2"/>
  <c r="J12" i="2"/>
  <c r="K12" i="2"/>
  <c r="A13" i="2"/>
  <c r="C13" i="2"/>
  <c r="D13" i="2"/>
  <c r="E13" i="2"/>
  <c r="F13" i="2"/>
  <c r="G13" i="2"/>
  <c r="I13" i="2"/>
  <c r="J13" i="2"/>
  <c r="K13" i="2"/>
  <c r="A14" i="2"/>
  <c r="C14" i="2"/>
  <c r="D14" i="2"/>
  <c r="E14" i="2"/>
  <c r="F14" i="2"/>
  <c r="G14" i="2"/>
  <c r="I14" i="2"/>
  <c r="J14" i="2"/>
  <c r="K14" i="2"/>
  <c r="A15" i="2"/>
  <c r="C15" i="2"/>
  <c r="D15" i="2"/>
  <c r="E15" i="2"/>
  <c r="F15" i="2"/>
  <c r="G15" i="2"/>
  <c r="I15" i="2"/>
  <c r="J15" i="2"/>
  <c r="K15" i="2"/>
  <c r="A16" i="2"/>
  <c r="C16" i="2"/>
  <c r="D16" i="2"/>
  <c r="E16" i="2"/>
  <c r="F16" i="2"/>
  <c r="G16" i="2"/>
  <c r="I16" i="2"/>
  <c r="J16" i="2"/>
  <c r="K16" i="2"/>
  <c r="A17" i="2"/>
  <c r="C17" i="2"/>
  <c r="D17" i="2"/>
  <c r="E17" i="2"/>
  <c r="F17" i="2"/>
  <c r="G17" i="2"/>
  <c r="I17" i="2"/>
  <c r="J17" i="2"/>
  <c r="K17" i="2"/>
  <c r="A18" i="2"/>
  <c r="C18" i="2"/>
  <c r="D18" i="2"/>
  <c r="E18" i="2"/>
  <c r="F18" i="2"/>
  <c r="G18" i="2"/>
  <c r="I18" i="2"/>
  <c r="J18" i="2"/>
  <c r="K18" i="2"/>
  <c r="A19" i="2"/>
  <c r="C19" i="2"/>
  <c r="D19" i="2"/>
  <c r="E19" i="2"/>
  <c r="F19" i="2"/>
  <c r="G19" i="2"/>
  <c r="I19" i="2"/>
  <c r="J19" i="2"/>
  <c r="K19" i="2"/>
  <c r="A20" i="2"/>
  <c r="C20" i="2"/>
  <c r="D20" i="2"/>
  <c r="E20" i="2"/>
  <c r="F20" i="2"/>
  <c r="G20" i="2"/>
  <c r="I20" i="2"/>
  <c r="J20" i="2"/>
  <c r="K20" i="2"/>
  <c r="A21" i="2"/>
  <c r="C21" i="2"/>
  <c r="D21" i="2"/>
  <c r="E21" i="2"/>
  <c r="F21" i="2"/>
  <c r="G21" i="2"/>
  <c r="I21" i="2"/>
  <c r="J21" i="2"/>
  <c r="K21" i="2"/>
  <c r="A22" i="2"/>
  <c r="C22" i="2"/>
  <c r="D22" i="2"/>
  <c r="E22" i="2"/>
  <c r="F22" i="2"/>
  <c r="G22" i="2"/>
  <c r="I22" i="2"/>
  <c r="J22" i="2"/>
  <c r="K22" i="2"/>
  <c r="A23" i="2"/>
  <c r="C23" i="2"/>
  <c r="D23" i="2"/>
  <c r="E23" i="2"/>
  <c r="F23" i="2"/>
  <c r="G23" i="2"/>
  <c r="I23" i="2"/>
  <c r="J23" i="2"/>
  <c r="K23" i="2"/>
  <c r="A24" i="2"/>
  <c r="C24" i="2"/>
  <c r="D24" i="2"/>
  <c r="E24" i="2"/>
  <c r="F24" i="2"/>
  <c r="G24" i="2"/>
  <c r="I24" i="2"/>
  <c r="J24" i="2"/>
  <c r="K24" i="2"/>
  <c r="A25" i="2"/>
  <c r="C25" i="2"/>
  <c r="D25" i="2"/>
  <c r="E25" i="2"/>
  <c r="F25" i="2"/>
  <c r="G25" i="2"/>
  <c r="I25" i="2"/>
  <c r="J25" i="2"/>
  <c r="K25" i="2"/>
  <c r="A26" i="2"/>
  <c r="C26" i="2"/>
  <c r="D26" i="2"/>
  <c r="E26" i="2"/>
  <c r="F26" i="2"/>
  <c r="G26" i="2"/>
  <c r="I26" i="2"/>
  <c r="J26" i="2"/>
  <c r="K26" i="2"/>
  <c r="A27" i="2"/>
  <c r="C27" i="2"/>
  <c r="D27" i="2"/>
  <c r="E27" i="2"/>
  <c r="F27" i="2"/>
  <c r="G27" i="2"/>
  <c r="I27" i="2"/>
  <c r="J27" i="2"/>
  <c r="K27" i="2"/>
  <c r="A28" i="2"/>
  <c r="C28" i="2"/>
  <c r="D28" i="2"/>
  <c r="E28" i="2"/>
  <c r="F28" i="2"/>
  <c r="G28" i="2"/>
  <c r="I28" i="2"/>
  <c r="J28" i="2"/>
  <c r="K28" i="2"/>
  <c r="A29" i="2"/>
  <c r="C29" i="2"/>
  <c r="D29" i="2"/>
  <c r="E29" i="2"/>
  <c r="F29" i="2"/>
  <c r="G29" i="2"/>
  <c r="I29" i="2"/>
  <c r="J29" i="2"/>
  <c r="K29" i="2"/>
  <c r="A30" i="2"/>
  <c r="C30" i="2"/>
  <c r="D30" i="2"/>
  <c r="E30" i="2"/>
  <c r="F30" i="2"/>
  <c r="G30" i="2"/>
  <c r="I30" i="2"/>
  <c r="J30" i="2"/>
  <c r="K30" i="2"/>
  <c r="A31" i="2"/>
  <c r="C31" i="2"/>
  <c r="D31" i="2"/>
  <c r="E31" i="2"/>
  <c r="F31" i="2"/>
  <c r="G31" i="2"/>
  <c r="I31" i="2"/>
  <c r="J31" i="2"/>
  <c r="K31" i="2"/>
  <c r="A32" i="2"/>
  <c r="C32" i="2"/>
  <c r="D32" i="2"/>
  <c r="E32" i="2"/>
  <c r="F32" i="2"/>
  <c r="G32" i="2"/>
  <c r="I32" i="2"/>
  <c r="J32" i="2"/>
  <c r="K32" i="2"/>
  <c r="A33" i="2"/>
  <c r="C33" i="2"/>
  <c r="D33" i="2"/>
  <c r="E33" i="2"/>
  <c r="F33" i="2"/>
  <c r="G33" i="2"/>
  <c r="I33" i="2"/>
  <c r="J33" i="2"/>
  <c r="K33" i="2"/>
  <c r="A34" i="2"/>
  <c r="C34" i="2"/>
  <c r="D34" i="2"/>
  <c r="E34" i="2"/>
  <c r="F34" i="2"/>
  <c r="G34" i="2"/>
  <c r="I34" i="2"/>
  <c r="J34" i="2"/>
  <c r="K34" i="2"/>
  <c r="A35" i="2"/>
  <c r="C35" i="2"/>
  <c r="D35" i="2"/>
  <c r="E35" i="2"/>
  <c r="F35" i="2"/>
  <c r="G35" i="2"/>
  <c r="I35" i="2"/>
  <c r="J35" i="2"/>
  <c r="K35" i="2"/>
  <c r="A36" i="2"/>
  <c r="C36" i="2"/>
  <c r="D36" i="2"/>
  <c r="E36" i="2"/>
  <c r="F36" i="2"/>
  <c r="G36" i="2"/>
  <c r="I36" i="2"/>
  <c r="J36" i="2"/>
  <c r="K36" i="2"/>
  <c r="A37" i="2"/>
  <c r="C37" i="2"/>
  <c r="D37" i="2"/>
  <c r="E37" i="2"/>
  <c r="F37" i="2"/>
  <c r="G37" i="2"/>
  <c r="I37" i="2"/>
  <c r="J37" i="2"/>
  <c r="K37" i="2"/>
  <c r="A38" i="2"/>
  <c r="C38" i="2"/>
  <c r="D38" i="2"/>
  <c r="E38" i="2"/>
  <c r="F38" i="2"/>
  <c r="G38" i="2"/>
  <c r="I38" i="2"/>
  <c r="J38" i="2"/>
  <c r="K38" i="2"/>
  <c r="A39" i="2"/>
  <c r="C39" i="2"/>
  <c r="D39" i="2"/>
  <c r="E39" i="2"/>
  <c r="F39" i="2"/>
  <c r="G39" i="2"/>
  <c r="I39" i="2"/>
  <c r="J39" i="2"/>
  <c r="K39" i="2"/>
  <c r="A40" i="2"/>
  <c r="C40" i="2"/>
  <c r="D40" i="2"/>
  <c r="E40" i="2"/>
  <c r="F40" i="2"/>
  <c r="G40" i="2"/>
  <c r="I40" i="2"/>
  <c r="J40" i="2"/>
  <c r="K40" i="2"/>
  <c r="A41" i="2"/>
  <c r="C41" i="2"/>
  <c r="D41" i="2"/>
  <c r="E41" i="2"/>
  <c r="F41" i="2"/>
  <c r="G41" i="2"/>
  <c r="I41" i="2"/>
  <c r="J41" i="2"/>
  <c r="K41" i="2"/>
  <c r="A42" i="2"/>
  <c r="C42" i="2"/>
  <c r="D42" i="2"/>
  <c r="E42" i="2"/>
  <c r="F42" i="2"/>
  <c r="G42" i="2"/>
  <c r="I42" i="2"/>
  <c r="J42" i="2"/>
  <c r="K42" i="2"/>
  <c r="A43" i="2"/>
  <c r="C43" i="2"/>
  <c r="D43" i="2"/>
  <c r="E43" i="2"/>
  <c r="F43" i="2"/>
  <c r="G43" i="2"/>
  <c r="I43" i="2"/>
  <c r="J43" i="2"/>
  <c r="K43" i="2"/>
  <c r="A44" i="2"/>
  <c r="C44" i="2"/>
  <c r="D44" i="2"/>
  <c r="E44" i="2"/>
  <c r="F44" i="2"/>
  <c r="G44" i="2"/>
  <c r="I44" i="2"/>
  <c r="J44" i="2"/>
  <c r="K44" i="2"/>
  <c r="A45" i="2"/>
  <c r="C45" i="2"/>
  <c r="D45" i="2"/>
  <c r="E45" i="2"/>
  <c r="F45" i="2"/>
  <c r="G45" i="2"/>
  <c r="I45" i="2"/>
  <c r="J45" i="2"/>
  <c r="K45" i="2"/>
  <c r="A46" i="2"/>
  <c r="C46" i="2"/>
  <c r="D46" i="2"/>
  <c r="E46" i="2"/>
  <c r="F46" i="2"/>
  <c r="G46" i="2"/>
  <c r="I46" i="2"/>
  <c r="J46" i="2"/>
  <c r="K46" i="2"/>
  <c r="A47" i="2"/>
  <c r="C47" i="2"/>
  <c r="D47" i="2"/>
  <c r="E47" i="2"/>
  <c r="F47" i="2"/>
  <c r="G47" i="2"/>
  <c r="I47" i="2"/>
  <c r="J47" i="2"/>
  <c r="K47" i="2"/>
  <c r="A48" i="2"/>
  <c r="C48" i="2"/>
  <c r="D48" i="2"/>
  <c r="E48" i="2"/>
  <c r="F48" i="2"/>
  <c r="G48" i="2"/>
  <c r="I48" i="2"/>
  <c r="J48" i="2"/>
  <c r="K48" i="2"/>
  <c r="A49" i="2"/>
  <c r="C49" i="2"/>
  <c r="D49" i="2"/>
  <c r="E49" i="2"/>
  <c r="F49" i="2"/>
  <c r="G49" i="2"/>
  <c r="I49" i="2"/>
  <c r="J49" i="2"/>
  <c r="K49" i="2"/>
  <c r="A50" i="2"/>
  <c r="C50" i="2"/>
  <c r="D50" i="2"/>
  <c r="E50" i="2"/>
  <c r="F50" i="2"/>
  <c r="G50" i="2"/>
  <c r="I50" i="2"/>
  <c r="J50" i="2"/>
  <c r="K50" i="2"/>
  <c r="A51" i="2"/>
  <c r="C51" i="2"/>
  <c r="D51" i="2"/>
  <c r="E51" i="2"/>
  <c r="F51" i="2"/>
  <c r="G51" i="2"/>
  <c r="I51" i="2"/>
  <c r="J51" i="2"/>
  <c r="K51" i="2"/>
  <c r="A52" i="2"/>
  <c r="C52" i="2"/>
  <c r="D52" i="2"/>
  <c r="E52" i="2"/>
  <c r="F52" i="2"/>
  <c r="G52" i="2"/>
  <c r="I52" i="2"/>
  <c r="J52" i="2"/>
  <c r="K52" i="2"/>
  <c r="A53" i="2"/>
  <c r="C53" i="2"/>
  <c r="D53" i="2"/>
  <c r="E53" i="2"/>
  <c r="F53" i="2"/>
  <c r="G53" i="2"/>
  <c r="I53" i="2"/>
  <c r="J53" i="2"/>
  <c r="K53" i="2"/>
  <c r="A54" i="2"/>
  <c r="C54" i="2"/>
  <c r="D54" i="2"/>
  <c r="E54" i="2"/>
  <c r="F54" i="2"/>
  <c r="G54" i="2"/>
  <c r="I54" i="2"/>
  <c r="J54" i="2"/>
  <c r="K54" i="2"/>
  <c r="A55" i="2"/>
  <c r="C55" i="2"/>
  <c r="D55" i="2"/>
  <c r="E55" i="2"/>
  <c r="F55" i="2"/>
  <c r="G55" i="2"/>
  <c r="I55" i="2"/>
  <c r="J55" i="2"/>
  <c r="K55" i="2"/>
  <c r="A56" i="2"/>
  <c r="C56" i="2"/>
  <c r="D56" i="2"/>
  <c r="E56" i="2"/>
  <c r="F56" i="2"/>
  <c r="G56" i="2"/>
  <c r="I56" i="2"/>
  <c r="J56" i="2"/>
  <c r="K56" i="2"/>
  <c r="A57" i="2"/>
  <c r="C57" i="2"/>
  <c r="D57" i="2"/>
  <c r="E57" i="2"/>
  <c r="F57" i="2"/>
  <c r="G57" i="2"/>
  <c r="I57" i="2"/>
  <c r="J57" i="2"/>
  <c r="K57" i="2"/>
  <c r="A58" i="2"/>
  <c r="C58" i="2"/>
  <c r="D58" i="2"/>
  <c r="E58" i="2"/>
  <c r="F58" i="2"/>
  <c r="G58" i="2"/>
  <c r="I58" i="2"/>
  <c r="J58" i="2"/>
  <c r="K58" i="2"/>
  <c r="A59" i="2"/>
  <c r="C59" i="2"/>
  <c r="D59" i="2"/>
  <c r="E59" i="2"/>
  <c r="F59" i="2"/>
  <c r="G59" i="2"/>
  <c r="I59" i="2"/>
  <c r="J59" i="2"/>
  <c r="K59" i="2"/>
  <c r="A60" i="2"/>
  <c r="C60" i="2"/>
  <c r="D60" i="2"/>
  <c r="E60" i="2"/>
  <c r="F60" i="2"/>
  <c r="G60" i="2"/>
  <c r="I60" i="2"/>
  <c r="J60" i="2"/>
  <c r="K60" i="2"/>
  <c r="A61" i="2"/>
  <c r="C61" i="2"/>
  <c r="D61" i="2"/>
  <c r="E61" i="2"/>
  <c r="F61" i="2"/>
  <c r="G61" i="2"/>
  <c r="I61" i="2"/>
  <c r="J61" i="2"/>
  <c r="K61" i="2"/>
  <c r="A62" i="2"/>
  <c r="C62" i="2"/>
  <c r="D62" i="2"/>
  <c r="E62" i="2"/>
  <c r="F62" i="2"/>
  <c r="G62" i="2"/>
  <c r="I62" i="2"/>
  <c r="J62" i="2"/>
  <c r="K62" i="2"/>
  <c r="A63" i="2"/>
  <c r="C63" i="2"/>
  <c r="D63" i="2"/>
  <c r="E63" i="2"/>
  <c r="F63" i="2"/>
  <c r="G63" i="2"/>
  <c r="I63" i="2"/>
  <c r="J63" i="2"/>
  <c r="K63" i="2"/>
  <c r="A64" i="2"/>
  <c r="C64" i="2"/>
  <c r="D64" i="2"/>
  <c r="E64" i="2"/>
  <c r="F64" i="2"/>
  <c r="G64" i="2"/>
  <c r="I64" i="2"/>
  <c r="J64" i="2"/>
  <c r="K64" i="2"/>
  <c r="A65" i="2"/>
  <c r="C65" i="2"/>
  <c r="D65" i="2"/>
  <c r="E65" i="2"/>
  <c r="F65" i="2"/>
  <c r="G65" i="2"/>
  <c r="I65" i="2"/>
  <c r="J65" i="2"/>
  <c r="K65" i="2"/>
  <c r="A66" i="2"/>
  <c r="C66" i="2"/>
  <c r="D66" i="2"/>
  <c r="E66" i="2"/>
  <c r="F66" i="2"/>
  <c r="G66" i="2"/>
  <c r="I66" i="2"/>
  <c r="J66" i="2"/>
  <c r="K66" i="2"/>
  <c r="A67" i="2"/>
  <c r="C67" i="2"/>
  <c r="D67" i="2"/>
  <c r="E67" i="2"/>
  <c r="F67" i="2"/>
  <c r="G67" i="2"/>
  <c r="I67" i="2"/>
  <c r="J67" i="2"/>
  <c r="K67" i="2"/>
  <c r="A68" i="2"/>
  <c r="C68" i="2"/>
  <c r="D68" i="2"/>
  <c r="E68" i="2"/>
  <c r="F68" i="2"/>
  <c r="G68" i="2"/>
  <c r="I68" i="2"/>
  <c r="J68" i="2"/>
  <c r="K68" i="2"/>
  <c r="A69" i="2"/>
  <c r="C69" i="2"/>
  <c r="D69" i="2"/>
  <c r="E69" i="2"/>
  <c r="F69" i="2"/>
  <c r="G69" i="2"/>
  <c r="I69" i="2"/>
  <c r="J69" i="2"/>
  <c r="K69" i="2"/>
  <c r="A70" i="2"/>
  <c r="C70" i="2"/>
  <c r="D70" i="2"/>
  <c r="E70" i="2"/>
  <c r="F70" i="2"/>
  <c r="G70" i="2"/>
  <c r="I70" i="2"/>
  <c r="J70" i="2"/>
  <c r="K70" i="2"/>
  <c r="A71" i="2"/>
  <c r="C71" i="2"/>
  <c r="D71" i="2"/>
  <c r="E71" i="2"/>
  <c r="F71" i="2"/>
  <c r="G71" i="2"/>
  <c r="I71" i="2"/>
  <c r="J71" i="2"/>
  <c r="K71" i="2"/>
  <c r="A72" i="2"/>
  <c r="C72" i="2"/>
  <c r="D72" i="2"/>
  <c r="E72" i="2"/>
  <c r="F72" i="2"/>
  <c r="G72" i="2"/>
  <c r="I72" i="2"/>
  <c r="J72" i="2"/>
  <c r="K72" i="2"/>
  <c r="A73" i="2"/>
  <c r="C73" i="2"/>
  <c r="D73" i="2"/>
  <c r="E73" i="2"/>
  <c r="F73" i="2"/>
  <c r="G73" i="2"/>
  <c r="I73" i="2"/>
  <c r="J73" i="2"/>
  <c r="K73" i="2"/>
  <c r="A74" i="2"/>
  <c r="C74" i="2"/>
  <c r="D74" i="2"/>
  <c r="E74" i="2"/>
  <c r="F74" i="2"/>
  <c r="G74" i="2"/>
  <c r="I74" i="2"/>
  <c r="J74" i="2"/>
  <c r="K74" i="2"/>
  <c r="A75" i="2"/>
  <c r="C75" i="2"/>
  <c r="D75" i="2"/>
  <c r="E75" i="2"/>
  <c r="F75" i="2"/>
  <c r="G75" i="2"/>
  <c r="I75" i="2"/>
  <c r="J75" i="2"/>
  <c r="K75" i="2"/>
  <c r="A76" i="2"/>
  <c r="C76" i="2"/>
  <c r="D76" i="2"/>
  <c r="E76" i="2"/>
  <c r="F76" i="2"/>
  <c r="G76" i="2"/>
  <c r="I76" i="2"/>
  <c r="J76" i="2"/>
  <c r="K76" i="2"/>
  <c r="A77" i="2"/>
  <c r="C77" i="2"/>
  <c r="D77" i="2"/>
  <c r="E77" i="2"/>
  <c r="F77" i="2"/>
  <c r="G77" i="2"/>
  <c r="I77" i="2"/>
  <c r="J77" i="2"/>
  <c r="K77" i="2"/>
  <c r="A78" i="2"/>
  <c r="C78" i="2"/>
  <c r="D78" i="2"/>
  <c r="E78" i="2"/>
  <c r="F78" i="2"/>
  <c r="G78" i="2"/>
  <c r="I78" i="2"/>
  <c r="J78" i="2"/>
  <c r="K78" i="2"/>
  <c r="A79" i="2"/>
  <c r="C79" i="2"/>
  <c r="D79" i="2"/>
  <c r="E79" i="2"/>
  <c r="F79" i="2"/>
  <c r="G79" i="2"/>
  <c r="I79" i="2"/>
  <c r="J79" i="2"/>
  <c r="K79" i="2"/>
  <c r="A80" i="2"/>
  <c r="C80" i="2"/>
  <c r="D80" i="2"/>
  <c r="E80" i="2"/>
  <c r="F80" i="2"/>
  <c r="G80" i="2"/>
  <c r="I80" i="2"/>
  <c r="J80" i="2"/>
  <c r="K80" i="2"/>
  <c r="A81" i="2"/>
  <c r="C81" i="2"/>
  <c r="D81" i="2"/>
  <c r="E81" i="2"/>
  <c r="F81" i="2"/>
  <c r="G81" i="2"/>
  <c r="I81" i="2"/>
  <c r="J81" i="2"/>
  <c r="K81" i="2"/>
  <c r="A82" i="2"/>
  <c r="C82" i="2"/>
  <c r="D82" i="2"/>
  <c r="E82" i="2"/>
  <c r="F82" i="2"/>
  <c r="G82" i="2"/>
  <c r="I82" i="2"/>
  <c r="J82" i="2"/>
  <c r="K82" i="2"/>
  <c r="A83" i="2"/>
  <c r="C83" i="2"/>
  <c r="D83" i="2"/>
  <c r="E83" i="2"/>
  <c r="F83" i="2"/>
  <c r="G83" i="2"/>
  <c r="I83" i="2"/>
  <c r="J83" i="2"/>
  <c r="K83" i="2"/>
  <c r="A84" i="2"/>
  <c r="C84" i="2"/>
  <c r="D84" i="2"/>
  <c r="E84" i="2"/>
  <c r="F84" i="2"/>
  <c r="G84" i="2"/>
  <c r="I84" i="2"/>
  <c r="J84" i="2"/>
  <c r="K84" i="2"/>
  <c r="A85" i="2"/>
  <c r="C85" i="2"/>
  <c r="D85" i="2"/>
  <c r="E85" i="2"/>
  <c r="F85" i="2"/>
  <c r="G85" i="2"/>
  <c r="I85" i="2"/>
  <c r="J85" i="2"/>
  <c r="K85" i="2"/>
  <c r="A86" i="2"/>
  <c r="C86" i="2"/>
  <c r="D86" i="2"/>
  <c r="E86" i="2"/>
  <c r="F86" i="2"/>
  <c r="G86" i="2"/>
  <c r="I86" i="2"/>
  <c r="J86" i="2"/>
  <c r="K86" i="2"/>
  <c r="A87" i="2"/>
  <c r="C87" i="2"/>
  <c r="D87" i="2"/>
  <c r="E87" i="2"/>
  <c r="F87" i="2"/>
  <c r="G87" i="2"/>
  <c r="I87" i="2"/>
  <c r="J87" i="2"/>
  <c r="K87" i="2"/>
  <c r="A88" i="2"/>
  <c r="C88" i="2"/>
  <c r="D88" i="2"/>
  <c r="E88" i="2"/>
  <c r="F88" i="2"/>
  <c r="G88" i="2"/>
  <c r="I88" i="2"/>
  <c r="J88" i="2"/>
  <c r="K88" i="2"/>
  <c r="A89" i="2"/>
  <c r="C89" i="2"/>
  <c r="D89" i="2"/>
  <c r="E89" i="2"/>
  <c r="F89" i="2"/>
  <c r="G89" i="2"/>
  <c r="I89" i="2"/>
  <c r="J89" i="2"/>
  <c r="K89" i="2"/>
  <c r="A90" i="2"/>
  <c r="C90" i="2"/>
  <c r="D90" i="2"/>
  <c r="E90" i="2"/>
  <c r="F90" i="2"/>
  <c r="G90" i="2"/>
  <c r="I90" i="2"/>
  <c r="J90" i="2"/>
  <c r="K90" i="2"/>
  <c r="A91" i="2"/>
  <c r="C91" i="2"/>
  <c r="D91" i="2"/>
  <c r="E91" i="2"/>
  <c r="F91" i="2"/>
  <c r="G91" i="2"/>
  <c r="I91" i="2"/>
  <c r="J91" i="2"/>
  <c r="K91" i="2"/>
  <c r="A92" i="2"/>
  <c r="C92" i="2"/>
  <c r="D92" i="2"/>
  <c r="E92" i="2"/>
  <c r="F92" i="2"/>
  <c r="G92" i="2"/>
  <c r="I92" i="2"/>
  <c r="J92" i="2"/>
  <c r="K92" i="2"/>
  <c r="A93" i="2"/>
  <c r="C93" i="2"/>
  <c r="D93" i="2"/>
  <c r="E93" i="2"/>
  <c r="F93" i="2"/>
  <c r="G93" i="2"/>
  <c r="I93" i="2"/>
  <c r="J93" i="2"/>
  <c r="K93" i="2"/>
  <c r="A94" i="2"/>
  <c r="C94" i="2"/>
  <c r="D94" i="2"/>
  <c r="E94" i="2"/>
  <c r="F94" i="2"/>
  <c r="G94" i="2"/>
  <c r="I94" i="2"/>
  <c r="J94" i="2"/>
  <c r="K94" i="2"/>
  <c r="A95" i="2"/>
  <c r="C95" i="2"/>
  <c r="D95" i="2"/>
  <c r="E95" i="2"/>
  <c r="F95" i="2"/>
  <c r="G95" i="2"/>
  <c r="I95" i="2"/>
  <c r="J95" i="2"/>
  <c r="K95" i="2"/>
  <c r="A96" i="2"/>
  <c r="C96" i="2"/>
  <c r="D96" i="2"/>
  <c r="E96" i="2"/>
  <c r="F96" i="2"/>
  <c r="G96" i="2"/>
  <c r="I96" i="2"/>
  <c r="J96" i="2"/>
  <c r="K96" i="2"/>
  <c r="A97" i="2"/>
  <c r="C97" i="2"/>
  <c r="D97" i="2"/>
  <c r="E97" i="2"/>
  <c r="F97" i="2"/>
  <c r="G97" i="2"/>
  <c r="I97" i="2"/>
  <c r="J97" i="2"/>
  <c r="K97" i="2"/>
  <c r="A98" i="2"/>
  <c r="C98" i="2"/>
  <c r="D98" i="2"/>
  <c r="E98" i="2"/>
  <c r="F98" i="2"/>
  <c r="G98" i="2"/>
  <c r="I98" i="2"/>
  <c r="J98" i="2"/>
  <c r="K98" i="2"/>
  <c r="A99" i="2"/>
  <c r="C99" i="2"/>
  <c r="D99" i="2"/>
  <c r="E99" i="2"/>
  <c r="F99" i="2"/>
  <c r="G99" i="2"/>
  <c r="I99" i="2"/>
  <c r="J99" i="2"/>
  <c r="K99" i="2"/>
  <c r="A100" i="2"/>
  <c r="C100" i="2"/>
  <c r="D100" i="2"/>
  <c r="E100" i="2"/>
  <c r="F100" i="2"/>
  <c r="G100" i="2"/>
  <c r="I100" i="2"/>
  <c r="J100" i="2"/>
  <c r="K100" i="2"/>
  <c r="A101" i="2"/>
  <c r="C101" i="2"/>
  <c r="D101" i="2"/>
  <c r="E101" i="2"/>
  <c r="F101" i="2"/>
  <c r="G101" i="2"/>
  <c r="I101" i="2"/>
  <c r="J101" i="2"/>
  <c r="K101" i="2"/>
  <c r="A102" i="2"/>
  <c r="C102" i="2"/>
  <c r="D102" i="2"/>
  <c r="E102" i="2"/>
  <c r="F102" i="2"/>
  <c r="G102" i="2"/>
  <c r="I102" i="2"/>
  <c r="J102" i="2"/>
  <c r="K102" i="2"/>
  <c r="A103" i="2"/>
  <c r="C103" i="2"/>
  <c r="D103" i="2"/>
  <c r="E103" i="2"/>
  <c r="F103" i="2"/>
  <c r="G103" i="2"/>
  <c r="I103" i="2"/>
  <c r="J103" i="2"/>
  <c r="K103" i="2"/>
  <c r="A104" i="2"/>
  <c r="C104" i="2"/>
  <c r="D104" i="2"/>
  <c r="E104" i="2"/>
  <c r="F104" i="2"/>
  <c r="G104" i="2"/>
  <c r="I104" i="2"/>
  <c r="J104" i="2"/>
  <c r="K104" i="2"/>
  <c r="A105" i="2"/>
  <c r="C105" i="2"/>
  <c r="D105" i="2"/>
  <c r="E105" i="2"/>
  <c r="F105" i="2"/>
  <c r="G105" i="2"/>
  <c r="I105" i="2"/>
  <c r="J105" i="2"/>
  <c r="K105" i="2"/>
  <c r="A106" i="2"/>
  <c r="C106" i="2"/>
  <c r="D106" i="2"/>
  <c r="E106" i="2"/>
  <c r="F106" i="2"/>
  <c r="G106" i="2"/>
  <c r="I106" i="2"/>
  <c r="J106" i="2"/>
  <c r="K106" i="2"/>
  <c r="A107" i="2"/>
  <c r="C107" i="2"/>
  <c r="D107" i="2"/>
  <c r="E107" i="2"/>
  <c r="F107" i="2"/>
  <c r="G107" i="2"/>
  <c r="I107" i="2"/>
  <c r="J107" i="2"/>
  <c r="K107" i="2"/>
  <c r="A108" i="2"/>
  <c r="C108" i="2"/>
  <c r="D108" i="2"/>
  <c r="E108" i="2"/>
  <c r="F108" i="2"/>
  <c r="G108" i="2"/>
  <c r="I108" i="2"/>
  <c r="J108" i="2"/>
  <c r="K108" i="2"/>
  <c r="A109" i="2"/>
  <c r="C109" i="2"/>
  <c r="D109" i="2"/>
  <c r="E109" i="2"/>
  <c r="F109" i="2"/>
  <c r="G109" i="2"/>
  <c r="I109" i="2"/>
  <c r="J109" i="2"/>
  <c r="K109" i="2"/>
  <c r="A110" i="2"/>
  <c r="C110" i="2"/>
  <c r="D110" i="2"/>
  <c r="E110" i="2"/>
  <c r="F110" i="2"/>
  <c r="G110" i="2"/>
  <c r="I110" i="2"/>
  <c r="J110" i="2"/>
  <c r="K110" i="2"/>
  <c r="A111" i="2"/>
  <c r="C111" i="2"/>
  <c r="D111" i="2"/>
  <c r="E111" i="2"/>
  <c r="F111" i="2"/>
  <c r="G111" i="2"/>
  <c r="I111" i="2"/>
  <c r="J111" i="2"/>
  <c r="K111" i="2"/>
  <c r="A112" i="2"/>
  <c r="C112" i="2"/>
  <c r="D112" i="2"/>
  <c r="E112" i="2"/>
  <c r="F112" i="2"/>
  <c r="G112" i="2"/>
  <c r="I112" i="2"/>
  <c r="J112" i="2"/>
  <c r="K112" i="2"/>
  <c r="A113" i="2"/>
  <c r="C113" i="2"/>
  <c r="D113" i="2"/>
  <c r="E113" i="2"/>
  <c r="F113" i="2"/>
  <c r="G113" i="2"/>
  <c r="I113" i="2"/>
  <c r="J113" i="2"/>
  <c r="K113" i="2"/>
  <c r="A114" i="2"/>
  <c r="C114" i="2"/>
  <c r="D114" i="2"/>
  <c r="E114" i="2"/>
  <c r="F114" i="2"/>
  <c r="G114" i="2"/>
  <c r="I114" i="2"/>
  <c r="J114" i="2"/>
  <c r="K114" i="2"/>
  <c r="A115" i="2"/>
  <c r="C115" i="2"/>
  <c r="D115" i="2"/>
  <c r="E115" i="2"/>
  <c r="F115" i="2"/>
  <c r="G115" i="2"/>
  <c r="I115" i="2"/>
  <c r="J115" i="2"/>
  <c r="K115" i="2"/>
  <c r="A116" i="2"/>
  <c r="C116" i="2"/>
  <c r="D116" i="2"/>
  <c r="E116" i="2"/>
  <c r="F116" i="2"/>
  <c r="G116" i="2"/>
  <c r="I116" i="2"/>
  <c r="J116" i="2"/>
  <c r="K116" i="2"/>
  <c r="A117" i="2"/>
  <c r="C117" i="2"/>
  <c r="D117" i="2"/>
  <c r="E117" i="2"/>
  <c r="F117" i="2"/>
  <c r="G117" i="2"/>
  <c r="I117" i="2"/>
  <c r="J117" i="2"/>
  <c r="K117" i="2"/>
  <c r="A118" i="2"/>
  <c r="C118" i="2"/>
  <c r="D118" i="2"/>
  <c r="E118" i="2"/>
  <c r="F118" i="2"/>
  <c r="G118" i="2"/>
  <c r="I118" i="2"/>
  <c r="J118" i="2"/>
  <c r="K118" i="2"/>
  <c r="A119" i="2"/>
  <c r="C119" i="2"/>
  <c r="D119" i="2"/>
  <c r="E119" i="2"/>
  <c r="F119" i="2"/>
  <c r="G119" i="2"/>
  <c r="I119" i="2"/>
  <c r="J119" i="2"/>
  <c r="K119" i="2"/>
  <c r="A120" i="2"/>
  <c r="C120" i="2"/>
  <c r="D120" i="2"/>
  <c r="E120" i="2"/>
  <c r="F120" i="2"/>
  <c r="G120" i="2"/>
  <c r="I120" i="2"/>
  <c r="J120" i="2"/>
  <c r="K120" i="2"/>
  <c r="A121" i="2"/>
  <c r="C121" i="2"/>
  <c r="D121" i="2"/>
  <c r="E121" i="2"/>
  <c r="F121" i="2"/>
  <c r="G121" i="2"/>
  <c r="I121" i="2"/>
  <c r="J121" i="2"/>
  <c r="K121" i="2"/>
  <c r="A122" i="2"/>
  <c r="C122" i="2"/>
  <c r="D122" i="2"/>
  <c r="E122" i="2"/>
  <c r="F122" i="2"/>
  <c r="G122" i="2"/>
  <c r="I122" i="2"/>
  <c r="J122" i="2"/>
  <c r="K122" i="2"/>
  <c r="A123" i="2"/>
  <c r="C123" i="2"/>
  <c r="D123" i="2"/>
  <c r="E123" i="2"/>
  <c r="F123" i="2"/>
  <c r="G123" i="2"/>
  <c r="I123" i="2"/>
  <c r="J123" i="2"/>
  <c r="K123" i="2"/>
  <c r="A124" i="2"/>
  <c r="C124" i="2"/>
  <c r="D124" i="2"/>
  <c r="E124" i="2"/>
  <c r="F124" i="2"/>
  <c r="G124" i="2"/>
  <c r="I124" i="2"/>
  <c r="J124" i="2"/>
  <c r="K124" i="2"/>
  <c r="A125" i="2"/>
  <c r="C125" i="2"/>
  <c r="D125" i="2"/>
  <c r="E125" i="2"/>
  <c r="F125" i="2"/>
  <c r="G125" i="2"/>
  <c r="I125" i="2"/>
  <c r="J125" i="2"/>
  <c r="K125" i="2"/>
  <c r="A126" i="2"/>
  <c r="C126" i="2"/>
  <c r="D126" i="2"/>
  <c r="E126" i="2"/>
  <c r="F126" i="2"/>
  <c r="G126" i="2"/>
  <c r="I126" i="2"/>
  <c r="J126" i="2"/>
  <c r="K126" i="2"/>
  <c r="A127" i="2"/>
  <c r="C127" i="2"/>
  <c r="D127" i="2"/>
  <c r="E127" i="2"/>
  <c r="F127" i="2"/>
  <c r="G127" i="2"/>
  <c r="I127" i="2"/>
  <c r="J127" i="2"/>
  <c r="K127" i="2"/>
  <c r="A128" i="2"/>
  <c r="C128" i="2"/>
  <c r="D128" i="2"/>
  <c r="E128" i="2"/>
  <c r="F128" i="2"/>
  <c r="G128" i="2"/>
  <c r="I128" i="2"/>
  <c r="J128" i="2"/>
  <c r="K128" i="2"/>
  <c r="A129" i="2"/>
  <c r="C129" i="2"/>
  <c r="D129" i="2"/>
  <c r="E129" i="2"/>
  <c r="F129" i="2"/>
  <c r="G129" i="2"/>
  <c r="I129" i="2"/>
  <c r="J129" i="2"/>
  <c r="K129" i="2"/>
  <c r="A130" i="2"/>
  <c r="C130" i="2"/>
  <c r="D130" i="2"/>
  <c r="E130" i="2"/>
  <c r="F130" i="2"/>
  <c r="G130" i="2"/>
  <c r="I130" i="2"/>
  <c r="J130" i="2"/>
  <c r="K130" i="2"/>
  <c r="A131" i="2"/>
  <c r="C131" i="2"/>
  <c r="D131" i="2"/>
  <c r="E131" i="2"/>
  <c r="F131" i="2"/>
  <c r="G131" i="2"/>
  <c r="I131" i="2"/>
  <c r="J131" i="2"/>
  <c r="K131" i="2"/>
  <c r="A132" i="2"/>
  <c r="C132" i="2"/>
  <c r="D132" i="2"/>
  <c r="E132" i="2"/>
  <c r="F132" i="2"/>
  <c r="G132" i="2"/>
  <c r="I132" i="2"/>
  <c r="J132" i="2"/>
  <c r="K132" i="2"/>
  <c r="A133" i="2"/>
  <c r="C133" i="2"/>
  <c r="D133" i="2"/>
  <c r="E133" i="2"/>
  <c r="F133" i="2"/>
  <c r="G133" i="2"/>
  <c r="I133" i="2"/>
  <c r="J133" i="2"/>
  <c r="K133" i="2"/>
  <c r="A134" i="2"/>
  <c r="C134" i="2"/>
  <c r="D134" i="2"/>
  <c r="E134" i="2"/>
  <c r="F134" i="2"/>
  <c r="G134" i="2"/>
  <c r="I134" i="2"/>
  <c r="J134" i="2"/>
  <c r="K134" i="2"/>
  <c r="A135" i="2"/>
  <c r="C135" i="2"/>
  <c r="D135" i="2"/>
  <c r="E135" i="2"/>
  <c r="F135" i="2"/>
  <c r="G135" i="2"/>
  <c r="I135" i="2"/>
  <c r="J135" i="2"/>
  <c r="K135" i="2"/>
  <c r="A136" i="2"/>
  <c r="C136" i="2"/>
  <c r="D136" i="2"/>
  <c r="E136" i="2"/>
  <c r="F136" i="2"/>
  <c r="G136" i="2"/>
  <c r="I136" i="2"/>
  <c r="J136" i="2"/>
  <c r="K136" i="2"/>
  <c r="A137" i="2"/>
  <c r="C137" i="2"/>
  <c r="D137" i="2"/>
  <c r="E137" i="2"/>
  <c r="F137" i="2"/>
  <c r="G137" i="2"/>
  <c r="I137" i="2"/>
  <c r="J137" i="2"/>
  <c r="K137" i="2"/>
  <c r="A138" i="2"/>
  <c r="C138" i="2"/>
  <c r="D138" i="2"/>
  <c r="E138" i="2"/>
  <c r="F138" i="2"/>
  <c r="G138" i="2"/>
  <c r="I138" i="2"/>
  <c r="J138" i="2"/>
  <c r="K138" i="2"/>
  <c r="A139" i="2"/>
  <c r="C139" i="2"/>
  <c r="D139" i="2"/>
  <c r="E139" i="2"/>
  <c r="F139" i="2"/>
  <c r="G139" i="2"/>
  <c r="I139" i="2"/>
  <c r="J139" i="2"/>
  <c r="K139" i="2"/>
  <c r="A140" i="2"/>
  <c r="C140" i="2"/>
  <c r="D140" i="2"/>
  <c r="E140" i="2"/>
  <c r="F140" i="2"/>
  <c r="G140" i="2"/>
  <c r="I140" i="2"/>
  <c r="J140" i="2"/>
  <c r="K140" i="2"/>
  <c r="A141" i="2"/>
  <c r="C141" i="2"/>
  <c r="D141" i="2"/>
  <c r="E141" i="2"/>
  <c r="F141" i="2"/>
  <c r="G141" i="2"/>
  <c r="I141" i="2"/>
  <c r="J141" i="2"/>
  <c r="K141" i="2"/>
  <c r="A142" i="2"/>
  <c r="C142" i="2"/>
  <c r="D142" i="2"/>
  <c r="E142" i="2"/>
  <c r="F142" i="2"/>
  <c r="G142" i="2"/>
  <c r="I142" i="2"/>
  <c r="J142" i="2"/>
  <c r="K142" i="2"/>
  <c r="A143" i="2"/>
  <c r="C143" i="2"/>
  <c r="D143" i="2"/>
  <c r="E143" i="2"/>
  <c r="F143" i="2"/>
  <c r="G143" i="2"/>
  <c r="I143" i="2"/>
  <c r="J143" i="2"/>
  <c r="K143" i="2"/>
  <c r="A144" i="2"/>
  <c r="C144" i="2"/>
  <c r="D144" i="2"/>
  <c r="E144" i="2"/>
  <c r="F144" i="2"/>
  <c r="G144" i="2"/>
  <c r="I144" i="2"/>
  <c r="J144" i="2"/>
  <c r="K144" i="2"/>
  <c r="A145" i="2"/>
  <c r="C145" i="2"/>
  <c r="D145" i="2"/>
  <c r="E145" i="2"/>
  <c r="F145" i="2"/>
  <c r="G145" i="2"/>
  <c r="I145" i="2"/>
  <c r="J145" i="2"/>
  <c r="K145" i="2"/>
  <c r="A146" i="2"/>
  <c r="C146" i="2"/>
  <c r="D146" i="2"/>
  <c r="E146" i="2"/>
  <c r="F146" i="2"/>
  <c r="G146" i="2"/>
  <c r="I146" i="2"/>
  <c r="J146" i="2"/>
  <c r="K146" i="2"/>
  <c r="A147" i="2"/>
  <c r="C147" i="2"/>
  <c r="D147" i="2"/>
  <c r="E147" i="2"/>
  <c r="F147" i="2"/>
  <c r="G147" i="2"/>
  <c r="I147" i="2"/>
  <c r="J147" i="2"/>
  <c r="K147" i="2"/>
  <c r="A148" i="2"/>
  <c r="C148" i="2"/>
  <c r="D148" i="2"/>
  <c r="E148" i="2"/>
  <c r="F148" i="2"/>
  <c r="G148" i="2"/>
  <c r="I148" i="2"/>
  <c r="J148" i="2"/>
  <c r="K148" i="2"/>
  <c r="A149" i="2"/>
  <c r="C149" i="2"/>
  <c r="D149" i="2"/>
  <c r="E149" i="2"/>
  <c r="F149" i="2"/>
  <c r="G149" i="2"/>
  <c r="I149" i="2"/>
  <c r="J149" i="2"/>
  <c r="K149" i="2"/>
  <c r="A150" i="2"/>
  <c r="C150" i="2"/>
  <c r="D150" i="2"/>
  <c r="E150" i="2"/>
  <c r="F150" i="2"/>
  <c r="G150" i="2"/>
  <c r="I150" i="2"/>
  <c r="J150" i="2"/>
  <c r="K150" i="2"/>
  <c r="A151" i="2"/>
  <c r="C151" i="2"/>
  <c r="D151" i="2"/>
  <c r="E151" i="2"/>
  <c r="F151" i="2"/>
  <c r="G151" i="2"/>
  <c r="I151" i="2"/>
  <c r="J151" i="2"/>
  <c r="K151" i="2"/>
  <c r="A152" i="2"/>
  <c r="C152" i="2"/>
  <c r="D152" i="2"/>
  <c r="E152" i="2"/>
  <c r="F152" i="2"/>
  <c r="G152" i="2"/>
  <c r="I152" i="2"/>
  <c r="J152" i="2"/>
  <c r="K152" i="2"/>
  <c r="A153" i="2"/>
  <c r="C153" i="2"/>
  <c r="D153" i="2"/>
  <c r="E153" i="2"/>
  <c r="F153" i="2"/>
  <c r="G153" i="2"/>
  <c r="I153" i="2"/>
  <c r="J153" i="2"/>
  <c r="K153" i="2"/>
  <c r="A154" i="2"/>
  <c r="C154" i="2"/>
  <c r="D154" i="2"/>
  <c r="E154" i="2"/>
  <c r="F154" i="2"/>
  <c r="G154" i="2"/>
  <c r="I154" i="2"/>
  <c r="J154" i="2"/>
  <c r="K154" i="2"/>
  <c r="A155" i="2"/>
  <c r="C155" i="2"/>
  <c r="D155" i="2"/>
  <c r="E155" i="2"/>
  <c r="F155" i="2"/>
  <c r="G155" i="2"/>
  <c r="I155" i="2"/>
  <c r="J155" i="2"/>
  <c r="K155" i="2"/>
  <c r="A156" i="2"/>
  <c r="C156" i="2"/>
  <c r="D156" i="2"/>
  <c r="E156" i="2"/>
  <c r="F156" i="2"/>
  <c r="G156" i="2"/>
  <c r="I156" i="2"/>
  <c r="J156" i="2"/>
  <c r="K156" i="2"/>
  <c r="A157" i="2"/>
  <c r="C157" i="2"/>
  <c r="D157" i="2"/>
  <c r="E157" i="2"/>
  <c r="F157" i="2"/>
  <c r="G157" i="2"/>
  <c r="I157" i="2"/>
  <c r="J157" i="2"/>
  <c r="K157" i="2"/>
  <c r="A158" i="2"/>
  <c r="C158" i="2"/>
  <c r="D158" i="2"/>
  <c r="E158" i="2"/>
  <c r="F158" i="2"/>
  <c r="G158" i="2"/>
  <c r="I158" i="2"/>
  <c r="J158" i="2"/>
  <c r="K158" i="2"/>
  <c r="A159" i="2"/>
  <c r="C159" i="2"/>
  <c r="D159" i="2"/>
  <c r="E159" i="2"/>
  <c r="F159" i="2"/>
  <c r="G159" i="2"/>
  <c r="I159" i="2"/>
  <c r="J159" i="2"/>
  <c r="K159" i="2"/>
  <c r="A160" i="2"/>
  <c r="C160" i="2"/>
  <c r="D160" i="2"/>
  <c r="E160" i="2"/>
  <c r="F160" i="2"/>
  <c r="G160" i="2"/>
  <c r="I160" i="2"/>
  <c r="J160" i="2"/>
  <c r="K160" i="2"/>
  <c r="A161" i="2"/>
  <c r="C161" i="2"/>
  <c r="D161" i="2"/>
  <c r="E161" i="2"/>
  <c r="F161" i="2"/>
  <c r="G161" i="2"/>
  <c r="I161" i="2"/>
  <c r="J161" i="2"/>
  <c r="K161" i="2"/>
  <c r="A162" i="2"/>
  <c r="C162" i="2"/>
  <c r="D162" i="2"/>
  <c r="E162" i="2"/>
  <c r="F162" i="2"/>
  <c r="G162" i="2"/>
  <c r="I162" i="2"/>
  <c r="J162" i="2"/>
  <c r="K162" i="2"/>
  <c r="A163" i="2"/>
  <c r="C163" i="2"/>
  <c r="D163" i="2"/>
  <c r="E163" i="2"/>
  <c r="F163" i="2"/>
  <c r="G163" i="2"/>
  <c r="I163" i="2"/>
  <c r="J163" i="2"/>
  <c r="K163" i="2"/>
  <c r="A164" i="2"/>
  <c r="C164" i="2"/>
  <c r="D164" i="2"/>
  <c r="E164" i="2"/>
  <c r="F164" i="2"/>
  <c r="G164" i="2"/>
  <c r="I164" i="2"/>
  <c r="J164" i="2"/>
  <c r="K164" i="2"/>
  <c r="A165" i="2"/>
  <c r="C165" i="2"/>
  <c r="D165" i="2"/>
  <c r="E165" i="2"/>
  <c r="F165" i="2"/>
  <c r="G165" i="2"/>
  <c r="I165" i="2"/>
  <c r="J165" i="2"/>
  <c r="K165" i="2"/>
  <c r="A166" i="2"/>
  <c r="C166" i="2"/>
  <c r="D166" i="2"/>
  <c r="E166" i="2"/>
  <c r="F166" i="2"/>
  <c r="G166" i="2"/>
  <c r="I166" i="2"/>
  <c r="J166" i="2"/>
  <c r="K166" i="2"/>
  <c r="A167" i="2"/>
  <c r="C167" i="2"/>
  <c r="D167" i="2"/>
  <c r="E167" i="2"/>
  <c r="F167" i="2"/>
  <c r="G167" i="2"/>
  <c r="I167" i="2"/>
  <c r="J167" i="2"/>
  <c r="K167" i="2"/>
  <c r="A168" i="2"/>
  <c r="C168" i="2"/>
  <c r="D168" i="2"/>
  <c r="E168" i="2"/>
  <c r="F168" i="2"/>
  <c r="G168" i="2"/>
  <c r="I168" i="2"/>
  <c r="J168" i="2"/>
  <c r="K168" i="2"/>
  <c r="A169" i="2"/>
  <c r="C169" i="2"/>
  <c r="D169" i="2"/>
  <c r="E169" i="2"/>
  <c r="F169" i="2"/>
  <c r="G169" i="2"/>
  <c r="I169" i="2"/>
  <c r="J169" i="2"/>
  <c r="K169" i="2"/>
  <c r="A170" i="2"/>
  <c r="C170" i="2"/>
  <c r="D170" i="2"/>
  <c r="E170" i="2"/>
  <c r="F170" i="2"/>
  <c r="G170" i="2"/>
  <c r="I170" i="2"/>
  <c r="J170" i="2"/>
  <c r="K170" i="2"/>
  <c r="A171" i="2"/>
  <c r="C171" i="2"/>
  <c r="D171" i="2"/>
  <c r="E171" i="2"/>
  <c r="F171" i="2"/>
  <c r="G171" i="2"/>
  <c r="I171" i="2"/>
  <c r="J171" i="2"/>
  <c r="K171" i="2"/>
  <c r="A172" i="2"/>
  <c r="C172" i="2"/>
  <c r="D172" i="2"/>
  <c r="E172" i="2"/>
  <c r="F172" i="2"/>
  <c r="G172" i="2"/>
  <c r="I172" i="2"/>
  <c r="J172" i="2"/>
  <c r="K172" i="2"/>
  <c r="A173" i="2"/>
  <c r="C173" i="2"/>
  <c r="D173" i="2"/>
  <c r="E173" i="2"/>
  <c r="F173" i="2"/>
  <c r="G173" i="2"/>
  <c r="I173" i="2"/>
  <c r="J173" i="2"/>
  <c r="K173" i="2"/>
  <c r="A174" i="2"/>
  <c r="C174" i="2"/>
  <c r="D174" i="2"/>
  <c r="E174" i="2"/>
  <c r="F174" i="2"/>
  <c r="G174" i="2"/>
  <c r="I174" i="2"/>
  <c r="J174" i="2"/>
  <c r="K174" i="2"/>
  <c r="A175" i="2"/>
  <c r="C175" i="2"/>
  <c r="D175" i="2"/>
  <c r="E175" i="2"/>
  <c r="F175" i="2"/>
  <c r="G175" i="2"/>
  <c r="I175" i="2"/>
  <c r="J175" i="2"/>
  <c r="K175" i="2"/>
  <c r="A176" i="2"/>
  <c r="C176" i="2"/>
  <c r="D176" i="2"/>
  <c r="E176" i="2"/>
  <c r="F176" i="2"/>
  <c r="G176" i="2"/>
  <c r="I176" i="2"/>
  <c r="J176" i="2"/>
  <c r="K176" i="2"/>
  <c r="A177" i="2"/>
  <c r="C177" i="2"/>
  <c r="D177" i="2"/>
  <c r="E177" i="2"/>
  <c r="F177" i="2"/>
  <c r="G177" i="2"/>
  <c r="I177" i="2"/>
  <c r="J177" i="2"/>
  <c r="K177" i="2"/>
  <c r="A178" i="2"/>
  <c r="C178" i="2"/>
  <c r="D178" i="2"/>
  <c r="E178" i="2"/>
  <c r="F178" i="2"/>
  <c r="G178" i="2"/>
  <c r="I178" i="2"/>
  <c r="J178" i="2"/>
  <c r="K178" i="2"/>
  <c r="A179" i="2"/>
  <c r="C179" i="2"/>
  <c r="D179" i="2"/>
  <c r="E179" i="2"/>
  <c r="F179" i="2"/>
  <c r="G179" i="2"/>
  <c r="I179" i="2"/>
  <c r="J179" i="2"/>
  <c r="K179" i="2"/>
  <c r="A180" i="2"/>
  <c r="C180" i="2"/>
  <c r="D180" i="2"/>
  <c r="E180" i="2"/>
  <c r="F180" i="2"/>
  <c r="G180" i="2"/>
  <c r="I180" i="2"/>
  <c r="J180" i="2"/>
  <c r="K180" i="2"/>
  <c r="A181" i="2"/>
  <c r="C181" i="2"/>
  <c r="D181" i="2"/>
  <c r="E181" i="2"/>
  <c r="F181" i="2"/>
  <c r="G181" i="2"/>
  <c r="I181" i="2"/>
  <c r="J181" i="2"/>
  <c r="K181" i="2"/>
  <c r="A182" i="2"/>
  <c r="C182" i="2"/>
  <c r="D182" i="2"/>
  <c r="E182" i="2"/>
  <c r="F182" i="2"/>
  <c r="G182" i="2"/>
  <c r="I182" i="2"/>
  <c r="J182" i="2"/>
  <c r="K182" i="2"/>
  <c r="A183" i="2"/>
  <c r="C183" i="2"/>
  <c r="D183" i="2"/>
  <c r="E183" i="2"/>
  <c r="F183" i="2"/>
  <c r="G183" i="2"/>
  <c r="I183" i="2"/>
  <c r="J183" i="2"/>
  <c r="K183" i="2"/>
  <c r="A184" i="2"/>
  <c r="C184" i="2"/>
  <c r="D184" i="2"/>
  <c r="E184" i="2"/>
  <c r="F184" i="2"/>
  <c r="G184" i="2"/>
  <c r="I184" i="2"/>
  <c r="J184" i="2"/>
  <c r="K184" i="2"/>
  <c r="A185" i="2"/>
  <c r="C185" i="2"/>
  <c r="D185" i="2"/>
  <c r="E185" i="2"/>
  <c r="F185" i="2"/>
  <c r="G185" i="2"/>
  <c r="I185" i="2"/>
  <c r="J185" i="2"/>
  <c r="K185" i="2"/>
  <c r="A186" i="2"/>
  <c r="C186" i="2"/>
  <c r="D186" i="2"/>
  <c r="E186" i="2"/>
  <c r="F186" i="2"/>
  <c r="G186" i="2"/>
  <c r="I186" i="2"/>
  <c r="J186" i="2"/>
  <c r="K186" i="2"/>
  <c r="A187" i="2"/>
  <c r="C187" i="2"/>
  <c r="D187" i="2"/>
  <c r="E187" i="2"/>
  <c r="F187" i="2"/>
  <c r="G187" i="2"/>
  <c r="I187" i="2"/>
  <c r="J187" i="2"/>
  <c r="K187" i="2"/>
  <c r="A188" i="2"/>
  <c r="C188" i="2"/>
  <c r="D188" i="2"/>
  <c r="E188" i="2"/>
  <c r="F188" i="2"/>
  <c r="G188" i="2"/>
  <c r="I188" i="2"/>
  <c r="J188" i="2"/>
  <c r="K188" i="2"/>
  <c r="A189" i="2"/>
  <c r="C189" i="2"/>
  <c r="D189" i="2"/>
  <c r="E189" i="2"/>
  <c r="F189" i="2"/>
  <c r="G189" i="2"/>
  <c r="I189" i="2"/>
  <c r="J189" i="2"/>
  <c r="K189" i="2"/>
  <c r="A190" i="2"/>
  <c r="C190" i="2"/>
  <c r="D190" i="2"/>
  <c r="E190" i="2"/>
  <c r="F190" i="2"/>
  <c r="G190" i="2"/>
  <c r="I190" i="2"/>
  <c r="J190" i="2"/>
  <c r="K190" i="2"/>
  <c r="A191" i="2"/>
  <c r="C191" i="2"/>
  <c r="D191" i="2"/>
  <c r="E191" i="2"/>
  <c r="F191" i="2"/>
  <c r="G191" i="2"/>
  <c r="I191" i="2"/>
  <c r="J191" i="2"/>
  <c r="K191" i="2"/>
  <c r="A192" i="2"/>
  <c r="C192" i="2"/>
  <c r="D192" i="2"/>
  <c r="E192" i="2"/>
  <c r="F192" i="2"/>
  <c r="G192" i="2"/>
  <c r="I192" i="2"/>
  <c r="J192" i="2"/>
  <c r="K192" i="2"/>
  <c r="A193" i="2"/>
  <c r="C193" i="2"/>
  <c r="D193" i="2"/>
  <c r="E193" i="2"/>
  <c r="F193" i="2"/>
  <c r="G193" i="2"/>
  <c r="I193" i="2"/>
  <c r="J193" i="2"/>
  <c r="K193" i="2"/>
  <c r="A194" i="2"/>
  <c r="C194" i="2"/>
  <c r="D194" i="2"/>
  <c r="E194" i="2"/>
  <c r="F194" i="2"/>
  <c r="G194" i="2"/>
  <c r="I194" i="2"/>
  <c r="J194" i="2"/>
  <c r="K194" i="2"/>
  <c r="A195" i="2"/>
  <c r="C195" i="2"/>
  <c r="D195" i="2"/>
  <c r="E195" i="2"/>
  <c r="F195" i="2"/>
  <c r="G195" i="2"/>
  <c r="I195" i="2"/>
  <c r="J195" i="2"/>
  <c r="K195" i="2"/>
  <c r="A196" i="2"/>
  <c r="C196" i="2"/>
  <c r="D196" i="2"/>
  <c r="E196" i="2"/>
  <c r="F196" i="2"/>
  <c r="G196" i="2"/>
  <c r="I196" i="2"/>
  <c r="J196" i="2"/>
  <c r="K196" i="2"/>
  <c r="A197" i="2"/>
  <c r="C197" i="2"/>
  <c r="D197" i="2"/>
  <c r="E197" i="2"/>
  <c r="F197" i="2"/>
  <c r="G197" i="2"/>
  <c r="I197" i="2"/>
  <c r="J197" i="2"/>
  <c r="K197" i="2"/>
  <c r="A198" i="2"/>
  <c r="C198" i="2"/>
  <c r="D198" i="2"/>
  <c r="E198" i="2"/>
  <c r="F198" i="2"/>
  <c r="G198" i="2"/>
  <c r="I198" i="2"/>
  <c r="J198" i="2"/>
  <c r="K198" i="2"/>
  <c r="A199" i="2"/>
  <c r="C199" i="2"/>
  <c r="D199" i="2"/>
  <c r="E199" i="2"/>
  <c r="F199" i="2"/>
  <c r="G199" i="2"/>
  <c r="I199" i="2"/>
  <c r="J199" i="2"/>
  <c r="K199" i="2"/>
  <c r="A200" i="2"/>
  <c r="C200" i="2"/>
  <c r="D200" i="2"/>
  <c r="E200" i="2"/>
  <c r="F200" i="2"/>
  <c r="G200" i="2"/>
  <c r="I200" i="2"/>
  <c r="J200" i="2"/>
  <c r="K200" i="2"/>
  <c r="A201" i="2"/>
  <c r="C201" i="2"/>
  <c r="D201" i="2"/>
  <c r="E201" i="2"/>
  <c r="F201" i="2"/>
  <c r="G201" i="2"/>
  <c r="I201" i="2"/>
  <c r="J201" i="2"/>
  <c r="K201" i="2"/>
  <c r="A202" i="2"/>
  <c r="C202" i="2"/>
  <c r="D202" i="2"/>
  <c r="E202" i="2"/>
  <c r="F202" i="2"/>
  <c r="G202" i="2"/>
  <c r="I202" i="2"/>
  <c r="J202" i="2"/>
  <c r="K202" i="2"/>
  <c r="A203" i="2"/>
  <c r="C203" i="2"/>
  <c r="D203" i="2"/>
  <c r="E203" i="2"/>
  <c r="F203" i="2"/>
  <c r="G203" i="2"/>
  <c r="I203" i="2"/>
  <c r="J203" i="2"/>
  <c r="K203" i="2"/>
  <c r="A204" i="2"/>
  <c r="C204" i="2"/>
  <c r="D204" i="2"/>
  <c r="E204" i="2"/>
  <c r="F204" i="2"/>
  <c r="G204" i="2"/>
  <c r="I204" i="2"/>
  <c r="J204" i="2"/>
  <c r="K204" i="2"/>
  <c r="A205" i="2"/>
  <c r="C205" i="2"/>
  <c r="D205" i="2"/>
  <c r="E205" i="2"/>
  <c r="F205" i="2"/>
  <c r="G205" i="2"/>
  <c r="I205" i="2"/>
  <c r="J205" i="2"/>
  <c r="K205" i="2"/>
  <c r="A206" i="2"/>
  <c r="C206" i="2"/>
  <c r="D206" i="2"/>
  <c r="E206" i="2"/>
  <c r="F206" i="2"/>
  <c r="G206" i="2"/>
  <c r="I206" i="2"/>
  <c r="J206" i="2"/>
  <c r="K206" i="2"/>
  <c r="A207" i="2"/>
  <c r="C207" i="2"/>
  <c r="D207" i="2"/>
  <c r="E207" i="2"/>
  <c r="F207" i="2"/>
  <c r="G207" i="2"/>
  <c r="I207" i="2"/>
  <c r="J207" i="2"/>
  <c r="K207" i="2"/>
  <c r="A208" i="2"/>
  <c r="C208" i="2"/>
  <c r="D208" i="2"/>
  <c r="E208" i="2"/>
  <c r="F208" i="2"/>
  <c r="G208" i="2"/>
  <c r="I208" i="2"/>
  <c r="J208" i="2"/>
  <c r="K208" i="2"/>
  <c r="A209" i="2"/>
  <c r="C209" i="2"/>
  <c r="D209" i="2"/>
  <c r="E209" i="2"/>
  <c r="F209" i="2"/>
  <c r="G209" i="2"/>
  <c r="I209" i="2"/>
  <c r="J209" i="2"/>
  <c r="K209" i="2"/>
  <c r="A210" i="2"/>
  <c r="C210" i="2"/>
  <c r="D210" i="2"/>
  <c r="E210" i="2"/>
  <c r="F210" i="2"/>
  <c r="G210" i="2"/>
  <c r="I210" i="2"/>
  <c r="J210" i="2"/>
  <c r="K210" i="2"/>
  <c r="A211" i="2"/>
  <c r="C211" i="2"/>
  <c r="D211" i="2"/>
  <c r="E211" i="2"/>
  <c r="F211" i="2"/>
  <c r="G211" i="2"/>
  <c r="I211" i="2"/>
  <c r="J211" i="2"/>
  <c r="K211" i="2"/>
  <c r="A212" i="2"/>
  <c r="C212" i="2"/>
  <c r="D212" i="2"/>
  <c r="E212" i="2"/>
  <c r="F212" i="2"/>
  <c r="G212" i="2"/>
  <c r="I212" i="2"/>
  <c r="J212" i="2"/>
  <c r="K212" i="2"/>
  <c r="A213" i="2"/>
  <c r="C213" i="2"/>
  <c r="D213" i="2"/>
  <c r="E213" i="2"/>
  <c r="F213" i="2"/>
  <c r="G213" i="2"/>
  <c r="I213" i="2"/>
  <c r="J213" i="2"/>
  <c r="K213" i="2"/>
  <c r="A214" i="2"/>
  <c r="C214" i="2"/>
  <c r="D214" i="2"/>
  <c r="E214" i="2"/>
  <c r="F214" i="2"/>
  <c r="G214" i="2"/>
  <c r="I214" i="2"/>
  <c r="J214" i="2"/>
  <c r="K214" i="2"/>
  <c r="A215" i="2"/>
  <c r="C215" i="2"/>
  <c r="D215" i="2"/>
  <c r="E215" i="2"/>
  <c r="F215" i="2"/>
  <c r="G215" i="2"/>
  <c r="I215" i="2"/>
  <c r="J215" i="2"/>
  <c r="K215" i="2"/>
  <c r="A216" i="2"/>
  <c r="C216" i="2"/>
  <c r="D216" i="2"/>
  <c r="E216" i="2"/>
  <c r="F216" i="2"/>
  <c r="G216" i="2"/>
  <c r="I216" i="2"/>
  <c r="J216" i="2"/>
  <c r="K216" i="2"/>
  <c r="A217" i="2"/>
  <c r="C217" i="2"/>
  <c r="D217" i="2"/>
  <c r="E217" i="2"/>
  <c r="F217" i="2"/>
  <c r="G217" i="2"/>
  <c r="I217" i="2"/>
  <c r="J217" i="2"/>
  <c r="K217" i="2"/>
  <c r="A218" i="2"/>
  <c r="C218" i="2"/>
  <c r="D218" i="2"/>
  <c r="E218" i="2"/>
  <c r="F218" i="2"/>
  <c r="G218" i="2"/>
  <c r="I218" i="2"/>
  <c r="J218" i="2"/>
  <c r="K218" i="2"/>
  <c r="A219" i="2"/>
  <c r="C219" i="2"/>
  <c r="D219" i="2"/>
  <c r="E219" i="2"/>
  <c r="F219" i="2"/>
  <c r="G219" i="2"/>
  <c r="I219" i="2"/>
  <c r="J219" i="2"/>
  <c r="K219" i="2"/>
  <c r="A220" i="2"/>
  <c r="C220" i="2"/>
  <c r="D220" i="2"/>
  <c r="E220" i="2"/>
  <c r="F220" i="2"/>
  <c r="G220" i="2"/>
  <c r="I220" i="2"/>
  <c r="J220" i="2"/>
  <c r="K220" i="2"/>
  <c r="A221" i="2"/>
  <c r="C221" i="2"/>
  <c r="D221" i="2"/>
  <c r="E221" i="2"/>
  <c r="F221" i="2"/>
  <c r="G221" i="2"/>
  <c r="I221" i="2"/>
  <c r="J221" i="2"/>
  <c r="K221" i="2"/>
  <c r="A222" i="2"/>
  <c r="C222" i="2"/>
  <c r="D222" i="2"/>
  <c r="E222" i="2"/>
  <c r="F222" i="2"/>
  <c r="G222" i="2"/>
  <c r="I222" i="2"/>
  <c r="J222" i="2"/>
  <c r="K222" i="2"/>
  <c r="A223" i="2"/>
  <c r="C223" i="2"/>
  <c r="D223" i="2"/>
  <c r="E223" i="2"/>
  <c r="F223" i="2"/>
  <c r="G223" i="2"/>
  <c r="I223" i="2"/>
  <c r="J223" i="2"/>
  <c r="K223" i="2"/>
  <c r="A224" i="2"/>
  <c r="C224" i="2"/>
  <c r="D224" i="2"/>
  <c r="E224" i="2"/>
  <c r="F224" i="2"/>
  <c r="G224" i="2"/>
  <c r="I224" i="2"/>
  <c r="J224" i="2"/>
  <c r="K224" i="2"/>
  <c r="A225" i="2"/>
  <c r="C225" i="2"/>
  <c r="D225" i="2"/>
  <c r="E225" i="2"/>
  <c r="F225" i="2"/>
  <c r="G225" i="2"/>
  <c r="I225" i="2"/>
  <c r="J225" i="2"/>
  <c r="K225" i="2"/>
  <c r="A226" i="2"/>
  <c r="C226" i="2"/>
  <c r="D226" i="2"/>
  <c r="E226" i="2"/>
  <c r="F226" i="2"/>
  <c r="G226" i="2"/>
  <c r="I226" i="2"/>
  <c r="J226" i="2"/>
  <c r="K226" i="2"/>
  <c r="A227" i="2"/>
  <c r="C227" i="2"/>
  <c r="D227" i="2"/>
  <c r="E227" i="2"/>
  <c r="F227" i="2"/>
  <c r="G227" i="2"/>
  <c r="I227" i="2"/>
  <c r="J227" i="2"/>
  <c r="K227" i="2"/>
  <c r="A228" i="2"/>
  <c r="C228" i="2"/>
  <c r="D228" i="2"/>
  <c r="E228" i="2"/>
  <c r="F228" i="2"/>
  <c r="G228" i="2"/>
  <c r="I228" i="2"/>
  <c r="J228" i="2"/>
  <c r="K228" i="2"/>
  <c r="A229" i="2"/>
  <c r="C229" i="2"/>
  <c r="D229" i="2"/>
  <c r="E229" i="2"/>
  <c r="F229" i="2"/>
  <c r="G229" i="2"/>
  <c r="I229" i="2"/>
  <c r="J229" i="2"/>
  <c r="K229" i="2"/>
  <c r="A230" i="2"/>
  <c r="C230" i="2"/>
  <c r="D230" i="2"/>
  <c r="E230" i="2"/>
  <c r="F230" i="2"/>
  <c r="G230" i="2"/>
  <c r="I230" i="2"/>
  <c r="J230" i="2"/>
  <c r="K230" i="2"/>
  <c r="A231" i="2"/>
  <c r="C231" i="2"/>
  <c r="D231" i="2"/>
  <c r="E231" i="2"/>
  <c r="F231" i="2"/>
  <c r="G231" i="2"/>
  <c r="I231" i="2"/>
  <c r="J231" i="2"/>
  <c r="K231" i="2"/>
  <c r="A232" i="2"/>
  <c r="C232" i="2"/>
  <c r="D232" i="2"/>
  <c r="E232" i="2"/>
  <c r="F232" i="2"/>
  <c r="G232" i="2"/>
  <c r="I232" i="2"/>
  <c r="J232" i="2"/>
  <c r="K232" i="2"/>
  <c r="A233" i="2"/>
  <c r="C233" i="2"/>
  <c r="D233" i="2"/>
  <c r="E233" i="2"/>
  <c r="F233" i="2"/>
  <c r="G233" i="2"/>
  <c r="I233" i="2"/>
  <c r="J233" i="2"/>
  <c r="K233" i="2"/>
  <c r="A234" i="2"/>
  <c r="C234" i="2"/>
  <c r="D234" i="2"/>
  <c r="E234" i="2"/>
  <c r="F234" i="2"/>
  <c r="G234" i="2"/>
  <c r="I234" i="2"/>
  <c r="J234" i="2"/>
  <c r="K234" i="2"/>
  <c r="A235" i="2"/>
  <c r="C235" i="2"/>
  <c r="D235" i="2"/>
  <c r="E235" i="2"/>
  <c r="F235" i="2"/>
  <c r="G235" i="2"/>
  <c r="I235" i="2"/>
  <c r="J235" i="2"/>
  <c r="K235" i="2"/>
  <c r="A236" i="2"/>
  <c r="C236" i="2"/>
  <c r="D236" i="2"/>
  <c r="E236" i="2"/>
  <c r="F236" i="2"/>
  <c r="G236" i="2"/>
  <c r="I236" i="2"/>
  <c r="J236" i="2"/>
  <c r="K236" i="2"/>
  <c r="A237" i="2"/>
  <c r="C237" i="2"/>
  <c r="D237" i="2"/>
  <c r="E237" i="2"/>
  <c r="F237" i="2"/>
  <c r="G237" i="2"/>
  <c r="I237" i="2"/>
  <c r="J237" i="2"/>
  <c r="K237" i="2"/>
  <c r="A238" i="2"/>
  <c r="C238" i="2"/>
  <c r="D238" i="2"/>
  <c r="E238" i="2"/>
  <c r="F238" i="2"/>
  <c r="G238" i="2"/>
  <c r="I238" i="2"/>
  <c r="J238" i="2"/>
  <c r="K238" i="2"/>
  <c r="A239" i="2"/>
  <c r="C239" i="2"/>
  <c r="D239" i="2"/>
  <c r="E239" i="2"/>
  <c r="F239" i="2"/>
  <c r="G239" i="2"/>
  <c r="I239" i="2"/>
  <c r="J239" i="2"/>
  <c r="K239" i="2"/>
  <c r="A240" i="2"/>
  <c r="C240" i="2"/>
  <c r="D240" i="2"/>
  <c r="E240" i="2"/>
  <c r="F240" i="2"/>
  <c r="G240" i="2"/>
  <c r="I240" i="2"/>
  <c r="J240" i="2"/>
  <c r="K240" i="2"/>
  <c r="A241" i="2"/>
  <c r="C241" i="2"/>
  <c r="D241" i="2"/>
  <c r="E241" i="2"/>
  <c r="F241" i="2"/>
  <c r="G241" i="2"/>
  <c r="I241" i="2"/>
  <c r="J241" i="2"/>
  <c r="K241" i="2"/>
  <c r="A242" i="2"/>
  <c r="C242" i="2"/>
  <c r="D242" i="2"/>
  <c r="E242" i="2"/>
  <c r="F242" i="2"/>
  <c r="G242" i="2"/>
  <c r="I242" i="2"/>
  <c r="J242" i="2"/>
  <c r="K242" i="2"/>
  <c r="A243" i="2"/>
  <c r="C243" i="2"/>
  <c r="D243" i="2"/>
  <c r="E243" i="2"/>
  <c r="F243" i="2"/>
  <c r="G243" i="2"/>
  <c r="I243" i="2"/>
  <c r="J243" i="2"/>
  <c r="K243" i="2"/>
  <c r="A244" i="2"/>
  <c r="C244" i="2"/>
  <c r="D244" i="2"/>
  <c r="E244" i="2"/>
  <c r="F244" i="2"/>
  <c r="G244" i="2"/>
  <c r="I244" i="2"/>
  <c r="J244" i="2"/>
  <c r="K244" i="2"/>
  <c r="A245" i="2"/>
  <c r="C245" i="2"/>
  <c r="D245" i="2"/>
  <c r="E245" i="2"/>
  <c r="F245" i="2"/>
  <c r="G245" i="2"/>
  <c r="I245" i="2"/>
  <c r="J245" i="2"/>
  <c r="K245" i="2"/>
  <c r="A246" i="2"/>
  <c r="C246" i="2"/>
  <c r="D246" i="2"/>
  <c r="E246" i="2"/>
  <c r="F246" i="2"/>
  <c r="G246" i="2"/>
  <c r="I246" i="2"/>
  <c r="J246" i="2"/>
  <c r="K246" i="2"/>
  <c r="A247" i="2"/>
  <c r="C247" i="2"/>
  <c r="D247" i="2"/>
  <c r="E247" i="2"/>
  <c r="F247" i="2"/>
  <c r="G247" i="2"/>
  <c r="I247" i="2"/>
  <c r="J247" i="2"/>
  <c r="K247" i="2"/>
  <c r="A248" i="2"/>
  <c r="C248" i="2"/>
  <c r="D248" i="2"/>
  <c r="E248" i="2"/>
  <c r="F248" i="2"/>
  <c r="G248" i="2"/>
  <c r="I248" i="2"/>
  <c r="J248" i="2"/>
  <c r="K248" i="2"/>
  <c r="A249" i="2"/>
  <c r="C249" i="2"/>
  <c r="D249" i="2"/>
  <c r="E249" i="2"/>
  <c r="F249" i="2"/>
  <c r="G249" i="2"/>
  <c r="I249" i="2"/>
  <c r="J249" i="2"/>
  <c r="K249" i="2"/>
  <c r="A250" i="2"/>
  <c r="C250" i="2"/>
  <c r="D250" i="2"/>
  <c r="E250" i="2"/>
  <c r="F250" i="2"/>
  <c r="G250" i="2"/>
  <c r="I250" i="2"/>
  <c r="J250" i="2"/>
  <c r="K250" i="2"/>
  <c r="A251" i="2"/>
  <c r="C251" i="2"/>
  <c r="D251" i="2"/>
  <c r="E251" i="2"/>
  <c r="F251" i="2"/>
  <c r="G251" i="2"/>
  <c r="I251" i="2"/>
  <c r="J251" i="2"/>
  <c r="K251" i="2"/>
  <c r="A252" i="2"/>
  <c r="C252" i="2"/>
  <c r="D252" i="2"/>
  <c r="E252" i="2"/>
  <c r="F252" i="2"/>
  <c r="G252" i="2"/>
  <c r="I252" i="2"/>
  <c r="J252" i="2"/>
  <c r="K252" i="2"/>
  <c r="A253" i="2"/>
  <c r="C253" i="2"/>
  <c r="D253" i="2"/>
  <c r="E253" i="2"/>
  <c r="F253" i="2"/>
  <c r="G253" i="2"/>
  <c r="I253" i="2"/>
  <c r="J253" i="2"/>
  <c r="K253" i="2"/>
  <c r="A254" i="2"/>
  <c r="C254" i="2"/>
  <c r="D254" i="2"/>
  <c r="E254" i="2"/>
  <c r="F254" i="2"/>
  <c r="G254" i="2"/>
  <c r="I254" i="2"/>
  <c r="J254" i="2"/>
  <c r="K254" i="2"/>
  <c r="A255" i="2"/>
  <c r="C255" i="2"/>
  <c r="D255" i="2"/>
  <c r="E255" i="2"/>
  <c r="F255" i="2"/>
  <c r="G255" i="2"/>
  <c r="I255" i="2"/>
  <c r="J255" i="2"/>
  <c r="K255" i="2"/>
  <c r="A256" i="2"/>
  <c r="C256" i="2"/>
  <c r="D256" i="2"/>
  <c r="E256" i="2"/>
  <c r="F256" i="2"/>
  <c r="G256" i="2"/>
  <c r="I256" i="2"/>
  <c r="J256" i="2"/>
  <c r="K256" i="2"/>
  <c r="A257" i="2"/>
  <c r="C257" i="2"/>
  <c r="D257" i="2"/>
  <c r="E257" i="2"/>
  <c r="F257" i="2"/>
  <c r="G257" i="2"/>
  <c r="I257" i="2"/>
  <c r="J257" i="2"/>
  <c r="K257" i="2"/>
  <c r="A258" i="2"/>
  <c r="C258" i="2"/>
  <c r="D258" i="2"/>
  <c r="E258" i="2"/>
  <c r="F258" i="2"/>
  <c r="G258" i="2"/>
  <c r="I258" i="2"/>
  <c r="J258" i="2"/>
  <c r="K258" i="2"/>
  <c r="A259" i="2"/>
  <c r="C259" i="2"/>
  <c r="D259" i="2"/>
  <c r="E259" i="2"/>
  <c r="F259" i="2"/>
  <c r="G259" i="2"/>
  <c r="I259" i="2"/>
  <c r="J259" i="2"/>
  <c r="K259" i="2"/>
  <c r="A260" i="2"/>
  <c r="C260" i="2"/>
  <c r="D260" i="2"/>
  <c r="E260" i="2"/>
  <c r="F260" i="2"/>
  <c r="G260" i="2"/>
  <c r="I260" i="2"/>
  <c r="J260" i="2"/>
  <c r="K260" i="2"/>
  <c r="A261" i="2"/>
  <c r="C261" i="2"/>
  <c r="D261" i="2"/>
  <c r="E261" i="2"/>
  <c r="F261" i="2"/>
  <c r="G261" i="2"/>
  <c r="I261" i="2"/>
  <c r="J261" i="2"/>
  <c r="K261" i="2"/>
  <c r="A262" i="2"/>
  <c r="C262" i="2"/>
  <c r="D262" i="2"/>
  <c r="E262" i="2"/>
  <c r="F262" i="2"/>
  <c r="G262" i="2"/>
  <c r="I262" i="2"/>
  <c r="J262" i="2"/>
  <c r="K262" i="2"/>
  <c r="A263" i="2"/>
  <c r="C263" i="2"/>
  <c r="D263" i="2"/>
  <c r="E263" i="2"/>
  <c r="F263" i="2"/>
  <c r="G263" i="2"/>
  <c r="I263" i="2"/>
  <c r="J263" i="2"/>
  <c r="K263" i="2"/>
  <c r="A264" i="2"/>
  <c r="C264" i="2"/>
  <c r="D264" i="2"/>
  <c r="E264" i="2"/>
  <c r="F264" i="2"/>
  <c r="G264" i="2"/>
  <c r="I264" i="2"/>
  <c r="J264" i="2"/>
  <c r="K264" i="2"/>
  <c r="A265" i="2"/>
  <c r="C265" i="2"/>
  <c r="D265" i="2"/>
  <c r="E265" i="2"/>
  <c r="F265" i="2"/>
  <c r="G265" i="2"/>
  <c r="I265" i="2"/>
  <c r="J265" i="2"/>
  <c r="K265" i="2"/>
  <c r="A266" i="2"/>
  <c r="C266" i="2"/>
  <c r="D266" i="2"/>
  <c r="E266" i="2"/>
  <c r="F266" i="2"/>
  <c r="G266" i="2"/>
  <c r="I266" i="2"/>
  <c r="J266" i="2"/>
  <c r="K266" i="2"/>
  <c r="A267" i="2"/>
  <c r="C267" i="2"/>
  <c r="D267" i="2"/>
  <c r="E267" i="2"/>
  <c r="F267" i="2"/>
  <c r="G267" i="2"/>
  <c r="I267" i="2"/>
  <c r="J267" i="2"/>
  <c r="K267" i="2"/>
  <c r="A268" i="2"/>
  <c r="C268" i="2"/>
  <c r="D268" i="2"/>
  <c r="E268" i="2"/>
  <c r="F268" i="2"/>
  <c r="G268" i="2"/>
  <c r="I268" i="2"/>
  <c r="J268" i="2"/>
  <c r="K268" i="2"/>
  <c r="A269" i="2"/>
  <c r="C269" i="2"/>
  <c r="D269" i="2"/>
  <c r="E269" i="2"/>
  <c r="F269" i="2"/>
  <c r="G269" i="2"/>
  <c r="I269" i="2"/>
  <c r="J269" i="2"/>
  <c r="K269" i="2"/>
  <c r="A270" i="2"/>
  <c r="C270" i="2"/>
  <c r="D270" i="2"/>
  <c r="E270" i="2"/>
  <c r="F270" i="2"/>
  <c r="G270" i="2"/>
  <c r="I270" i="2"/>
  <c r="J270" i="2"/>
  <c r="K270" i="2"/>
  <c r="A271" i="2"/>
  <c r="C271" i="2"/>
  <c r="D271" i="2"/>
  <c r="E271" i="2"/>
  <c r="F271" i="2"/>
  <c r="G271" i="2"/>
  <c r="I271" i="2"/>
  <c r="J271" i="2"/>
  <c r="K271" i="2"/>
  <c r="A272" i="2"/>
  <c r="C272" i="2"/>
  <c r="D272" i="2"/>
  <c r="E272" i="2"/>
  <c r="F272" i="2"/>
  <c r="G272" i="2"/>
  <c r="I272" i="2"/>
  <c r="J272" i="2"/>
  <c r="K272" i="2"/>
  <c r="A273" i="2"/>
  <c r="C273" i="2"/>
  <c r="D273" i="2"/>
  <c r="E273" i="2"/>
  <c r="F273" i="2"/>
  <c r="G273" i="2"/>
  <c r="I273" i="2"/>
  <c r="J273" i="2"/>
  <c r="K273" i="2"/>
  <c r="A274" i="2"/>
  <c r="C274" i="2"/>
  <c r="D274" i="2"/>
  <c r="E274" i="2"/>
  <c r="F274" i="2"/>
  <c r="G274" i="2"/>
  <c r="I274" i="2"/>
  <c r="J274" i="2"/>
  <c r="K274" i="2"/>
  <c r="A275" i="2"/>
  <c r="C275" i="2"/>
  <c r="D275" i="2"/>
  <c r="E275" i="2"/>
  <c r="F275" i="2"/>
  <c r="G275" i="2"/>
  <c r="I275" i="2"/>
  <c r="J275" i="2"/>
  <c r="K275" i="2"/>
  <c r="A276" i="2"/>
  <c r="C276" i="2"/>
  <c r="D276" i="2"/>
  <c r="E276" i="2"/>
  <c r="F276" i="2"/>
  <c r="G276" i="2"/>
  <c r="I276" i="2"/>
  <c r="J276" i="2"/>
  <c r="K276" i="2"/>
  <c r="A277" i="2"/>
  <c r="C277" i="2"/>
  <c r="D277" i="2"/>
  <c r="E277" i="2"/>
  <c r="F277" i="2"/>
  <c r="G277" i="2"/>
  <c r="I277" i="2"/>
  <c r="J277" i="2"/>
  <c r="K277" i="2"/>
  <c r="A278" i="2"/>
  <c r="C278" i="2"/>
  <c r="D278" i="2"/>
  <c r="E278" i="2"/>
  <c r="F278" i="2"/>
  <c r="G278" i="2"/>
  <c r="I278" i="2"/>
  <c r="J278" i="2"/>
  <c r="K278" i="2"/>
  <c r="A279" i="2"/>
  <c r="C279" i="2"/>
  <c r="D279" i="2"/>
  <c r="E279" i="2"/>
  <c r="F279" i="2"/>
  <c r="G279" i="2"/>
  <c r="I279" i="2"/>
  <c r="J279" i="2"/>
  <c r="K279" i="2"/>
  <c r="A280" i="2"/>
  <c r="C280" i="2"/>
  <c r="D280" i="2"/>
  <c r="E280" i="2"/>
  <c r="F280" i="2"/>
  <c r="G280" i="2"/>
  <c r="I280" i="2"/>
  <c r="J280" i="2"/>
  <c r="K280" i="2"/>
  <c r="A281" i="2"/>
  <c r="C281" i="2"/>
  <c r="D281" i="2"/>
  <c r="E281" i="2"/>
  <c r="F281" i="2"/>
  <c r="G281" i="2"/>
  <c r="I281" i="2"/>
  <c r="J281" i="2"/>
  <c r="K281" i="2"/>
  <c r="A282" i="2"/>
  <c r="C282" i="2"/>
  <c r="D282" i="2"/>
  <c r="E282" i="2"/>
  <c r="F282" i="2"/>
  <c r="G282" i="2"/>
  <c r="I282" i="2"/>
  <c r="J282" i="2"/>
  <c r="K282" i="2"/>
  <c r="A283" i="2"/>
  <c r="C283" i="2"/>
  <c r="D283" i="2"/>
  <c r="E283" i="2"/>
  <c r="F283" i="2"/>
  <c r="G283" i="2"/>
  <c r="I283" i="2"/>
  <c r="J283" i="2"/>
  <c r="K283" i="2"/>
  <c r="A284" i="2"/>
  <c r="C284" i="2"/>
  <c r="D284" i="2"/>
  <c r="E284" i="2"/>
  <c r="F284" i="2"/>
  <c r="G284" i="2"/>
  <c r="I284" i="2"/>
  <c r="J284" i="2"/>
  <c r="K284" i="2"/>
  <c r="A285" i="2"/>
  <c r="C285" i="2"/>
  <c r="D285" i="2"/>
  <c r="E285" i="2"/>
  <c r="F285" i="2"/>
  <c r="G285" i="2"/>
  <c r="I285" i="2"/>
  <c r="J285" i="2"/>
  <c r="K285" i="2"/>
  <c r="A286" i="2"/>
  <c r="C286" i="2"/>
  <c r="D286" i="2"/>
  <c r="E286" i="2"/>
  <c r="F286" i="2"/>
  <c r="G286" i="2"/>
  <c r="I286" i="2"/>
  <c r="J286" i="2"/>
  <c r="K286" i="2"/>
  <c r="A287" i="2"/>
  <c r="C287" i="2"/>
  <c r="D287" i="2"/>
  <c r="E287" i="2"/>
  <c r="F287" i="2"/>
  <c r="G287" i="2"/>
  <c r="I287" i="2"/>
  <c r="J287" i="2"/>
  <c r="K287" i="2"/>
  <c r="A288" i="2"/>
  <c r="C288" i="2"/>
  <c r="D288" i="2"/>
  <c r="E288" i="2"/>
  <c r="F288" i="2"/>
  <c r="G288" i="2"/>
  <c r="I288" i="2"/>
  <c r="J288" i="2"/>
  <c r="K288" i="2"/>
  <c r="A289" i="2"/>
  <c r="C289" i="2"/>
  <c r="D289" i="2"/>
  <c r="E289" i="2"/>
  <c r="F289" i="2"/>
  <c r="G289" i="2"/>
  <c r="I289" i="2"/>
  <c r="J289" i="2"/>
  <c r="K289" i="2"/>
  <c r="A290" i="2"/>
  <c r="C290" i="2"/>
  <c r="D290" i="2"/>
  <c r="E290" i="2"/>
  <c r="F290" i="2"/>
  <c r="G290" i="2"/>
  <c r="I290" i="2"/>
  <c r="J290" i="2"/>
  <c r="K290" i="2"/>
  <c r="A291" i="2"/>
  <c r="C291" i="2"/>
  <c r="D291" i="2"/>
  <c r="E291" i="2"/>
  <c r="F291" i="2"/>
  <c r="G291" i="2"/>
  <c r="I291" i="2"/>
  <c r="J291" i="2"/>
  <c r="K291" i="2"/>
  <c r="A292" i="2"/>
  <c r="C292" i="2"/>
  <c r="D292" i="2"/>
  <c r="E292" i="2"/>
  <c r="F292" i="2"/>
  <c r="G292" i="2"/>
  <c r="I292" i="2"/>
  <c r="J292" i="2"/>
  <c r="K292" i="2"/>
  <c r="A293" i="2"/>
  <c r="C293" i="2"/>
  <c r="D293" i="2"/>
  <c r="E293" i="2"/>
  <c r="F293" i="2"/>
  <c r="G293" i="2"/>
  <c r="I293" i="2"/>
  <c r="J293" i="2"/>
  <c r="K293" i="2"/>
  <c r="A294" i="2"/>
  <c r="C294" i="2"/>
  <c r="D294" i="2"/>
  <c r="E294" i="2"/>
  <c r="F294" i="2"/>
  <c r="G294" i="2"/>
  <c r="I294" i="2"/>
  <c r="J294" i="2"/>
  <c r="K294" i="2"/>
  <c r="A295" i="2"/>
  <c r="C295" i="2"/>
  <c r="D295" i="2"/>
  <c r="E295" i="2"/>
  <c r="F295" i="2"/>
  <c r="G295" i="2"/>
  <c r="I295" i="2"/>
  <c r="J295" i="2"/>
  <c r="K295" i="2"/>
  <c r="A296" i="2"/>
  <c r="C296" i="2"/>
  <c r="D296" i="2"/>
  <c r="E296" i="2"/>
  <c r="F296" i="2"/>
  <c r="G296" i="2"/>
  <c r="I296" i="2"/>
  <c r="J296" i="2"/>
  <c r="K296" i="2"/>
  <c r="A297" i="2"/>
  <c r="C297" i="2"/>
  <c r="D297" i="2"/>
  <c r="E297" i="2"/>
  <c r="F297" i="2"/>
  <c r="G297" i="2"/>
  <c r="I297" i="2"/>
  <c r="J297" i="2"/>
  <c r="K297" i="2"/>
  <c r="A298" i="2"/>
  <c r="C298" i="2"/>
  <c r="D298" i="2"/>
  <c r="E298" i="2"/>
  <c r="F298" i="2"/>
  <c r="G298" i="2"/>
  <c r="I298" i="2"/>
  <c r="J298" i="2"/>
  <c r="K298" i="2"/>
  <c r="A299" i="2"/>
  <c r="C299" i="2"/>
  <c r="D299" i="2"/>
  <c r="E299" i="2"/>
  <c r="F299" i="2"/>
  <c r="G299" i="2"/>
  <c r="I299" i="2"/>
  <c r="J299" i="2"/>
  <c r="K299" i="2"/>
  <c r="A300" i="2"/>
  <c r="C300" i="2"/>
  <c r="D300" i="2"/>
  <c r="E300" i="2"/>
  <c r="F300" i="2"/>
  <c r="G300" i="2"/>
  <c r="I300" i="2"/>
  <c r="J300" i="2"/>
  <c r="K300" i="2"/>
  <c r="A301" i="2"/>
  <c r="C301" i="2"/>
  <c r="D301" i="2"/>
  <c r="E301" i="2"/>
  <c r="F301" i="2"/>
  <c r="G301" i="2"/>
  <c r="I301" i="2"/>
  <c r="J301" i="2"/>
  <c r="K301" i="2"/>
  <c r="A302" i="2"/>
  <c r="C302" i="2"/>
  <c r="D302" i="2"/>
  <c r="E302" i="2"/>
  <c r="F302" i="2"/>
  <c r="G302" i="2"/>
  <c r="I302" i="2"/>
  <c r="J302" i="2"/>
  <c r="K302" i="2"/>
  <c r="A303" i="2"/>
  <c r="C303" i="2"/>
  <c r="D303" i="2"/>
  <c r="E303" i="2"/>
  <c r="F303" i="2"/>
  <c r="G303" i="2"/>
  <c r="I303" i="2"/>
  <c r="J303" i="2"/>
  <c r="K303" i="2"/>
  <c r="A304" i="2"/>
  <c r="C304" i="2"/>
  <c r="D304" i="2"/>
  <c r="E304" i="2"/>
  <c r="F304" i="2"/>
  <c r="G304" i="2"/>
  <c r="I304" i="2"/>
  <c r="J304" i="2"/>
  <c r="K304" i="2"/>
  <c r="A305" i="2"/>
  <c r="C305" i="2"/>
  <c r="D305" i="2"/>
  <c r="E305" i="2"/>
  <c r="F305" i="2"/>
  <c r="G305" i="2"/>
  <c r="I305" i="2"/>
  <c r="J305" i="2"/>
  <c r="K305" i="2"/>
  <c r="A306" i="2"/>
  <c r="C306" i="2"/>
  <c r="D306" i="2"/>
  <c r="E306" i="2"/>
  <c r="F306" i="2"/>
  <c r="G306" i="2"/>
  <c r="I306" i="2"/>
  <c r="J306" i="2"/>
  <c r="K306" i="2"/>
  <c r="A307" i="2"/>
  <c r="C307" i="2"/>
  <c r="D307" i="2"/>
  <c r="E307" i="2"/>
  <c r="F307" i="2"/>
  <c r="G307" i="2"/>
  <c r="I307" i="2"/>
  <c r="J307" i="2"/>
  <c r="K307" i="2"/>
  <c r="A308" i="2"/>
  <c r="C308" i="2"/>
  <c r="D308" i="2"/>
  <c r="E308" i="2"/>
  <c r="F308" i="2"/>
  <c r="G308" i="2"/>
  <c r="I308" i="2"/>
  <c r="J308" i="2"/>
  <c r="K308" i="2"/>
  <c r="A309" i="2"/>
  <c r="C309" i="2"/>
  <c r="D309" i="2"/>
  <c r="E309" i="2"/>
  <c r="F309" i="2"/>
  <c r="G309" i="2"/>
  <c r="I309" i="2"/>
  <c r="J309" i="2"/>
  <c r="K309" i="2"/>
  <c r="A310" i="2"/>
  <c r="C310" i="2"/>
  <c r="D310" i="2"/>
  <c r="E310" i="2"/>
  <c r="F310" i="2"/>
  <c r="G310" i="2"/>
  <c r="I310" i="2"/>
  <c r="J310" i="2"/>
  <c r="K310" i="2"/>
  <c r="A311" i="2"/>
  <c r="C311" i="2"/>
  <c r="D311" i="2"/>
  <c r="E311" i="2"/>
  <c r="F311" i="2"/>
  <c r="G311" i="2"/>
  <c r="I311" i="2"/>
  <c r="J311" i="2"/>
  <c r="K311" i="2"/>
  <c r="A312" i="2"/>
  <c r="C312" i="2"/>
  <c r="D312" i="2"/>
  <c r="E312" i="2"/>
  <c r="F312" i="2"/>
  <c r="G312" i="2"/>
  <c r="I312" i="2"/>
  <c r="J312" i="2"/>
  <c r="K312" i="2"/>
  <c r="A313" i="2"/>
  <c r="C313" i="2"/>
  <c r="D313" i="2"/>
  <c r="E313" i="2"/>
  <c r="F313" i="2"/>
  <c r="G313" i="2"/>
  <c r="I313" i="2"/>
  <c r="J313" i="2"/>
  <c r="K313" i="2"/>
  <c r="A314" i="2"/>
  <c r="C314" i="2"/>
  <c r="D314" i="2"/>
  <c r="E314" i="2"/>
  <c r="F314" i="2"/>
  <c r="G314" i="2"/>
  <c r="I314" i="2"/>
  <c r="J314" i="2"/>
  <c r="K314" i="2"/>
  <c r="A315" i="2"/>
  <c r="C315" i="2"/>
  <c r="D315" i="2"/>
  <c r="E315" i="2"/>
  <c r="F315" i="2"/>
  <c r="G315" i="2"/>
  <c r="I315" i="2"/>
  <c r="J315" i="2"/>
  <c r="K315" i="2"/>
  <c r="A316" i="2"/>
  <c r="C316" i="2"/>
  <c r="D316" i="2"/>
  <c r="E316" i="2"/>
  <c r="F316" i="2"/>
  <c r="G316" i="2"/>
  <c r="I316" i="2"/>
  <c r="J316" i="2"/>
  <c r="K316" i="2"/>
  <c r="A317" i="2"/>
  <c r="C317" i="2"/>
  <c r="D317" i="2"/>
  <c r="E317" i="2"/>
  <c r="F317" i="2"/>
  <c r="G317" i="2"/>
  <c r="I317" i="2"/>
  <c r="J317" i="2"/>
  <c r="K317" i="2"/>
  <c r="A318" i="2"/>
  <c r="C318" i="2"/>
  <c r="D318" i="2"/>
  <c r="E318" i="2"/>
  <c r="F318" i="2"/>
  <c r="G318" i="2"/>
  <c r="I318" i="2"/>
  <c r="J318" i="2"/>
  <c r="K318" i="2"/>
  <c r="A319" i="2"/>
  <c r="C319" i="2"/>
  <c r="D319" i="2"/>
  <c r="E319" i="2"/>
  <c r="F319" i="2"/>
  <c r="G319" i="2"/>
  <c r="I319" i="2"/>
  <c r="J319" i="2"/>
  <c r="K319" i="2"/>
  <c r="A320" i="2"/>
  <c r="C320" i="2"/>
  <c r="D320" i="2"/>
  <c r="E320" i="2"/>
  <c r="F320" i="2"/>
  <c r="G320" i="2"/>
  <c r="I320" i="2"/>
  <c r="J320" i="2"/>
  <c r="K320" i="2"/>
  <c r="A321" i="2"/>
  <c r="C321" i="2"/>
  <c r="D321" i="2"/>
  <c r="E321" i="2"/>
  <c r="F321" i="2"/>
  <c r="G321" i="2"/>
  <c r="I321" i="2"/>
  <c r="J321" i="2"/>
  <c r="K321" i="2"/>
  <c r="A322" i="2"/>
  <c r="C322" i="2"/>
  <c r="D322" i="2"/>
  <c r="E322" i="2"/>
  <c r="F322" i="2"/>
  <c r="G322" i="2"/>
  <c r="I322" i="2"/>
  <c r="J322" i="2"/>
  <c r="K322" i="2"/>
  <c r="A323" i="2"/>
  <c r="C323" i="2"/>
  <c r="D323" i="2"/>
  <c r="E323" i="2"/>
  <c r="F323" i="2"/>
  <c r="G323" i="2"/>
  <c r="I323" i="2"/>
  <c r="J323" i="2"/>
  <c r="K323" i="2"/>
  <c r="A324" i="2"/>
  <c r="C324" i="2"/>
  <c r="D324" i="2"/>
  <c r="E324" i="2"/>
  <c r="F324" i="2"/>
  <c r="G324" i="2"/>
  <c r="I324" i="2"/>
  <c r="J324" i="2"/>
  <c r="K324" i="2"/>
  <c r="A325" i="2"/>
  <c r="C325" i="2"/>
  <c r="D325" i="2"/>
  <c r="E325" i="2"/>
  <c r="F325" i="2"/>
  <c r="G325" i="2"/>
  <c r="I325" i="2"/>
  <c r="J325" i="2"/>
  <c r="K325" i="2"/>
  <c r="A326" i="2"/>
  <c r="C326" i="2"/>
  <c r="D326" i="2"/>
  <c r="E326" i="2"/>
  <c r="F326" i="2"/>
  <c r="G326" i="2"/>
  <c r="I326" i="2"/>
  <c r="J326" i="2"/>
  <c r="K326" i="2"/>
  <c r="A327" i="2"/>
  <c r="C327" i="2"/>
  <c r="D327" i="2"/>
  <c r="E327" i="2"/>
  <c r="F327" i="2"/>
  <c r="G327" i="2"/>
  <c r="I327" i="2"/>
  <c r="J327" i="2"/>
  <c r="K327" i="2"/>
  <c r="A328" i="2"/>
  <c r="C328" i="2"/>
  <c r="D328" i="2"/>
  <c r="E328" i="2"/>
  <c r="F328" i="2"/>
  <c r="G328" i="2"/>
  <c r="I328" i="2"/>
  <c r="J328" i="2"/>
  <c r="K328" i="2"/>
  <c r="A329" i="2"/>
  <c r="C329" i="2"/>
  <c r="D329" i="2"/>
  <c r="E329" i="2"/>
  <c r="F329" i="2"/>
  <c r="G329" i="2"/>
  <c r="I329" i="2"/>
  <c r="J329" i="2"/>
  <c r="K329" i="2"/>
  <c r="A330" i="2"/>
  <c r="C330" i="2"/>
  <c r="D330" i="2"/>
  <c r="E330" i="2"/>
  <c r="F330" i="2"/>
  <c r="G330" i="2"/>
  <c r="I330" i="2"/>
  <c r="J330" i="2"/>
  <c r="K330" i="2"/>
  <c r="A331" i="2"/>
  <c r="C331" i="2"/>
  <c r="D331" i="2"/>
  <c r="E331" i="2"/>
  <c r="F331" i="2"/>
  <c r="G331" i="2"/>
  <c r="I331" i="2"/>
  <c r="J331" i="2"/>
  <c r="K331" i="2"/>
  <c r="A332" i="2"/>
  <c r="C332" i="2"/>
  <c r="D332" i="2"/>
  <c r="E332" i="2"/>
  <c r="F332" i="2"/>
  <c r="G332" i="2"/>
  <c r="I332" i="2"/>
  <c r="J332" i="2"/>
  <c r="K332" i="2"/>
  <c r="A333" i="2"/>
  <c r="C333" i="2"/>
  <c r="D333" i="2"/>
  <c r="E333" i="2"/>
  <c r="F333" i="2"/>
  <c r="G333" i="2"/>
  <c r="I333" i="2"/>
  <c r="J333" i="2"/>
  <c r="K333" i="2"/>
  <c r="A334" i="2"/>
  <c r="C334" i="2"/>
  <c r="D334" i="2"/>
  <c r="E334" i="2"/>
  <c r="F334" i="2"/>
  <c r="G334" i="2"/>
  <c r="I334" i="2"/>
  <c r="J334" i="2"/>
  <c r="K334" i="2"/>
  <c r="A335" i="2"/>
  <c r="C335" i="2"/>
  <c r="D335" i="2"/>
  <c r="E335" i="2"/>
  <c r="F335" i="2"/>
  <c r="G335" i="2"/>
  <c r="I335" i="2"/>
  <c r="J335" i="2"/>
  <c r="K335" i="2"/>
  <c r="A336" i="2"/>
  <c r="C336" i="2"/>
  <c r="D336" i="2"/>
  <c r="E336" i="2"/>
  <c r="F336" i="2"/>
  <c r="G336" i="2"/>
  <c r="I336" i="2"/>
  <c r="J336" i="2"/>
  <c r="K336" i="2"/>
  <c r="A337" i="2"/>
  <c r="C337" i="2"/>
  <c r="D337" i="2"/>
  <c r="E337" i="2"/>
  <c r="F337" i="2"/>
  <c r="G337" i="2"/>
  <c r="I337" i="2"/>
  <c r="J337" i="2"/>
  <c r="K337" i="2"/>
  <c r="A338" i="2"/>
  <c r="C338" i="2"/>
  <c r="D338" i="2"/>
  <c r="E338" i="2"/>
  <c r="F338" i="2"/>
  <c r="G338" i="2"/>
  <c r="I338" i="2"/>
  <c r="J338" i="2"/>
  <c r="K338" i="2"/>
  <c r="A339" i="2"/>
  <c r="C339" i="2"/>
  <c r="D339" i="2"/>
  <c r="E339" i="2"/>
  <c r="F339" i="2"/>
  <c r="G339" i="2"/>
  <c r="I339" i="2"/>
  <c r="J339" i="2"/>
  <c r="K339" i="2"/>
  <c r="A340" i="2"/>
  <c r="C340" i="2"/>
  <c r="D340" i="2"/>
  <c r="E340" i="2"/>
  <c r="F340" i="2"/>
  <c r="G340" i="2"/>
  <c r="I340" i="2"/>
  <c r="J340" i="2"/>
  <c r="K340" i="2"/>
  <c r="A341" i="2"/>
  <c r="C341" i="2"/>
  <c r="D341" i="2"/>
  <c r="E341" i="2"/>
  <c r="F341" i="2"/>
  <c r="G341" i="2"/>
  <c r="I341" i="2"/>
  <c r="J341" i="2"/>
  <c r="K341" i="2"/>
  <c r="A342" i="2"/>
  <c r="C342" i="2"/>
  <c r="D342" i="2"/>
  <c r="E342" i="2"/>
  <c r="F342" i="2"/>
  <c r="G342" i="2"/>
  <c r="I342" i="2"/>
  <c r="J342" i="2"/>
  <c r="K342" i="2"/>
  <c r="A343" i="2"/>
  <c r="C343" i="2"/>
  <c r="D343" i="2"/>
  <c r="E343" i="2"/>
  <c r="F343" i="2"/>
  <c r="G343" i="2"/>
  <c r="I343" i="2"/>
  <c r="J343" i="2"/>
  <c r="K343" i="2"/>
  <c r="A344" i="2"/>
  <c r="C344" i="2"/>
  <c r="D344" i="2"/>
  <c r="E344" i="2"/>
  <c r="F344" i="2"/>
  <c r="G344" i="2"/>
  <c r="I344" i="2"/>
  <c r="J344" i="2"/>
  <c r="K344" i="2"/>
  <c r="A345" i="2"/>
  <c r="C345" i="2"/>
  <c r="D345" i="2"/>
  <c r="E345" i="2"/>
  <c r="F345" i="2"/>
  <c r="G345" i="2"/>
  <c r="I345" i="2"/>
  <c r="J345" i="2"/>
  <c r="K345" i="2"/>
  <c r="A346" i="2"/>
  <c r="C346" i="2"/>
  <c r="D346" i="2"/>
  <c r="E346" i="2"/>
  <c r="F346" i="2"/>
  <c r="G346" i="2"/>
  <c r="I346" i="2"/>
  <c r="J346" i="2"/>
  <c r="K346" i="2"/>
  <c r="A347" i="2"/>
  <c r="C347" i="2"/>
  <c r="D347" i="2"/>
  <c r="E347" i="2"/>
  <c r="F347" i="2"/>
  <c r="G347" i="2"/>
  <c r="I347" i="2"/>
  <c r="J347" i="2"/>
  <c r="K347" i="2"/>
  <c r="A348" i="2"/>
  <c r="C348" i="2"/>
  <c r="D348" i="2"/>
  <c r="E348" i="2"/>
  <c r="F348" i="2"/>
  <c r="G348" i="2"/>
  <c r="I348" i="2"/>
  <c r="J348" i="2"/>
  <c r="K348" i="2"/>
  <c r="A349" i="2"/>
  <c r="C349" i="2"/>
  <c r="D349" i="2"/>
  <c r="E349" i="2"/>
  <c r="F349" i="2"/>
  <c r="G349" i="2"/>
  <c r="I349" i="2"/>
  <c r="J349" i="2"/>
  <c r="K349" i="2"/>
  <c r="A350" i="2"/>
  <c r="C350" i="2"/>
  <c r="D350" i="2"/>
  <c r="E350" i="2"/>
  <c r="F350" i="2"/>
  <c r="G350" i="2"/>
  <c r="I350" i="2"/>
  <c r="J350" i="2"/>
  <c r="K350" i="2"/>
  <c r="A351" i="2"/>
  <c r="C351" i="2"/>
  <c r="D351" i="2"/>
  <c r="E351" i="2"/>
  <c r="F351" i="2"/>
  <c r="G351" i="2"/>
  <c r="I351" i="2"/>
  <c r="J351" i="2"/>
  <c r="K351" i="2"/>
  <c r="A352" i="2"/>
  <c r="C352" i="2"/>
  <c r="D352" i="2"/>
  <c r="E352" i="2"/>
  <c r="F352" i="2"/>
  <c r="G352" i="2"/>
  <c r="I352" i="2"/>
  <c r="J352" i="2"/>
  <c r="K352" i="2"/>
  <c r="A353" i="2"/>
  <c r="C353" i="2"/>
  <c r="D353" i="2"/>
  <c r="E353" i="2"/>
  <c r="F353" i="2"/>
  <c r="G353" i="2"/>
  <c r="I353" i="2"/>
  <c r="J353" i="2"/>
  <c r="K353" i="2"/>
  <c r="A354" i="2"/>
  <c r="C354" i="2"/>
  <c r="D354" i="2"/>
  <c r="E354" i="2"/>
  <c r="F354" i="2"/>
  <c r="G354" i="2"/>
  <c r="I354" i="2"/>
  <c r="J354" i="2"/>
  <c r="K354" i="2"/>
  <c r="A355" i="2"/>
  <c r="C355" i="2"/>
  <c r="D355" i="2"/>
  <c r="E355" i="2"/>
  <c r="F355" i="2"/>
  <c r="G355" i="2"/>
  <c r="I355" i="2"/>
  <c r="J355" i="2"/>
  <c r="K355" i="2"/>
  <c r="A356" i="2"/>
  <c r="C356" i="2"/>
  <c r="D356" i="2"/>
  <c r="E356" i="2"/>
  <c r="F356" i="2"/>
  <c r="G356" i="2"/>
  <c r="I356" i="2"/>
  <c r="J356" i="2"/>
  <c r="K356" i="2"/>
  <c r="A357" i="2"/>
  <c r="C357" i="2"/>
  <c r="D357" i="2"/>
  <c r="E357" i="2"/>
  <c r="F357" i="2"/>
  <c r="G357" i="2"/>
  <c r="I357" i="2"/>
  <c r="J357" i="2"/>
  <c r="K357" i="2"/>
  <c r="A358" i="2"/>
  <c r="C358" i="2"/>
  <c r="D358" i="2"/>
  <c r="E358" i="2"/>
  <c r="F358" i="2"/>
  <c r="G358" i="2"/>
  <c r="I358" i="2"/>
  <c r="J358" i="2"/>
  <c r="K358" i="2"/>
  <c r="A359" i="2"/>
  <c r="C359" i="2"/>
  <c r="D359" i="2"/>
  <c r="E359" i="2"/>
  <c r="F359" i="2"/>
  <c r="G359" i="2"/>
  <c r="I359" i="2"/>
  <c r="J359" i="2"/>
  <c r="K359" i="2"/>
  <c r="A360" i="2"/>
  <c r="C360" i="2"/>
  <c r="D360" i="2"/>
  <c r="E360" i="2"/>
  <c r="F360" i="2"/>
  <c r="G360" i="2"/>
  <c r="I360" i="2"/>
  <c r="J360" i="2"/>
  <c r="K360" i="2"/>
  <c r="A361" i="2"/>
  <c r="C361" i="2"/>
  <c r="D361" i="2"/>
  <c r="E361" i="2"/>
  <c r="F361" i="2"/>
  <c r="G361" i="2"/>
  <c r="I361" i="2"/>
  <c r="J361" i="2"/>
  <c r="K361" i="2"/>
  <c r="A362" i="2"/>
  <c r="C362" i="2"/>
  <c r="D362" i="2"/>
  <c r="E362" i="2"/>
  <c r="F362" i="2"/>
  <c r="G362" i="2"/>
  <c r="I362" i="2"/>
  <c r="J362" i="2"/>
  <c r="K362" i="2"/>
  <c r="A363" i="2"/>
  <c r="C363" i="2"/>
  <c r="D363" i="2"/>
  <c r="E363" i="2"/>
  <c r="F363" i="2"/>
  <c r="G363" i="2"/>
  <c r="I363" i="2"/>
  <c r="J363" i="2"/>
  <c r="K363" i="2"/>
  <c r="A364" i="2"/>
  <c r="C364" i="2"/>
  <c r="D364" i="2"/>
  <c r="E364" i="2"/>
  <c r="F364" i="2"/>
  <c r="G364" i="2"/>
  <c r="I364" i="2"/>
  <c r="J364" i="2"/>
  <c r="K364" i="2"/>
  <c r="A365" i="2"/>
  <c r="C365" i="2"/>
  <c r="D365" i="2"/>
  <c r="E365" i="2"/>
  <c r="F365" i="2"/>
  <c r="G365" i="2"/>
  <c r="I365" i="2"/>
  <c r="J365" i="2"/>
  <c r="K365" i="2"/>
  <c r="A366" i="2"/>
  <c r="C366" i="2"/>
  <c r="D366" i="2"/>
  <c r="E366" i="2"/>
  <c r="F366" i="2"/>
  <c r="G366" i="2"/>
  <c r="I366" i="2"/>
  <c r="J366" i="2"/>
  <c r="K366" i="2"/>
  <c r="A367" i="2"/>
  <c r="C367" i="2"/>
  <c r="D367" i="2"/>
  <c r="E367" i="2"/>
  <c r="F367" i="2"/>
  <c r="G367" i="2"/>
  <c r="I367" i="2"/>
  <c r="J367" i="2"/>
  <c r="K367" i="2"/>
  <c r="A368" i="2"/>
  <c r="C368" i="2"/>
  <c r="D368" i="2"/>
  <c r="E368" i="2"/>
  <c r="F368" i="2"/>
  <c r="G368" i="2"/>
  <c r="I368" i="2"/>
  <c r="J368" i="2"/>
  <c r="K368" i="2"/>
  <c r="A369" i="2"/>
  <c r="C369" i="2"/>
  <c r="D369" i="2"/>
  <c r="E369" i="2"/>
  <c r="F369" i="2"/>
  <c r="G369" i="2"/>
  <c r="I369" i="2"/>
  <c r="J369" i="2"/>
  <c r="K369" i="2"/>
  <c r="A370" i="2"/>
  <c r="C370" i="2"/>
  <c r="D370" i="2"/>
  <c r="E370" i="2"/>
  <c r="F370" i="2"/>
  <c r="G370" i="2"/>
  <c r="I370" i="2"/>
  <c r="J370" i="2"/>
  <c r="K370" i="2"/>
  <c r="A371" i="2"/>
  <c r="C371" i="2"/>
  <c r="D371" i="2"/>
  <c r="E371" i="2"/>
  <c r="F371" i="2"/>
  <c r="G371" i="2"/>
  <c r="I371" i="2"/>
  <c r="J371" i="2"/>
  <c r="K371" i="2"/>
  <c r="A372" i="2"/>
  <c r="C372" i="2"/>
  <c r="D372" i="2"/>
  <c r="E372" i="2"/>
  <c r="F372" i="2"/>
  <c r="G372" i="2"/>
  <c r="I372" i="2"/>
  <c r="J372" i="2"/>
  <c r="K372" i="2"/>
  <c r="A373" i="2"/>
  <c r="C373" i="2"/>
  <c r="D373" i="2"/>
  <c r="E373" i="2"/>
  <c r="F373" i="2"/>
  <c r="G373" i="2"/>
  <c r="I373" i="2"/>
  <c r="J373" i="2"/>
  <c r="K373" i="2"/>
  <c r="A374" i="2"/>
  <c r="C374" i="2"/>
  <c r="D374" i="2"/>
  <c r="E374" i="2"/>
  <c r="F374" i="2"/>
  <c r="G374" i="2"/>
  <c r="I374" i="2"/>
  <c r="J374" i="2"/>
  <c r="K374" i="2"/>
  <c r="A375" i="2"/>
  <c r="C375" i="2"/>
  <c r="D375" i="2"/>
  <c r="E375" i="2"/>
  <c r="F375" i="2"/>
  <c r="G375" i="2"/>
  <c r="I375" i="2"/>
  <c r="J375" i="2"/>
  <c r="K375" i="2"/>
  <c r="A376" i="2"/>
  <c r="C376" i="2"/>
  <c r="D376" i="2"/>
  <c r="E376" i="2"/>
  <c r="F376" i="2"/>
  <c r="G376" i="2"/>
  <c r="I376" i="2"/>
  <c r="J376" i="2"/>
  <c r="K376" i="2"/>
  <c r="A377" i="2"/>
  <c r="C377" i="2"/>
  <c r="D377" i="2"/>
  <c r="E377" i="2"/>
  <c r="F377" i="2"/>
  <c r="G377" i="2"/>
  <c r="I377" i="2"/>
  <c r="J377" i="2"/>
  <c r="K377" i="2"/>
  <c r="A378" i="2"/>
  <c r="C378" i="2"/>
  <c r="D378" i="2"/>
  <c r="E378" i="2"/>
  <c r="F378" i="2"/>
  <c r="G378" i="2"/>
  <c r="I378" i="2"/>
  <c r="J378" i="2"/>
  <c r="K378" i="2"/>
  <c r="A379" i="2"/>
  <c r="C379" i="2"/>
  <c r="D379" i="2"/>
  <c r="E379" i="2"/>
  <c r="F379" i="2"/>
  <c r="G379" i="2"/>
  <c r="I379" i="2"/>
  <c r="J379" i="2"/>
  <c r="K379" i="2"/>
  <c r="A380" i="2"/>
  <c r="C380" i="2"/>
  <c r="D380" i="2"/>
  <c r="E380" i="2"/>
  <c r="F380" i="2"/>
  <c r="G380" i="2"/>
  <c r="I380" i="2"/>
  <c r="J380" i="2"/>
  <c r="K380" i="2"/>
  <c r="A381" i="2"/>
  <c r="C381" i="2"/>
  <c r="D381" i="2"/>
  <c r="E381" i="2"/>
  <c r="F381" i="2"/>
  <c r="G381" i="2"/>
  <c r="I381" i="2"/>
  <c r="J381" i="2"/>
  <c r="K381" i="2"/>
  <c r="A382" i="2"/>
  <c r="C382" i="2"/>
  <c r="D382" i="2"/>
  <c r="E382" i="2"/>
  <c r="F382" i="2"/>
  <c r="G382" i="2"/>
  <c r="I382" i="2"/>
  <c r="J382" i="2"/>
  <c r="K382" i="2"/>
  <c r="A383" i="2"/>
  <c r="C383" i="2"/>
  <c r="D383" i="2"/>
  <c r="E383" i="2"/>
  <c r="F383" i="2"/>
  <c r="G383" i="2"/>
  <c r="I383" i="2"/>
  <c r="J383" i="2"/>
  <c r="K383" i="2"/>
  <c r="A384" i="2"/>
  <c r="C384" i="2"/>
  <c r="D384" i="2"/>
  <c r="E384" i="2"/>
  <c r="F384" i="2"/>
  <c r="G384" i="2"/>
  <c r="I384" i="2"/>
  <c r="J384" i="2"/>
  <c r="K384" i="2"/>
  <c r="A385" i="2"/>
  <c r="C385" i="2"/>
  <c r="D385" i="2"/>
  <c r="E385" i="2"/>
  <c r="F385" i="2"/>
  <c r="G385" i="2"/>
  <c r="I385" i="2"/>
  <c r="J385" i="2"/>
  <c r="K385" i="2"/>
  <c r="A386" i="2"/>
  <c r="C386" i="2"/>
  <c r="D386" i="2"/>
  <c r="E386" i="2"/>
  <c r="F386" i="2"/>
  <c r="G386" i="2"/>
  <c r="I386" i="2"/>
  <c r="J386" i="2"/>
  <c r="K386" i="2"/>
  <c r="A387" i="2"/>
  <c r="C387" i="2"/>
  <c r="D387" i="2"/>
  <c r="E387" i="2"/>
  <c r="F387" i="2"/>
  <c r="G387" i="2"/>
  <c r="I387" i="2"/>
  <c r="J387" i="2"/>
  <c r="K387" i="2"/>
  <c r="A388" i="2"/>
  <c r="C388" i="2"/>
  <c r="D388" i="2"/>
  <c r="E388" i="2"/>
  <c r="F388" i="2"/>
  <c r="G388" i="2"/>
  <c r="I388" i="2"/>
  <c r="J388" i="2"/>
  <c r="K388" i="2"/>
  <c r="A389" i="2"/>
  <c r="C389" i="2"/>
  <c r="D389" i="2"/>
  <c r="E389" i="2"/>
  <c r="F389" i="2"/>
  <c r="G389" i="2"/>
  <c r="I389" i="2"/>
  <c r="J389" i="2"/>
  <c r="K389" i="2"/>
  <c r="A390" i="2"/>
  <c r="C390" i="2"/>
  <c r="D390" i="2"/>
  <c r="E390" i="2"/>
  <c r="F390" i="2"/>
  <c r="G390" i="2"/>
  <c r="I390" i="2"/>
  <c r="J390" i="2"/>
  <c r="K390" i="2"/>
  <c r="A391" i="2"/>
  <c r="C391" i="2"/>
  <c r="D391" i="2"/>
  <c r="E391" i="2"/>
  <c r="F391" i="2"/>
  <c r="G391" i="2"/>
  <c r="I391" i="2"/>
  <c r="J391" i="2"/>
  <c r="K391" i="2"/>
  <c r="A392" i="2"/>
  <c r="C392" i="2"/>
  <c r="D392" i="2"/>
  <c r="E392" i="2"/>
  <c r="F392" i="2"/>
  <c r="G392" i="2"/>
  <c r="I392" i="2"/>
  <c r="J392" i="2"/>
  <c r="K392" i="2"/>
  <c r="A393" i="2"/>
  <c r="C393" i="2"/>
  <c r="D393" i="2"/>
  <c r="E393" i="2"/>
  <c r="F393" i="2"/>
  <c r="G393" i="2"/>
  <c r="I393" i="2"/>
  <c r="J393" i="2"/>
  <c r="K393" i="2"/>
  <c r="A394" i="2"/>
  <c r="C394" i="2"/>
  <c r="D394" i="2"/>
  <c r="E394" i="2"/>
  <c r="F394" i="2"/>
  <c r="G394" i="2"/>
  <c r="I394" i="2"/>
  <c r="J394" i="2"/>
  <c r="K394" i="2"/>
  <c r="A395" i="2"/>
  <c r="C395" i="2"/>
  <c r="D395" i="2"/>
  <c r="E395" i="2"/>
  <c r="F395" i="2"/>
  <c r="G395" i="2"/>
  <c r="I395" i="2"/>
  <c r="J395" i="2"/>
  <c r="K395" i="2"/>
  <c r="A396" i="2"/>
  <c r="C396" i="2"/>
  <c r="D396" i="2"/>
  <c r="E396" i="2"/>
  <c r="F396" i="2"/>
  <c r="G396" i="2"/>
  <c r="I396" i="2"/>
  <c r="J396" i="2"/>
  <c r="K396" i="2"/>
  <c r="A397" i="2"/>
  <c r="C397" i="2"/>
  <c r="D397" i="2"/>
  <c r="E397" i="2"/>
  <c r="F397" i="2"/>
  <c r="G397" i="2"/>
  <c r="I397" i="2"/>
  <c r="J397" i="2"/>
  <c r="K397" i="2"/>
  <c r="A398" i="2"/>
  <c r="C398" i="2"/>
  <c r="D398" i="2"/>
  <c r="E398" i="2"/>
  <c r="F398" i="2"/>
  <c r="G398" i="2"/>
  <c r="I398" i="2"/>
  <c r="J398" i="2"/>
  <c r="K398" i="2"/>
  <c r="A399" i="2"/>
  <c r="C399" i="2"/>
  <c r="D399" i="2"/>
  <c r="E399" i="2"/>
  <c r="F399" i="2"/>
  <c r="G399" i="2"/>
  <c r="I399" i="2"/>
  <c r="J399" i="2"/>
  <c r="K399" i="2"/>
  <c r="A400" i="2"/>
  <c r="C400" i="2"/>
  <c r="D400" i="2"/>
  <c r="E400" i="2"/>
  <c r="F400" i="2"/>
  <c r="G400" i="2"/>
  <c r="I400" i="2"/>
  <c r="J400" i="2"/>
  <c r="K400" i="2"/>
  <c r="A401" i="2"/>
  <c r="C401" i="2"/>
  <c r="D401" i="2"/>
  <c r="E401" i="2"/>
  <c r="F401" i="2"/>
  <c r="G401" i="2"/>
  <c r="I401" i="2"/>
  <c r="J401" i="2"/>
  <c r="K401" i="2"/>
  <c r="A402" i="2"/>
  <c r="C402" i="2"/>
  <c r="D402" i="2"/>
  <c r="E402" i="2"/>
  <c r="F402" i="2"/>
  <c r="G402" i="2"/>
  <c r="I402" i="2"/>
  <c r="J402" i="2"/>
  <c r="K402" i="2"/>
  <c r="A403" i="2"/>
  <c r="C403" i="2"/>
  <c r="D403" i="2"/>
  <c r="E403" i="2"/>
  <c r="F403" i="2"/>
  <c r="G403" i="2"/>
  <c r="I403" i="2"/>
  <c r="J403" i="2"/>
  <c r="K403" i="2"/>
  <c r="A404" i="2"/>
  <c r="C404" i="2"/>
  <c r="D404" i="2"/>
  <c r="E404" i="2"/>
  <c r="F404" i="2"/>
  <c r="G404" i="2"/>
  <c r="I404" i="2"/>
  <c r="J404" i="2"/>
  <c r="K404" i="2"/>
  <c r="A405" i="2"/>
  <c r="C405" i="2"/>
  <c r="D405" i="2"/>
  <c r="E405" i="2"/>
  <c r="F405" i="2"/>
  <c r="G405" i="2"/>
  <c r="I405" i="2"/>
  <c r="J405" i="2"/>
  <c r="K405" i="2"/>
  <c r="A406" i="2"/>
  <c r="C406" i="2"/>
  <c r="D406" i="2"/>
  <c r="E406" i="2"/>
  <c r="F406" i="2"/>
  <c r="G406" i="2"/>
  <c r="I406" i="2"/>
  <c r="J406" i="2"/>
  <c r="K406" i="2"/>
  <c r="A407" i="2"/>
  <c r="C407" i="2"/>
  <c r="D407" i="2"/>
  <c r="E407" i="2"/>
  <c r="F407" i="2"/>
  <c r="G407" i="2"/>
  <c r="I407" i="2"/>
  <c r="J407" i="2"/>
  <c r="K407" i="2"/>
  <c r="A408" i="2"/>
  <c r="C408" i="2"/>
  <c r="D408" i="2"/>
  <c r="E408" i="2"/>
  <c r="F408" i="2"/>
  <c r="G408" i="2"/>
  <c r="I408" i="2"/>
  <c r="J408" i="2"/>
  <c r="K408" i="2"/>
  <c r="A409" i="2"/>
  <c r="C409" i="2"/>
  <c r="D409" i="2"/>
  <c r="E409" i="2"/>
  <c r="F409" i="2"/>
  <c r="G409" i="2"/>
  <c r="I409" i="2"/>
  <c r="J409" i="2"/>
  <c r="K409" i="2"/>
  <c r="A410" i="2"/>
  <c r="C410" i="2"/>
  <c r="D410" i="2"/>
  <c r="E410" i="2"/>
  <c r="F410" i="2"/>
  <c r="G410" i="2"/>
  <c r="I410" i="2"/>
  <c r="J410" i="2"/>
  <c r="K410" i="2"/>
  <c r="A411" i="2"/>
  <c r="C411" i="2"/>
  <c r="D411" i="2"/>
  <c r="E411" i="2"/>
  <c r="F411" i="2"/>
  <c r="G411" i="2"/>
  <c r="I411" i="2"/>
  <c r="J411" i="2"/>
  <c r="K411" i="2"/>
  <c r="A412" i="2"/>
  <c r="C412" i="2"/>
  <c r="D412" i="2"/>
  <c r="E412" i="2"/>
  <c r="F412" i="2"/>
  <c r="G412" i="2"/>
  <c r="I412" i="2"/>
  <c r="J412" i="2"/>
  <c r="K412" i="2"/>
  <c r="A413" i="2"/>
  <c r="C413" i="2"/>
  <c r="D413" i="2"/>
  <c r="E413" i="2"/>
  <c r="F413" i="2"/>
  <c r="G413" i="2"/>
  <c r="I413" i="2"/>
  <c r="J413" i="2"/>
  <c r="K413" i="2"/>
  <c r="A414" i="2"/>
  <c r="C414" i="2"/>
  <c r="D414" i="2"/>
  <c r="E414" i="2"/>
  <c r="F414" i="2"/>
  <c r="G414" i="2"/>
  <c r="I414" i="2"/>
  <c r="J414" i="2"/>
  <c r="K414" i="2"/>
  <c r="A415" i="2"/>
  <c r="C415" i="2"/>
  <c r="D415" i="2"/>
  <c r="E415" i="2"/>
  <c r="F415" i="2"/>
  <c r="G415" i="2"/>
  <c r="I415" i="2"/>
  <c r="J415" i="2"/>
  <c r="K415" i="2"/>
  <c r="A416" i="2"/>
  <c r="C416" i="2"/>
  <c r="D416" i="2"/>
  <c r="E416" i="2"/>
  <c r="F416" i="2"/>
  <c r="G416" i="2"/>
  <c r="I416" i="2"/>
  <c r="J416" i="2"/>
  <c r="K416" i="2"/>
  <c r="A417" i="2"/>
  <c r="C417" i="2"/>
  <c r="D417" i="2"/>
  <c r="E417" i="2"/>
  <c r="F417" i="2"/>
  <c r="G417" i="2"/>
  <c r="I417" i="2"/>
  <c r="J417" i="2"/>
  <c r="K417" i="2"/>
  <c r="A418" i="2"/>
  <c r="C418" i="2"/>
  <c r="D418" i="2"/>
  <c r="E418" i="2"/>
  <c r="F418" i="2"/>
  <c r="G418" i="2"/>
  <c r="I418" i="2"/>
  <c r="J418" i="2"/>
  <c r="K418" i="2"/>
  <c r="A419" i="2"/>
  <c r="C419" i="2"/>
  <c r="D419" i="2"/>
  <c r="E419" i="2"/>
  <c r="F419" i="2"/>
  <c r="G419" i="2"/>
  <c r="I419" i="2"/>
  <c r="J419" i="2"/>
  <c r="K419" i="2"/>
  <c r="A420" i="2"/>
  <c r="C420" i="2"/>
  <c r="D420" i="2"/>
  <c r="E420" i="2"/>
  <c r="F420" i="2"/>
  <c r="G420" i="2"/>
  <c r="I420" i="2"/>
  <c r="J420" i="2"/>
  <c r="K420" i="2"/>
  <c r="A421" i="2"/>
  <c r="C421" i="2"/>
  <c r="D421" i="2"/>
  <c r="E421" i="2"/>
  <c r="F421" i="2"/>
  <c r="G421" i="2"/>
  <c r="I421" i="2"/>
  <c r="J421" i="2"/>
  <c r="K421" i="2"/>
  <c r="A422" i="2"/>
  <c r="C422" i="2"/>
  <c r="D422" i="2"/>
  <c r="E422" i="2"/>
  <c r="F422" i="2"/>
  <c r="G422" i="2"/>
  <c r="I422" i="2"/>
  <c r="J422" i="2"/>
  <c r="K422" i="2"/>
  <c r="A423" i="2"/>
  <c r="C423" i="2"/>
  <c r="D423" i="2"/>
  <c r="E423" i="2"/>
  <c r="F423" i="2"/>
  <c r="G423" i="2"/>
  <c r="I423" i="2"/>
  <c r="J423" i="2"/>
  <c r="K423" i="2"/>
  <c r="A424" i="2"/>
  <c r="C424" i="2"/>
  <c r="D424" i="2"/>
  <c r="E424" i="2"/>
  <c r="F424" i="2"/>
  <c r="G424" i="2"/>
  <c r="I424" i="2"/>
  <c r="J424" i="2"/>
  <c r="K424" i="2"/>
  <c r="A425" i="2"/>
  <c r="C425" i="2"/>
  <c r="D425" i="2"/>
  <c r="E425" i="2"/>
  <c r="F425" i="2"/>
  <c r="G425" i="2"/>
  <c r="I425" i="2"/>
  <c r="J425" i="2"/>
  <c r="K425" i="2"/>
  <c r="A426" i="2"/>
  <c r="C426" i="2"/>
  <c r="D426" i="2"/>
  <c r="E426" i="2"/>
  <c r="F426" i="2"/>
  <c r="G426" i="2"/>
  <c r="I426" i="2"/>
  <c r="J426" i="2"/>
  <c r="K426" i="2"/>
  <c r="A427" i="2"/>
  <c r="C427" i="2"/>
  <c r="D427" i="2"/>
  <c r="E427" i="2"/>
  <c r="F427" i="2"/>
  <c r="G427" i="2"/>
  <c r="I427" i="2"/>
  <c r="J427" i="2"/>
  <c r="K427" i="2"/>
  <c r="A428" i="2"/>
  <c r="C428" i="2"/>
  <c r="D428" i="2"/>
  <c r="E428" i="2"/>
  <c r="F428" i="2"/>
  <c r="G428" i="2"/>
  <c r="I428" i="2"/>
  <c r="J428" i="2"/>
  <c r="K428" i="2"/>
  <c r="A429" i="2"/>
  <c r="C429" i="2"/>
  <c r="D429" i="2"/>
  <c r="E429" i="2"/>
  <c r="F429" i="2"/>
  <c r="G429" i="2"/>
  <c r="I429" i="2"/>
  <c r="J429" i="2"/>
  <c r="K429" i="2"/>
  <c r="A430" i="2"/>
  <c r="C430" i="2"/>
  <c r="D430" i="2"/>
  <c r="E430" i="2"/>
  <c r="F430" i="2"/>
  <c r="G430" i="2"/>
  <c r="I430" i="2"/>
  <c r="J430" i="2"/>
  <c r="K430" i="2"/>
  <c r="A431" i="2"/>
  <c r="C431" i="2"/>
  <c r="D431" i="2"/>
  <c r="E431" i="2"/>
  <c r="F431" i="2"/>
  <c r="G431" i="2"/>
  <c r="I431" i="2"/>
  <c r="J431" i="2"/>
  <c r="K431" i="2"/>
  <c r="A432" i="2"/>
  <c r="C432" i="2"/>
  <c r="D432" i="2"/>
  <c r="E432" i="2"/>
  <c r="F432" i="2"/>
  <c r="G432" i="2"/>
  <c r="I432" i="2"/>
  <c r="J432" i="2"/>
  <c r="K432" i="2"/>
  <c r="A433" i="2"/>
  <c r="C433" i="2"/>
  <c r="D433" i="2"/>
  <c r="E433" i="2"/>
  <c r="F433" i="2"/>
  <c r="G433" i="2"/>
  <c r="I433" i="2"/>
  <c r="J433" i="2"/>
  <c r="K433" i="2"/>
  <c r="A434" i="2"/>
  <c r="C434" i="2"/>
  <c r="D434" i="2"/>
  <c r="E434" i="2"/>
  <c r="F434" i="2"/>
  <c r="G434" i="2"/>
  <c r="I434" i="2"/>
  <c r="J434" i="2"/>
  <c r="K434" i="2"/>
  <c r="A435" i="2"/>
  <c r="C435" i="2"/>
  <c r="D435" i="2"/>
  <c r="E435" i="2"/>
  <c r="F435" i="2"/>
  <c r="G435" i="2"/>
  <c r="I435" i="2"/>
  <c r="J435" i="2"/>
  <c r="K435" i="2"/>
  <c r="A436" i="2"/>
  <c r="C436" i="2"/>
  <c r="D436" i="2"/>
  <c r="E436" i="2"/>
  <c r="F436" i="2"/>
  <c r="G436" i="2"/>
  <c r="I436" i="2"/>
  <c r="J436" i="2"/>
  <c r="K436" i="2"/>
  <c r="A437" i="2"/>
  <c r="C437" i="2"/>
  <c r="D437" i="2"/>
  <c r="E437" i="2"/>
  <c r="F437" i="2"/>
  <c r="G437" i="2"/>
  <c r="I437" i="2"/>
  <c r="J437" i="2"/>
  <c r="K437" i="2"/>
  <c r="A438" i="2"/>
  <c r="C438" i="2"/>
  <c r="D438" i="2"/>
  <c r="E438" i="2"/>
  <c r="F438" i="2"/>
  <c r="G438" i="2"/>
  <c r="I438" i="2"/>
  <c r="J438" i="2"/>
  <c r="K438" i="2"/>
  <c r="A439" i="2"/>
  <c r="C439" i="2"/>
  <c r="D439" i="2"/>
  <c r="E439" i="2"/>
  <c r="F439" i="2"/>
  <c r="G439" i="2"/>
  <c r="I439" i="2"/>
  <c r="J439" i="2"/>
  <c r="K439" i="2"/>
  <c r="A440" i="2"/>
  <c r="C440" i="2"/>
  <c r="D440" i="2"/>
  <c r="E440" i="2"/>
  <c r="F440" i="2"/>
  <c r="G440" i="2"/>
  <c r="I440" i="2"/>
  <c r="J440" i="2"/>
  <c r="K440" i="2"/>
  <c r="A441" i="2"/>
  <c r="C441" i="2"/>
  <c r="D441" i="2"/>
  <c r="E441" i="2"/>
  <c r="F441" i="2"/>
  <c r="G441" i="2"/>
  <c r="I441" i="2"/>
  <c r="J441" i="2"/>
  <c r="K441" i="2"/>
  <c r="A442" i="2"/>
  <c r="C442" i="2"/>
  <c r="D442" i="2"/>
  <c r="E442" i="2"/>
  <c r="F442" i="2"/>
  <c r="G442" i="2"/>
  <c r="I442" i="2"/>
  <c r="J442" i="2"/>
  <c r="K442" i="2"/>
  <c r="A443" i="2"/>
  <c r="C443" i="2"/>
  <c r="D443" i="2"/>
  <c r="E443" i="2"/>
  <c r="F443" i="2"/>
  <c r="G443" i="2"/>
  <c r="I443" i="2"/>
  <c r="J443" i="2"/>
  <c r="K443" i="2"/>
  <c r="A444" i="2"/>
  <c r="C444" i="2"/>
  <c r="D444" i="2"/>
  <c r="E444" i="2"/>
  <c r="F444" i="2"/>
  <c r="G444" i="2"/>
  <c r="I444" i="2"/>
  <c r="J444" i="2"/>
  <c r="K444" i="2"/>
  <c r="A445" i="2"/>
  <c r="C445" i="2"/>
  <c r="D445" i="2"/>
  <c r="E445" i="2"/>
  <c r="F445" i="2"/>
  <c r="G445" i="2"/>
  <c r="I445" i="2"/>
  <c r="J445" i="2"/>
  <c r="K445" i="2"/>
  <c r="A446" i="2"/>
  <c r="C446" i="2"/>
  <c r="D446" i="2"/>
  <c r="E446" i="2"/>
  <c r="F446" i="2"/>
  <c r="G446" i="2"/>
  <c r="I446" i="2"/>
  <c r="J446" i="2"/>
  <c r="K446" i="2"/>
  <c r="A447" i="2"/>
  <c r="C447" i="2"/>
  <c r="D447" i="2"/>
  <c r="E447" i="2"/>
  <c r="F447" i="2"/>
  <c r="G447" i="2"/>
  <c r="I447" i="2"/>
  <c r="J447" i="2"/>
  <c r="K447" i="2"/>
  <c r="A448" i="2"/>
  <c r="C448" i="2"/>
  <c r="D448" i="2"/>
  <c r="E448" i="2"/>
  <c r="F448" i="2"/>
  <c r="G448" i="2"/>
  <c r="I448" i="2"/>
  <c r="J448" i="2"/>
  <c r="K448" i="2"/>
  <c r="A449" i="2"/>
  <c r="C449" i="2"/>
  <c r="D449" i="2"/>
  <c r="E449" i="2"/>
  <c r="F449" i="2"/>
  <c r="G449" i="2"/>
  <c r="I449" i="2"/>
  <c r="J449" i="2"/>
  <c r="K449" i="2"/>
  <c r="A450" i="2"/>
  <c r="C450" i="2"/>
  <c r="D450" i="2"/>
  <c r="E450" i="2"/>
  <c r="F450" i="2"/>
  <c r="G450" i="2"/>
  <c r="I450" i="2"/>
  <c r="J450" i="2"/>
  <c r="K450" i="2"/>
  <c r="A451" i="2"/>
  <c r="C451" i="2"/>
  <c r="D451" i="2"/>
  <c r="E451" i="2"/>
  <c r="F451" i="2"/>
  <c r="G451" i="2"/>
  <c r="I451" i="2"/>
  <c r="J451" i="2"/>
  <c r="K451" i="2"/>
  <c r="A452" i="2"/>
  <c r="C452" i="2"/>
  <c r="D452" i="2"/>
  <c r="E452" i="2"/>
  <c r="F452" i="2"/>
  <c r="G452" i="2"/>
  <c r="I452" i="2"/>
  <c r="J452" i="2"/>
  <c r="K452" i="2"/>
  <c r="A453" i="2"/>
  <c r="C453" i="2"/>
  <c r="D453" i="2"/>
  <c r="E453" i="2"/>
  <c r="F453" i="2"/>
  <c r="G453" i="2"/>
  <c r="I453" i="2"/>
  <c r="J453" i="2"/>
  <c r="K453" i="2"/>
  <c r="A454" i="2"/>
  <c r="C454" i="2"/>
  <c r="D454" i="2"/>
  <c r="E454" i="2"/>
  <c r="F454" i="2"/>
  <c r="G454" i="2"/>
  <c r="I454" i="2"/>
  <c r="J454" i="2"/>
  <c r="K454" i="2"/>
  <c r="A455" i="2"/>
  <c r="C455" i="2"/>
  <c r="D455" i="2"/>
  <c r="E455" i="2"/>
  <c r="F455" i="2"/>
  <c r="G455" i="2"/>
  <c r="I455" i="2"/>
  <c r="J455" i="2"/>
  <c r="K455" i="2"/>
  <c r="A456" i="2"/>
  <c r="C456" i="2"/>
  <c r="D456" i="2"/>
  <c r="E456" i="2"/>
  <c r="F456" i="2"/>
  <c r="G456" i="2"/>
  <c r="I456" i="2"/>
  <c r="J456" i="2"/>
  <c r="K456" i="2"/>
  <c r="A457" i="2"/>
  <c r="C457" i="2"/>
  <c r="D457" i="2"/>
  <c r="E457" i="2"/>
  <c r="F457" i="2"/>
  <c r="G457" i="2"/>
  <c r="I457" i="2"/>
  <c r="J457" i="2"/>
  <c r="K457" i="2"/>
  <c r="A458" i="2"/>
  <c r="C458" i="2"/>
  <c r="D458" i="2"/>
  <c r="E458" i="2"/>
  <c r="F458" i="2"/>
  <c r="G458" i="2"/>
  <c r="I458" i="2"/>
  <c r="J458" i="2"/>
  <c r="K458" i="2"/>
  <c r="A459" i="2"/>
  <c r="C459" i="2"/>
  <c r="D459" i="2"/>
  <c r="E459" i="2"/>
  <c r="F459" i="2"/>
  <c r="G459" i="2"/>
  <c r="I459" i="2"/>
  <c r="J459" i="2"/>
  <c r="K459" i="2"/>
  <c r="A460" i="2"/>
  <c r="C460" i="2"/>
  <c r="D460" i="2"/>
  <c r="E460" i="2"/>
  <c r="F460" i="2"/>
  <c r="G460" i="2"/>
  <c r="I460" i="2"/>
  <c r="J460" i="2"/>
  <c r="K460" i="2"/>
  <c r="A461" i="2"/>
  <c r="C461" i="2"/>
  <c r="D461" i="2"/>
  <c r="E461" i="2"/>
  <c r="F461" i="2"/>
  <c r="G461" i="2"/>
  <c r="I461" i="2"/>
  <c r="J461" i="2"/>
  <c r="K461" i="2"/>
  <c r="A462" i="2"/>
  <c r="C462" i="2"/>
  <c r="D462" i="2"/>
  <c r="E462" i="2"/>
  <c r="F462" i="2"/>
  <c r="G462" i="2"/>
  <c r="I462" i="2"/>
  <c r="J462" i="2"/>
  <c r="K462" i="2"/>
  <c r="A463" i="2"/>
  <c r="C463" i="2"/>
  <c r="D463" i="2"/>
  <c r="E463" i="2"/>
  <c r="F463" i="2"/>
  <c r="G463" i="2"/>
  <c r="I463" i="2"/>
  <c r="J463" i="2"/>
  <c r="K463" i="2"/>
  <c r="A464" i="2"/>
  <c r="C464" i="2"/>
  <c r="D464" i="2"/>
  <c r="E464" i="2"/>
  <c r="F464" i="2"/>
  <c r="G464" i="2"/>
  <c r="I464" i="2"/>
  <c r="J464" i="2"/>
  <c r="K464" i="2"/>
  <c r="A465" i="2"/>
  <c r="C465" i="2"/>
  <c r="D465" i="2"/>
  <c r="E465" i="2"/>
  <c r="F465" i="2"/>
  <c r="G465" i="2"/>
  <c r="I465" i="2"/>
  <c r="J465" i="2"/>
  <c r="K465" i="2"/>
  <c r="A466" i="2"/>
  <c r="C466" i="2"/>
  <c r="D466" i="2"/>
  <c r="E466" i="2"/>
  <c r="F466" i="2"/>
  <c r="G466" i="2"/>
  <c r="I466" i="2"/>
  <c r="J466" i="2"/>
  <c r="K466" i="2"/>
  <c r="A467" i="2"/>
  <c r="C467" i="2"/>
  <c r="D467" i="2"/>
  <c r="E467" i="2"/>
  <c r="F467" i="2"/>
  <c r="G467" i="2"/>
  <c r="I467" i="2"/>
  <c r="J467" i="2"/>
  <c r="K467" i="2"/>
  <c r="A468" i="2"/>
  <c r="C468" i="2"/>
  <c r="D468" i="2"/>
  <c r="E468" i="2"/>
  <c r="F468" i="2"/>
  <c r="G468" i="2"/>
  <c r="I468" i="2"/>
  <c r="J468" i="2"/>
  <c r="K468" i="2"/>
  <c r="A469" i="2"/>
  <c r="C469" i="2"/>
  <c r="D469" i="2"/>
  <c r="E469" i="2"/>
  <c r="F469" i="2"/>
  <c r="G469" i="2"/>
  <c r="I469" i="2"/>
  <c r="J469" i="2"/>
  <c r="K469" i="2"/>
  <c r="A470" i="2"/>
  <c r="C470" i="2"/>
  <c r="D470" i="2"/>
  <c r="E470" i="2"/>
  <c r="F470" i="2"/>
  <c r="G470" i="2"/>
  <c r="I470" i="2"/>
  <c r="J470" i="2"/>
  <c r="K470" i="2"/>
  <c r="A471" i="2"/>
  <c r="C471" i="2"/>
  <c r="D471" i="2"/>
  <c r="E471" i="2"/>
  <c r="F471" i="2"/>
  <c r="G471" i="2"/>
  <c r="I471" i="2"/>
  <c r="J471" i="2"/>
  <c r="K471" i="2"/>
  <c r="A472" i="2"/>
  <c r="C472" i="2"/>
  <c r="D472" i="2"/>
  <c r="E472" i="2"/>
  <c r="F472" i="2"/>
  <c r="G472" i="2"/>
  <c r="I472" i="2"/>
  <c r="J472" i="2"/>
  <c r="K472" i="2"/>
  <c r="A473" i="2"/>
  <c r="C473" i="2"/>
  <c r="D473" i="2"/>
  <c r="E473" i="2"/>
  <c r="F473" i="2"/>
  <c r="G473" i="2"/>
  <c r="I473" i="2"/>
  <c r="J473" i="2"/>
  <c r="K473" i="2"/>
  <c r="A474" i="2"/>
  <c r="C474" i="2"/>
  <c r="D474" i="2"/>
  <c r="E474" i="2"/>
  <c r="F474" i="2"/>
  <c r="G474" i="2"/>
  <c r="I474" i="2"/>
  <c r="J474" i="2"/>
  <c r="K474" i="2"/>
  <c r="A475" i="2"/>
  <c r="C475" i="2"/>
  <c r="D475" i="2"/>
  <c r="E475" i="2"/>
  <c r="F475" i="2"/>
  <c r="G475" i="2"/>
  <c r="I475" i="2"/>
  <c r="J475" i="2"/>
  <c r="K475" i="2"/>
  <c r="A476" i="2"/>
  <c r="C476" i="2"/>
  <c r="D476" i="2"/>
  <c r="E476" i="2"/>
  <c r="F476" i="2"/>
  <c r="G476" i="2"/>
  <c r="I476" i="2"/>
  <c r="J476" i="2"/>
  <c r="K476" i="2"/>
  <c r="A477" i="2"/>
  <c r="C477" i="2"/>
  <c r="D477" i="2"/>
  <c r="E477" i="2"/>
  <c r="F477" i="2"/>
  <c r="G477" i="2"/>
  <c r="I477" i="2"/>
  <c r="J477" i="2"/>
  <c r="K477" i="2"/>
  <c r="A478" i="2"/>
  <c r="C478" i="2"/>
  <c r="D478" i="2"/>
  <c r="E478" i="2"/>
  <c r="F478" i="2"/>
  <c r="G478" i="2"/>
  <c r="I478" i="2"/>
  <c r="J478" i="2"/>
  <c r="K478" i="2"/>
  <c r="A479" i="2"/>
  <c r="C479" i="2"/>
  <c r="D479" i="2"/>
  <c r="E479" i="2"/>
  <c r="F479" i="2"/>
  <c r="G479" i="2"/>
  <c r="I479" i="2"/>
  <c r="J479" i="2"/>
  <c r="K479" i="2"/>
  <c r="A480" i="2"/>
  <c r="C480" i="2"/>
  <c r="D480" i="2"/>
  <c r="E480" i="2"/>
  <c r="F480" i="2"/>
  <c r="G480" i="2"/>
  <c r="I480" i="2"/>
  <c r="J480" i="2"/>
  <c r="K480" i="2"/>
  <c r="A481" i="2"/>
  <c r="C481" i="2"/>
  <c r="D481" i="2"/>
  <c r="E481" i="2"/>
  <c r="F481" i="2"/>
  <c r="G481" i="2"/>
  <c r="I481" i="2"/>
  <c r="J481" i="2"/>
  <c r="K481" i="2"/>
  <c r="A482" i="2"/>
  <c r="C482" i="2"/>
  <c r="D482" i="2"/>
  <c r="E482" i="2"/>
  <c r="F482" i="2"/>
  <c r="G482" i="2"/>
  <c r="I482" i="2"/>
  <c r="J482" i="2"/>
  <c r="K482" i="2"/>
  <c r="A483" i="2"/>
  <c r="C483" i="2"/>
  <c r="D483" i="2"/>
  <c r="E483" i="2"/>
  <c r="F483" i="2"/>
  <c r="G483" i="2"/>
  <c r="I483" i="2"/>
  <c r="J483" i="2"/>
  <c r="K483" i="2"/>
  <c r="A484" i="2"/>
  <c r="C484" i="2"/>
  <c r="D484" i="2"/>
  <c r="E484" i="2"/>
  <c r="F484" i="2"/>
  <c r="G484" i="2"/>
  <c r="I484" i="2"/>
  <c r="J484" i="2"/>
  <c r="K484" i="2"/>
  <c r="A485" i="2"/>
  <c r="C485" i="2"/>
  <c r="D485" i="2"/>
  <c r="E485" i="2"/>
  <c r="F485" i="2"/>
  <c r="G485" i="2"/>
  <c r="I485" i="2"/>
  <c r="J485" i="2"/>
  <c r="K485" i="2"/>
  <c r="A486" i="2"/>
  <c r="C486" i="2"/>
  <c r="D486" i="2"/>
  <c r="E486" i="2"/>
  <c r="F486" i="2"/>
  <c r="G486" i="2"/>
  <c r="I486" i="2"/>
  <c r="J486" i="2"/>
  <c r="K486" i="2"/>
  <c r="A487" i="2"/>
  <c r="C487" i="2"/>
  <c r="D487" i="2"/>
  <c r="E487" i="2"/>
  <c r="F487" i="2"/>
  <c r="G487" i="2"/>
  <c r="I487" i="2"/>
  <c r="J487" i="2"/>
  <c r="K487" i="2"/>
  <c r="A488" i="2"/>
  <c r="C488" i="2"/>
  <c r="D488" i="2"/>
  <c r="E488" i="2"/>
  <c r="F488" i="2"/>
  <c r="G488" i="2"/>
  <c r="I488" i="2"/>
  <c r="J488" i="2"/>
  <c r="K488" i="2"/>
  <c r="A489" i="2"/>
  <c r="C489" i="2"/>
  <c r="D489" i="2"/>
  <c r="E489" i="2"/>
  <c r="F489" i="2"/>
  <c r="G489" i="2"/>
  <c r="I489" i="2"/>
  <c r="J489" i="2"/>
  <c r="K489" i="2"/>
  <c r="A490" i="2"/>
  <c r="C490" i="2"/>
  <c r="D490" i="2"/>
  <c r="E490" i="2"/>
  <c r="F490" i="2"/>
  <c r="G490" i="2"/>
  <c r="I490" i="2"/>
  <c r="J490" i="2"/>
  <c r="K490" i="2"/>
  <c r="A491" i="2"/>
  <c r="C491" i="2"/>
  <c r="D491" i="2"/>
  <c r="E491" i="2"/>
  <c r="F491" i="2"/>
  <c r="G491" i="2"/>
  <c r="I491" i="2"/>
  <c r="J491" i="2"/>
  <c r="K491" i="2"/>
  <c r="A492" i="2"/>
  <c r="C492" i="2"/>
  <c r="D492" i="2"/>
  <c r="E492" i="2"/>
  <c r="F492" i="2"/>
  <c r="G492" i="2"/>
  <c r="I492" i="2"/>
  <c r="J492" i="2"/>
  <c r="K492" i="2"/>
  <c r="A493" i="2"/>
  <c r="C493" i="2"/>
  <c r="D493" i="2"/>
  <c r="E493" i="2"/>
  <c r="F493" i="2"/>
  <c r="G493" i="2"/>
  <c r="I493" i="2"/>
  <c r="J493" i="2"/>
  <c r="K493" i="2"/>
  <c r="A494" i="2"/>
  <c r="C494" i="2"/>
  <c r="D494" i="2"/>
  <c r="E494" i="2"/>
  <c r="F494" i="2"/>
  <c r="G494" i="2"/>
  <c r="I494" i="2"/>
  <c r="J494" i="2"/>
  <c r="K494" i="2"/>
  <c r="A495" i="2"/>
  <c r="C495" i="2"/>
  <c r="D495" i="2"/>
  <c r="E495" i="2"/>
  <c r="F495" i="2"/>
  <c r="G495" i="2"/>
  <c r="I495" i="2"/>
  <c r="J495" i="2"/>
  <c r="K495" i="2"/>
  <c r="A496" i="2"/>
  <c r="C496" i="2"/>
  <c r="D496" i="2"/>
  <c r="E496" i="2"/>
  <c r="F496" i="2"/>
  <c r="G496" i="2"/>
  <c r="I496" i="2"/>
  <c r="J496" i="2"/>
  <c r="K496" i="2"/>
  <c r="A497" i="2"/>
  <c r="C497" i="2"/>
  <c r="D497" i="2"/>
  <c r="E497" i="2"/>
  <c r="F497" i="2"/>
  <c r="G497" i="2"/>
  <c r="I497" i="2"/>
  <c r="J497" i="2"/>
  <c r="K497" i="2"/>
  <c r="A498" i="2"/>
  <c r="C498" i="2"/>
  <c r="D498" i="2"/>
  <c r="E498" i="2"/>
  <c r="F498" i="2"/>
  <c r="G498" i="2"/>
  <c r="I498" i="2"/>
  <c r="J498" i="2"/>
  <c r="K498" i="2"/>
  <c r="A499" i="2"/>
  <c r="C499" i="2"/>
  <c r="D499" i="2"/>
  <c r="E499" i="2"/>
  <c r="F499" i="2"/>
  <c r="G499" i="2"/>
  <c r="I499" i="2"/>
  <c r="J499" i="2"/>
  <c r="K499" i="2"/>
  <c r="A500" i="2"/>
  <c r="C500" i="2"/>
  <c r="D500" i="2"/>
  <c r="E500" i="2"/>
  <c r="F500" i="2"/>
  <c r="G500" i="2"/>
  <c r="I500" i="2"/>
  <c r="J500" i="2"/>
  <c r="K500" i="2"/>
  <c r="A501" i="2"/>
  <c r="C501" i="2"/>
  <c r="D501" i="2"/>
  <c r="E501" i="2"/>
  <c r="F501" i="2"/>
  <c r="G501" i="2"/>
  <c r="I501" i="2"/>
  <c r="J501" i="2"/>
  <c r="K501" i="2"/>
  <c r="A502" i="2"/>
  <c r="C502" i="2"/>
  <c r="D502" i="2"/>
  <c r="E502" i="2"/>
  <c r="F502" i="2"/>
  <c r="G502" i="2"/>
  <c r="I502" i="2"/>
  <c r="J502" i="2"/>
  <c r="K502" i="2"/>
  <c r="A503" i="2"/>
  <c r="C503" i="2"/>
  <c r="D503" i="2"/>
  <c r="E503" i="2"/>
  <c r="F503" i="2"/>
  <c r="G503" i="2"/>
  <c r="I503" i="2"/>
  <c r="J503" i="2"/>
  <c r="K503" i="2"/>
  <c r="A504" i="2"/>
  <c r="C504" i="2"/>
  <c r="D504" i="2"/>
  <c r="E504" i="2"/>
  <c r="F504" i="2"/>
  <c r="G504" i="2"/>
  <c r="I504" i="2"/>
  <c r="J504" i="2"/>
  <c r="K504" i="2"/>
  <c r="A505" i="2"/>
  <c r="C505" i="2"/>
  <c r="D505" i="2"/>
  <c r="E505" i="2"/>
  <c r="F505" i="2"/>
  <c r="G505" i="2"/>
  <c r="I505" i="2"/>
  <c r="J505" i="2"/>
  <c r="K505" i="2"/>
  <c r="A506" i="2"/>
  <c r="C506" i="2"/>
  <c r="D506" i="2"/>
  <c r="E506" i="2"/>
  <c r="F506" i="2"/>
  <c r="G506" i="2"/>
  <c r="I506" i="2"/>
  <c r="J506" i="2"/>
  <c r="K506" i="2"/>
  <c r="A507" i="2"/>
  <c r="C507" i="2"/>
  <c r="D507" i="2"/>
  <c r="E507" i="2"/>
  <c r="F507" i="2"/>
  <c r="G507" i="2"/>
  <c r="I507" i="2"/>
  <c r="J507" i="2"/>
  <c r="K507" i="2"/>
  <c r="A508" i="2"/>
  <c r="C508" i="2"/>
  <c r="D508" i="2"/>
  <c r="E508" i="2"/>
  <c r="F508" i="2"/>
  <c r="G508" i="2"/>
  <c r="I508" i="2"/>
  <c r="J508" i="2"/>
  <c r="K508" i="2"/>
  <c r="A509" i="2"/>
  <c r="C509" i="2"/>
  <c r="D509" i="2"/>
  <c r="E509" i="2"/>
  <c r="F509" i="2"/>
  <c r="G509" i="2"/>
  <c r="I509" i="2"/>
  <c r="J509" i="2"/>
  <c r="K509" i="2"/>
  <c r="A510" i="2"/>
  <c r="C510" i="2"/>
  <c r="D510" i="2"/>
  <c r="E510" i="2"/>
  <c r="F510" i="2"/>
  <c r="G510" i="2"/>
  <c r="I510" i="2"/>
  <c r="J510" i="2"/>
  <c r="K510" i="2"/>
  <c r="A511" i="2"/>
  <c r="C511" i="2"/>
  <c r="D511" i="2"/>
  <c r="E511" i="2"/>
  <c r="F511" i="2"/>
  <c r="G511" i="2"/>
  <c r="I511" i="2"/>
  <c r="J511" i="2"/>
  <c r="K511" i="2"/>
  <c r="A512" i="2"/>
  <c r="C512" i="2"/>
  <c r="D512" i="2"/>
  <c r="E512" i="2"/>
  <c r="F512" i="2"/>
  <c r="G512" i="2"/>
  <c r="I512" i="2"/>
  <c r="J512" i="2"/>
  <c r="K512" i="2"/>
  <c r="A513" i="2"/>
  <c r="C513" i="2"/>
  <c r="D513" i="2"/>
  <c r="E513" i="2"/>
  <c r="F513" i="2"/>
  <c r="G513" i="2"/>
  <c r="I513" i="2"/>
  <c r="J513" i="2"/>
  <c r="K513" i="2"/>
  <c r="A514" i="2"/>
  <c r="C514" i="2"/>
  <c r="D514" i="2"/>
  <c r="E514" i="2"/>
  <c r="F514" i="2"/>
  <c r="G514" i="2"/>
  <c r="I514" i="2"/>
  <c r="J514" i="2"/>
  <c r="K514" i="2"/>
  <c r="A515" i="2"/>
  <c r="C515" i="2"/>
  <c r="D515" i="2"/>
  <c r="E515" i="2"/>
  <c r="F515" i="2"/>
  <c r="G515" i="2"/>
  <c r="I515" i="2"/>
  <c r="J515" i="2"/>
  <c r="K515" i="2"/>
  <c r="A516" i="2"/>
  <c r="C516" i="2"/>
  <c r="D516" i="2"/>
  <c r="E516" i="2"/>
  <c r="F516" i="2"/>
  <c r="G516" i="2"/>
  <c r="I516" i="2"/>
  <c r="J516" i="2"/>
  <c r="K516" i="2"/>
  <c r="A517" i="2"/>
  <c r="C517" i="2"/>
  <c r="D517" i="2"/>
  <c r="E517" i="2"/>
  <c r="F517" i="2"/>
  <c r="G517" i="2"/>
  <c r="I517" i="2"/>
  <c r="J517" i="2"/>
  <c r="K517" i="2"/>
  <c r="A518" i="2"/>
  <c r="C518" i="2"/>
  <c r="D518" i="2"/>
  <c r="E518" i="2"/>
  <c r="F518" i="2"/>
  <c r="G518" i="2"/>
  <c r="I518" i="2"/>
  <c r="J518" i="2"/>
  <c r="K518" i="2"/>
  <c r="A519" i="2"/>
  <c r="C519" i="2"/>
  <c r="D519" i="2"/>
  <c r="E519" i="2"/>
  <c r="F519" i="2"/>
  <c r="G519" i="2"/>
  <c r="I519" i="2"/>
  <c r="J519" i="2"/>
  <c r="K519" i="2"/>
  <c r="A520" i="2"/>
  <c r="C520" i="2"/>
  <c r="D520" i="2"/>
  <c r="E520" i="2"/>
  <c r="F520" i="2"/>
  <c r="G520" i="2"/>
  <c r="I520" i="2"/>
  <c r="J520" i="2"/>
  <c r="K520" i="2"/>
  <c r="A521" i="2"/>
  <c r="C521" i="2"/>
  <c r="D521" i="2"/>
  <c r="E521" i="2"/>
  <c r="F521" i="2"/>
  <c r="G521" i="2"/>
  <c r="I521" i="2"/>
  <c r="J521" i="2"/>
  <c r="K521" i="2"/>
  <c r="A522" i="2"/>
  <c r="C522" i="2"/>
  <c r="D522" i="2"/>
  <c r="E522" i="2"/>
  <c r="F522" i="2"/>
  <c r="G522" i="2"/>
  <c r="I522" i="2"/>
  <c r="J522" i="2"/>
  <c r="K522" i="2"/>
  <c r="A523" i="2"/>
  <c r="C523" i="2"/>
  <c r="D523" i="2"/>
  <c r="E523" i="2"/>
  <c r="F523" i="2"/>
  <c r="G523" i="2"/>
  <c r="I523" i="2"/>
  <c r="J523" i="2"/>
  <c r="K523" i="2"/>
  <c r="A524" i="2"/>
  <c r="C524" i="2"/>
  <c r="D524" i="2"/>
  <c r="E524" i="2"/>
  <c r="F524" i="2"/>
  <c r="G524" i="2"/>
  <c r="I524" i="2"/>
  <c r="J524" i="2"/>
  <c r="K524" i="2"/>
  <c r="A525" i="2"/>
  <c r="C525" i="2"/>
  <c r="D525" i="2"/>
  <c r="E525" i="2"/>
  <c r="F525" i="2"/>
  <c r="G525" i="2"/>
  <c r="I525" i="2"/>
  <c r="J525" i="2"/>
  <c r="K525" i="2"/>
  <c r="A526" i="2"/>
  <c r="C526" i="2"/>
  <c r="D526" i="2"/>
  <c r="E526" i="2"/>
  <c r="F526" i="2"/>
  <c r="G526" i="2"/>
  <c r="I526" i="2"/>
  <c r="J526" i="2"/>
  <c r="K526" i="2"/>
  <c r="A527" i="2"/>
  <c r="C527" i="2"/>
  <c r="D527" i="2"/>
  <c r="E527" i="2"/>
  <c r="F527" i="2"/>
  <c r="G527" i="2"/>
  <c r="I527" i="2"/>
  <c r="J527" i="2"/>
  <c r="K527" i="2"/>
  <c r="A528" i="2"/>
  <c r="C528" i="2"/>
  <c r="D528" i="2"/>
  <c r="E528" i="2"/>
  <c r="F528" i="2"/>
  <c r="G528" i="2"/>
  <c r="I528" i="2"/>
  <c r="J528" i="2"/>
  <c r="K528" i="2"/>
  <c r="A529" i="2"/>
  <c r="C529" i="2"/>
  <c r="D529" i="2"/>
  <c r="E529" i="2"/>
  <c r="F529" i="2"/>
  <c r="G529" i="2"/>
  <c r="I529" i="2"/>
  <c r="J529" i="2"/>
  <c r="K529" i="2"/>
  <c r="A530" i="2"/>
  <c r="C530" i="2"/>
  <c r="D530" i="2"/>
  <c r="E530" i="2"/>
  <c r="F530" i="2"/>
  <c r="G530" i="2"/>
  <c r="I530" i="2"/>
  <c r="J530" i="2"/>
  <c r="K530" i="2"/>
  <c r="A531" i="2"/>
  <c r="C531" i="2"/>
  <c r="D531" i="2"/>
  <c r="E531" i="2"/>
  <c r="F531" i="2"/>
  <c r="G531" i="2"/>
  <c r="I531" i="2"/>
  <c r="J531" i="2"/>
  <c r="K531" i="2"/>
  <c r="A532" i="2"/>
  <c r="C532" i="2"/>
  <c r="D532" i="2"/>
  <c r="E532" i="2"/>
  <c r="F532" i="2"/>
  <c r="G532" i="2"/>
  <c r="I532" i="2"/>
  <c r="J532" i="2"/>
  <c r="K532" i="2"/>
  <c r="A533" i="2"/>
  <c r="C533" i="2"/>
  <c r="D533" i="2"/>
  <c r="E533" i="2"/>
  <c r="F533" i="2"/>
  <c r="G533" i="2"/>
  <c r="I533" i="2"/>
  <c r="J533" i="2"/>
  <c r="K533" i="2"/>
  <c r="A534" i="2"/>
  <c r="C534" i="2"/>
  <c r="D534" i="2"/>
  <c r="E534" i="2"/>
  <c r="F534" i="2"/>
  <c r="G534" i="2"/>
  <c r="I534" i="2"/>
  <c r="J534" i="2"/>
  <c r="K534" i="2"/>
  <c r="A535" i="2"/>
  <c r="C535" i="2"/>
  <c r="D535" i="2"/>
  <c r="E535" i="2"/>
  <c r="F535" i="2"/>
  <c r="G535" i="2"/>
  <c r="I535" i="2"/>
  <c r="J535" i="2"/>
  <c r="K535" i="2"/>
  <c r="A536" i="2"/>
  <c r="C536" i="2"/>
  <c r="D536" i="2"/>
  <c r="E536" i="2"/>
  <c r="F536" i="2"/>
  <c r="G536" i="2"/>
  <c r="I536" i="2"/>
  <c r="J536" i="2"/>
  <c r="K536" i="2"/>
  <c r="A537" i="2"/>
  <c r="C537" i="2"/>
  <c r="D537" i="2"/>
  <c r="E537" i="2"/>
  <c r="F537" i="2"/>
  <c r="G537" i="2"/>
  <c r="I537" i="2"/>
  <c r="J537" i="2"/>
  <c r="K537" i="2"/>
  <c r="A538" i="2"/>
  <c r="C538" i="2"/>
  <c r="D538" i="2"/>
  <c r="E538" i="2"/>
  <c r="F538" i="2"/>
  <c r="G538" i="2"/>
  <c r="I538" i="2"/>
  <c r="J538" i="2"/>
  <c r="K538" i="2"/>
  <c r="A539" i="2"/>
  <c r="C539" i="2"/>
  <c r="D539" i="2"/>
  <c r="E539" i="2"/>
  <c r="F539" i="2"/>
  <c r="G539" i="2"/>
  <c r="I539" i="2"/>
  <c r="J539" i="2"/>
  <c r="K539" i="2"/>
  <c r="A540" i="2"/>
  <c r="C540" i="2"/>
  <c r="D540" i="2"/>
  <c r="E540" i="2"/>
  <c r="F540" i="2"/>
  <c r="G540" i="2"/>
  <c r="I540" i="2"/>
  <c r="J540" i="2"/>
  <c r="K540" i="2"/>
  <c r="A541" i="2"/>
  <c r="C541" i="2"/>
  <c r="D541" i="2"/>
  <c r="E541" i="2"/>
  <c r="F541" i="2"/>
  <c r="G541" i="2"/>
  <c r="I541" i="2"/>
  <c r="J541" i="2"/>
  <c r="K541" i="2"/>
  <c r="A542" i="2"/>
  <c r="C542" i="2"/>
  <c r="D542" i="2"/>
  <c r="E542" i="2"/>
  <c r="F542" i="2"/>
  <c r="G542" i="2"/>
  <c r="I542" i="2"/>
  <c r="J542" i="2"/>
  <c r="K542" i="2"/>
  <c r="A543" i="2"/>
  <c r="C543" i="2"/>
  <c r="D543" i="2"/>
  <c r="E543" i="2"/>
  <c r="F543" i="2"/>
  <c r="G543" i="2"/>
  <c r="I543" i="2"/>
  <c r="J543" i="2"/>
  <c r="K543" i="2"/>
  <c r="A544" i="2"/>
  <c r="C544" i="2"/>
  <c r="D544" i="2"/>
  <c r="E544" i="2"/>
  <c r="F544" i="2"/>
  <c r="G544" i="2"/>
  <c r="I544" i="2"/>
  <c r="J544" i="2"/>
  <c r="K544" i="2"/>
  <c r="A545" i="2"/>
  <c r="C545" i="2"/>
  <c r="D545" i="2"/>
  <c r="E545" i="2"/>
  <c r="F545" i="2"/>
  <c r="G545" i="2"/>
  <c r="I545" i="2"/>
  <c r="J545" i="2"/>
  <c r="K545" i="2"/>
  <c r="A546" i="2"/>
  <c r="C546" i="2"/>
  <c r="D546" i="2"/>
  <c r="E546" i="2"/>
  <c r="F546" i="2"/>
  <c r="G546" i="2"/>
  <c r="I546" i="2"/>
  <c r="J546" i="2"/>
  <c r="K546" i="2"/>
  <c r="A547" i="2"/>
  <c r="C547" i="2"/>
  <c r="D547" i="2"/>
  <c r="E547" i="2"/>
  <c r="F547" i="2"/>
  <c r="G547" i="2"/>
  <c r="I547" i="2"/>
  <c r="J547" i="2"/>
  <c r="K547" i="2"/>
  <c r="A548" i="2"/>
  <c r="C548" i="2"/>
  <c r="D548" i="2"/>
  <c r="E548" i="2"/>
  <c r="F548" i="2"/>
  <c r="G548" i="2"/>
  <c r="I548" i="2"/>
  <c r="J548" i="2"/>
  <c r="K548" i="2"/>
  <c r="A549" i="2"/>
  <c r="C549" i="2"/>
  <c r="D549" i="2"/>
  <c r="E549" i="2"/>
  <c r="F549" i="2"/>
  <c r="G549" i="2"/>
  <c r="I549" i="2"/>
  <c r="J549" i="2"/>
  <c r="K549" i="2"/>
  <c r="A550" i="2"/>
  <c r="C550" i="2"/>
  <c r="D550" i="2"/>
  <c r="E550" i="2"/>
  <c r="F550" i="2"/>
  <c r="G550" i="2"/>
  <c r="I550" i="2"/>
  <c r="J550" i="2"/>
  <c r="K550" i="2"/>
  <c r="A551" i="2"/>
  <c r="C551" i="2"/>
  <c r="D551" i="2"/>
  <c r="E551" i="2"/>
  <c r="F551" i="2"/>
  <c r="G551" i="2"/>
  <c r="I551" i="2"/>
  <c r="J551" i="2"/>
  <c r="K551" i="2"/>
  <c r="A552" i="2"/>
  <c r="C552" i="2"/>
  <c r="D552" i="2"/>
  <c r="E552" i="2"/>
  <c r="F552" i="2"/>
  <c r="G552" i="2"/>
  <c r="I552" i="2"/>
  <c r="J552" i="2"/>
  <c r="K552" i="2"/>
  <c r="A553" i="2"/>
  <c r="C553" i="2"/>
  <c r="D553" i="2"/>
  <c r="E553" i="2"/>
  <c r="F553" i="2"/>
  <c r="G553" i="2"/>
  <c r="I553" i="2"/>
  <c r="J553" i="2"/>
  <c r="K553" i="2"/>
  <c r="A554" i="2"/>
  <c r="C554" i="2"/>
  <c r="D554" i="2"/>
  <c r="E554" i="2"/>
  <c r="F554" i="2"/>
  <c r="G554" i="2"/>
  <c r="I554" i="2"/>
  <c r="J554" i="2"/>
  <c r="K554" i="2"/>
  <c r="A555" i="2"/>
  <c r="C555" i="2"/>
  <c r="D555" i="2"/>
  <c r="E555" i="2"/>
  <c r="F555" i="2"/>
  <c r="G555" i="2"/>
  <c r="I555" i="2"/>
  <c r="J555" i="2"/>
  <c r="K555" i="2"/>
  <c r="A556" i="2"/>
  <c r="C556" i="2"/>
  <c r="D556" i="2"/>
  <c r="E556" i="2"/>
  <c r="F556" i="2"/>
  <c r="G556" i="2"/>
  <c r="I556" i="2"/>
  <c r="J556" i="2"/>
  <c r="K556" i="2"/>
  <c r="A557" i="2"/>
  <c r="C557" i="2"/>
  <c r="D557" i="2"/>
  <c r="E557" i="2"/>
  <c r="F557" i="2"/>
  <c r="G557" i="2"/>
  <c r="I557" i="2"/>
  <c r="J557" i="2"/>
  <c r="K557" i="2"/>
  <c r="A558" i="2"/>
  <c r="C558" i="2"/>
  <c r="D558" i="2"/>
  <c r="E558" i="2"/>
  <c r="F558" i="2"/>
  <c r="G558" i="2"/>
  <c r="I558" i="2"/>
  <c r="J558" i="2"/>
  <c r="K558" i="2"/>
  <c r="A559" i="2"/>
  <c r="C559" i="2"/>
  <c r="D559" i="2"/>
  <c r="E559" i="2"/>
  <c r="F559" i="2"/>
  <c r="G559" i="2"/>
  <c r="I559" i="2"/>
  <c r="J559" i="2"/>
  <c r="K559" i="2"/>
  <c r="A560" i="2"/>
  <c r="C560" i="2"/>
  <c r="D560" i="2"/>
  <c r="E560" i="2"/>
  <c r="F560" i="2"/>
  <c r="G560" i="2"/>
  <c r="I560" i="2"/>
  <c r="J560" i="2"/>
  <c r="K560" i="2"/>
  <c r="A561" i="2"/>
  <c r="C561" i="2"/>
  <c r="D561" i="2"/>
  <c r="E561" i="2"/>
  <c r="F561" i="2"/>
  <c r="G561" i="2"/>
  <c r="I561" i="2"/>
  <c r="J561" i="2"/>
  <c r="K561" i="2"/>
  <c r="A562" i="2"/>
  <c r="C562" i="2"/>
  <c r="D562" i="2"/>
  <c r="E562" i="2"/>
  <c r="F562" i="2"/>
  <c r="G562" i="2"/>
  <c r="I562" i="2"/>
  <c r="J562" i="2"/>
  <c r="K562" i="2"/>
  <c r="A563" i="2"/>
  <c r="C563" i="2"/>
  <c r="D563" i="2"/>
  <c r="E563" i="2"/>
  <c r="F563" i="2"/>
  <c r="G563" i="2"/>
  <c r="I563" i="2"/>
  <c r="J563" i="2"/>
  <c r="K563" i="2"/>
  <c r="A564" i="2"/>
  <c r="C564" i="2"/>
  <c r="D564" i="2"/>
  <c r="E564" i="2"/>
  <c r="F564" i="2"/>
  <c r="G564" i="2"/>
  <c r="I564" i="2"/>
  <c r="J564" i="2"/>
  <c r="K564" i="2"/>
  <c r="A565" i="2"/>
  <c r="C565" i="2"/>
  <c r="D565" i="2"/>
  <c r="E565" i="2"/>
  <c r="F565" i="2"/>
  <c r="G565" i="2"/>
  <c r="I565" i="2"/>
  <c r="J565" i="2"/>
  <c r="K565" i="2"/>
  <c r="A566" i="2"/>
  <c r="C566" i="2"/>
  <c r="D566" i="2"/>
  <c r="E566" i="2"/>
  <c r="F566" i="2"/>
  <c r="G566" i="2"/>
  <c r="I566" i="2"/>
  <c r="J566" i="2"/>
  <c r="K566" i="2"/>
  <c r="A567" i="2"/>
  <c r="C567" i="2"/>
  <c r="D567" i="2"/>
  <c r="E567" i="2"/>
  <c r="F567" i="2"/>
  <c r="G567" i="2"/>
  <c r="I567" i="2"/>
  <c r="J567" i="2"/>
  <c r="K567" i="2"/>
  <c r="A568" i="2"/>
  <c r="C568" i="2"/>
  <c r="D568" i="2"/>
  <c r="E568" i="2"/>
  <c r="F568" i="2"/>
  <c r="G568" i="2"/>
  <c r="I568" i="2"/>
  <c r="J568" i="2"/>
  <c r="K568" i="2"/>
  <c r="A569" i="2"/>
  <c r="C569" i="2"/>
  <c r="D569" i="2"/>
  <c r="E569" i="2"/>
  <c r="F569" i="2"/>
  <c r="G569" i="2"/>
  <c r="I569" i="2"/>
  <c r="J569" i="2"/>
  <c r="K569" i="2"/>
  <c r="A570" i="2"/>
  <c r="C570" i="2"/>
  <c r="D570" i="2"/>
  <c r="E570" i="2"/>
  <c r="F570" i="2"/>
  <c r="G570" i="2"/>
  <c r="I570" i="2"/>
  <c r="J570" i="2"/>
  <c r="K570" i="2"/>
  <c r="A571" i="2"/>
  <c r="C571" i="2"/>
  <c r="D571" i="2"/>
  <c r="E571" i="2"/>
  <c r="F571" i="2"/>
  <c r="G571" i="2"/>
  <c r="I571" i="2"/>
  <c r="J571" i="2"/>
  <c r="K571" i="2"/>
  <c r="A572" i="2"/>
  <c r="C572" i="2"/>
  <c r="D572" i="2"/>
  <c r="E572" i="2"/>
  <c r="F572" i="2"/>
  <c r="G572" i="2"/>
  <c r="I572" i="2"/>
  <c r="J572" i="2"/>
  <c r="K572" i="2"/>
  <c r="A573" i="2"/>
  <c r="C573" i="2"/>
  <c r="D573" i="2"/>
  <c r="E573" i="2"/>
  <c r="F573" i="2"/>
  <c r="G573" i="2"/>
  <c r="I573" i="2"/>
  <c r="J573" i="2"/>
  <c r="K573" i="2"/>
  <c r="A574" i="2"/>
  <c r="C574" i="2"/>
  <c r="D574" i="2"/>
  <c r="E574" i="2"/>
  <c r="F574" i="2"/>
  <c r="G574" i="2"/>
  <c r="I574" i="2"/>
  <c r="J574" i="2"/>
  <c r="K574" i="2"/>
  <c r="A575" i="2"/>
  <c r="C575" i="2"/>
  <c r="D575" i="2"/>
  <c r="E575" i="2"/>
  <c r="F575" i="2"/>
  <c r="G575" i="2"/>
  <c r="I575" i="2"/>
  <c r="J575" i="2"/>
  <c r="K575" i="2"/>
  <c r="A576" i="2"/>
  <c r="C576" i="2"/>
  <c r="D576" i="2"/>
  <c r="E576" i="2"/>
  <c r="F576" i="2"/>
  <c r="G576" i="2"/>
  <c r="I576" i="2"/>
  <c r="J576" i="2"/>
  <c r="K576" i="2"/>
  <c r="A577" i="2"/>
  <c r="C577" i="2"/>
  <c r="D577" i="2"/>
  <c r="E577" i="2"/>
  <c r="F577" i="2"/>
  <c r="G577" i="2"/>
  <c r="I577" i="2"/>
  <c r="J577" i="2"/>
  <c r="K577" i="2"/>
  <c r="A578" i="2"/>
  <c r="C578" i="2"/>
  <c r="D578" i="2"/>
  <c r="E578" i="2"/>
  <c r="F578" i="2"/>
  <c r="G578" i="2"/>
  <c r="I578" i="2"/>
  <c r="J578" i="2"/>
  <c r="K578" i="2"/>
  <c r="A579" i="2"/>
  <c r="C579" i="2"/>
  <c r="D579" i="2"/>
  <c r="E579" i="2"/>
  <c r="F579" i="2"/>
  <c r="G579" i="2"/>
  <c r="I579" i="2"/>
  <c r="J579" i="2"/>
  <c r="K579" i="2"/>
  <c r="A580" i="2"/>
  <c r="C580" i="2"/>
  <c r="D580" i="2"/>
  <c r="E580" i="2"/>
  <c r="F580" i="2"/>
  <c r="G580" i="2"/>
  <c r="I580" i="2"/>
  <c r="J580" i="2"/>
  <c r="K580" i="2"/>
  <c r="A581" i="2"/>
  <c r="C581" i="2"/>
  <c r="D581" i="2"/>
  <c r="E581" i="2"/>
  <c r="F581" i="2"/>
  <c r="G581" i="2"/>
  <c r="I581" i="2"/>
  <c r="J581" i="2"/>
  <c r="K581" i="2"/>
  <c r="A582" i="2"/>
  <c r="C582" i="2"/>
  <c r="D582" i="2"/>
  <c r="E582" i="2"/>
  <c r="F582" i="2"/>
  <c r="G582" i="2"/>
  <c r="I582" i="2"/>
  <c r="J582" i="2"/>
  <c r="K582" i="2"/>
  <c r="A583" i="2"/>
  <c r="C583" i="2"/>
  <c r="D583" i="2"/>
  <c r="E583" i="2"/>
  <c r="F583" i="2"/>
  <c r="G583" i="2"/>
  <c r="I583" i="2"/>
  <c r="J583" i="2"/>
  <c r="K583" i="2"/>
  <c r="A584" i="2"/>
  <c r="C584" i="2"/>
  <c r="D584" i="2"/>
  <c r="E584" i="2"/>
  <c r="F584" i="2"/>
  <c r="G584" i="2"/>
  <c r="I584" i="2"/>
  <c r="J584" i="2"/>
  <c r="K584" i="2"/>
  <c r="A585" i="2"/>
  <c r="C585" i="2"/>
  <c r="D585" i="2"/>
  <c r="E585" i="2"/>
  <c r="F585" i="2"/>
  <c r="G585" i="2"/>
  <c r="I585" i="2"/>
  <c r="J585" i="2"/>
  <c r="K585" i="2"/>
  <c r="A586" i="2"/>
  <c r="C586" i="2"/>
  <c r="D586" i="2"/>
  <c r="E586" i="2"/>
  <c r="F586" i="2"/>
  <c r="G586" i="2"/>
  <c r="I586" i="2"/>
  <c r="J586" i="2"/>
  <c r="K586" i="2"/>
  <c r="A587" i="2"/>
  <c r="C587" i="2"/>
  <c r="D587" i="2"/>
  <c r="E587" i="2"/>
  <c r="F587" i="2"/>
  <c r="G587" i="2"/>
  <c r="I587" i="2"/>
  <c r="J587" i="2"/>
  <c r="K587" i="2"/>
  <c r="A588" i="2"/>
  <c r="C588" i="2"/>
  <c r="D588" i="2"/>
  <c r="E588" i="2"/>
  <c r="F588" i="2"/>
  <c r="G588" i="2"/>
  <c r="I588" i="2"/>
  <c r="J588" i="2"/>
  <c r="K588" i="2"/>
  <c r="A589" i="2"/>
  <c r="C589" i="2"/>
  <c r="D589" i="2"/>
  <c r="E589" i="2"/>
  <c r="F589" i="2"/>
  <c r="G589" i="2"/>
  <c r="I589" i="2"/>
  <c r="J589" i="2"/>
  <c r="K589" i="2"/>
  <c r="A590" i="2"/>
  <c r="C590" i="2"/>
  <c r="D590" i="2"/>
  <c r="E590" i="2"/>
  <c r="F590" i="2"/>
  <c r="G590" i="2"/>
  <c r="I590" i="2"/>
  <c r="J590" i="2"/>
  <c r="K590" i="2"/>
  <c r="A591" i="2"/>
  <c r="C591" i="2"/>
  <c r="D591" i="2"/>
  <c r="E591" i="2"/>
  <c r="F591" i="2"/>
  <c r="G591" i="2"/>
  <c r="I591" i="2"/>
  <c r="J591" i="2"/>
  <c r="K591" i="2"/>
  <c r="A592" i="2"/>
  <c r="C592" i="2"/>
  <c r="D592" i="2"/>
  <c r="E592" i="2"/>
  <c r="F592" i="2"/>
  <c r="G592" i="2"/>
  <c r="I592" i="2"/>
  <c r="J592" i="2"/>
  <c r="K592" i="2"/>
  <c r="A593" i="2"/>
  <c r="C593" i="2"/>
  <c r="D593" i="2"/>
  <c r="E593" i="2"/>
  <c r="F593" i="2"/>
  <c r="G593" i="2"/>
  <c r="I593" i="2"/>
  <c r="J593" i="2"/>
  <c r="K593" i="2"/>
  <c r="A594" i="2"/>
  <c r="C594" i="2"/>
  <c r="D594" i="2"/>
  <c r="E594" i="2"/>
  <c r="F594" i="2"/>
  <c r="G594" i="2"/>
  <c r="I594" i="2"/>
  <c r="J594" i="2"/>
  <c r="K594" i="2"/>
  <c r="A595" i="2"/>
  <c r="C595" i="2"/>
  <c r="D595" i="2"/>
  <c r="E595" i="2"/>
  <c r="F595" i="2"/>
  <c r="G595" i="2"/>
  <c r="I595" i="2"/>
  <c r="J595" i="2"/>
  <c r="K595" i="2"/>
  <c r="A596" i="2"/>
  <c r="C596" i="2"/>
  <c r="D596" i="2"/>
  <c r="E596" i="2"/>
  <c r="F596" i="2"/>
  <c r="G596" i="2"/>
  <c r="I596" i="2"/>
  <c r="J596" i="2"/>
  <c r="K596" i="2"/>
  <c r="A597" i="2"/>
  <c r="C597" i="2"/>
  <c r="D597" i="2"/>
  <c r="E597" i="2"/>
  <c r="F597" i="2"/>
  <c r="G597" i="2"/>
  <c r="I597" i="2"/>
  <c r="J597" i="2"/>
  <c r="K597" i="2"/>
  <c r="A598" i="2"/>
  <c r="C598" i="2"/>
  <c r="D598" i="2"/>
  <c r="E598" i="2"/>
  <c r="F598" i="2"/>
  <c r="G598" i="2"/>
  <c r="I598" i="2"/>
  <c r="J598" i="2"/>
  <c r="K598" i="2"/>
  <c r="A599" i="2"/>
  <c r="C599" i="2"/>
  <c r="D599" i="2"/>
  <c r="E599" i="2"/>
  <c r="F599" i="2"/>
  <c r="G599" i="2"/>
  <c r="I599" i="2"/>
  <c r="J599" i="2"/>
  <c r="K599" i="2"/>
  <c r="A600" i="2"/>
  <c r="C600" i="2"/>
  <c r="D600" i="2"/>
  <c r="E600" i="2"/>
  <c r="F600" i="2"/>
  <c r="G600" i="2"/>
  <c r="I600" i="2"/>
  <c r="J600" i="2"/>
  <c r="K600" i="2"/>
  <c r="A601" i="2"/>
  <c r="C601" i="2"/>
  <c r="D601" i="2"/>
  <c r="E601" i="2"/>
  <c r="F601" i="2"/>
  <c r="G601" i="2"/>
  <c r="I601" i="2"/>
  <c r="J601" i="2"/>
  <c r="K601" i="2"/>
  <c r="A602" i="2"/>
  <c r="C602" i="2"/>
  <c r="D602" i="2"/>
  <c r="E602" i="2"/>
  <c r="F602" i="2"/>
  <c r="G602" i="2"/>
  <c r="I602" i="2"/>
  <c r="J602" i="2"/>
  <c r="K602" i="2"/>
  <c r="A603" i="2"/>
  <c r="C603" i="2"/>
  <c r="D603" i="2"/>
  <c r="E603" i="2"/>
  <c r="F603" i="2"/>
  <c r="G603" i="2"/>
  <c r="I603" i="2"/>
  <c r="J603" i="2"/>
  <c r="K603" i="2"/>
  <c r="A604" i="2"/>
  <c r="C604" i="2"/>
  <c r="D604" i="2"/>
  <c r="E604" i="2"/>
  <c r="F604" i="2"/>
  <c r="G604" i="2"/>
  <c r="I604" i="2"/>
  <c r="J604" i="2"/>
  <c r="K604" i="2"/>
  <c r="A605" i="2"/>
  <c r="C605" i="2"/>
  <c r="D605" i="2"/>
  <c r="E605" i="2"/>
  <c r="F605" i="2"/>
  <c r="G605" i="2"/>
  <c r="I605" i="2"/>
  <c r="J605" i="2"/>
  <c r="K605" i="2"/>
  <c r="A606" i="2"/>
  <c r="C606" i="2"/>
  <c r="D606" i="2"/>
  <c r="E606" i="2"/>
  <c r="F606" i="2"/>
  <c r="G606" i="2"/>
  <c r="I606" i="2"/>
  <c r="J606" i="2"/>
  <c r="K606" i="2"/>
  <c r="A607" i="2"/>
  <c r="C607" i="2"/>
  <c r="D607" i="2"/>
  <c r="E607" i="2"/>
  <c r="F607" i="2"/>
  <c r="G607" i="2"/>
  <c r="I607" i="2"/>
  <c r="J607" i="2"/>
  <c r="K607" i="2"/>
  <c r="A608" i="2"/>
  <c r="C608" i="2"/>
  <c r="D608" i="2"/>
  <c r="E608" i="2"/>
  <c r="F608" i="2"/>
  <c r="G608" i="2"/>
  <c r="I608" i="2"/>
  <c r="J608" i="2"/>
  <c r="K608" i="2"/>
  <c r="A609" i="2"/>
  <c r="C609" i="2"/>
  <c r="D609" i="2"/>
  <c r="E609" i="2"/>
  <c r="F609" i="2"/>
  <c r="G609" i="2"/>
  <c r="I609" i="2"/>
  <c r="J609" i="2"/>
  <c r="K609" i="2"/>
  <c r="A610" i="2"/>
  <c r="C610" i="2"/>
  <c r="D610" i="2"/>
  <c r="E610" i="2"/>
  <c r="F610" i="2"/>
  <c r="G610" i="2"/>
  <c r="I610" i="2"/>
  <c r="J610" i="2"/>
  <c r="K610" i="2"/>
  <c r="A611" i="2"/>
  <c r="C611" i="2"/>
  <c r="D611" i="2"/>
  <c r="E611" i="2"/>
  <c r="F611" i="2"/>
  <c r="G611" i="2"/>
  <c r="I611" i="2"/>
  <c r="J611" i="2"/>
  <c r="K611" i="2"/>
  <c r="A612" i="2"/>
  <c r="C612" i="2"/>
  <c r="D612" i="2"/>
  <c r="E612" i="2"/>
  <c r="F612" i="2"/>
  <c r="G612" i="2"/>
  <c r="I612" i="2"/>
  <c r="J612" i="2"/>
  <c r="K612" i="2"/>
  <c r="A613" i="2"/>
  <c r="C613" i="2"/>
  <c r="D613" i="2"/>
  <c r="E613" i="2"/>
  <c r="F613" i="2"/>
  <c r="G613" i="2"/>
  <c r="I613" i="2"/>
  <c r="J613" i="2"/>
  <c r="K613" i="2"/>
  <c r="A614" i="2"/>
  <c r="C614" i="2"/>
  <c r="D614" i="2"/>
  <c r="E614" i="2"/>
  <c r="F614" i="2"/>
  <c r="G614" i="2"/>
  <c r="I614" i="2"/>
  <c r="J614" i="2"/>
  <c r="K614" i="2"/>
  <c r="A615" i="2"/>
  <c r="C615" i="2"/>
  <c r="D615" i="2"/>
  <c r="E615" i="2"/>
  <c r="F615" i="2"/>
  <c r="G615" i="2"/>
  <c r="I615" i="2"/>
  <c r="J615" i="2"/>
  <c r="K615" i="2"/>
  <c r="A616" i="2"/>
  <c r="C616" i="2"/>
  <c r="D616" i="2"/>
  <c r="E616" i="2"/>
  <c r="F616" i="2"/>
  <c r="G616" i="2"/>
  <c r="I616" i="2"/>
  <c r="J616" i="2"/>
  <c r="K616" i="2"/>
  <c r="A617" i="2"/>
  <c r="C617" i="2"/>
  <c r="D617" i="2"/>
  <c r="E617" i="2"/>
  <c r="F617" i="2"/>
  <c r="G617" i="2"/>
  <c r="I617" i="2"/>
  <c r="J617" i="2"/>
  <c r="K617" i="2"/>
  <c r="A618" i="2"/>
  <c r="C618" i="2"/>
  <c r="D618" i="2"/>
  <c r="E618" i="2"/>
  <c r="F618" i="2"/>
  <c r="G618" i="2"/>
  <c r="I618" i="2"/>
  <c r="J618" i="2"/>
  <c r="K618" i="2"/>
  <c r="A619" i="2"/>
  <c r="C619" i="2"/>
  <c r="D619" i="2"/>
  <c r="E619" i="2"/>
  <c r="F619" i="2"/>
  <c r="G619" i="2"/>
  <c r="I619" i="2"/>
  <c r="J619" i="2"/>
  <c r="K619" i="2"/>
  <c r="A620" i="2"/>
  <c r="C620" i="2"/>
  <c r="D620" i="2"/>
  <c r="E620" i="2"/>
  <c r="F620" i="2"/>
  <c r="G620" i="2"/>
  <c r="I620" i="2"/>
  <c r="J620" i="2"/>
  <c r="K620" i="2"/>
  <c r="A621" i="2"/>
  <c r="C621" i="2"/>
  <c r="D621" i="2"/>
  <c r="E621" i="2"/>
  <c r="F621" i="2"/>
  <c r="G621" i="2"/>
  <c r="I621" i="2"/>
  <c r="J621" i="2"/>
  <c r="K621" i="2"/>
  <c r="A622" i="2"/>
  <c r="C622" i="2"/>
  <c r="D622" i="2"/>
  <c r="E622" i="2"/>
  <c r="F622" i="2"/>
  <c r="G622" i="2"/>
  <c r="I622" i="2"/>
  <c r="J622" i="2"/>
  <c r="K622" i="2"/>
  <c r="A623" i="2"/>
  <c r="C623" i="2"/>
  <c r="D623" i="2"/>
  <c r="E623" i="2"/>
  <c r="F623" i="2"/>
  <c r="G623" i="2"/>
  <c r="I623" i="2"/>
  <c r="J623" i="2"/>
  <c r="K623" i="2"/>
  <c r="A624" i="2"/>
  <c r="C624" i="2"/>
  <c r="D624" i="2"/>
  <c r="E624" i="2"/>
  <c r="F624" i="2"/>
  <c r="G624" i="2"/>
  <c r="I624" i="2"/>
  <c r="J624" i="2"/>
  <c r="K624" i="2"/>
  <c r="A625" i="2"/>
  <c r="C625" i="2"/>
  <c r="D625" i="2"/>
  <c r="E625" i="2"/>
  <c r="F625" i="2"/>
  <c r="G625" i="2"/>
  <c r="I625" i="2"/>
  <c r="J625" i="2"/>
  <c r="K625" i="2"/>
  <c r="A626" i="2"/>
  <c r="C626" i="2"/>
  <c r="D626" i="2"/>
  <c r="E626" i="2"/>
  <c r="F626" i="2"/>
  <c r="G626" i="2"/>
  <c r="I626" i="2"/>
  <c r="J626" i="2"/>
  <c r="K626" i="2"/>
  <c r="A627" i="2"/>
  <c r="C627" i="2"/>
  <c r="D627" i="2"/>
  <c r="E627" i="2"/>
  <c r="F627" i="2"/>
  <c r="G627" i="2"/>
  <c r="I627" i="2"/>
  <c r="J627" i="2"/>
  <c r="K627" i="2"/>
  <c r="A628" i="2"/>
  <c r="C628" i="2"/>
  <c r="D628" i="2"/>
  <c r="E628" i="2"/>
  <c r="F628" i="2"/>
  <c r="G628" i="2"/>
  <c r="I628" i="2"/>
  <c r="J628" i="2"/>
  <c r="K628" i="2"/>
  <c r="A629" i="2"/>
  <c r="C629" i="2"/>
  <c r="D629" i="2"/>
  <c r="E629" i="2"/>
  <c r="F629" i="2"/>
  <c r="G629" i="2"/>
  <c r="I629" i="2"/>
  <c r="J629" i="2"/>
  <c r="K629" i="2"/>
  <c r="A630" i="2"/>
  <c r="C630" i="2"/>
  <c r="D630" i="2"/>
  <c r="E630" i="2"/>
  <c r="F630" i="2"/>
  <c r="G630" i="2"/>
  <c r="I630" i="2"/>
  <c r="J630" i="2"/>
  <c r="K630" i="2"/>
  <c r="A631" i="2"/>
  <c r="C631" i="2"/>
  <c r="D631" i="2"/>
  <c r="E631" i="2"/>
  <c r="F631" i="2"/>
  <c r="G631" i="2"/>
  <c r="I631" i="2"/>
  <c r="J631" i="2"/>
  <c r="K631" i="2"/>
  <c r="A632" i="2"/>
  <c r="C632" i="2"/>
  <c r="D632" i="2"/>
  <c r="E632" i="2"/>
  <c r="F632" i="2"/>
  <c r="G632" i="2"/>
  <c r="I632" i="2"/>
  <c r="J632" i="2"/>
  <c r="K632" i="2"/>
  <c r="A633" i="2"/>
  <c r="C633" i="2"/>
  <c r="D633" i="2"/>
  <c r="E633" i="2"/>
  <c r="F633" i="2"/>
  <c r="G633" i="2"/>
  <c r="I633" i="2"/>
  <c r="J633" i="2"/>
  <c r="K633" i="2"/>
  <c r="A634" i="2"/>
  <c r="C634" i="2"/>
  <c r="D634" i="2"/>
  <c r="E634" i="2"/>
  <c r="F634" i="2"/>
  <c r="G634" i="2"/>
  <c r="I634" i="2"/>
  <c r="J634" i="2"/>
  <c r="K634" i="2"/>
  <c r="A635" i="2"/>
  <c r="C635" i="2"/>
  <c r="D635" i="2"/>
  <c r="E635" i="2"/>
  <c r="F635" i="2"/>
  <c r="G635" i="2"/>
  <c r="I635" i="2"/>
  <c r="J635" i="2"/>
  <c r="K635" i="2"/>
  <c r="A636" i="2"/>
  <c r="C636" i="2"/>
  <c r="D636" i="2"/>
  <c r="E636" i="2"/>
  <c r="F636" i="2"/>
  <c r="G636" i="2"/>
  <c r="I636" i="2"/>
  <c r="J636" i="2"/>
  <c r="K636" i="2"/>
  <c r="A637" i="2"/>
  <c r="C637" i="2"/>
  <c r="D637" i="2"/>
  <c r="E637" i="2"/>
  <c r="F637" i="2"/>
  <c r="G637" i="2"/>
  <c r="I637" i="2"/>
  <c r="J637" i="2"/>
  <c r="K637" i="2"/>
  <c r="A638" i="2"/>
  <c r="C638" i="2"/>
  <c r="D638" i="2"/>
  <c r="E638" i="2"/>
  <c r="F638" i="2"/>
  <c r="G638" i="2"/>
  <c r="I638" i="2"/>
  <c r="J638" i="2"/>
  <c r="K638" i="2"/>
  <c r="A639" i="2"/>
  <c r="C639" i="2"/>
  <c r="D639" i="2"/>
  <c r="E639" i="2"/>
  <c r="F639" i="2"/>
  <c r="G639" i="2"/>
  <c r="I639" i="2"/>
  <c r="J639" i="2"/>
  <c r="K639" i="2"/>
  <c r="A640" i="2"/>
  <c r="C640" i="2"/>
  <c r="D640" i="2"/>
  <c r="E640" i="2"/>
  <c r="F640" i="2"/>
  <c r="G640" i="2"/>
  <c r="I640" i="2"/>
  <c r="J640" i="2"/>
  <c r="K640" i="2"/>
  <c r="A641" i="2"/>
  <c r="C641" i="2"/>
  <c r="D641" i="2"/>
  <c r="E641" i="2"/>
  <c r="F641" i="2"/>
  <c r="G641" i="2"/>
  <c r="I641" i="2"/>
  <c r="J641" i="2"/>
  <c r="K641" i="2"/>
  <c r="A642" i="2"/>
  <c r="C642" i="2"/>
  <c r="D642" i="2"/>
  <c r="E642" i="2"/>
  <c r="F642" i="2"/>
  <c r="G642" i="2"/>
  <c r="I642" i="2"/>
  <c r="J642" i="2"/>
  <c r="K642" i="2"/>
  <c r="A643" i="2"/>
  <c r="C643" i="2"/>
  <c r="D643" i="2"/>
  <c r="E643" i="2"/>
  <c r="F643" i="2"/>
  <c r="G643" i="2"/>
  <c r="I643" i="2"/>
  <c r="J643" i="2"/>
  <c r="K643" i="2"/>
  <c r="A644" i="2"/>
  <c r="C644" i="2"/>
  <c r="D644" i="2"/>
  <c r="E644" i="2"/>
  <c r="F644" i="2"/>
  <c r="G644" i="2"/>
  <c r="I644" i="2"/>
  <c r="J644" i="2"/>
  <c r="K644" i="2"/>
  <c r="A645" i="2"/>
  <c r="C645" i="2"/>
  <c r="D645" i="2"/>
  <c r="E645" i="2"/>
  <c r="F645" i="2"/>
  <c r="G645" i="2"/>
  <c r="I645" i="2"/>
  <c r="J645" i="2"/>
  <c r="K645" i="2"/>
  <c r="A646" i="2"/>
  <c r="C646" i="2"/>
  <c r="D646" i="2"/>
  <c r="E646" i="2"/>
  <c r="F646" i="2"/>
  <c r="G646" i="2"/>
  <c r="I646" i="2"/>
  <c r="J646" i="2"/>
  <c r="K646" i="2"/>
  <c r="A647" i="2"/>
  <c r="C647" i="2"/>
  <c r="D647" i="2"/>
  <c r="E647" i="2"/>
  <c r="F647" i="2"/>
  <c r="G647" i="2"/>
  <c r="I647" i="2"/>
  <c r="J647" i="2"/>
  <c r="K647" i="2"/>
  <c r="A648" i="2"/>
  <c r="C648" i="2"/>
  <c r="D648" i="2"/>
  <c r="E648" i="2"/>
  <c r="F648" i="2"/>
  <c r="G648" i="2"/>
  <c r="I648" i="2"/>
  <c r="J648" i="2"/>
  <c r="K648" i="2"/>
  <c r="A649" i="2"/>
  <c r="C649" i="2"/>
  <c r="D649" i="2"/>
  <c r="E649" i="2"/>
  <c r="F649" i="2"/>
  <c r="G649" i="2"/>
  <c r="I649" i="2"/>
  <c r="J649" i="2"/>
  <c r="K649" i="2"/>
  <c r="A650" i="2"/>
  <c r="C650" i="2"/>
  <c r="D650" i="2"/>
  <c r="E650" i="2"/>
  <c r="F650" i="2"/>
  <c r="G650" i="2"/>
  <c r="I650" i="2"/>
  <c r="J650" i="2"/>
  <c r="K650" i="2"/>
  <c r="A651" i="2"/>
  <c r="C651" i="2"/>
  <c r="D651" i="2"/>
  <c r="E651" i="2"/>
  <c r="F651" i="2"/>
  <c r="G651" i="2"/>
  <c r="I651" i="2"/>
  <c r="J651" i="2"/>
  <c r="K651" i="2"/>
  <c r="A652" i="2"/>
  <c r="C652" i="2"/>
  <c r="D652" i="2"/>
  <c r="E652" i="2"/>
  <c r="F652" i="2"/>
  <c r="G652" i="2"/>
  <c r="I652" i="2"/>
  <c r="J652" i="2"/>
  <c r="K652" i="2"/>
  <c r="A653" i="2"/>
  <c r="C653" i="2"/>
  <c r="D653" i="2"/>
  <c r="E653" i="2"/>
  <c r="F653" i="2"/>
  <c r="G653" i="2"/>
  <c r="I653" i="2"/>
  <c r="J653" i="2"/>
  <c r="K653" i="2"/>
  <c r="A654" i="2"/>
  <c r="C654" i="2"/>
  <c r="D654" i="2"/>
  <c r="E654" i="2"/>
  <c r="F654" i="2"/>
  <c r="G654" i="2"/>
  <c r="I654" i="2"/>
  <c r="J654" i="2"/>
  <c r="K654" i="2"/>
  <c r="A655" i="2"/>
  <c r="C655" i="2"/>
  <c r="D655" i="2"/>
  <c r="E655" i="2"/>
  <c r="F655" i="2"/>
  <c r="G655" i="2"/>
  <c r="I655" i="2"/>
  <c r="J655" i="2"/>
  <c r="K655" i="2"/>
  <c r="A656" i="2"/>
  <c r="C656" i="2"/>
  <c r="D656" i="2"/>
  <c r="E656" i="2"/>
  <c r="F656" i="2"/>
  <c r="G656" i="2"/>
  <c r="I656" i="2"/>
  <c r="J656" i="2"/>
  <c r="K656" i="2"/>
  <c r="A657" i="2"/>
  <c r="C657" i="2"/>
  <c r="D657" i="2"/>
  <c r="E657" i="2"/>
  <c r="F657" i="2"/>
  <c r="G657" i="2"/>
  <c r="I657" i="2"/>
  <c r="J657" i="2"/>
  <c r="K657" i="2"/>
  <c r="A658" i="2"/>
  <c r="C658" i="2"/>
  <c r="D658" i="2"/>
  <c r="E658" i="2"/>
  <c r="F658" i="2"/>
  <c r="G658" i="2"/>
  <c r="I658" i="2"/>
  <c r="J658" i="2"/>
  <c r="K658" i="2"/>
  <c r="A659" i="2"/>
  <c r="C659" i="2"/>
  <c r="D659" i="2"/>
  <c r="E659" i="2"/>
  <c r="F659" i="2"/>
  <c r="G659" i="2"/>
  <c r="I659" i="2"/>
  <c r="J659" i="2"/>
  <c r="K659" i="2"/>
  <c r="A660" i="2"/>
  <c r="C660" i="2"/>
  <c r="D660" i="2"/>
  <c r="E660" i="2"/>
  <c r="F660" i="2"/>
  <c r="G660" i="2"/>
  <c r="I660" i="2"/>
  <c r="J660" i="2"/>
  <c r="K660" i="2"/>
  <c r="A661" i="2"/>
  <c r="C661" i="2"/>
  <c r="D661" i="2"/>
  <c r="E661" i="2"/>
  <c r="F661" i="2"/>
  <c r="G661" i="2"/>
  <c r="I661" i="2"/>
  <c r="J661" i="2"/>
  <c r="K661" i="2"/>
  <c r="A662" i="2"/>
  <c r="C662" i="2"/>
  <c r="D662" i="2"/>
  <c r="E662" i="2"/>
  <c r="F662" i="2"/>
  <c r="G662" i="2"/>
  <c r="I662" i="2"/>
  <c r="J662" i="2"/>
  <c r="K662" i="2"/>
  <c r="A663" i="2"/>
  <c r="C663" i="2"/>
  <c r="D663" i="2"/>
  <c r="E663" i="2"/>
  <c r="F663" i="2"/>
  <c r="G663" i="2"/>
  <c r="I663" i="2"/>
  <c r="J663" i="2"/>
  <c r="K663" i="2"/>
  <c r="A664" i="2"/>
  <c r="C664" i="2"/>
  <c r="D664" i="2"/>
  <c r="E664" i="2"/>
  <c r="F664" i="2"/>
  <c r="G664" i="2"/>
  <c r="I664" i="2"/>
  <c r="J664" i="2"/>
  <c r="K664" i="2"/>
  <c r="A665" i="2"/>
  <c r="C665" i="2"/>
  <c r="D665" i="2"/>
  <c r="E665" i="2"/>
  <c r="F665" i="2"/>
  <c r="G665" i="2"/>
  <c r="I665" i="2"/>
  <c r="J665" i="2"/>
  <c r="K665" i="2"/>
  <c r="A666" i="2"/>
  <c r="C666" i="2"/>
  <c r="D666" i="2"/>
  <c r="E666" i="2"/>
  <c r="F666" i="2"/>
  <c r="G666" i="2"/>
  <c r="I666" i="2"/>
  <c r="J666" i="2"/>
  <c r="K666" i="2"/>
  <c r="A667" i="2"/>
  <c r="C667" i="2"/>
  <c r="D667" i="2"/>
  <c r="E667" i="2"/>
  <c r="F667" i="2"/>
  <c r="G667" i="2"/>
  <c r="I667" i="2"/>
  <c r="J667" i="2"/>
  <c r="K667" i="2"/>
  <c r="A668" i="2"/>
  <c r="C668" i="2"/>
  <c r="D668" i="2"/>
  <c r="E668" i="2"/>
  <c r="F668" i="2"/>
  <c r="G668" i="2"/>
  <c r="I668" i="2"/>
  <c r="J668" i="2"/>
  <c r="K668" i="2"/>
  <c r="A669" i="2"/>
  <c r="C669" i="2"/>
  <c r="D669" i="2"/>
  <c r="E669" i="2"/>
  <c r="F669" i="2"/>
  <c r="G669" i="2"/>
  <c r="I669" i="2"/>
  <c r="J669" i="2"/>
  <c r="K669" i="2"/>
  <c r="A670" i="2"/>
  <c r="C670" i="2"/>
  <c r="D670" i="2"/>
  <c r="E670" i="2"/>
  <c r="F670" i="2"/>
  <c r="G670" i="2"/>
  <c r="I670" i="2"/>
  <c r="J670" i="2"/>
  <c r="K670" i="2"/>
  <c r="A671" i="2"/>
  <c r="C671" i="2"/>
  <c r="D671" i="2"/>
  <c r="E671" i="2"/>
  <c r="F671" i="2"/>
  <c r="G671" i="2"/>
  <c r="I671" i="2"/>
  <c r="J671" i="2"/>
  <c r="K671" i="2"/>
  <c r="A672" i="2"/>
  <c r="C672" i="2"/>
  <c r="D672" i="2"/>
  <c r="E672" i="2"/>
  <c r="F672" i="2"/>
  <c r="G672" i="2"/>
  <c r="I672" i="2"/>
  <c r="J672" i="2"/>
  <c r="K672" i="2"/>
  <c r="A673" i="2"/>
  <c r="C673" i="2"/>
  <c r="D673" i="2"/>
  <c r="E673" i="2"/>
  <c r="F673" i="2"/>
  <c r="G673" i="2"/>
  <c r="I673" i="2"/>
  <c r="J673" i="2"/>
  <c r="K673" i="2"/>
  <c r="A674" i="2"/>
  <c r="C674" i="2"/>
  <c r="D674" i="2"/>
  <c r="E674" i="2"/>
  <c r="F674" i="2"/>
  <c r="G674" i="2"/>
  <c r="I674" i="2"/>
  <c r="J674" i="2"/>
  <c r="K674" i="2"/>
  <c r="A675" i="2"/>
  <c r="C675" i="2"/>
  <c r="D675" i="2"/>
  <c r="E675" i="2"/>
  <c r="F675" i="2"/>
  <c r="G675" i="2"/>
  <c r="I675" i="2"/>
  <c r="J675" i="2"/>
  <c r="K675" i="2"/>
  <c r="A676" i="2"/>
  <c r="C676" i="2"/>
  <c r="D676" i="2"/>
  <c r="E676" i="2"/>
  <c r="F676" i="2"/>
  <c r="G676" i="2"/>
  <c r="I676" i="2"/>
  <c r="J676" i="2"/>
  <c r="K676" i="2"/>
  <c r="A677" i="2"/>
  <c r="C677" i="2"/>
  <c r="D677" i="2"/>
  <c r="E677" i="2"/>
  <c r="F677" i="2"/>
  <c r="G677" i="2"/>
  <c r="I677" i="2"/>
  <c r="J677" i="2"/>
  <c r="K677" i="2"/>
  <c r="A678" i="2"/>
  <c r="C678" i="2"/>
  <c r="D678" i="2"/>
  <c r="E678" i="2"/>
  <c r="F678" i="2"/>
  <c r="G678" i="2"/>
  <c r="I678" i="2"/>
  <c r="J678" i="2"/>
  <c r="K678" i="2"/>
  <c r="A679" i="2"/>
  <c r="C679" i="2"/>
  <c r="D679" i="2"/>
  <c r="E679" i="2"/>
  <c r="F679" i="2"/>
  <c r="G679" i="2"/>
  <c r="I679" i="2"/>
  <c r="J679" i="2"/>
  <c r="K679" i="2"/>
  <c r="A680" i="2"/>
  <c r="C680" i="2"/>
  <c r="D680" i="2"/>
  <c r="E680" i="2"/>
  <c r="F680" i="2"/>
  <c r="G680" i="2"/>
  <c r="I680" i="2"/>
  <c r="J680" i="2"/>
  <c r="K680" i="2"/>
  <c r="A681" i="2"/>
  <c r="C681" i="2"/>
  <c r="D681" i="2"/>
  <c r="E681" i="2"/>
  <c r="F681" i="2"/>
  <c r="G681" i="2"/>
  <c r="I681" i="2"/>
  <c r="J681" i="2"/>
  <c r="K681" i="2"/>
  <c r="A682" i="2"/>
  <c r="C682" i="2"/>
  <c r="D682" i="2"/>
  <c r="E682" i="2"/>
  <c r="F682" i="2"/>
  <c r="G682" i="2"/>
  <c r="I682" i="2"/>
  <c r="J682" i="2"/>
  <c r="K682" i="2"/>
  <c r="A683" i="2"/>
  <c r="C683" i="2"/>
  <c r="D683" i="2"/>
  <c r="E683" i="2"/>
  <c r="F683" i="2"/>
  <c r="G683" i="2"/>
  <c r="I683" i="2"/>
  <c r="J683" i="2"/>
  <c r="K683" i="2"/>
  <c r="A684" i="2"/>
  <c r="C684" i="2"/>
  <c r="D684" i="2"/>
  <c r="E684" i="2"/>
  <c r="F684" i="2"/>
  <c r="G684" i="2"/>
  <c r="I684" i="2"/>
  <c r="J684" i="2"/>
  <c r="K684" i="2"/>
  <c r="A685" i="2"/>
  <c r="C685" i="2"/>
  <c r="D685" i="2"/>
  <c r="E685" i="2"/>
  <c r="F685" i="2"/>
  <c r="G685" i="2"/>
  <c r="I685" i="2"/>
  <c r="J685" i="2"/>
  <c r="K685" i="2"/>
  <c r="A686" i="2"/>
  <c r="C686" i="2"/>
  <c r="D686" i="2"/>
  <c r="E686" i="2"/>
  <c r="F686" i="2"/>
  <c r="G686" i="2"/>
  <c r="I686" i="2"/>
  <c r="J686" i="2"/>
  <c r="K686" i="2"/>
  <c r="A687" i="2"/>
  <c r="C687" i="2"/>
  <c r="D687" i="2"/>
  <c r="E687" i="2"/>
  <c r="F687" i="2"/>
  <c r="G687" i="2"/>
  <c r="I687" i="2"/>
  <c r="J687" i="2"/>
  <c r="K687" i="2"/>
  <c r="A688" i="2"/>
  <c r="C688" i="2"/>
  <c r="D688" i="2"/>
  <c r="E688" i="2"/>
  <c r="F688" i="2"/>
  <c r="G688" i="2"/>
  <c r="I688" i="2"/>
  <c r="J688" i="2"/>
  <c r="K688" i="2"/>
  <c r="A689" i="2"/>
  <c r="C689" i="2"/>
  <c r="D689" i="2"/>
  <c r="E689" i="2"/>
  <c r="F689" i="2"/>
  <c r="G689" i="2"/>
  <c r="I689" i="2"/>
  <c r="J689" i="2"/>
  <c r="K689" i="2"/>
  <c r="A690" i="2"/>
  <c r="C690" i="2"/>
  <c r="D690" i="2"/>
  <c r="E690" i="2"/>
  <c r="F690" i="2"/>
  <c r="G690" i="2"/>
  <c r="I690" i="2"/>
  <c r="J690" i="2"/>
  <c r="K690" i="2"/>
  <c r="A691" i="2"/>
  <c r="C691" i="2"/>
  <c r="D691" i="2"/>
  <c r="E691" i="2"/>
  <c r="F691" i="2"/>
  <c r="G691" i="2"/>
  <c r="I691" i="2"/>
  <c r="J691" i="2"/>
  <c r="K691" i="2"/>
  <c r="A692" i="2"/>
  <c r="C692" i="2"/>
  <c r="D692" i="2"/>
  <c r="E692" i="2"/>
  <c r="F692" i="2"/>
  <c r="G692" i="2"/>
  <c r="I692" i="2"/>
  <c r="J692" i="2"/>
  <c r="K692" i="2"/>
  <c r="A693" i="2"/>
  <c r="C693" i="2"/>
  <c r="D693" i="2"/>
  <c r="E693" i="2"/>
  <c r="F693" i="2"/>
  <c r="G693" i="2"/>
  <c r="I693" i="2"/>
  <c r="J693" i="2"/>
  <c r="K693" i="2"/>
  <c r="A694" i="2"/>
  <c r="C694" i="2"/>
  <c r="D694" i="2"/>
  <c r="E694" i="2"/>
  <c r="F694" i="2"/>
  <c r="G694" i="2"/>
  <c r="I694" i="2"/>
  <c r="J694" i="2"/>
  <c r="K694" i="2"/>
  <c r="A2" i="1"/>
  <c r="C2" i="1"/>
  <c r="D2" i="1"/>
  <c r="E2" i="1"/>
  <c r="F2" i="1"/>
  <c r="G2" i="1"/>
  <c r="I2" i="1"/>
  <c r="J2" i="1"/>
  <c r="K2" i="1"/>
  <c r="A3" i="1"/>
  <c r="C3" i="1"/>
  <c r="D3" i="1"/>
  <c r="E3" i="1"/>
  <c r="F3" i="1"/>
  <c r="G3" i="1"/>
  <c r="I3" i="1"/>
  <c r="J3" i="1"/>
  <c r="K3" i="1"/>
  <c r="A4" i="1"/>
  <c r="C4" i="1"/>
  <c r="D4" i="1"/>
  <c r="E4" i="1"/>
  <c r="F4" i="1"/>
  <c r="G4" i="1"/>
  <c r="I4" i="1"/>
  <c r="J4" i="1"/>
  <c r="K4" i="1"/>
  <c r="A5" i="1"/>
  <c r="C5" i="1"/>
  <c r="D5" i="1"/>
  <c r="E5" i="1"/>
  <c r="F5" i="1"/>
  <c r="G5" i="1"/>
  <c r="I5" i="1"/>
  <c r="J5" i="1"/>
  <c r="K5" i="1"/>
  <c r="A6" i="1"/>
  <c r="C6" i="1"/>
  <c r="D6" i="1"/>
  <c r="E6" i="1"/>
  <c r="F6" i="1"/>
  <c r="G6" i="1"/>
  <c r="I6" i="1"/>
  <c r="J6" i="1"/>
  <c r="K6" i="1"/>
  <c r="A7" i="1"/>
  <c r="C7" i="1"/>
  <c r="D7" i="1"/>
  <c r="E7" i="1"/>
  <c r="F7" i="1"/>
  <c r="G7" i="1"/>
  <c r="I7" i="1"/>
  <c r="J7" i="1"/>
  <c r="K7" i="1"/>
  <c r="A8" i="1"/>
  <c r="C8" i="1"/>
  <c r="D8" i="1"/>
  <c r="E8" i="1"/>
  <c r="F8" i="1"/>
  <c r="G8" i="1"/>
  <c r="I8" i="1"/>
  <c r="J8" i="1"/>
  <c r="K8" i="1"/>
  <c r="A9" i="1"/>
  <c r="C9" i="1"/>
  <c r="D9" i="1"/>
  <c r="E9" i="1"/>
  <c r="F9" i="1"/>
  <c r="G9" i="1"/>
  <c r="I9" i="1"/>
  <c r="J9" i="1"/>
  <c r="K9" i="1"/>
  <c r="A10" i="1"/>
  <c r="C10" i="1"/>
  <c r="D10" i="1"/>
  <c r="E10" i="1"/>
  <c r="F10" i="1"/>
  <c r="G10" i="1"/>
  <c r="I10" i="1"/>
  <c r="J10" i="1"/>
  <c r="K10" i="1"/>
  <c r="A11" i="1"/>
  <c r="C11" i="1"/>
  <c r="D11" i="1"/>
  <c r="E11" i="1"/>
  <c r="F11" i="1"/>
  <c r="G11" i="1"/>
  <c r="I11" i="1"/>
  <c r="J11" i="1"/>
  <c r="K11" i="1"/>
  <c r="A12" i="1"/>
  <c r="C12" i="1"/>
  <c r="D12" i="1"/>
  <c r="E12" i="1"/>
  <c r="F12" i="1"/>
  <c r="G12" i="1"/>
  <c r="I12" i="1"/>
  <c r="J12" i="1"/>
  <c r="K12" i="1"/>
  <c r="A13" i="1"/>
  <c r="C13" i="1"/>
  <c r="D13" i="1"/>
  <c r="E13" i="1"/>
  <c r="F13" i="1"/>
  <c r="G13" i="1"/>
  <c r="I13" i="1"/>
  <c r="J13" i="1"/>
  <c r="K13" i="1"/>
  <c r="A14" i="1"/>
  <c r="C14" i="1"/>
  <c r="D14" i="1"/>
  <c r="E14" i="1"/>
  <c r="F14" i="1"/>
  <c r="G14" i="1"/>
  <c r="I14" i="1"/>
  <c r="J14" i="1"/>
  <c r="K14" i="1"/>
  <c r="A15" i="1"/>
  <c r="C15" i="1"/>
  <c r="D15" i="1"/>
  <c r="E15" i="1"/>
  <c r="F15" i="1"/>
  <c r="G15" i="1"/>
  <c r="I15" i="1"/>
  <c r="J15" i="1"/>
  <c r="K15" i="1"/>
  <c r="A16" i="1"/>
  <c r="C16" i="1"/>
  <c r="D16" i="1"/>
  <c r="E16" i="1"/>
  <c r="F16" i="1"/>
  <c r="G16" i="1"/>
  <c r="I16" i="1"/>
  <c r="J16" i="1"/>
  <c r="K16" i="1"/>
  <c r="A17" i="1"/>
  <c r="C17" i="1"/>
  <c r="D17" i="1"/>
  <c r="E17" i="1"/>
  <c r="F17" i="1"/>
  <c r="G17" i="1"/>
  <c r="I17" i="1"/>
  <c r="J17" i="1"/>
  <c r="K17" i="1"/>
  <c r="A18" i="1"/>
  <c r="C18" i="1"/>
  <c r="D18" i="1"/>
  <c r="E18" i="1"/>
  <c r="F18" i="1"/>
  <c r="G18" i="1"/>
  <c r="I18" i="1"/>
  <c r="J18" i="1"/>
  <c r="K18" i="1"/>
  <c r="A19" i="1"/>
  <c r="C19" i="1"/>
  <c r="D19" i="1"/>
  <c r="E19" i="1"/>
  <c r="F19" i="1"/>
  <c r="G19" i="1"/>
  <c r="I19" i="1"/>
  <c r="J19" i="1"/>
  <c r="K19" i="1"/>
  <c r="A20" i="1"/>
  <c r="C20" i="1"/>
  <c r="D20" i="1"/>
  <c r="E20" i="1"/>
  <c r="F20" i="1"/>
  <c r="G20" i="1"/>
  <c r="I20" i="1"/>
  <c r="J20" i="1"/>
  <c r="K20" i="1"/>
  <c r="A21" i="1"/>
  <c r="C21" i="1"/>
  <c r="D21" i="1"/>
  <c r="E21" i="1"/>
  <c r="F21" i="1"/>
  <c r="G21" i="1"/>
  <c r="I21" i="1"/>
  <c r="J21" i="1"/>
  <c r="K21" i="1"/>
  <c r="A22" i="1"/>
  <c r="C22" i="1"/>
  <c r="D22" i="1"/>
  <c r="E22" i="1"/>
  <c r="F22" i="1"/>
  <c r="G22" i="1"/>
  <c r="I22" i="1"/>
  <c r="J22" i="1"/>
  <c r="K22" i="1"/>
  <c r="A23" i="1"/>
  <c r="C23" i="1"/>
  <c r="D23" i="1"/>
  <c r="E23" i="1"/>
  <c r="F23" i="1"/>
  <c r="G23" i="1"/>
  <c r="I23" i="1"/>
  <c r="J23" i="1"/>
  <c r="K23" i="1"/>
  <c r="A24" i="1"/>
  <c r="C24" i="1"/>
  <c r="D24" i="1"/>
  <c r="E24" i="1"/>
  <c r="F24" i="1"/>
  <c r="G24" i="1"/>
  <c r="I24" i="1"/>
  <c r="J24" i="1"/>
  <c r="K24" i="1"/>
  <c r="A25" i="1"/>
  <c r="C25" i="1"/>
  <c r="D25" i="1"/>
  <c r="E25" i="1"/>
  <c r="F25" i="1"/>
  <c r="G25" i="1"/>
  <c r="I25" i="1"/>
  <c r="J25" i="1"/>
  <c r="K25" i="1"/>
  <c r="A26" i="1"/>
  <c r="C26" i="1"/>
  <c r="D26" i="1"/>
  <c r="E26" i="1"/>
  <c r="F26" i="1"/>
  <c r="G26" i="1"/>
  <c r="I26" i="1"/>
  <c r="J26" i="1"/>
  <c r="K26" i="1"/>
  <c r="A27" i="1"/>
  <c r="C27" i="1"/>
  <c r="D27" i="1"/>
  <c r="E27" i="1"/>
  <c r="F27" i="1"/>
  <c r="G27" i="1"/>
  <c r="I27" i="1"/>
  <c r="J27" i="1"/>
  <c r="K27" i="1"/>
  <c r="A28" i="1"/>
  <c r="C28" i="1"/>
  <c r="D28" i="1"/>
  <c r="E28" i="1"/>
  <c r="F28" i="1"/>
  <c r="G28" i="1"/>
  <c r="I28" i="1"/>
  <c r="J28" i="1"/>
  <c r="K28" i="1"/>
  <c r="A29" i="1"/>
  <c r="C29" i="1"/>
  <c r="D29" i="1"/>
  <c r="E29" i="1"/>
  <c r="F29" i="1"/>
  <c r="G29" i="1"/>
  <c r="I29" i="1"/>
  <c r="J29" i="1"/>
  <c r="K29" i="1"/>
  <c r="A30" i="1"/>
  <c r="C30" i="1"/>
  <c r="D30" i="1"/>
  <c r="E30" i="1"/>
  <c r="F30" i="1"/>
  <c r="G30" i="1"/>
  <c r="I30" i="1"/>
  <c r="J30" i="1"/>
  <c r="K30" i="1"/>
  <c r="A31" i="1"/>
  <c r="C31" i="1"/>
  <c r="D31" i="1"/>
  <c r="E31" i="1"/>
  <c r="F31" i="1"/>
  <c r="G31" i="1"/>
  <c r="I31" i="1"/>
  <c r="J31" i="1"/>
  <c r="K31" i="1"/>
  <c r="A32" i="1"/>
  <c r="C32" i="1"/>
  <c r="D32" i="1"/>
  <c r="E32" i="1"/>
  <c r="F32" i="1"/>
  <c r="G32" i="1"/>
  <c r="I32" i="1"/>
  <c r="J32" i="1"/>
  <c r="K32" i="1"/>
  <c r="A33" i="1"/>
  <c r="C33" i="1"/>
  <c r="D33" i="1"/>
  <c r="E33" i="1"/>
  <c r="F33" i="1"/>
  <c r="G33" i="1"/>
  <c r="I33" i="1"/>
  <c r="J33" i="1"/>
  <c r="K33" i="1"/>
  <c r="A34" i="1"/>
  <c r="C34" i="1"/>
  <c r="D34" i="1"/>
  <c r="E34" i="1"/>
  <c r="F34" i="1"/>
  <c r="G34" i="1"/>
  <c r="I34" i="1"/>
  <c r="J34" i="1"/>
  <c r="K34" i="1"/>
  <c r="A35" i="1"/>
  <c r="C35" i="1"/>
  <c r="D35" i="1"/>
  <c r="E35" i="1"/>
  <c r="F35" i="1"/>
  <c r="G35" i="1"/>
  <c r="I35" i="1"/>
  <c r="J35" i="1"/>
  <c r="K35" i="1"/>
  <c r="A36" i="1"/>
  <c r="C36" i="1"/>
  <c r="D36" i="1"/>
  <c r="E36" i="1"/>
  <c r="F36" i="1"/>
  <c r="G36" i="1"/>
  <c r="I36" i="1"/>
  <c r="J36" i="1"/>
  <c r="K36" i="1"/>
  <c r="A37" i="1"/>
  <c r="C37" i="1"/>
  <c r="D37" i="1"/>
  <c r="E37" i="1"/>
  <c r="F37" i="1"/>
  <c r="G37" i="1"/>
  <c r="I37" i="1"/>
  <c r="J37" i="1"/>
  <c r="K37" i="1"/>
  <c r="A38" i="1"/>
  <c r="C38" i="1"/>
  <c r="D38" i="1"/>
  <c r="E38" i="1"/>
  <c r="F38" i="1"/>
  <c r="G38" i="1"/>
  <c r="I38" i="1"/>
  <c r="J38" i="1"/>
  <c r="K38" i="1"/>
  <c r="A39" i="1"/>
  <c r="C39" i="1"/>
  <c r="D39" i="1"/>
  <c r="E39" i="1"/>
  <c r="F39" i="1"/>
  <c r="G39" i="1"/>
  <c r="I39" i="1"/>
  <c r="J39" i="1"/>
  <c r="K39" i="1"/>
  <c r="A40" i="1"/>
  <c r="C40" i="1"/>
  <c r="D40" i="1"/>
  <c r="E40" i="1"/>
  <c r="F40" i="1"/>
  <c r="G40" i="1"/>
  <c r="I40" i="1"/>
  <c r="J40" i="1"/>
  <c r="K40" i="1"/>
  <c r="A41" i="1"/>
  <c r="C41" i="1"/>
  <c r="D41" i="1"/>
  <c r="E41" i="1"/>
  <c r="F41" i="1"/>
  <c r="G41" i="1"/>
  <c r="I41" i="1"/>
  <c r="J41" i="1"/>
  <c r="K41" i="1"/>
  <c r="A42" i="1"/>
  <c r="C42" i="1"/>
  <c r="D42" i="1"/>
  <c r="E42" i="1"/>
  <c r="F42" i="1"/>
  <c r="G42" i="1"/>
  <c r="I42" i="1"/>
  <c r="J42" i="1"/>
  <c r="K42" i="1"/>
  <c r="A43" i="1"/>
  <c r="C43" i="1"/>
  <c r="D43" i="1"/>
  <c r="E43" i="1"/>
  <c r="F43" i="1"/>
  <c r="G43" i="1"/>
  <c r="I43" i="1"/>
  <c r="J43" i="1"/>
  <c r="K43" i="1"/>
  <c r="A44" i="1"/>
  <c r="C44" i="1"/>
  <c r="D44" i="1"/>
  <c r="E44" i="1"/>
  <c r="F44" i="1"/>
  <c r="G44" i="1"/>
  <c r="I44" i="1"/>
  <c r="J44" i="1"/>
  <c r="K44" i="1"/>
  <c r="A45" i="1"/>
  <c r="C45" i="1"/>
  <c r="D45" i="1"/>
  <c r="E45" i="1"/>
  <c r="F45" i="1"/>
  <c r="G45" i="1"/>
  <c r="I45" i="1"/>
  <c r="J45" i="1"/>
  <c r="K45" i="1"/>
  <c r="A46" i="1"/>
  <c r="C46" i="1"/>
  <c r="D46" i="1"/>
  <c r="E46" i="1"/>
  <c r="F46" i="1"/>
  <c r="G46" i="1"/>
  <c r="I46" i="1"/>
  <c r="J46" i="1"/>
  <c r="K46" i="1"/>
  <c r="A47" i="1"/>
  <c r="C47" i="1"/>
  <c r="D47" i="1"/>
  <c r="E47" i="1"/>
  <c r="F47" i="1"/>
  <c r="G47" i="1"/>
  <c r="I47" i="1"/>
  <c r="J47" i="1"/>
  <c r="K47" i="1"/>
  <c r="A48" i="1"/>
  <c r="C48" i="1"/>
  <c r="D48" i="1"/>
  <c r="E48" i="1"/>
  <c r="F48" i="1"/>
  <c r="G48" i="1"/>
  <c r="I48" i="1"/>
  <c r="J48" i="1"/>
  <c r="K48" i="1"/>
  <c r="A49" i="1"/>
  <c r="C49" i="1"/>
  <c r="D49" i="1"/>
  <c r="E49" i="1"/>
  <c r="F49" i="1"/>
  <c r="G49" i="1"/>
  <c r="I49" i="1"/>
  <c r="J49" i="1"/>
  <c r="K49" i="1"/>
  <c r="A50" i="1"/>
  <c r="C50" i="1"/>
  <c r="D50" i="1"/>
  <c r="E50" i="1"/>
  <c r="F50" i="1"/>
  <c r="G50" i="1"/>
  <c r="I50" i="1"/>
  <c r="J50" i="1"/>
  <c r="K50" i="1"/>
  <c r="A51" i="1"/>
  <c r="C51" i="1"/>
  <c r="D51" i="1"/>
  <c r="E51" i="1"/>
  <c r="F51" i="1"/>
  <c r="G51" i="1"/>
  <c r="I51" i="1"/>
  <c r="J51" i="1"/>
  <c r="K51" i="1"/>
  <c r="A52" i="1"/>
  <c r="C52" i="1"/>
  <c r="D52" i="1"/>
  <c r="E52" i="1"/>
  <c r="F52" i="1"/>
  <c r="G52" i="1"/>
  <c r="I52" i="1"/>
  <c r="J52" i="1"/>
  <c r="K52" i="1"/>
  <c r="A53" i="1"/>
  <c r="C53" i="1"/>
  <c r="D53" i="1"/>
  <c r="E53" i="1"/>
  <c r="F53" i="1"/>
  <c r="G53" i="1"/>
  <c r="I53" i="1"/>
  <c r="J53" i="1"/>
  <c r="K53" i="1"/>
  <c r="A54" i="1"/>
  <c r="C54" i="1"/>
  <c r="D54" i="1"/>
  <c r="E54" i="1"/>
  <c r="F54" i="1"/>
  <c r="G54" i="1"/>
  <c r="I54" i="1"/>
  <c r="J54" i="1"/>
  <c r="K54" i="1"/>
  <c r="A55" i="1"/>
  <c r="C55" i="1"/>
  <c r="D55" i="1"/>
  <c r="E55" i="1"/>
  <c r="F55" i="1"/>
  <c r="G55" i="1"/>
  <c r="I55" i="1"/>
  <c r="J55" i="1"/>
  <c r="K55" i="1"/>
  <c r="A56" i="1"/>
  <c r="C56" i="1"/>
  <c r="D56" i="1"/>
  <c r="E56" i="1"/>
  <c r="F56" i="1"/>
  <c r="G56" i="1"/>
  <c r="I56" i="1"/>
  <c r="J56" i="1"/>
  <c r="K56" i="1"/>
  <c r="A57" i="1"/>
  <c r="C57" i="1"/>
  <c r="D57" i="1"/>
  <c r="E57" i="1"/>
  <c r="F57" i="1"/>
  <c r="G57" i="1"/>
  <c r="I57" i="1"/>
  <c r="J57" i="1"/>
  <c r="K57" i="1"/>
  <c r="A58" i="1"/>
  <c r="C58" i="1"/>
  <c r="D58" i="1"/>
  <c r="E58" i="1"/>
  <c r="F58" i="1"/>
  <c r="G58" i="1"/>
  <c r="I58" i="1"/>
  <c r="J58" i="1"/>
  <c r="K58" i="1"/>
  <c r="A59" i="1"/>
  <c r="C59" i="1"/>
  <c r="D59" i="1"/>
  <c r="E59" i="1"/>
  <c r="F59" i="1"/>
  <c r="G59" i="1"/>
  <c r="I59" i="1"/>
  <c r="J59" i="1"/>
  <c r="K59" i="1"/>
  <c r="A60" i="1"/>
  <c r="C60" i="1"/>
  <c r="D60" i="1"/>
  <c r="E60" i="1"/>
  <c r="F60" i="1"/>
  <c r="G60" i="1"/>
  <c r="I60" i="1"/>
  <c r="J60" i="1"/>
  <c r="K60" i="1"/>
  <c r="A61" i="1"/>
  <c r="C61" i="1"/>
  <c r="D61" i="1"/>
  <c r="E61" i="1"/>
  <c r="F61" i="1"/>
  <c r="G61" i="1"/>
  <c r="I61" i="1"/>
  <c r="J61" i="1"/>
  <c r="K61" i="1"/>
  <c r="A62" i="1"/>
  <c r="C62" i="1"/>
  <c r="D62" i="1"/>
  <c r="E62" i="1"/>
  <c r="F62" i="1"/>
  <c r="G62" i="1"/>
  <c r="I62" i="1"/>
  <c r="J62" i="1"/>
  <c r="K62" i="1"/>
  <c r="A63" i="1"/>
  <c r="C63" i="1"/>
  <c r="D63" i="1"/>
  <c r="E63" i="1"/>
  <c r="F63" i="1"/>
  <c r="G63" i="1"/>
  <c r="I63" i="1"/>
  <c r="J63" i="1"/>
  <c r="K63" i="1"/>
  <c r="A64" i="1"/>
  <c r="C64" i="1"/>
  <c r="D64" i="1"/>
  <c r="E64" i="1"/>
  <c r="F64" i="1"/>
  <c r="G64" i="1"/>
  <c r="I64" i="1"/>
  <c r="J64" i="1"/>
  <c r="K64" i="1"/>
  <c r="A65" i="1"/>
  <c r="C65" i="1"/>
  <c r="D65" i="1"/>
  <c r="E65" i="1"/>
  <c r="F65" i="1"/>
  <c r="G65" i="1"/>
  <c r="I65" i="1"/>
  <c r="J65" i="1"/>
  <c r="K65" i="1"/>
  <c r="A66" i="1"/>
  <c r="C66" i="1"/>
  <c r="D66" i="1"/>
  <c r="E66" i="1"/>
  <c r="F66" i="1"/>
  <c r="G66" i="1"/>
  <c r="I66" i="1"/>
  <c r="J66" i="1"/>
  <c r="K66" i="1"/>
  <c r="A67" i="1"/>
  <c r="C67" i="1"/>
  <c r="D67" i="1"/>
  <c r="E67" i="1"/>
  <c r="F67" i="1"/>
  <c r="G67" i="1"/>
  <c r="I67" i="1"/>
  <c r="J67" i="1"/>
  <c r="K67" i="1"/>
  <c r="A68" i="1"/>
  <c r="C68" i="1"/>
  <c r="D68" i="1"/>
  <c r="E68" i="1"/>
  <c r="F68" i="1"/>
  <c r="G68" i="1"/>
  <c r="I68" i="1"/>
  <c r="J68" i="1"/>
  <c r="K68" i="1"/>
  <c r="A69" i="1"/>
  <c r="C69" i="1"/>
  <c r="D69" i="1"/>
  <c r="E69" i="1"/>
  <c r="F69" i="1"/>
  <c r="G69" i="1"/>
  <c r="I69" i="1"/>
  <c r="J69" i="1"/>
  <c r="K69" i="1"/>
  <c r="A70" i="1"/>
  <c r="C70" i="1"/>
  <c r="D70" i="1"/>
  <c r="E70" i="1"/>
  <c r="F70" i="1"/>
  <c r="G70" i="1"/>
  <c r="I70" i="1"/>
  <c r="J70" i="1"/>
  <c r="K70" i="1"/>
  <c r="A71" i="1"/>
  <c r="C71" i="1"/>
  <c r="D71" i="1"/>
  <c r="E71" i="1"/>
  <c r="F71" i="1"/>
  <c r="G71" i="1"/>
  <c r="I71" i="1"/>
  <c r="J71" i="1"/>
  <c r="K71" i="1"/>
  <c r="A72" i="1"/>
  <c r="C72" i="1"/>
  <c r="D72" i="1"/>
  <c r="E72" i="1"/>
  <c r="F72" i="1"/>
  <c r="G72" i="1"/>
  <c r="I72" i="1"/>
  <c r="J72" i="1"/>
  <c r="K72" i="1"/>
  <c r="A73" i="1"/>
  <c r="C73" i="1"/>
  <c r="D73" i="1"/>
  <c r="E73" i="1"/>
  <c r="F73" i="1"/>
  <c r="G73" i="1"/>
  <c r="I73" i="1"/>
  <c r="J73" i="1"/>
  <c r="K73" i="1"/>
  <c r="A74" i="1"/>
  <c r="C74" i="1"/>
  <c r="D74" i="1"/>
  <c r="E74" i="1"/>
  <c r="F74" i="1"/>
  <c r="G74" i="1"/>
  <c r="I74" i="1"/>
  <c r="J74" i="1"/>
  <c r="K74" i="1"/>
  <c r="A75" i="1"/>
  <c r="C75" i="1"/>
  <c r="D75" i="1"/>
  <c r="E75" i="1"/>
  <c r="F75" i="1"/>
  <c r="G75" i="1"/>
  <c r="I75" i="1"/>
  <c r="J75" i="1"/>
  <c r="K75" i="1"/>
  <c r="A76" i="1"/>
  <c r="C76" i="1"/>
  <c r="D76" i="1"/>
  <c r="E76" i="1"/>
  <c r="F76" i="1"/>
  <c r="G76" i="1"/>
  <c r="I76" i="1"/>
  <c r="J76" i="1"/>
  <c r="K76" i="1"/>
  <c r="A77" i="1"/>
  <c r="C77" i="1"/>
  <c r="D77" i="1"/>
  <c r="E77" i="1"/>
  <c r="F77" i="1"/>
  <c r="G77" i="1"/>
  <c r="I77" i="1"/>
  <c r="J77" i="1"/>
  <c r="K77" i="1"/>
  <c r="A78" i="1"/>
  <c r="C78" i="1"/>
  <c r="D78" i="1"/>
  <c r="E78" i="1"/>
  <c r="F78" i="1"/>
  <c r="G78" i="1"/>
  <c r="I78" i="1"/>
  <c r="J78" i="1"/>
  <c r="K78" i="1"/>
  <c r="A79" i="1"/>
  <c r="C79" i="1"/>
  <c r="D79" i="1"/>
  <c r="E79" i="1"/>
  <c r="F79" i="1"/>
  <c r="G79" i="1"/>
  <c r="I79" i="1"/>
  <c r="J79" i="1"/>
  <c r="K79" i="1"/>
  <c r="A80" i="1"/>
  <c r="C80" i="1"/>
  <c r="D80" i="1"/>
  <c r="E80" i="1"/>
  <c r="F80" i="1"/>
  <c r="G80" i="1"/>
  <c r="I80" i="1"/>
  <c r="J80" i="1"/>
  <c r="K80" i="1"/>
  <c r="A81" i="1"/>
  <c r="C81" i="1"/>
  <c r="D81" i="1"/>
  <c r="E81" i="1"/>
  <c r="F81" i="1"/>
  <c r="G81" i="1"/>
  <c r="I81" i="1"/>
  <c r="J81" i="1"/>
  <c r="K81" i="1"/>
  <c r="A82" i="1"/>
  <c r="C82" i="1"/>
  <c r="D82" i="1"/>
  <c r="E82" i="1"/>
  <c r="F82" i="1"/>
  <c r="G82" i="1"/>
  <c r="I82" i="1"/>
  <c r="J82" i="1"/>
  <c r="K82" i="1"/>
  <c r="A83" i="1"/>
  <c r="C83" i="1"/>
  <c r="D83" i="1"/>
  <c r="E83" i="1"/>
  <c r="F83" i="1"/>
  <c r="G83" i="1"/>
  <c r="I83" i="1"/>
  <c r="J83" i="1"/>
  <c r="K83" i="1"/>
  <c r="A84" i="1"/>
  <c r="C84" i="1"/>
  <c r="D84" i="1"/>
  <c r="E84" i="1"/>
  <c r="F84" i="1"/>
  <c r="G84" i="1"/>
  <c r="I84" i="1"/>
  <c r="J84" i="1"/>
  <c r="K84" i="1"/>
  <c r="A85" i="1"/>
  <c r="C85" i="1"/>
  <c r="D85" i="1"/>
  <c r="E85" i="1"/>
  <c r="F85" i="1"/>
  <c r="G85" i="1"/>
  <c r="I85" i="1"/>
  <c r="J85" i="1"/>
  <c r="K85" i="1"/>
  <c r="A86" i="1"/>
  <c r="C86" i="1"/>
  <c r="D86" i="1"/>
  <c r="E86" i="1"/>
  <c r="F86" i="1"/>
  <c r="G86" i="1"/>
  <c r="I86" i="1"/>
  <c r="J86" i="1"/>
  <c r="K86" i="1"/>
  <c r="A87" i="1"/>
  <c r="C87" i="1"/>
  <c r="D87" i="1"/>
  <c r="E87" i="1"/>
  <c r="F87" i="1"/>
  <c r="G87" i="1"/>
  <c r="I87" i="1"/>
  <c r="J87" i="1"/>
  <c r="K87" i="1"/>
  <c r="A88" i="1"/>
  <c r="C88" i="1"/>
  <c r="D88" i="1"/>
  <c r="E88" i="1"/>
  <c r="F88" i="1"/>
  <c r="G88" i="1"/>
  <c r="I88" i="1"/>
  <c r="J88" i="1"/>
  <c r="K88" i="1"/>
  <c r="A89" i="1"/>
  <c r="C89" i="1"/>
  <c r="D89" i="1"/>
  <c r="E89" i="1"/>
  <c r="F89" i="1"/>
  <c r="G89" i="1"/>
  <c r="I89" i="1"/>
  <c r="J89" i="1"/>
  <c r="K89" i="1"/>
  <c r="A90" i="1"/>
  <c r="C90" i="1"/>
  <c r="D90" i="1"/>
  <c r="E90" i="1"/>
  <c r="F90" i="1"/>
  <c r="G90" i="1"/>
  <c r="I90" i="1"/>
  <c r="J90" i="1"/>
  <c r="K90" i="1"/>
  <c r="A91" i="1"/>
  <c r="C91" i="1"/>
  <c r="D91" i="1"/>
  <c r="E91" i="1"/>
  <c r="F91" i="1"/>
  <c r="G91" i="1"/>
  <c r="I91" i="1"/>
  <c r="J91" i="1"/>
  <c r="K91" i="1"/>
  <c r="A92" i="1"/>
  <c r="C92" i="1"/>
  <c r="D92" i="1"/>
  <c r="E92" i="1"/>
  <c r="F92" i="1"/>
  <c r="G92" i="1"/>
  <c r="I92" i="1"/>
  <c r="J92" i="1"/>
  <c r="K92" i="1"/>
  <c r="A93" i="1"/>
  <c r="C93" i="1"/>
  <c r="D93" i="1"/>
  <c r="E93" i="1"/>
  <c r="F93" i="1"/>
  <c r="G93" i="1"/>
  <c r="I93" i="1"/>
  <c r="J93" i="1"/>
  <c r="K93" i="1"/>
  <c r="A94" i="1"/>
  <c r="C94" i="1"/>
  <c r="D94" i="1"/>
  <c r="E94" i="1"/>
  <c r="F94" i="1"/>
  <c r="G94" i="1"/>
  <c r="I94" i="1"/>
  <c r="J94" i="1"/>
  <c r="K94" i="1"/>
  <c r="A95" i="1"/>
  <c r="C95" i="1"/>
  <c r="D95" i="1"/>
  <c r="E95" i="1"/>
  <c r="F95" i="1"/>
  <c r="G95" i="1"/>
  <c r="I95" i="1"/>
  <c r="J95" i="1"/>
  <c r="K95" i="1"/>
  <c r="A96" i="1"/>
  <c r="C96" i="1"/>
  <c r="D96" i="1"/>
  <c r="E96" i="1"/>
  <c r="F96" i="1"/>
  <c r="G96" i="1"/>
  <c r="I96" i="1"/>
  <c r="J96" i="1"/>
  <c r="K96" i="1"/>
  <c r="A97" i="1"/>
  <c r="C97" i="1"/>
  <c r="D97" i="1"/>
  <c r="E97" i="1"/>
  <c r="F97" i="1"/>
  <c r="G97" i="1"/>
  <c r="I97" i="1"/>
  <c r="J97" i="1"/>
  <c r="K97" i="1"/>
  <c r="A98" i="1"/>
  <c r="C98" i="1"/>
  <c r="D98" i="1"/>
  <c r="E98" i="1"/>
  <c r="F98" i="1"/>
  <c r="G98" i="1"/>
  <c r="I98" i="1"/>
  <c r="J98" i="1"/>
  <c r="K98" i="1"/>
  <c r="A99" i="1"/>
  <c r="C99" i="1"/>
  <c r="D99" i="1"/>
  <c r="E99" i="1"/>
  <c r="F99" i="1"/>
  <c r="G99" i="1"/>
  <c r="I99" i="1"/>
  <c r="J99" i="1"/>
  <c r="K99" i="1"/>
  <c r="A100" i="1"/>
  <c r="C100" i="1"/>
  <c r="D100" i="1"/>
  <c r="E100" i="1"/>
  <c r="F100" i="1"/>
  <c r="G100" i="1"/>
  <c r="I100" i="1"/>
  <c r="J100" i="1"/>
  <c r="K100" i="1"/>
  <c r="A101" i="1"/>
  <c r="C101" i="1"/>
  <c r="D101" i="1"/>
  <c r="E101" i="1"/>
  <c r="F101" i="1"/>
  <c r="G101" i="1"/>
  <c r="I101" i="1"/>
  <c r="J101" i="1"/>
  <c r="K101" i="1"/>
  <c r="A102" i="1"/>
  <c r="C102" i="1"/>
  <c r="D102" i="1"/>
  <c r="E102" i="1"/>
  <c r="F102" i="1"/>
  <c r="G102" i="1"/>
  <c r="I102" i="1"/>
  <c r="J102" i="1"/>
  <c r="K102" i="1"/>
  <c r="A103" i="1"/>
  <c r="C103" i="1"/>
  <c r="D103" i="1"/>
  <c r="E103" i="1"/>
  <c r="F103" i="1"/>
  <c r="G103" i="1"/>
  <c r="I103" i="1"/>
  <c r="J103" i="1"/>
  <c r="K103" i="1"/>
  <c r="A104" i="1"/>
  <c r="C104" i="1"/>
  <c r="D104" i="1"/>
  <c r="E104" i="1"/>
  <c r="F104" i="1"/>
  <c r="G104" i="1"/>
  <c r="I104" i="1"/>
  <c r="J104" i="1"/>
  <c r="K104" i="1"/>
  <c r="A105" i="1"/>
  <c r="C105" i="1"/>
  <c r="D105" i="1"/>
  <c r="E105" i="1"/>
  <c r="F105" i="1"/>
  <c r="G105" i="1"/>
  <c r="I105" i="1"/>
  <c r="J105" i="1"/>
  <c r="K105" i="1"/>
  <c r="A106" i="1"/>
  <c r="C106" i="1"/>
  <c r="D106" i="1"/>
  <c r="E106" i="1"/>
  <c r="F106" i="1"/>
  <c r="G106" i="1"/>
  <c r="I106" i="1"/>
  <c r="J106" i="1"/>
  <c r="K106" i="1"/>
  <c r="A107" i="1"/>
  <c r="C107" i="1"/>
  <c r="D107" i="1"/>
  <c r="E107" i="1"/>
  <c r="F107" i="1"/>
  <c r="G107" i="1"/>
  <c r="I107" i="1"/>
  <c r="J107" i="1"/>
  <c r="K107" i="1"/>
  <c r="A108" i="1"/>
  <c r="C108" i="1"/>
  <c r="D108" i="1"/>
  <c r="E108" i="1"/>
  <c r="F108" i="1"/>
  <c r="G108" i="1"/>
  <c r="I108" i="1"/>
  <c r="J108" i="1"/>
  <c r="K108" i="1"/>
  <c r="A109" i="1"/>
  <c r="C109" i="1"/>
  <c r="D109" i="1"/>
  <c r="E109" i="1"/>
  <c r="F109" i="1"/>
  <c r="G109" i="1"/>
  <c r="I109" i="1"/>
  <c r="J109" i="1"/>
  <c r="K109" i="1"/>
  <c r="A110" i="1"/>
  <c r="C110" i="1"/>
  <c r="D110" i="1"/>
  <c r="E110" i="1"/>
  <c r="F110" i="1"/>
  <c r="G110" i="1"/>
  <c r="I110" i="1"/>
  <c r="J110" i="1"/>
  <c r="K110" i="1"/>
  <c r="A111" i="1"/>
  <c r="C111" i="1"/>
  <c r="D111" i="1"/>
  <c r="E111" i="1"/>
  <c r="F111" i="1"/>
  <c r="G111" i="1"/>
  <c r="I111" i="1"/>
  <c r="J111" i="1"/>
  <c r="K111" i="1"/>
  <c r="A112" i="1"/>
  <c r="C112" i="1"/>
  <c r="D112" i="1"/>
  <c r="E112" i="1"/>
  <c r="F112" i="1"/>
  <c r="G112" i="1"/>
  <c r="I112" i="1"/>
  <c r="J112" i="1"/>
  <c r="K112" i="1"/>
  <c r="A113" i="1"/>
  <c r="C113" i="1"/>
  <c r="D113" i="1"/>
  <c r="E113" i="1"/>
  <c r="F113" i="1"/>
  <c r="G113" i="1"/>
  <c r="I113" i="1"/>
  <c r="J113" i="1"/>
  <c r="K113" i="1"/>
  <c r="A114" i="1"/>
  <c r="C114" i="1"/>
  <c r="D114" i="1"/>
  <c r="E114" i="1"/>
  <c r="F114" i="1"/>
  <c r="G114" i="1"/>
  <c r="I114" i="1"/>
  <c r="J114" i="1"/>
  <c r="K114" i="1"/>
  <c r="A115" i="1"/>
  <c r="C115" i="1"/>
  <c r="D115" i="1"/>
  <c r="E115" i="1"/>
  <c r="F115" i="1"/>
  <c r="G115" i="1"/>
  <c r="I115" i="1"/>
  <c r="J115" i="1"/>
  <c r="K115" i="1"/>
  <c r="A116" i="1"/>
  <c r="C116" i="1"/>
  <c r="D116" i="1"/>
  <c r="E116" i="1"/>
  <c r="F116" i="1"/>
  <c r="G116" i="1"/>
  <c r="I116" i="1"/>
  <c r="J116" i="1"/>
  <c r="K116" i="1"/>
  <c r="A117" i="1"/>
  <c r="C117" i="1"/>
  <c r="D117" i="1"/>
  <c r="E117" i="1"/>
  <c r="F117" i="1"/>
  <c r="G117" i="1"/>
  <c r="I117" i="1"/>
  <c r="J117" i="1"/>
  <c r="K117" i="1"/>
  <c r="A118" i="1"/>
  <c r="C118" i="1"/>
  <c r="D118" i="1"/>
  <c r="E118" i="1"/>
  <c r="F118" i="1"/>
  <c r="G118" i="1"/>
  <c r="I118" i="1"/>
  <c r="J118" i="1"/>
  <c r="K118" i="1"/>
  <c r="A119" i="1"/>
  <c r="C119" i="1"/>
  <c r="D119" i="1"/>
  <c r="E119" i="1"/>
  <c r="F119" i="1"/>
  <c r="G119" i="1"/>
  <c r="I119" i="1"/>
  <c r="J119" i="1"/>
  <c r="K119" i="1"/>
  <c r="A120" i="1"/>
  <c r="C120" i="1"/>
  <c r="D120" i="1"/>
  <c r="E120" i="1"/>
  <c r="F120" i="1"/>
  <c r="G120" i="1"/>
  <c r="I120" i="1"/>
  <c r="J120" i="1"/>
  <c r="K120" i="1"/>
  <c r="A121" i="1"/>
  <c r="C121" i="1"/>
  <c r="D121" i="1"/>
  <c r="E121" i="1"/>
  <c r="F121" i="1"/>
  <c r="G121" i="1"/>
  <c r="I121" i="1"/>
  <c r="J121" i="1"/>
  <c r="K121" i="1"/>
  <c r="A122" i="1"/>
  <c r="C122" i="1"/>
  <c r="D122" i="1"/>
  <c r="E122" i="1"/>
  <c r="F122" i="1"/>
  <c r="G122" i="1"/>
  <c r="I122" i="1"/>
  <c r="J122" i="1"/>
  <c r="K122" i="1"/>
  <c r="A123" i="1"/>
  <c r="C123" i="1"/>
  <c r="D123" i="1"/>
  <c r="E123" i="1"/>
  <c r="F123" i="1"/>
  <c r="G123" i="1"/>
  <c r="I123" i="1"/>
  <c r="J123" i="1"/>
  <c r="K123" i="1"/>
  <c r="A124" i="1"/>
  <c r="C124" i="1"/>
  <c r="D124" i="1"/>
  <c r="E124" i="1"/>
  <c r="F124" i="1"/>
  <c r="G124" i="1"/>
  <c r="I124" i="1"/>
  <c r="J124" i="1"/>
  <c r="K124" i="1"/>
  <c r="A125" i="1"/>
  <c r="C125" i="1"/>
  <c r="D125" i="1"/>
  <c r="E125" i="1"/>
  <c r="F125" i="1"/>
  <c r="G125" i="1"/>
  <c r="I125" i="1"/>
  <c r="J125" i="1"/>
  <c r="K125" i="1"/>
  <c r="A126" i="1"/>
  <c r="C126" i="1"/>
  <c r="D126" i="1"/>
  <c r="E126" i="1"/>
  <c r="F126" i="1"/>
  <c r="G126" i="1"/>
  <c r="I126" i="1"/>
  <c r="J126" i="1"/>
  <c r="K126" i="1"/>
  <c r="A127" i="1"/>
  <c r="C127" i="1"/>
  <c r="D127" i="1"/>
  <c r="E127" i="1"/>
  <c r="F127" i="1"/>
  <c r="G127" i="1"/>
  <c r="I127" i="1"/>
  <c r="J127" i="1"/>
  <c r="K127" i="1"/>
  <c r="A128" i="1"/>
  <c r="C128" i="1"/>
  <c r="D128" i="1"/>
  <c r="E128" i="1"/>
  <c r="F128" i="1"/>
  <c r="G128" i="1"/>
  <c r="I128" i="1"/>
  <c r="J128" i="1"/>
  <c r="K128" i="1"/>
  <c r="A129" i="1"/>
  <c r="C129" i="1"/>
  <c r="D129" i="1"/>
  <c r="E129" i="1"/>
  <c r="F129" i="1"/>
  <c r="G129" i="1"/>
  <c r="I129" i="1"/>
  <c r="J129" i="1"/>
  <c r="K129" i="1"/>
  <c r="A130" i="1"/>
  <c r="C130" i="1"/>
  <c r="D130" i="1"/>
  <c r="E130" i="1"/>
  <c r="F130" i="1"/>
  <c r="G130" i="1"/>
  <c r="I130" i="1"/>
  <c r="J130" i="1"/>
  <c r="K130" i="1"/>
  <c r="A131" i="1"/>
  <c r="C131" i="1"/>
  <c r="D131" i="1"/>
  <c r="E131" i="1"/>
  <c r="F131" i="1"/>
  <c r="G131" i="1"/>
  <c r="I131" i="1"/>
  <c r="J131" i="1"/>
  <c r="K131" i="1"/>
  <c r="A132" i="1"/>
  <c r="C132" i="1"/>
  <c r="D132" i="1"/>
  <c r="E132" i="1"/>
  <c r="F132" i="1"/>
  <c r="G132" i="1"/>
  <c r="I132" i="1"/>
  <c r="J132" i="1"/>
  <c r="K132" i="1"/>
  <c r="A133" i="1"/>
  <c r="C133" i="1"/>
  <c r="D133" i="1"/>
  <c r="E133" i="1"/>
  <c r="F133" i="1"/>
  <c r="G133" i="1"/>
  <c r="I133" i="1"/>
  <c r="J133" i="1"/>
  <c r="K133" i="1"/>
  <c r="A134" i="1"/>
  <c r="C134" i="1"/>
  <c r="D134" i="1"/>
  <c r="E134" i="1"/>
  <c r="F134" i="1"/>
  <c r="G134" i="1"/>
  <c r="I134" i="1"/>
  <c r="J134" i="1"/>
  <c r="K134" i="1"/>
  <c r="A135" i="1"/>
  <c r="C135" i="1"/>
  <c r="D135" i="1"/>
  <c r="E135" i="1"/>
  <c r="F135" i="1"/>
  <c r="G135" i="1"/>
  <c r="I135" i="1"/>
  <c r="J135" i="1"/>
  <c r="K135" i="1"/>
  <c r="A136" i="1"/>
  <c r="C136" i="1"/>
  <c r="D136" i="1"/>
  <c r="E136" i="1"/>
  <c r="F136" i="1"/>
  <c r="G136" i="1"/>
  <c r="I136" i="1"/>
  <c r="J136" i="1"/>
  <c r="K136" i="1"/>
  <c r="A137" i="1"/>
  <c r="C137" i="1"/>
  <c r="D137" i="1"/>
  <c r="E137" i="1"/>
  <c r="F137" i="1"/>
  <c r="G137" i="1"/>
  <c r="I137" i="1"/>
  <c r="J137" i="1"/>
  <c r="K137" i="1"/>
  <c r="A138" i="1"/>
  <c r="C138" i="1"/>
  <c r="D138" i="1"/>
  <c r="E138" i="1"/>
  <c r="F138" i="1"/>
  <c r="G138" i="1"/>
  <c r="I138" i="1"/>
  <c r="J138" i="1"/>
  <c r="K138" i="1"/>
  <c r="A139" i="1"/>
  <c r="C139" i="1"/>
  <c r="D139" i="1"/>
  <c r="E139" i="1"/>
  <c r="F139" i="1"/>
  <c r="G139" i="1"/>
  <c r="I139" i="1"/>
  <c r="J139" i="1"/>
  <c r="K139" i="1"/>
  <c r="A140" i="1"/>
  <c r="C140" i="1"/>
  <c r="D140" i="1"/>
  <c r="E140" i="1"/>
  <c r="F140" i="1"/>
  <c r="G140" i="1"/>
  <c r="I140" i="1"/>
  <c r="J140" i="1"/>
  <c r="K140" i="1"/>
  <c r="A141" i="1"/>
  <c r="C141" i="1"/>
  <c r="D141" i="1"/>
  <c r="E141" i="1"/>
  <c r="F141" i="1"/>
  <c r="G141" i="1"/>
  <c r="I141" i="1"/>
  <c r="J141" i="1"/>
  <c r="K141" i="1"/>
  <c r="A142" i="1"/>
  <c r="C142" i="1"/>
  <c r="D142" i="1"/>
  <c r="E142" i="1"/>
  <c r="F142" i="1"/>
  <c r="G142" i="1"/>
  <c r="I142" i="1"/>
  <c r="J142" i="1"/>
  <c r="K142" i="1"/>
  <c r="A143" i="1"/>
  <c r="C143" i="1"/>
  <c r="D143" i="1"/>
  <c r="E143" i="1"/>
  <c r="F143" i="1"/>
  <c r="G143" i="1"/>
  <c r="I143" i="1"/>
  <c r="J143" i="1"/>
  <c r="K143" i="1"/>
  <c r="A144" i="1"/>
  <c r="C144" i="1"/>
  <c r="D144" i="1"/>
  <c r="E144" i="1"/>
  <c r="F144" i="1"/>
  <c r="G144" i="1"/>
  <c r="I144" i="1"/>
  <c r="J144" i="1"/>
  <c r="K144" i="1"/>
  <c r="A145" i="1"/>
  <c r="C145" i="1"/>
  <c r="D145" i="1"/>
  <c r="E145" i="1"/>
  <c r="F145" i="1"/>
  <c r="G145" i="1"/>
  <c r="I145" i="1"/>
  <c r="J145" i="1"/>
  <c r="K145" i="1"/>
  <c r="A146" i="1"/>
  <c r="C146" i="1"/>
  <c r="D146" i="1"/>
  <c r="E146" i="1"/>
  <c r="F146" i="1"/>
  <c r="G146" i="1"/>
  <c r="I146" i="1"/>
  <c r="J146" i="1"/>
  <c r="K146" i="1"/>
  <c r="A147" i="1"/>
  <c r="C147" i="1"/>
  <c r="D147" i="1"/>
  <c r="E147" i="1"/>
  <c r="F147" i="1"/>
  <c r="G147" i="1"/>
  <c r="I147" i="1"/>
  <c r="J147" i="1"/>
  <c r="K147" i="1"/>
  <c r="A148" i="1"/>
  <c r="C148" i="1"/>
  <c r="D148" i="1"/>
  <c r="E148" i="1"/>
  <c r="F148" i="1"/>
  <c r="G148" i="1"/>
  <c r="I148" i="1"/>
  <c r="J148" i="1"/>
  <c r="K148" i="1"/>
  <c r="A149" i="1"/>
  <c r="C149" i="1"/>
  <c r="D149" i="1"/>
  <c r="E149" i="1"/>
  <c r="F149" i="1"/>
  <c r="G149" i="1"/>
  <c r="I149" i="1"/>
  <c r="J149" i="1"/>
  <c r="K149" i="1"/>
  <c r="A150" i="1"/>
  <c r="C150" i="1"/>
  <c r="D150" i="1"/>
  <c r="E150" i="1"/>
  <c r="F150" i="1"/>
  <c r="G150" i="1"/>
  <c r="I150" i="1"/>
  <c r="J150" i="1"/>
  <c r="K150" i="1"/>
  <c r="A151" i="1"/>
  <c r="C151" i="1"/>
  <c r="D151" i="1"/>
  <c r="E151" i="1"/>
  <c r="F151" i="1"/>
  <c r="G151" i="1"/>
  <c r="I151" i="1"/>
  <c r="J151" i="1"/>
  <c r="K151" i="1"/>
  <c r="A152" i="1"/>
  <c r="C152" i="1"/>
  <c r="D152" i="1"/>
  <c r="E152" i="1"/>
  <c r="F152" i="1"/>
  <c r="G152" i="1"/>
  <c r="I152" i="1"/>
  <c r="J152" i="1"/>
  <c r="K152" i="1"/>
  <c r="A153" i="1"/>
  <c r="C153" i="1"/>
  <c r="D153" i="1"/>
  <c r="E153" i="1"/>
  <c r="F153" i="1"/>
  <c r="G153" i="1"/>
  <c r="I153" i="1"/>
  <c r="J153" i="1"/>
  <c r="K153" i="1"/>
  <c r="A154" i="1"/>
  <c r="C154" i="1"/>
  <c r="D154" i="1"/>
  <c r="E154" i="1"/>
  <c r="F154" i="1"/>
  <c r="G154" i="1"/>
  <c r="I154" i="1"/>
  <c r="J154" i="1"/>
  <c r="K154" i="1"/>
  <c r="A155" i="1"/>
  <c r="C155" i="1"/>
  <c r="D155" i="1"/>
  <c r="E155" i="1"/>
  <c r="F155" i="1"/>
  <c r="G155" i="1"/>
  <c r="I155" i="1"/>
  <c r="J155" i="1"/>
  <c r="K155" i="1"/>
  <c r="A156" i="1"/>
  <c r="C156" i="1"/>
  <c r="D156" i="1"/>
  <c r="E156" i="1"/>
  <c r="F156" i="1"/>
  <c r="G156" i="1"/>
  <c r="I156" i="1"/>
  <c r="J156" i="1"/>
  <c r="K156" i="1"/>
  <c r="A157" i="1"/>
  <c r="C157" i="1"/>
  <c r="D157" i="1"/>
  <c r="E157" i="1"/>
  <c r="F157" i="1"/>
  <c r="G157" i="1"/>
  <c r="I157" i="1"/>
  <c r="J157" i="1"/>
  <c r="K157" i="1"/>
  <c r="A158" i="1"/>
  <c r="C158" i="1"/>
  <c r="D158" i="1"/>
  <c r="E158" i="1"/>
  <c r="F158" i="1"/>
  <c r="G158" i="1"/>
  <c r="I158" i="1"/>
  <c r="J158" i="1"/>
  <c r="K158" i="1"/>
  <c r="A159" i="1"/>
  <c r="C159" i="1"/>
  <c r="D159" i="1"/>
  <c r="E159" i="1"/>
  <c r="F159" i="1"/>
  <c r="G159" i="1"/>
  <c r="I159" i="1"/>
  <c r="J159" i="1"/>
  <c r="K159" i="1"/>
  <c r="A160" i="1"/>
  <c r="C160" i="1"/>
  <c r="D160" i="1"/>
  <c r="E160" i="1"/>
  <c r="F160" i="1"/>
  <c r="G160" i="1"/>
  <c r="I160" i="1"/>
  <c r="J160" i="1"/>
  <c r="K160" i="1"/>
  <c r="A161" i="1"/>
  <c r="C161" i="1"/>
  <c r="D161" i="1"/>
  <c r="E161" i="1"/>
  <c r="F161" i="1"/>
  <c r="G161" i="1"/>
  <c r="I161" i="1"/>
  <c r="J161" i="1"/>
  <c r="K161" i="1"/>
  <c r="A162" i="1"/>
  <c r="C162" i="1"/>
  <c r="D162" i="1"/>
  <c r="E162" i="1"/>
  <c r="F162" i="1"/>
  <c r="G162" i="1"/>
  <c r="I162" i="1"/>
  <c r="J162" i="1"/>
  <c r="K162" i="1"/>
  <c r="A163" i="1"/>
  <c r="C163" i="1"/>
  <c r="D163" i="1"/>
  <c r="E163" i="1"/>
  <c r="F163" i="1"/>
  <c r="G163" i="1"/>
  <c r="I163" i="1"/>
  <c r="J163" i="1"/>
  <c r="K163" i="1"/>
  <c r="A164" i="1"/>
  <c r="C164" i="1"/>
  <c r="D164" i="1"/>
  <c r="E164" i="1"/>
  <c r="F164" i="1"/>
  <c r="G164" i="1"/>
  <c r="I164" i="1"/>
  <c r="J164" i="1"/>
  <c r="K164" i="1"/>
  <c r="A165" i="1"/>
  <c r="C165" i="1"/>
  <c r="D165" i="1"/>
  <c r="E165" i="1"/>
  <c r="F165" i="1"/>
  <c r="G165" i="1"/>
  <c r="I165" i="1"/>
  <c r="J165" i="1"/>
  <c r="K165" i="1"/>
  <c r="A166" i="1"/>
  <c r="C166" i="1"/>
  <c r="D166" i="1"/>
  <c r="E166" i="1"/>
  <c r="F166" i="1"/>
  <c r="G166" i="1"/>
  <c r="I166" i="1"/>
  <c r="J166" i="1"/>
  <c r="K166" i="1"/>
  <c r="A167" i="1"/>
  <c r="C167" i="1"/>
  <c r="D167" i="1"/>
  <c r="E167" i="1"/>
  <c r="F167" i="1"/>
  <c r="G167" i="1"/>
  <c r="I167" i="1"/>
  <c r="J167" i="1"/>
  <c r="K167" i="1"/>
  <c r="A168" i="1"/>
  <c r="C168" i="1"/>
  <c r="D168" i="1"/>
  <c r="E168" i="1"/>
  <c r="F168" i="1"/>
  <c r="G168" i="1"/>
  <c r="I168" i="1"/>
  <c r="J168" i="1"/>
  <c r="K168" i="1"/>
  <c r="A169" i="1"/>
  <c r="C169" i="1"/>
  <c r="D169" i="1"/>
  <c r="E169" i="1"/>
  <c r="F169" i="1"/>
  <c r="G169" i="1"/>
  <c r="I169" i="1"/>
  <c r="J169" i="1"/>
  <c r="K169" i="1"/>
  <c r="A170" i="1"/>
  <c r="C170" i="1"/>
  <c r="D170" i="1"/>
  <c r="E170" i="1"/>
  <c r="F170" i="1"/>
  <c r="G170" i="1"/>
  <c r="I170" i="1"/>
  <c r="J170" i="1"/>
  <c r="K170" i="1"/>
  <c r="A171" i="1"/>
  <c r="C171" i="1"/>
  <c r="D171" i="1"/>
  <c r="E171" i="1"/>
  <c r="F171" i="1"/>
  <c r="G171" i="1"/>
  <c r="I171" i="1"/>
  <c r="J171" i="1"/>
  <c r="K171" i="1"/>
  <c r="A172" i="1"/>
  <c r="C172" i="1"/>
  <c r="D172" i="1"/>
  <c r="E172" i="1"/>
  <c r="F172" i="1"/>
  <c r="G172" i="1"/>
  <c r="I172" i="1"/>
  <c r="J172" i="1"/>
  <c r="K172" i="1"/>
  <c r="A173" i="1"/>
  <c r="C173" i="1"/>
  <c r="D173" i="1"/>
  <c r="E173" i="1"/>
  <c r="F173" i="1"/>
  <c r="G173" i="1"/>
  <c r="I173" i="1"/>
  <c r="J173" i="1"/>
  <c r="K173" i="1"/>
  <c r="A174" i="1"/>
  <c r="C174" i="1"/>
  <c r="D174" i="1"/>
  <c r="E174" i="1"/>
  <c r="F174" i="1"/>
  <c r="G174" i="1"/>
  <c r="I174" i="1"/>
  <c r="J174" i="1"/>
  <c r="K174" i="1"/>
  <c r="A175" i="1"/>
  <c r="C175" i="1"/>
  <c r="D175" i="1"/>
  <c r="E175" i="1"/>
  <c r="F175" i="1"/>
  <c r="G175" i="1"/>
  <c r="I175" i="1"/>
  <c r="J175" i="1"/>
  <c r="K175" i="1"/>
  <c r="A176" i="1"/>
  <c r="C176" i="1"/>
  <c r="D176" i="1"/>
  <c r="E176" i="1"/>
  <c r="F176" i="1"/>
  <c r="G176" i="1"/>
  <c r="I176" i="1"/>
  <c r="J176" i="1"/>
  <c r="K176" i="1"/>
  <c r="A177" i="1"/>
  <c r="C177" i="1"/>
  <c r="D177" i="1"/>
  <c r="E177" i="1"/>
  <c r="F177" i="1"/>
  <c r="G177" i="1"/>
  <c r="I177" i="1"/>
  <c r="J177" i="1"/>
  <c r="K177" i="1"/>
  <c r="A178" i="1"/>
  <c r="C178" i="1"/>
  <c r="D178" i="1"/>
  <c r="E178" i="1"/>
  <c r="F178" i="1"/>
  <c r="G178" i="1"/>
  <c r="I178" i="1"/>
  <c r="J178" i="1"/>
  <c r="K178" i="1"/>
  <c r="A179" i="1"/>
  <c r="C179" i="1"/>
  <c r="D179" i="1"/>
  <c r="E179" i="1"/>
  <c r="F179" i="1"/>
  <c r="G179" i="1"/>
  <c r="I179" i="1"/>
  <c r="J179" i="1"/>
  <c r="K179" i="1"/>
  <c r="A180" i="1"/>
  <c r="C180" i="1"/>
  <c r="D180" i="1"/>
  <c r="E180" i="1"/>
  <c r="F180" i="1"/>
  <c r="G180" i="1"/>
  <c r="I180" i="1"/>
  <c r="J180" i="1"/>
  <c r="K180" i="1"/>
  <c r="A181" i="1"/>
  <c r="C181" i="1"/>
  <c r="D181" i="1"/>
  <c r="E181" i="1"/>
  <c r="F181" i="1"/>
  <c r="G181" i="1"/>
  <c r="I181" i="1"/>
  <c r="J181" i="1"/>
  <c r="K181" i="1"/>
  <c r="A182" i="1"/>
  <c r="C182" i="1"/>
  <c r="D182" i="1"/>
  <c r="E182" i="1"/>
  <c r="F182" i="1"/>
  <c r="G182" i="1"/>
  <c r="I182" i="1"/>
  <c r="J182" i="1"/>
  <c r="K182" i="1"/>
  <c r="A183" i="1"/>
  <c r="C183" i="1"/>
  <c r="D183" i="1"/>
  <c r="E183" i="1"/>
  <c r="F183" i="1"/>
  <c r="G183" i="1"/>
  <c r="I183" i="1"/>
  <c r="J183" i="1"/>
  <c r="K183" i="1"/>
  <c r="A184" i="1"/>
  <c r="C184" i="1"/>
  <c r="D184" i="1"/>
  <c r="E184" i="1"/>
  <c r="F184" i="1"/>
  <c r="G184" i="1"/>
  <c r="I184" i="1"/>
  <c r="J184" i="1"/>
  <c r="K184" i="1"/>
  <c r="A185" i="1"/>
  <c r="C185" i="1"/>
  <c r="D185" i="1"/>
  <c r="E185" i="1"/>
  <c r="F185" i="1"/>
  <c r="G185" i="1"/>
  <c r="I185" i="1"/>
  <c r="J185" i="1"/>
  <c r="K185" i="1"/>
  <c r="A186" i="1"/>
  <c r="C186" i="1"/>
  <c r="D186" i="1"/>
  <c r="E186" i="1"/>
  <c r="F186" i="1"/>
  <c r="G186" i="1"/>
  <c r="I186" i="1"/>
  <c r="J186" i="1"/>
  <c r="K186" i="1"/>
  <c r="A187" i="1"/>
  <c r="C187" i="1"/>
  <c r="D187" i="1"/>
  <c r="E187" i="1"/>
  <c r="F187" i="1"/>
  <c r="G187" i="1"/>
  <c r="I187" i="1"/>
  <c r="J187" i="1"/>
  <c r="K187" i="1"/>
  <c r="A188" i="1"/>
  <c r="C188" i="1"/>
  <c r="D188" i="1"/>
  <c r="E188" i="1"/>
  <c r="F188" i="1"/>
  <c r="G188" i="1"/>
  <c r="I188" i="1"/>
  <c r="J188" i="1"/>
  <c r="K188" i="1"/>
  <c r="A189" i="1"/>
  <c r="C189" i="1"/>
  <c r="D189" i="1"/>
  <c r="E189" i="1"/>
  <c r="F189" i="1"/>
  <c r="G189" i="1"/>
  <c r="I189" i="1"/>
  <c r="J189" i="1"/>
  <c r="K189" i="1"/>
  <c r="A190" i="1"/>
  <c r="C190" i="1"/>
  <c r="D190" i="1"/>
  <c r="E190" i="1"/>
  <c r="F190" i="1"/>
  <c r="G190" i="1"/>
  <c r="I190" i="1"/>
  <c r="J190" i="1"/>
  <c r="K190" i="1"/>
  <c r="A191" i="1"/>
  <c r="C191" i="1"/>
  <c r="D191" i="1"/>
  <c r="E191" i="1"/>
  <c r="F191" i="1"/>
  <c r="G191" i="1"/>
  <c r="I191" i="1"/>
  <c r="J191" i="1"/>
  <c r="K191" i="1"/>
  <c r="A192" i="1"/>
  <c r="C192" i="1"/>
  <c r="D192" i="1"/>
  <c r="E192" i="1"/>
  <c r="F192" i="1"/>
  <c r="G192" i="1"/>
  <c r="I192" i="1"/>
  <c r="J192" i="1"/>
  <c r="K192" i="1"/>
  <c r="A193" i="1"/>
  <c r="C193" i="1"/>
  <c r="D193" i="1"/>
  <c r="E193" i="1"/>
  <c r="F193" i="1"/>
  <c r="G193" i="1"/>
  <c r="I193" i="1"/>
  <c r="J193" i="1"/>
  <c r="K193" i="1"/>
  <c r="A194" i="1"/>
  <c r="C194" i="1"/>
  <c r="D194" i="1"/>
  <c r="E194" i="1"/>
  <c r="F194" i="1"/>
  <c r="G194" i="1"/>
  <c r="I194" i="1"/>
  <c r="J194" i="1"/>
  <c r="K194" i="1"/>
  <c r="A195" i="1"/>
  <c r="C195" i="1"/>
  <c r="D195" i="1"/>
  <c r="E195" i="1"/>
  <c r="F195" i="1"/>
  <c r="G195" i="1"/>
  <c r="I195" i="1"/>
  <c r="J195" i="1"/>
  <c r="K195" i="1"/>
  <c r="A196" i="1"/>
  <c r="C196" i="1"/>
  <c r="D196" i="1"/>
  <c r="E196" i="1"/>
  <c r="F196" i="1"/>
  <c r="G196" i="1"/>
  <c r="I196" i="1"/>
  <c r="J196" i="1"/>
  <c r="K196" i="1"/>
  <c r="A197" i="1"/>
  <c r="C197" i="1"/>
  <c r="D197" i="1"/>
  <c r="E197" i="1"/>
  <c r="F197" i="1"/>
  <c r="G197" i="1"/>
  <c r="I197" i="1"/>
  <c r="J197" i="1"/>
  <c r="K197" i="1"/>
  <c r="A198" i="1"/>
  <c r="C198" i="1"/>
  <c r="D198" i="1"/>
  <c r="E198" i="1"/>
  <c r="F198" i="1"/>
  <c r="G198" i="1"/>
  <c r="I198" i="1"/>
  <c r="J198" i="1"/>
  <c r="K198" i="1"/>
  <c r="A199" i="1"/>
  <c r="C199" i="1"/>
  <c r="D199" i="1"/>
  <c r="E199" i="1"/>
  <c r="F199" i="1"/>
  <c r="G199" i="1"/>
  <c r="I199" i="1"/>
  <c r="J199" i="1"/>
  <c r="K199" i="1"/>
  <c r="A200" i="1"/>
  <c r="C200" i="1"/>
  <c r="D200" i="1"/>
  <c r="E200" i="1"/>
  <c r="F200" i="1"/>
  <c r="G200" i="1"/>
  <c r="I200" i="1"/>
  <c r="J200" i="1"/>
  <c r="K200" i="1"/>
  <c r="A201" i="1"/>
  <c r="C201" i="1"/>
  <c r="D201" i="1"/>
  <c r="E201" i="1"/>
  <c r="F201" i="1"/>
  <c r="G201" i="1"/>
  <c r="I201" i="1"/>
  <c r="J201" i="1"/>
  <c r="K201" i="1"/>
  <c r="A202" i="1"/>
  <c r="C202" i="1"/>
  <c r="D202" i="1"/>
  <c r="E202" i="1"/>
  <c r="F202" i="1"/>
  <c r="G202" i="1"/>
  <c r="I202" i="1"/>
  <c r="J202" i="1"/>
  <c r="K202" i="1"/>
  <c r="A203" i="1"/>
  <c r="C203" i="1"/>
  <c r="D203" i="1"/>
  <c r="E203" i="1"/>
  <c r="F203" i="1"/>
  <c r="G203" i="1"/>
  <c r="I203" i="1"/>
  <c r="J203" i="1"/>
  <c r="K203" i="1"/>
  <c r="A204" i="1"/>
  <c r="C204" i="1"/>
  <c r="D204" i="1"/>
  <c r="E204" i="1"/>
  <c r="F204" i="1"/>
  <c r="G204" i="1"/>
  <c r="I204" i="1"/>
  <c r="J204" i="1"/>
  <c r="K204" i="1"/>
  <c r="A205" i="1"/>
  <c r="C205" i="1"/>
  <c r="D205" i="1"/>
  <c r="E205" i="1"/>
  <c r="F205" i="1"/>
  <c r="G205" i="1"/>
  <c r="I205" i="1"/>
  <c r="J205" i="1"/>
  <c r="K205" i="1"/>
  <c r="A206" i="1"/>
  <c r="C206" i="1"/>
  <c r="D206" i="1"/>
  <c r="E206" i="1"/>
  <c r="F206" i="1"/>
  <c r="G206" i="1"/>
  <c r="I206" i="1"/>
  <c r="J206" i="1"/>
  <c r="K206" i="1"/>
  <c r="A207" i="1"/>
  <c r="C207" i="1"/>
  <c r="D207" i="1"/>
  <c r="E207" i="1"/>
  <c r="F207" i="1"/>
  <c r="G207" i="1"/>
  <c r="I207" i="1"/>
  <c r="J207" i="1"/>
  <c r="K207" i="1"/>
  <c r="A208" i="1"/>
  <c r="C208" i="1"/>
  <c r="D208" i="1"/>
  <c r="E208" i="1"/>
  <c r="F208" i="1"/>
  <c r="G208" i="1"/>
  <c r="I208" i="1"/>
  <c r="J208" i="1"/>
  <c r="K208" i="1"/>
  <c r="A209" i="1"/>
  <c r="C209" i="1"/>
  <c r="D209" i="1"/>
  <c r="E209" i="1"/>
  <c r="F209" i="1"/>
  <c r="G209" i="1"/>
  <c r="I209" i="1"/>
  <c r="J209" i="1"/>
  <c r="K209" i="1"/>
  <c r="A210" i="1"/>
  <c r="C210" i="1"/>
  <c r="D210" i="1"/>
  <c r="E210" i="1"/>
  <c r="F210" i="1"/>
  <c r="G210" i="1"/>
  <c r="I210" i="1"/>
  <c r="J210" i="1"/>
  <c r="K210" i="1"/>
  <c r="A211" i="1"/>
  <c r="C211" i="1"/>
  <c r="D211" i="1"/>
  <c r="E211" i="1"/>
  <c r="F211" i="1"/>
  <c r="G211" i="1"/>
  <c r="I211" i="1"/>
  <c r="J211" i="1"/>
  <c r="K211" i="1"/>
  <c r="A212" i="1"/>
  <c r="C212" i="1"/>
  <c r="D212" i="1"/>
  <c r="E212" i="1"/>
  <c r="F212" i="1"/>
  <c r="G212" i="1"/>
  <c r="I212" i="1"/>
  <c r="J212" i="1"/>
  <c r="K212" i="1"/>
  <c r="A213" i="1"/>
  <c r="C213" i="1"/>
  <c r="D213" i="1"/>
  <c r="E213" i="1"/>
  <c r="F213" i="1"/>
  <c r="G213" i="1"/>
  <c r="I213" i="1"/>
  <c r="J213" i="1"/>
  <c r="K213" i="1"/>
  <c r="A214" i="1"/>
  <c r="C214" i="1"/>
  <c r="D214" i="1"/>
  <c r="E214" i="1"/>
  <c r="F214" i="1"/>
  <c r="G214" i="1"/>
  <c r="I214" i="1"/>
  <c r="J214" i="1"/>
  <c r="K214" i="1"/>
  <c r="A215" i="1"/>
  <c r="C215" i="1"/>
  <c r="D215" i="1"/>
  <c r="E215" i="1"/>
  <c r="F215" i="1"/>
  <c r="G215" i="1"/>
  <c r="I215" i="1"/>
  <c r="J215" i="1"/>
  <c r="K215" i="1"/>
  <c r="A216" i="1"/>
  <c r="C216" i="1"/>
  <c r="D216" i="1"/>
  <c r="E216" i="1"/>
  <c r="F216" i="1"/>
  <c r="G216" i="1"/>
  <c r="I216" i="1"/>
  <c r="J216" i="1"/>
  <c r="K216" i="1"/>
  <c r="A217" i="1"/>
  <c r="C217" i="1"/>
  <c r="D217" i="1"/>
  <c r="E217" i="1"/>
  <c r="F217" i="1"/>
  <c r="G217" i="1"/>
  <c r="I217" i="1"/>
  <c r="J217" i="1"/>
  <c r="K217" i="1"/>
  <c r="A218" i="1"/>
  <c r="C218" i="1"/>
  <c r="D218" i="1"/>
  <c r="E218" i="1"/>
  <c r="F218" i="1"/>
  <c r="G218" i="1"/>
  <c r="I218" i="1"/>
  <c r="J218" i="1"/>
  <c r="K218" i="1"/>
  <c r="A219" i="1"/>
  <c r="C219" i="1"/>
  <c r="D219" i="1"/>
  <c r="E219" i="1"/>
  <c r="F219" i="1"/>
  <c r="G219" i="1"/>
  <c r="I219" i="1"/>
  <c r="J219" i="1"/>
  <c r="K219" i="1"/>
  <c r="A220" i="1"/>
  <c r="C220" i="1"/>
  <c r="D220" i="1"/>
  <c r="E220" i="1"/>
  <c r="F220" i="1"/>
  <c r="G220" i="1"/>
  <c r="I220" i="1"/>
  <c r="J220" i="1"/>
  <c r="K220" i="1"/>
  <c r="A221" i="1"/>
  <c r="C221" i="1"/>
  <c r="D221" i="1"/>
  <c r="E221" i="1"/>
  <c r="F221" i="1"/>
  <c r="G221" i="1"/>
  <c r="I221" i="1"/>
  <c r="J221" i="1"/>
  <c r="K221" i="1"/>
  <c r="A222" i="1"/>
  <c r="C222" i="1"/>
  <c r="D222" i="1"/>
  <c r="E222" i="1"/>
  <c r="F222" i="1"/>
  <c r="G222" i="1"/>
  <c r="I222" i="1"/>
  <c r="J222" i="1"/>
  <c r="K222" i="1"/>
  <c r="A223" i="1"/>
  <c r="C223" i="1"/>
  <c r="D223" i="1"/>
  <c r="E223" i="1"/>
  <c r="F223" i="1"/>
  <c r="G223" i="1"/>
  <c r="I223" i="1"/>
  <c r="J223" i="1"/>
  <c r="K223" i="1"/>
  <c r="A224" i="1"/>
  <c r="C224" i="1"/>
  <c r="D224" i="1"/>
  <c r="E224" i="1"/>
  <c r="F224" i="1"/>
  <c r="G224" i="1"/>
  <c r="I224" i="1"/>
  <c r="J224" i="1"/>
  <c r="K224" i="1"/>
  <c r="A225" i="1"/>
  <c r="C225" i="1"/>
  <c r="D225" i="1"/>
  <c r="E225" i="1"/>
  <c r="F225" i="1"/>
  <c r="G225" i="1"/>
  <c r="I225" i="1"/>
  <c r="J225" i="1"/>
  <c r="K225" i="1"/>
  <c r="A226" i="1"/>
  <c r="C226" i="1"/>
  <c r="D226" i="1"/>
  <c r="E226" i="1"/>
  <c r="F226" i="1"/>
  <c r="G226" i="1"/>
  <c r="I226" i="1"/>
  <c r="J226" i="1"/>
  <c r="K226" i="1"/>
  <c r="A227" i="1"/>
  <c r="C227" i="1"/>
  <c r="D227" i="1"/>
  <c r="E227" i="1"/>
  <c r="F227" i="1"/>
  <c r="G227" i="1"/>
  <c r="I227" i="1"/>
  <c r="J227" i="1"/>
  <c r="K227" i="1"/>
  <c r="A228" i="1"/>
  <c r="C228" i="1"/>
  <c r="D228" i="1"/>
  <c r="E228" i="1"/>
  <c r="F228" i="1"/>
  <c r="G228" i="1"/>
  <c r="I228" i="1"/>
  <c r="J228" i="1"/>
  <c r="K228" i="1"/>
  <c r="A229" i="1"/>
  <c r="C229" i="1"/>
  <c r="D229" i="1"/>
  <c r="E229" i="1"/>
  <c r="F229" i="1"/>
  <c r="G229" i="1"/>
  <c r="I229" i="1"/>
  <c r="J229" i="1"/>
  <c r="K229" i="1"/>
  <c r="A230" i="1"/>
  <c r="C230" i="1"/>
  <c r="D230" i="1"/>
  <c r="E230" i="1"/>
  <c r="F230" i="1"/>
  <c r="G230" i="1"/>
  <c r="I230" i="1"/>
  <c r="J230" i="1"/>
  <c r="K230" i="1"/>
  <c r="A231" i="1"/>
  <c r="C231" i="1"/>
  <c r="D231" i="1"/>
  <c r="E231" i="1"/>
  <c r="F231" i="1"/>
  <c r="G231" i="1"/>
  <c r="I231" i="1"/>
  <c r="J231" i="1"/>
  <c r="K231" i="1"/>
  <c r="A232" i="1"/>
  <c r="C232" i="1"/>
  <c r="D232" i="1"/>
  <c r="E232" i="1"/>
  <c r="F232" i="1"/>
  <c r="G232" i="1"/>
  <c r="I232" i="1"/>
  <c r="J232" i="1"/>
  <c r="K232" i="1"/>
  <c r="A233" i="1"/>
  <c r="C233" i="1"/>
  <c r="D233" i="1"/>
  <c r="E233" i="1"/>
  <c r="F233" i="1"/>
  <c r="G233" i="1"/>
  <c r="I233" i="1"/>
  <c r="J233" i="1"/>
  <c r="K233" i="1"/>
  <c r="A234" i="1"/>
  <c r="C234" i="1"/>
  <c r="D234" i="1"/>
  <c r="E234" i="1"/>
  <c r="F234" i="1"/>
  <c r="G234" i="1"/>
  <c r="I234" i="1"/>
  <c r="J234" i="1"/>
  <c r="K234" i="1"/>
  <c r="A235" i="1"/>
  <c r="C235" i="1"/>
  <c r="D235" i="1"/>
  <c r="E235" i="1"/>
  <c r="F235" i="1"/>
  <c r="G235" i="1"/>
  <c r="I235" i="1"/>
  <c r="J235" i="1"/>
  <c r="K235" i="1"/>
  <c r="A236" i="1"/>
  <c r="C236" i="1"/>
  <c r="D236" i="1"/>
  <c r="E236" i="1"/>
  <c r="F236" i="1"/>
  <c r="G236" i="1"/>
  <c r="I236" i="1"/>
  <c r="J236" i="1"/>
  <c r="K236" i="1"/>
  <c r="A237" i="1"/>
  <c r="C237" i="1"/>
  <c r="D237" i="1"/>
  <c r="E237" i="1"/>
  <c r="F237" i="1"/>
  <c r="G237" i="1"/>
  <c r="I237" i="1"/>
  <c r="J237" i="1"/>
  <c r="K237" i="1"/>
  <c r="A238" i="1"/>
  <c r="C238" i="1"/>
  <c r="D238" i="1"/>
  <c r="E238" i="1"/>
  <c r="F238" i="1"/>
  <c r="G238" i="1"/>
  <c r="I238" i="1"/>
  <c r="J238" i="1"/>
  <c r="K238" i="1"/>
  <c r="A239" i="1"/>
  <c r="C239" i="1"/>
  <c r="D239" i="1"/>
  <c r="E239" i="1"/>
  <c r="F239" i="1"/>
  <c r="G239" i="1"/>
  <c r="I239" i="1"/>
  <c r="J239" i="1"/>
  <c r="K239" i="1"/>
  <c r="A240" i="1"/>
  <c r="C240" i="1"/>
  <c r="D240" i="1"/>
  <c r="E240" i="1"/>
  <c r="F240" i="1"/>
  <c r="G240" i="1"/>
  <c r="I240" i="1"/>
  <c r="J240" i="1"/>
  <c r="K240" i="1"/>
  <c r="A241" i="1"/>
  <c r="C241" i="1"/>
  <c r="D241" i="1"/>
  <c r="E241" i="1"/>
  <c r="F241" i="1"/>
  <c r="G241" i="1"/>
  <c r="I241" i="1"/>
  <c r="J241" i="1"/>
  <c r="K241" i="1"/>
  <c r="A242" i="1"/>
  <c r="C242" i="1"/>
  <c r="D242" i="1"/>
  <c r="E242" i="1"/>
  <c r="F242" i="1"/>
  <c r="G242" i="1"/>
  <c r="I242" i="1"/>
  <c r="J242" i="1"/>
  <c r="K242" i="1"/>
  <c r="A243" i="1"/>
  <c r="C243" i="1"/>
  <c r="D243" i="1"/>
  <c r="E243" i="1"/>
  <c r="F243" i="1"/>
  <c r="G243" i="1"/>
  <c r="I243" i="1"/>
  <c r="J243" i="1"/>
  <c r="K243" i="1"/>
  <c r="A244" i="1"/>
  <c r="C244" i="1"/>
  <c r="D244" i="1"/>
  <c r="E244" i="1"/>
  <c r="F244" i="1"/>
  <c r="G244" i="1"/>
  <c r="I244" i="1"/>
  <c r="J244" i="1"/>
  <c r="K244" i="1"/>
  <c r="A245" i="1"/>
  <c r="C245" i="1"/>
  <c r="D245" i="1"/>
  <c r="E245" i="1"/>
  <c r="F245" i="1"/>
  <c r="G245" i="1"/>
  <c r="I245" i="1"/>
  <c r="J245" i="1"/>
  <c r="K245" i="1"/>
  <c r="A246" i="1"/>
  <c r="C246" i="1"/>
  <c r="D246" i="1"/>
  <c r="E246" i="1"/>
  <c r="F246" i="1"/>
  <c r="G246" i="1"/>
  <c r="I246" i="1"/>
  <c r="J246" i="1"/>
  <c r="K246" i="1"/>
  <c r="A247" i="1"/>
  <c r="C247" i="1"/>
  <c r="D247" i="1"/>
  <c r="E247" i="1"/>
  <c r="F247" i="1"/>
  <c r="G247" i="1"/>
  <c r="I247" i="1"/>
  <c r="J247" i="1"/>
  <c r="K247" i="1"/>
  <c r="A248" i="1"/>
  <c r="C248" i="1"/>
  <c r="D248" i="1"/>
  <c r="E248" i="1"/>
  <c r="F248" i="1"/>
  <c r="G248" i="1"/>
  <c r="I248" i="1"/>
  <c r="J248" i="1"/>
  <c r="K248" i="1"/>
  <c r="A249" i="1"/>
  <c r="C249" i="1"/>
  <c r="D249" i="1"/>
  <c r="E249" i="1"/>
  <c r="F249" i="1"/>
  <c r="G249" i="1"/>
  <c r="I249" i="1"/>
  <c r="J249" i="1"/>
  <c r="K249" i="1"/>
  <c r="A250" i="1"/>
  <c r="C250" i="1"/>
  <c r="D250" i="1"/>
  <c r="E250" i="1"/>
  <c r="F250" i="1"/>
  <c r="G250" i="1"/>
  <c r="I250" i="1"/>
  <c r="J250" i="1"/>
  <c r="K250" i="1"/>
  <c r="A251" i="1"/>
  <c r="C251" i="1"/>
  <c r="D251" i="1"/>
  <c r="E251" i="1"/>
  <c r="F251" i="1"/>
  <c r="G251" i="1"/>
  <c r="I251" i="1"/>
  <c r="J251" i="1"/>
  <c r="K251" i="1"/>
  <c r="A252" i="1"/>
  <c r="C252" i="1"/>
  <c r="D252" i="1"/>
  <c r="E252" i="1"/>
  <c r="F252" i="1"/>
  <c r="G252" i="1"/>
  <c r="I252" i="1"/>
  <c r="J252" i="1"/>
  <c r="K252" i="1"/>
  <c r="A253" i="1"/>
  <c r="C253" i="1"/>
  <c r="D253" i="1"/>
  <c r="E253" i="1"/>
  <c r="F253" i="1"/>
  <c r="G253" i="1"/>
  <c r="I253" i="1"/>
  <c r="J253" i="1"/>
  <c r="K253" i="1"/>
  <c r="A254" i="1"/>
  <c r="C254" i="1"/>
  <c r="D254" i="1"/>
  <c r="E254" i="1"/>
  <c r="F254" i="1"/>
  <c r="G254" i="1"/>
  <c r="I254" i="1"/>
  <c r="J254" i="1"/>
  <c r="K254" i="1"/>
  <c r="A255" i="1"/>
  <c r="C255" i="1"/>
  <c r="D255" i="1"/>
  <c r="E255" i="1"/>
  <c r="F255" i="1"/>
  <c r="G255" i="1"/>
  <c r="I255" i="1"/>
  <c r="J255" i="1"/>
  <c r="K255" i="1"/>
  <c r="A256" i="1"/>
  <c r="C256" i="1"/>
  <c r="D256" i="1"/>
  <c r="E256" i="1"/>
  <c r="F256" i="1"/>
  <c r="G256" i="1"/>
  <c r="I256" i="1"/>
  <c r="J256" i="1"/>
  <c r="K256" i="1"/>
  <c r="A257" i="1"/>
  <c r="C257" i="1"/>
  <c r="D257" i="1"/>
  <c r="E257" i="1"/>
  <c r="F257" i="1"/>
  <c r="G257" i="1"/>
  <c r="I257" i="1"/>
  <c r="J257" i="1"/>
  <c r="K257" i="1"/>
  <c r="A258" i="1"/>
  <c r="C258" i="1"/>
  <c r="D258" i="1"/>
  <c r="E258" i="1"/>
  <c r="F258" i="1"/>
  <c r="G258" i="1"/>
  <c r="I258" i="1"/>
  <c r="J258" i="1"/>
  <c r="K258" i="1"/>
  <c r="A259" i="1"/>
  <c r="C259" i="1"/>
  <c r="D259" i="1"/>
  <c r="E259" i="1"/>
  <c r="F259" i="1"/>
  <c r="G259" i="1"/>
  <c r="I259" i="1"/>
  <c r="J259" i="1"/>
  <c r="K259" i="1"/>
  <c r="A260" i="1"/>
  <c r="C260" i="1"/>
  <c r="D260" i="1"/>
  <c r="E260" i="1"/>
  <c r="F260" i="1"/>
  <c r="G260" i="1"/>
  <c r="I260" i="1"/>
  <c r="J260" i="1"/>
  <c r="K260" i="1"/>
  <c r="A261" i="1"/>
  <c r="C261" i="1"/>
  <c r="D261" i="1"/>
  <c r="E261" i="1"/>
  <c r="F261" i="1"/>
  <c r="G261" i="1"/>
  <c r="I261" i="1"/>
  <c r="J261" i="1"/>
  <c r="K261" i="1"/>
  <c r="A262" i="1"/>
  <c r="C262" i="1"/>
  <c r="D262" i="1"/>
  <c r="E262" i="1"/>
  <c r="F262" i="1"/>
  <c r="G262" i="1"/>
  <c r="I262" i="1"/>
  <c r="J262" i="1"/>
  <c r="K262" i="1"/>
  <c r="A263" i="1"/>
  <c r="C263" i="1"/>
  <c r="D263" i="1"/>
  <c r="E263" i="1"/>
  <c r="F263" i="1"/>
  <c r="G263" i="1"/>
  <c r="I263" i="1"/>
  <c r="J263" i="1"/>
  <c r="K263" i="1"/>
  <c r="A264" i="1"/>
  <c r="C264" i="1"/>
  <c r="D264" i="1"/>
  <c r="E264" i="1"/>
  <c r="F264" i="1"/>
  <c r="G264" i="1"/>
  <c r="I264" i="1"/>
  <c r="J264" i="1"/>
  <c r="K264" i="1"/>
  <c r="A265" i="1"/>
  <c r="C265" i="1"/>
  <c r="D265" i="1"/>
  <c r="E265" i="1"/>
  <c r="F265" i="1"/>
  <c r="G265" i="1"/>
  <c r="I265" i="1"/>
  <c r="J265" i="1"/>
  <c r="K265" i="1"/>
  <c r="A266" i="1"/>
  <c r="C266" i="1"/>
  <c r="D266" i="1"/>
  <c r="E266" i="1"/>
  <c r="F266" i="1"/>
  <c r="G266" i="1"/>
  <c r="I266" i="1"/>
  <c r="J266" i="1"/>
  <c r="K266" i="1"/>
  <c r="A267" i="1"/>
  <c r="C267" i="1"/>
  <c r="D267" i="1"/>
  <c r="E267" i="1"/>
  <c r="F267" i="1"/>
  <c r="G267" i="1"/>
  <c r="I267" i="1"/>
  <c r="J267" i="1"/>
  <c r="K267" i="1"/>
  <c r="A268" i="1"/>
  <c r="C268" i="1"/>
  <c r="D268" i="1"/>
  <c r="E268" i="1"/>
  <c r="F268" i="1"/>
  <c r="G268" i="1"/>
  <c r="I268" i="1"/>
  <c r="J268" i="1"/>
  <c r="K268" i="1"/>
  <c r="A269" i="1"/>
  <c r="C269" i="1"/>
  <c r="D269" i="1"/>
  <c r="E269" i="1"/>
  <c r="F269" i="1"/>
  <c r="G269" i="1"/>
  <c r="I269" i="1"/>
  <c r="J269" i="1"/>
  <c r="K269" i="1"/>
  <c r="A270" i="1"/>
  <c r="C270" i="1"/>
  <c r="D270" i="1"/>
  <c r="E270" i="1"/>
  <c r="F270" i="1"/>
  <c r="G270" i="1"/>
  <c r="I270" i="1"/>
  <c r="J270" i="1"/>
  <c r="K270" i="1"/>
  <c r="A271" i="1"/>
  <c r="C271" i="1"/>
  <c r="D271" i="1"/>
  <c r="E271" i="1"/>
  <c r="F271" i="1"/>
  <c r="G271" i="1"/>
  <c r="I271" i="1"/>
  <c r="J271" i="1"/>
  <c r="K271" i="1"/>
  <c r="A272" i="1"/>
  <c r="C272" i="1"/>
  <c r="D272" i="1"/>
  <c r="E272" i="1"/>
  <c r="F272" i="1"/>
  <c r="G272" i="1"/>
  <c r="I272" i="1"/>
  <c r="J272" i="1"/>
  <c r="K272" i="1"/>
  <c r="A273" i="1"/>
  <c r="C273" i="1"/>
  <c r="D273" i="1"/>
  <c r="E273" i="1"/>
  <c r="F273" i="1"/>
  <c r="G273" i="1"/>
  <c r="I273" i="1"/>
  <c r="J273" i="1"/>
  <c r="K273" i="1"/>
  <c r="A274" i="1"/>
  <c r="C274" i="1"/>
  <c r="D274" i="1"/>
  <c r="E274" i="1"/>
  <c r="F274" i="1"/>
  <c r="G274" i="1"/>
  <c r="I274" i="1"/>
  <c r="J274" i="1"/>
  <c r="K274" i="1"/>
  <c r="A275" i="1"/>
  <c r="C275" i="1"/>
  <c r="D275" i="1"/>
  <c r="E275" i="1"/>
  <c r="F275" i="1"/>
  <c r="G275" i="1"/>
  <c r="I275" i="1"/>
  <c r="J275" i="1"/>
  <c r="K275" i="1"/>
  <c r="A276" i="1"/>
  <c r="C276" i="1"/>
  <c r="D276" i="1"/>
  <c r="E276" i="1"/>
  <c r="F276" i="1"/>
  <c r="G276" i="1"/>
  <c r="I276" i="1"/>
  <c r="J276" i="1"/>
  <c r="K276" i="1"/>
  <c r="A277" i="1"/>
  <c r="C277" i="1"/>
  <c r="D277" i="1"/>
  <c r="E277" i="1"/>
  <c r="F277" i="1"/>
  <c r="G277" i="1"/>
  <c r="I277" i="1"/>
  <c r="J277" i="1"/>
  <c r="K277" i="1"/>
  <c r="A278" i="1"/>
  <c r="C278" i="1"/>
  <c r="D278" i="1"/>
  <c r="E278" i="1"/>
  <c r="F278" i="1"/>
  <c r="G278" i="1"/>
  <c r="I278" i="1"/>
  <c r="J278" i="1"/>
  <c r="K278" i="1"/>
  <c r="A279" i="1"/>
  <c r="C279" i="1"/>
  <c r="D279" i="1"/>
  <c r="E279" i="1"/>
  <c r="F279" i="1"/>
  <c r="G279" i="1"/>
  <c r="I279" i="1"/>
  <c r="J279" i="1"/>
  <c r="K279" i="1"/>
  <c r="A280" i="1"/>
  <c r="C280" i="1"/>
  <c r="D280" i="1"/>
  <c r="E280" i="1"/>
  <c r="F280" i="1"/>
  <c r="G280" i="1"/>
  <c r="I280" i="1"/>
  <c r="J280" i="1"/>
  <c r="K280" i="1"/>
  <c r="A281" i="1"/>
  <c r="C281" i="1"/>
  <c r="D281" i="1"/>
  <c r="E281" i="1"/>
  <c r="F281" i="1"/>
  <c r="G281" i="1"/>
  <c r="I281" i="1"/>
  <c r="J281" i="1"/>
  <c r="K281" i="1"/>
  <c r="A282" i="1"/>
  <c r="C282" i="1"/>
  <c r="D282" i="1"/>
  <c r="E282" i="1"/>
  <c r="F282" i="1"/>
  <c r="G282" i="1"/>
  <c r="I282" i="1"/>
  <c r="J282" i="1"/>
  <c r="K282" i="1"/>
  <c r="A283" i="1"/>
  <c r="C283" i="1"/>
  <c r="D283" i="1"/>
  <c r="E283" i="1"/>
  <c r="F283" i="1"/>
  <c r="G283" i="1"/>
  <c r="I283" i="1"/>
  <c r="J283" i="1"/>
  <c r="K283" i="1"/>
  <c r="A284" i="1"/>
  <c r="C284" i="1"/>
  <c r="D284" i="1"/>
  <c r="E284" i="1"/>
  <c r="F284" i="1"/>
  <c r="G284" i="1"/>
  <c r="I284" i="1"/>
  <c r="J284" i="1"/>
  <c r="K284" i="1"/>
  <c r="A285" i="1"/>
  <c r="C285" i="1"/>
  <c r="D285" i="1"/>
  <c r="E285" i="1"/>
  <c r="F285" i="1"/>
  <c r="G285" i="1"/>
  <c r="I285" i="1"/>
  <c r="J285" i="1"/>
  <c r="K285" i="1"/>
  <c r="A286" i="1"/>
  <c r="C286" i="1"/>
  <c r="D286" i="1"/>
  <c r="E286" i="1"/>
  <c r="F286" i="1"/>
  <c r="G286" i="1"/>
  <c r="I286" i="1"/>
  <c r="J286" i="1"/>
  <c r="K286" i="1"/>
  <c r="A287" i="1"/>
  <c r="C287" i="1"/>
  <c r="D287" i="1"/>
  <c r="E287" i="1"/>
  <c r="F287" i="1"/>
  <c r="G287" i="1"/>
  <c r="I287" i="1"/>
  <c r="J287" i="1"/>
  <c r="K287" i="1"/>
  <c r="A288" i="1"/>
  <c r="C288" i="1"/>
  <c r="D288" i="1"/>
  <c r="E288" i="1"/>
  <c r="F288" i="1"/>
  <c r="G288" i="1"/>
  <c r="I288" i="1"/>
  <c r="J288" i="1"/>
  <c r="K288" i="1"/>
  <c r="A289" i="1"/>
  <c r="C289" i="1"/>
  <c r="D289" i="1"/>
  <c r="E289" i="1"/>
  <c r="F289" i="1"/>
  <c r="G289" i="1"/>
  <c r="I289" i="1"/>
  <c r="J289" i="1"/>
  <c r="K289" i="1"/>
  <c r="A290" i="1"/>
  <c r="C290" i="1"/>
  <c r="D290" i="1"/>
  <c r="E290" i="1"/>
  <c r="F290" i="1"/>
  <c r="G290" i="1"/>
  <c r="I290" i="1"/>
  <c r="J290" i="1"/>
  <c r="K290" i="1"/>
  <c r="A291" i="1"/>
  <c r="C291" i="1"/>
  <c r="D291" i="1"/>
  <c r="E291" i="1"/>
  <c r="F291" i="1"/>
  <c r="G291" i="1"/>
  <c r="I291" i="1"/>
  <c r="J291" i="1"/>
  <c r="K291" i="1"/>
  <c r="A292" i="1"/>
  <c r="C292" i="1"/>
  <c r="D292" i="1"/>
  <c r="E292" i="1"/>
  <c r="F292" i="1"/>
  <c r="G292" i="1"/>
  <c r="I292" i="1"/>
  <c r="J292" i="1"/>
  <c r="K292" i="1"/>
  <c r="A293" i="1"/>
  <c r="C293" i="1"/>
  <c r="D293" i="1"/>
  <c r="E293" i="1"/>
  <c r="F293" i="1"/>
  <c r="G293" i="1"/>
  <c r="I293" i="1"/>
  <c r="J293" i="1"/>
  <c r="K293" i="1"/>
  <c r="A294" i="1"/>
  <c r="C294" i="1"/>
  <c r="D294" i="1"/>
  <c r="E294" i="1"/>
  <c r="F294" i="1"/>
  <c r="G294" i="1"/>
  <c r="I294" i="1"/>
  <c r="J294" i="1"/>
  <c r="K294" i="1"/>
  <c r="A295" i="1"/>
  <c r="C295" i="1"/>
  <c r="D295" i="1"/>
  <c r="E295" i="1"/>
  <c r="F295" i="1"/>
  <c r="G295" i="1"/>
  <c r="I295" i="1"/>
  <c r="J295" i="1"/>
  <c r="K295" i="1"/>
  <c r="A296" i="1"/>
  <c r="C296" i="1"/>
  <c r="D296" i="1"/>
  <c r="E296" i="1"/>
  <c r="F296" i="1"/>
  <c r="G296" i="1"/>
  <c r="I296" i="1"/>
  <c r="J296" i="1"/>
  <c r="K296" i="1"/>
  <c r="A297" i="1"/>
  <c r="C297" i="1"/>
  <c r="D297" i="1"/>
  <c r="E297" i="1"/>
  <c r="F297" i="1"/>
  <c r="G297" i="1"/>
  <c r="I297" i="1"/>
  <c r="J297" i="1"/>
  <c r="K297" i="1"/>
  <c r="A298" i="1"/>
  <c r="C298" i="1"/>
  <c r="D298" i="1"/>
  <c r="E298" i="1"/>
  <c r="F298" i="1"/>
  <c r="G298" i="1"/>
  <c r="I298" i="1"/>
  <c r="J298" i="1"/>
  <c r="K298" i="1"/>
  <c r="A299" i="1"/>
  <c r="C299" i="1"/>
  <c r="D299" i="1"/>
  <c r="E299" i="1"/>
  <c r="F299" i="1"/>
  <c r="G299" i="1"/>
  <c r="I299" i="1"/>
  <c r="J299" i="1"/>
  <c r="K299" i="1"/>
  <c r="A300" i="1"/>
  <c r="C300" i="1"/>
  <c r="D300" i="1"/>
  <c r="E300" i="1"/>
  <c r="F300" i="1"/>
  <c r="G300" i="1"/>
  <c r="I300" i="1"/>
  <c r="J300" i="1"/>
  <c r="K300" i="1"/>
  <c r="A301" i="1"/>
  <c r="C301" i="1"/>
  <c r="D301" i="1"/>
  <c r="E301" i="1"/>
  <c r="F301" i="1"/>
  <c r="G301" i="1"/>
  <c r="I301" i="1"/>
  <c r="J301" i="1"/>
  <c r="K301" i="1"/>
  <c r="A302" i="1"/>
  <c r="C302" i="1"/>
  <c r="D302" i="1"/>
  <c r="E302" i="1"/>
  <c r="F302" i="1"/>
  <c r="G302" i="1"/>
  <c r="I302" i="1"/>
  <c r="J302" i="1"/>
  <c r="K302" i="1"/>
  <c r="A303" i="1"/>
  <c r="C303" i="1"/>
  <c r="D303" i="1"/>
  <c r="E303" i="1"/>
  <c r="F303" i="1"/>
  <c r="G303" i="1"/>
  <c r="I303" i="1"/>
  <c r="J303" i="1"/>
  <c r="K303" i="1"/>
  <c r="A304" i="1"/>
  <c r="C304" i="1"/>
  <c r="D304" i="1"/>
  <c r="E304" i="1"/>
  <c r="F304" i="1"/>
  <c r="G304" i="1"/>
  <c r="I304" i="1"/>
  <c r="J304" i="1"/>
  <c r="K304" i="1"/>
  <c r="A305" i="1"/>
  <c r="C305" i="1"/>
  <c r="D305" i="1"/>
  <c r="E305" i="1"/>
  <c r="F305" i="1"/>
  <c r="G305" i="1"/>
  <c r="I305" i="1"/>
  <c r="J305" i="1"/>
  <c r="K305" i="1"/>
  <c r="A306" i="1"/>
  <c r="C306" i="1"/>
  <c r="D306" i="1"/>
  <c r="E306" i="1"/>
  <c r="F306" i="1"/>
  <c r="G306" i="1"/>
  <c r="I306" i="1"/>
  <c r="J306" i="1"/>
  <c r="K306" i="1"/>
  <c r="A307" i="1"/>
  <c r="C307" i="1"/>
  <c r="D307" i="1"/>
  <c r="E307" i="1"/>
  <c r="F307" i="1"/>
  <c r="G307" i="1"/>
  <c r="I307" i="1"/>
  <c r="J307" i="1"/>
  <c r="K307" i="1"/>
  <c r="A308" i="1"/>
  <c r="C308" i="1"/>
  <c r="D308" i="1"/>
  <c r="E308" i="1"/>
  <c r="F308" i="1"/>
  <c r="G308" i="1"/>
  <c r="I308" i="1"/>
  <c r="J308" i="1"/>
  <c r="K308" i="1"/>
  <c r="A309" i="1"/>
  <c r="C309" i="1"/>
  <c r="D309" i="1"/>
  <c r="E309" i="1"/>
  <c r="F309" i="1"/>
  <c r="G309" i="1"/>
  <c r="I309" i="1"/>
  <c r="J309" i="1"/>
  <c r="K309" i="1"/>
  <c r="A310" i="1"/>
  <c r="C310" i="1"/>
  <c r="D310" i="1"/>
  <c r="E310" i="1"/>
  <c r="F310" i="1"/>
  <c r="G310" i="1"/>
  <c r="I310" i="1"/>
  <c r="J310" i="1"/>
  <c r="K310" i="1"/>
  <c r="A311" i="1"/>
  <c r="C311" i="1"/>
  <c r="D311" i="1"/>
  <c r="E311" i="1"/>
  <c r="F311" i="1"/>
  <c r="G311" i="1"/>
  <c r="I311" i="1"/>
  <c r="J311" i="1"/>
  <c r="K311" i="1"/>
  <c r="A312" i="1"/>
  <c r="C312" i="1"/>
  <c r="D312" i="1"/>
  <c r="E312" i="1"/>
  <c r="F312" i="1"/>
  <c r="G312" i="1"/>
  <c r="I312" i="1"/>
  <c r="J312" i="1"/>
  <c r="K312" i="1"/>
  <c r="A313" i="1"/>
  <c r="C313" i="1"/>
  <c r="D313" i="1"/>
  <c r="E313" i="1"/>
  <c r="F313" i="1"/>
  <c r="G313" i="1"/>
  <c r="I313" i="1"/>
  <c r="J313" i="1"/>
  <c r="K313" i="1"/>
  <c r="A314" i="1"/>
  <c r="C314" i="1"/>
  <c r="D314" i="1"/>
  <c r="E314" i="1"/>
  <c r="F314" i="1"/>
  <c r="G314" i="1"/>
  <c r="I314" i="1"/>
  <c r="J314" i="1"/>
  <c r="K314" i="1"/>
  <c r="A315" i="1"/>
  <c r="C315" i="1"/>
  <c r="D315" i="1"/>
  <c r="E315" i="1"/>
  <c r="F315" i="1"/>
  <c r="G315" i="1"/>
  <c r="I315" i="1"/>
  <c r="J315" i="1"/>
  <c r="K315" i="1"/>
  <c r="A316" i="1"/>
  <c r="C316" i="1"/>
  <c r="D316" i="1"/>
  <c r="E316" i="1"/>
  <c r="F316" i="1"/>
  <c r="G316" i="1"/>
  <c r="I316" i="1"/>
  <c r="J316" i="1"/>
  <c r="K316" i="1"/>
  <c r="A317" i="1"/>
  <c r="C317" i="1"/>
  <c r="D317" i="1"/>
  <c r="E317" i="1"/>
  <c r="F317" i="1"/>
  <c r="G317" i="1"/>
  <c r="I317" i="1"/>
  <c r="J317" i="1"/>
  <c r="K317" i="1"/>
  <c r="A318" i="1"/>
  <c r="C318" i="1"/>
  <c r="D318" i="1"/>
  <c r="E318" i="1"/>
  <c r="F318" i="1"/>
  <c r="G318" i="1"/>
  <c r="I318" i="1"/>
  <c r="J318" i="1"/>
  <c r="K318" i="1"/>
  <c r="A319" i="1"/>
  <c r="C319" i="1"/>
  <c r="D319" i="1"/>
  <c r="E319" i="1"/>
  <c r="F319" i="1"/>
  <c r="G319" i="1"/>
  <c r="I319" i="1"/>
  <c r="J319" i="1"/>
  <c r="K319" i="1"/>
  <c r="A320" i="1"/>
  <c r="C320" i="1"/>
  <c r="D320" i="1"/>
  <c r="E320" i="1"/>
  <c r="F320" i="1"/>
  <c r="G320" i="1"/>
  <c r="I320" i="1"/>
  <c r="J320" i="1"/>
  <c r="K320" i="1"/>
  <c r="A321" i="1"/>
  <c r="C321" i="1"/>
  <c r="D321" i="1"/>
  <c r="E321" i="1"/>
  <c r="F321" i="1"/>
  <c r="G321" i="1"/>
  <c r="I321" i="1"/>
  <c r="J321" i="1"/>
  <c r="K321" i="1"/>
  <c r="A322" i="1"/>
  <c r="C322" i="1"/>
  <c r="D322" i="1"/>
  <c r="E322" i="1"/>
  <c r="F322" i="1"/>
  <c r="G322" i="1"/>
  <c r="I322" i="1"/>
  <c r="J322" i="1"/>
  <c r="K322" i="1"/>
  <c r="A323" i="1"/>
  <c r="C323" i="1"/>
  <c r="D323" i="1"/>
  <c r="E323" i="1"/>
  <c r="F323" i="1"/>
  <c r="G323" i="1"/>
  <c r="I323" i="1"/>
  <c r="J323" i="1"/>
  <c r="K323" i="1"/>
  <c r="A324" i="1"/>
  <c r="C324" i="1"/>
  <c r="D324" i="1"/>
  <c r="E324" i="1"/>
  <c r="F324" i="1"/>
  <c r="G324" i="1"/>
  <c r="I324" i="1"/>
  <c r="J324" i="1"/>
  <c r="K324" i="1"/>
  <c r="A325" i="1"/>
  <c r="C325" i="1"/>
  <c r="D325" i="1"/>
  <c r="E325" i="1"/>
  <c r="F325" i="1"/>
  <c r="G325" i="1"/>
  <c r="I325" i="1"/>
  <c r="J325" i="1"/>
  <c r="K325" i="1"/>
  <c r="A326" i="1"/>
  <c r="C326" i="1"/>
  <c r="D326" i="1"/>
  <c r="E326" i="1"/>
  <c r="F326" i="1"/>
  <c r="G326" i="1"/>
  <c r="I326" i="1"/>
  <c r="J326" i="1"/>
  <c r="K326" i="1"/>
  <c r="A327" i="1"/>
  <c r="C327" i="1"/>
  <c r="D327" i="1"/>
  <c r="E327" i="1"/>
  <c r="F327" i="1"/>
  <c r="G327" i="1"/>
  <c r="I327" i="1"/>
  <c r="J327" i="1"/>
  <c r="K327" i="1"/>
  <c r="A328" i="1"/>
  <c r="C328" i="1"/>
  <c r="D328" i="1"/>
  <c r="E328" i="1"/>
  <c r="F328" i="1"/>
  <c r="G328" i="1"/>
  <c r="I328" i="1"/>
  <c r="J328" i="1"/>
  <c r="K328" i="1"/>
  <c r="A329" i="1"/>
  <c r="C329" i="1"/>
  <c r="D329" i="1"/>
  <c r="E329" i="1"/>
  <c r="F329" i="1"/>
  <c r="G329" i="1"/>
  <c r="I329" i="1"/>
  <c r="J329" i="1"/>
  <c r="K329" i="1"/>
  <c r="A330" i="1"/>
  <c r="C330" i="1"/>
  <c r="D330" i="1"/>
  <c r="E330" i="1"/>
  <c r="F330" i="1"/>
  <c r="G330" i="1"/>
  <c r="I330" i="1"/>
  <c r="J330" i="1"/>
  <c r="K330" i="1"/>
  <c r="A331" i="1"/>
  <c r="C331" i="1"/>
  <c r="D331" i="1"/>
  <c r="E331" i="1"/>
  <c r="F331" i="1"/>
  <c r="G331" i="1"/>
  <c r="I331" i="1"/>
  <c r="J331" i="1"/>
  <c r="K331" i="1"/>
  <c r="A332" i="1"/>
  <c r="C332" i="1"/>
  <c r="D332" i="1"/>
  <c r="E332" i="1"/>
  <c r="F332" i="1"/>
  <c r="G332" i="1"/>
  <c r="I332" i="1"/>
  <c r="J332" i="1"/>
  <c r="K332" i="1"/>
  <c r="A333" i="1"/>
  <c r="C333" i="1"/>
  <c r="D333" i="1"/>
  <c r="E333" i="1"/>
  <c r="F333" i="1"/>
  <c r="G333" i="1"/>
  <c r="I333" i="1"/>
  <c r="J333" i="1"/>
  <c r="K333" i="1"/>
  <c r="A334" i="1"/>
  <c r="C334" i="1"/>
  <c r="D334" i="1"/>
  <c r="E334" i="1"/>
  <c r="F334" i="1"/>
  <c r="G334" i="1"/>
  <c r="I334" i="1"/>
  <c r="J334" i="1"/>
  <c r="K334" i="1"/>
  <c r="A335" i="1"/>
  <c r="C335" i="1"/>
  <c r="D335" i="1"/>
  <c r="E335" i="1"/>
  <c r="F335" i="1"/>
  <c r="G335" i="1"/>
  <c r="I335" i="1"/>
  <c r="J335" i="1"/>
  <c r="K335" i="1"/>
  <c r="A336" i="1"/>
  <c r="C336" i="1"/>
  <c r="D336" i="1"/>
  <c r="E336" i="1"/>
  <c r="F336" i="1"/>
  <c r="G336" i="1"/>
  <c r="I336" i="1"/>
  <c r="J336" i="1"/>
  <c r="K336" i="1"/>
  <c r="A337" i="1"/>
  <c r="C337" i="1"/>
  <c r="D337" i="1"/>
  <c r="E337" i="1"/>
  <c r="F337" i="1"/>
  <c r="G337" i="1"/>
  <c r="I337" i="1"/>
  <c r="J337" i="1"/>
  <c r="K337" i="1"/>
  <c r="A338" i="1"/>
  <c r="C338" i="1"/>
  <c r="D338" i="1"/>
  <c r="E338" i="1"/>
  <c r="F338" i="1"/>
  <c r="G338" i="1"/>
  <c r="I338" i="1"/>
  <c r="J338" i="1"/>
  <c r="K338" i="1"/>
  <c r="A339" i="1"/>
  <c r="C339" i="1"/>
  <c r="D339" i="1"/>
  <c r="E339" i="1"/>
  <c r="F339" i="1"/>
  <c r="G339" i="1"/>
  <c r="I339" i="1"/>
  <c r="J339" i="1"/>
  <c r="K339" i="1"/>
  <c r="A340" i="1"/>
  <c r="C340" i="1"/>
  <c r="D340" i="1"/>
  <c r="E340" i="1"/>
  <c r="F340" i="1"/>
  <c r="G340" i="1"/>
  <c r="I340" i="1"/>
  <c r="J340" i="1"/>
  <c r="K340" i="1"/>
  <c r="A341" i="1"/>
  <c r="C341" i="1"/>
  <c r="D341" i="1"/>
  <c r="E341" i="1"/>
  <c r="F341" i="1"/>
  <c r="G341" i="1"/>
  <c r="I341" i="1"/>
  <c r="J341" i="1"/>
  <c r="K341" i="1"/>
  <c r="A342" i="1"/>
  <c r="C342" i="1"/>
  <c r="D342" i="1"/>
  <c r="E342" i="1"/>
  <c r="F342" i="1"/>
  <c r="G342" i="1"/>
  <c r="I342" i="1"/>
  <c r="J342" i="1"/>
  <c r="K342" i="1"/>
  <c r="A343" i="1"/>
  <c r="C343" i="1"/>
  <c r="D343" i="1"/>
  <c r="E343" i="1"/>
  <c r="F343" i="1"/>
  <c r="G343" i="1"/>
  <c r="I343" i="1"/>
  <c r="J343" i="1"/>
  <c r="K343" i="1"/>
  <c r="A344" i="1"/>
  <c r="C344" i="1"/>
  <c r="D344" i="1"/>
  <c r="E344" i="1"/>
  <c r="F344" i="1"/>
  <c r="G344" i="1"/>
  <c r="I344" i="1"/>
  <c r="J344" i="1"/>
  <c r="K344" i="1"/>
  <c r="A345" i="1"/>
  <c r="C345" i="1"/>
  <c r="D345" i="1"/>
  <c r="E345" i="1"/>
  <c r="F345" i="1"/>
  <c r="G345" i="1"/>
  <c r="I345" i="1"/>
  <c r="J345" i="1"/>
  <c r="K345" i="1"/>
  <c r="A346" i="1"/>
  <c r="C346" i="1"/>
  <c r="D346" i="1"/>
  <c r="E346" i="1"/>
  <c r="F346" i="1"/>
  <c r="G346" i="1"/>
  <c r="I346" i="1"/>
  <c r="J346" i="1"/>
  <c r="K346" i="1"/>
  <c r="A347" i="1"/>
  <c r="C347" i="1"/>
  <c r="D347" i="1"/>
  <c r="E347" i="1"/>
  <c r="F347" i="1"/>
  <c r="G347" i="1"/>
  <c r="I347" i="1"/>
  <c r="J347" i="1"/>
  <c r="K347" i="1"/>
  <c r="A348" i="1"/>
  <c r="C348" i="1"/>
  <c r="D348" i="1"/>
  <c r="E348" i="1"/>
  <c r="F348" i="1"/>
  <c r="G348" i="1"/>
  <c r="I348" i="1"/>
  <c r="J348" i="1"/>
  <c r="K348" i="1"/>
  <c r="A349" i="1"/>
  <c r="C349" i="1"/>
  <c r="D349" i="1"/>
  <c r="E349" i="1"/>
  <c r="F349" i="1"/>
  <c r="G349" i="1"/>
  <c r="I349" i="1"/>
  <c r="J349" i="1"/>
  <c r="K349" i="1"/>
  <c r="A350" i="1"/>
  <c r="C350" i="1"/>
  <c r="D350" i="1"/>
  <c r="E350" i="1"/>
  <c r="F350" i="1"/>
  <c r="G350" i="1"/>
  <c r="I350" i="1"/>
  <c r="J350" i="1"/>
  <c r="K350" i="1"/>
  <c r="A351" i="1"/>
  <c r="C351" i="1"/>
  <c r="D351" i="1"/>
  <c r="E351" i="1"/>
  <c r="F351" i="1"/>
  <c r="G351" i="1"/>
  <c r="I351" i="1"/>
  <c r="J351" i="1"/>
  <c r="K351" i="1"/>
  <c r="A352" i="1"/>
  <c r="C352" i="1"/>
  <c r="D352" i="1"/>
  <c r="E352" i="1"/>
  <c r="F352" i="1"/>
  <c r="G352" i="1"/>
  <c r="I352" i="1"/>
  <c r="J352" i="1"/>
  <c r="K352" i="1"/>
  <c r="A353" i="1"/>
  <c r="C353" i="1"/>
  <c r="D353" i="1"/>
  <c r="E353" i="1"/>
  <c r="F353" i="1"/>
  <c r="G353" i="1"/>
  <c r="I353" i="1"/>
  <c r="J353" i="1"/>
  <c r="K353" i="1"/>
  <c r="A354" i="1"/>
  <c r="C354" i="1"/>
  <c r="D354" i="1"/>
  <c r="E354" i="1"/>
  <c r="F354" i="1"/>
  <c r="G354" i="1"/>
  <c r="I354" i="1"/>
  <c r="J354" i="1"/>
  <c r="K354" i="1"/>
  <c r="A355" i="1"/>
  <c r="C355" i="1"/>
  <c r="D355" i="1"/>
  <c r="E355" i="1"/>
  <c r="F355" i="1"/>
  <c r="G355" i="1"/>
  <c r="I355" i="1"/>
  <c r="J355" i="1"/>
  <c r="K355" i="1"/>
  <c r="A356" i="1"/>
  <c r="C356" i="1"/>
  <c r="D356" i="1"/>
  <c r="E356" i="1"/>
  <c r="F356" i="1"/>
  <c r="G356" i="1"/>
  <c r="I356" i="1"/>
  <c r="J356" i="1"/>
  <c r="K356" i="1"/>
  <c r="A357" i="1"/>
  <c r="C357" i="1"/>
  <c r="D357" i="1"/>
  <c r="E357" i="1"/>
  <c r="F357" i="1"/>
  <c r="G357" i="1"/>
  <c r="I357" i="1"/>
  <c r="J357" i="1"/>
  <c r="K357" i="1"/>
  <c r="A358" i="1"/>
  <c r="C358" i="1"/>
  <c r="D358" i="1"/>
  <c r="E358" i="1"/>
  <c r="F358" i="1"/>
  <c r="G358" i="1"/>
  <c r="I358" i="1"/>
  <c r="J358" i="1"/>
  <c r="K358" i="1"/>
  <c r="A359" i="1"/>
  <c r="C359" i="1"/>
  <c r="D359" i="1"/>
  <c r="E359" i="1"/>
  <c r="F359" i="1"/>
  <c r="G359" i="1"/>
  <c r="I359" i="1"/>
  <c r="J359" i="1"/>
  <c r="K359" i="1"/>
  <c r="A360" i="1"/>
  <c r="C360" i="1"/>
  <c r="D360" i="1"/>
  <c r="E360" i="1"/>
  <c r="F360" i="1"/>
  <c r="G360" i="1"/>
  <c r="I360" i="1"/>
  <c r="J360" i="1"/>
  <c r="K360" i="1"/>
  <c r="A361" i="1"/>
  <c r="C361" i="1"/>
  <c r="D361" i="1"/>
  <c r="E361" i="1"/>
  <c r="F361" i="1"/>
  <c r="G361" i="1"/>
  <c r="I361" i="1"/>
  <c r="J361" i="1"/>
  <c r="K361" i="1"/>
  <c r="A362" i="1"/>
  <c r="C362" i="1"/>
  <c r="D362" i="1"/>
  <c r="E362" i="1"/>
  <c r="F362" i="1"/>
  <c r="G362" i="1"/>
  <c r="I362" i="1"/>
  <c r="J362" i="1"/>
  <c r="K362" i="1"/>
  <c r="A363" i="1"/>
  <c r="C363" i="1"/>
  <c r="D363" i="1"/>
  <c r="E363" i="1"/>
  <c r="F363" i="1"/>
  <c r="G363" i="1"/>
  <c r="I363" i="1"/>
  <c r="J363" i="1"/>
  <c r="K363" i="1"/>
  <c r="A364" i="1"/>
  <c r="C364" i="1"/>
  <c r="D364" i="1"/>
  <c r="E364" i="1"/>
  <c r="F364" i="1"/>
  <c r="G364" i="1"/>
  <c r="I364" i="1"/>
  <c r="J364" i="1"/>
  <c r="K364" i="1"/>
  <c r="A365" i="1"/>
  <c r="C365" i="1"/>
  <c r="D365" i="1"/>
  <c r="E365" i="1"/>
  <c r="F365" i="1"/>
  <c r="G365" i="1"/>
  <c r="I365" i="1"/>
  <c r="J365" i="1"/>
  <c r="K365" i="1"/>
  <c r="A366" i="1"/>
  <c r="C366" i="1"/>
  <c r="D366" i="1"/>
  <c r="E366" i="1"/>
  <c r="F366" i="1"/>
  <c r="G366" i="1"/>
  <c r="I366" i="1"/>
  <c r="J366" i="1"/>
  <c r="K366" i="1"/>
  <c r="A367" i="1"/>
  <c r="C367" i="1"/>
  <c r="D367" i="1"/>
  <c r="E367" i="1"/>
  <c r="F367" i="1"/>
  <c r="G367" i="1"/>
  <c r="I367" i="1"/>
  <c r="J367" i="1"/>
  <c r="K367" i="1"/>
  <c r="A368" i="1"/>
  <c r="C368" i="1"/>
  <c r="D368" i="1"/>
  <c r="E368" i="1"/>
  <c r="F368" i="1"/>
  <c r="G368" i="1"/>
  <c r="I368" i="1"/>
  <c r="J368" i="1"/>
  <c r="K368" i="1"/>
  <c r="A369" i="1"/>
  <c r="C369" i="1"/>
  <c r="D369" i="1"/>
  <c r="E369" i="1"/>
  <c r="F369" i="1"/>
  <c r="G369" i="1"/>
  <c r="I369" i="1"/>
  <c r="J369" i="1"/>
  <c r="K369" i="1"/>
  <c r="A370" i="1"/>
  <c r="C370" i="1"/>
  <c r="D370" i="1"/>
  <c r="E370" i="1"/>
  <c r="F370" i="1"/>
  <c r="G370" i="1"/>
  <c r="I370" i="1"/>
  <c r="J370" i="1"/>
  <c r="K370" i="1"/>
  <c r="A371" i="1"/>
  <c r="C371" i="1"/>
  <c r="D371" i="1"/>
  <c r="E371" i="1"/>
  <c r="F371" i="1"/>
  <c r="G371" i="1"/>
  <c r="I371" i="1"/>
  <c r="J371" i="1"/>
  <c r="K371" i="1"/>
  <c r="A372" i="1"/>
  <c r="C372" i="1"/>
  <c r="D372" i="1"/>
  <c r="E372" i="1"/>
  <c r="F372" i="1"/>
  <c r="G372" i="1"/>
  <c r="I372" i="1"/>
  <c r="J372" i="1"/>
  <c r="K372" i="1"/>
  <c r="A373" i="1"/>
  <c r="C373" i="1"/>
  <c r="D373" i="1"/>
  <c r="E373" i="1"/>
  <c r="F373" i="1"/>
  <c r="G373" i="1"/>
  <c r="I373" i="1"/>
  <c r="J373" i="1"/>
  <c r="K373" i="1"/>
  <c r="A374" i="1"/>
  <c r="C374" i="1"/>
  <c r="D374" i="1"/>
  <c r="E374" i="1"/>
  <c r="F374" i="1"/>
  <c r="G374" i="1"/>
  <c r="I374" i="1"/>
  <c r="J374" i="1"/>
  <c r="K374" i="1"/>
  <c r="A375" i="1"/>
  <c r="C375" i="1"/>
  <c r="D375" i="1"/>
  <c r="E375" i="1"/>
  <c r="F375" i="1"/>
  <c r="G375" i="1"/>
  <c r="I375" i="1"/>
  <c r="J375" i="1"/>
  <c r="K375" i="1"/>
  <c r="A376" i="1"/>
  <c r="C376" i="1"/>
  <c r="D376" i="1"/>
  <c r="E376" i="1"/>
  <c r="F376" i="1"/>
  <c r="G376" i="1"/>
  <c r="I376" i="1"/>
  <c r="J376" i="1"/>
  <c r="K376" i="1"/>
  <c r="A377" i="1"/>
  <c r="C377" i="1"/>
  <c r="D377" i="1"/>
  <c r="E377" i="1"/>
  <c r="F377" i="1"/>
  <c r="G377" i="1"/>
  <c r="I377" i="1"/>
  <c r="J377" i="1"/>
  <c r="K377" i="1"/>
  <c r="A378" i="1"/>
  <c r="C378" i="1"/>
  <c r="D378" i="1"/>
  <c r="E378" i="1"/>
  <c r="F378" i="1"/>
  <c r="G378" i="1"/>
  <c r="I378" i="1"/>
  <c r="J378" i="1"/>
  <c r="K378" i="1"/>
  <c r="A379" i="1"/>
  <c r="C379" i="1"/>
  <c r="D379" i="1"/>
  <c r="E379" i="1"/>
  <c r="F379" i="1"/>
  <c r="G379" i="1"/>
  <c r="I379" i="1"/>
  <c r="J379" i="1"/>
  <c r="K379" i="1"/>
  <c r="A380" i="1"/>
  <c r="C380" i="1"/>
  <c r="D380" i="1"/>
  <c r="E380" i="1"/>
  <c r="F380" i="1"/>
  <c r="G380" i="1"/>
  <c r="I380" i="1"/>
  <c r="J380" i="1"/>
  <c r="K380" i="1"/>
  <c r="A381" i="1"/>
  <c r="C381" i="1"/>
  <c r="D381" i="1"/>
  <c r="E381" i="1"/>
  <c r="F381" i="1"/>
  <c r="G381" i="1"/>
  <c r="I381" i="1"/>
  <c r="J381" i="1"/>
  <c r="K381" i="1"/>
  <c r="A382" i="1"/>
  <c r="C382" i="1"/>
  <c r="D382" i="1"/>
  <c r="E382" i="1"/>
  <c r="F382" i="1"/>
  <c r="G382" i="1"/>
  <c r="I382" i="1"/>
  <c r="J382" i="1"/>
  <c r="K382" i="1"/>
  <c r="A383" i="1"/>
  <c r="C383" i="1"/>
  <c r="D383" i="1"/>
  <c r="E383" i="1"/>
  <c r="F383" i="1"/>
  <c r="G383" i="1"/>
  <c r="I383" i="1"/>
  <c r="J383" i="1"/>
  <c r="K383" i="1"/>
  <c r="A384" i="1"/>
  <c r="C384" i="1"/>
  <c r="D384" i="1"/>
  <c r="E384" i="1"/>
  <c r="F384" i="1"/>
  <c r="G384" i="1"/>
  <c r="I384" i="1"/>
  <c r="J384" i="1"/>
  <c r="K384" i="1"/>
  <c r="A385" i="1"/>
  <c r="C385" i="1"/>
  <c r="D385" i="1"/>
  <c r="E385" i="1"/>
  <c r="F385" i="1"/>
  <c r="G385" i="1"/>
  <c r="I385" i="1"/>
  <c r="J385" i="1"/>
  <c r="K385" i="1"/>
  <c r="A386" i="1"/>
  <c r="C386" i="1"/>
  <c r="D386" i="1"/>
  <c r="E386" i="1"/>
  <c r="F386" i="1"/>
  <c r="G386" i="1"/>
  <c r="I386" i="1"/>
  <c r="J386" i="1"/>
  <c r="K386" i="1"/>
  <c r="A387" i="1"/>
  <c r="C387" i="1"/>
  <c r="D387" i="1"/>
  <c r="E387" i="1"/>
  <c r="F387" i="1"/>
  <c r="G387" i="1"/>
  <c r="I387" i="1"/>
  <c r="J387" i="1"/>
  <c r="K387" i="1"/>
  <c r="A388" i="1"/>
  <c r="C388" i="1"/>
  <c r="D388" i="1"/>
  <c r="E388" i="1"/>
  <c r="F388" i="1"/>
  <c r="G388" i="1"/>
  <c r="I388" i="1"/>
  <c r="J388" i="1"/>
  <c r="K388" i="1"/>
  <c r="A389" i="1"/>
  <c r="C389" i="1"/>
  <c r="D389" i="1"/>
  <c r="E389" i="1"/>
  <c r="F389" i="1"/>
  <c r="G389" i="1"/>
  <c r="I389" i="1"/>
  <c r="J389" i="1"/>
  <c r="K389" i="1"/>
  <c r="A390" i="1"/>
  <c r="C390" i="1"/>
  <c r="D390" i="1"/>
  <c r="E390" i="1"/>
  <c r="F390" i="1"/>
  <c r="G390" i="1"/>
  <c r="I390" i="1"/>
  <c r="J390" i="1"/>
  <c r="K390" i="1"/>
  <c r="A391" i="1"/>
  <c r="C391" i="1"/>
  <c r="D391" i="1"/>
  <c r="E391" i="1"/>
  <c r="F391" i="1"/>
  <c r="G391" i="1"/>
  <c r="I391" i="1"/>
  <c r="J391" i="1"/>
  <c r="K391" i="1"/>
  <c r="A392" i="1"/>
  <c r="C392" i="1"/>
  <c r="D392" i="1"/>
  <c r="E392" i="1"/>
  <c r="F392" i="1"/>
  <c r="G392" i="1"/>
  <c r="I392" i="1"/>
  <c r="J392" i="1"/>
  <c r="K392" i="1"/>
  <c r="A393" i="1"/>
  <c r="C393" i="1"/>
  <c r="D393" i="1"/>
  <c r="E393" i="1"/>
  <c r="F393" i="1"/>
  <c r="G393" i="1"/>
  <c r="I393" i="1"/>
  <c r="J393" i="1"/>
  <c r="K393" i="1"/>
  <c r="A394" i="1"/>
  <c r="C394" i="1"/>
  <c r="D394" i="1"/>
  <c r="E394" i="1"/>
  <c r="F394" i="1"/>
  <c r="G394" i="1"/>
  <c r="I394" i="1"/>
  <c r="J394" i="1"/>
  <c r="K394" i="1"/>
  <c r="A395" i="1"/>
  <c r="C395" i="1"/>
  <c r="D395" i="1"/>
  <c r="E395" i="1"/>
  <c r="F395" i="1"/>
  <c r="G395" i="1"/>
  <c r="I395" i="1"/>
  <c r="J395" i="1"/>
  <c r="K395" i="1"/>
  <c r="A396" i="1"/>
  <c r="C396" i="1"/>
  <c r="D396" i="1"/>
  <c r="E396" i="1"/>
  <c r="F396" i="1"/>
  <c r="G396" i="1"/>
  <c r="I396" i="1"/>
  <c r="J396" i="1"/>
  <c r="K396" i="1"/>
  <c r="A397" i="1"/>
  <c r="C397" i="1"/>
  <c r="D397" i="1"/>
  <c r="E397" i="1"/>
  <c r="F397" i="1"/>
  <c r="G397" i="1"/>
  <c r="I397" i="1"/>
  <c r="J397" i="1"/>
  <c r="K397" i="1"/>
  <c r="A398" i="1"/>
  <c r="C398" i="1"/>
  <c r="D398" i="1"/>
  <c r="E398" i="1"/>
  <c r="F398" i="1"/>
  <c r="G398" i="1"/>
  <c r="I398" i="1"/>
  <c r="J398" i="1"/>
  <c r="K398" i="1"/>
  <c r="A399" i="1"/>
  <c r="C399" i="1"/>
  <c r="D399" i="1"/>
  <c r="E399" i="1"/>
  <c r="F399" i="1"/>
  <c r="G399" i="1"/>
  <c r="I399" i="1"/>
  <c r="J399" i="1"/>
  <c r="K399" i="1"/>
  <c r="A400" i="1"/>
  <c r="C400" i="1"/>
  <c r="D400" i="1"/>
  <c r="E400" i="1"/>
  <c r="F400" i="1"/>
  <c r="G400" i="1"/>
  <c r="I400" i="1"/>
  <c r="J400" i="1"/>
  <c r="K400" i="1"/>
  <c r="A401" i="1"/>
  <c r="C401" i="1"/>
  <c r="D401" i="1"/>
  <c r="E401" i="1"/>
  <c r="F401" i="1"/>
  <c r="G401" i="1"/>
  <c r="I401" i="1"/>
  <c r="J401" i="1"/>
  <c r="K401" i="1"/>
  <c r="A402" i="1"/>
  <c r="C402" i="1"/>
  <c r="D402" i="1"/>
  <c r="E402" i="1"/>
  <c r="F402" i="1"/>
  <c r="G402" i="1"/>
  <c r="I402" i="1"/>
  <c r="J402" i="1"/>
  <c r="K402" i="1"/>
  <c r="A403" i="1"/>
  <c r="C403" i="1"/>
  <c r="D403" i="1"/>
  <c r="E403" i="1"/>
  <c r="F403" i="1"/>
  <c r="G403" i="1"/>
  <c r="I403" i="1"/>
  <c r="J403" i="1"/>
  <c r="K403" i="1"/>
  <c r="A404" i="1"/>
  <c r="C404" i="1"/>
  <c r="D404" i="1"/>
  <c r="E404" i="1"/>
  <c r="F404" i="1"/>
  <c r="G404" i="1"/>
  <c r="I404" i="1"/>
  <c r="J404" i="1"/>
  <c r="K404" i="1"/>
  <c r="A405" i="1"/>
  <c r="C405" i="1"/>
  <c r="D405" i="1"/>
  <c r="E405" i="1"/>
  <c r="F405" i="1"/>
  <c r="G405" i="1"/>
  <c r="I405" i="1"/>
  <c r="J405" i="1"/>
  <c r="K405" i="1"/>
  <c r="A406" i="1"/>
  <c r="C406" i="1"/>
  <c r="D406" i="1"/>
  <c r="E406" i="1"/>
  <c r="F406" i="1"/>
  <c r="G406" i="1"/>
  <c r="I406" i="1"/>
  <c r="J406" i="1"/>
  <c r="K406" i="1"/>
  <c r="A407" i="1"/>
  <c r="C407" i="1"/>
  <c r="D407" i="1"/>
  <c r="E407" i="1"/>
  <c r="F407" i="1"/>
  <c r="G407" i="1"/>
  <c r="I407" i="1"/>
  <c r="J407" i="1"/>
  <c r="K407" i="1"/>
  <c r="A408" i="1"/>
  <c r="C408" i="1"/>
  <c r="D408" i="1"/>
  <c r="E408" i="1"/>
  <c r="F408" i="1"/>
  <c r="G408" i="1"/>
  <c r="I408" i="1"/>
  <c r="J408" i="1"/>
  <c r="K408" i="1"/>
  <c r="A409" i="1"/>
  <c r="C409" i="1"/>
  <c r="D409" i="1"/>
  <c r="E409" i="1"/>
  <c r="F409" i="1"/>
  <c r="G409" i="1"/>
  <c r="I409" i="1"/>
  <c r="J409" i="1"/>
  <c r="K409" i="1"/>
  <c r="A410" i="1"/>
  <c r="C410" i="1"/>
  <c r="D410" i="1"/>
  <c r="E410" i="1"/>
  <c r="F410" i="1"/>
  <c r="G410" i="1"/>
  <c r="I410" i="1"/>
  <c r="J410" i="1"/>
  <c r="K410" i="1"/>
  <c r="A411" i="1"/>
  <c r="C411" i="1"/>
  <c r="D411" i="1"/>
  <c r="E411" i="1"/>
  <c r="F411" i="1"/>
  <c r="G411" i="1"/>
  <c r="I411" i="1"/>
  <c r="J411" i="1"/>
  <c r="K411" i="1"/>
  <c r="A412" i="1"/>
  <c r="C412" i="1"/>
  <c r="D412" i="1"/>
  <c r="E412" i="1"/>
  <c r="F412" i="1"/>
  <c r="G412" i="1"/>
  <c r="I412" i="1"/>
  <c r="J412" i="1"/>
  <c r="K412" i="1"/>
  <c r="A413" i="1"/>
  <c r="C413" i="1"/>
  <c r="D413" i="1"/>
  <c r="E413" i="1"/>
  <c r="F413" i="1"/>
  <c r="G413" i="1"/>
  <c r="I413" i="1"/>
  <c r="J413" i="1"/>
  <c r="K413" i="1"/>
  <c r="A414" i="1"/>
  <c r="C414" i="1"/>
  <c r="D414" i="1"/>
  <c r="E414" i="1"/>
  <c r="F414" i="1"/>
  <c r="G414" i="1"/>
  <c r="I414" i="1"/>
  <c r="J414" i="1"/>
  <c r="K414" i="1"/>
  <c r="A415" i="1"/>
  <c r="C415" i="1"/>
  <c r="D415" i="1"/>
  <c r="E415" i="1"/>
  <c r="F415" i="1"/>
  <c r="G415" i="1"/>
  <c r="I415" i="1"/>
  <c r="J415" i="1"/>
  <c r="K415" i="1"/>
  <c r="A416" i="1"/>
  <c r="C416" i="1"/>
  <c r="D416" i="1"/>
  <c r="E416" i="1"/>
  <c r="F416" i="1"/>
  <c r="G416" i="1"/>
  <c r="I416" i="1"/>
  <c r="J416" i="1"/>
  <c r="K416" i="1"/>
  <c r="A417" i="1"/>
  <c r="C417" i="1"/>
  <c r="D417" i="1"/>
  <c r="E417" i="1"/>
  <c r="F417" i="1"/>
  <c r="G417" i="1"/>
  <c r="I417" i="1"/>
  <c r="J417" i="1"/>
  <c r="K417" i="1"/>
  <c r="A418" i="1"/>
  <c r="C418" i="1"/>
  <c r="D418" i="1"/>
  <c r="E418" i="1"/>
  <c r="F418" i="1"/>
  <c r="G418" i="1"/>
  <c r="I418" i="1"/>
  <c r="J418" i="1"/>
  <c r="K418" i="1"/>
  <c r="A419" i="1"/>
  <c r="C419" i="1"/>
  <c r="D419" i="1"/>
  <c r="E419" i="1"/>
  <c r="F419" i="1"/>
  <c r="G419" i="1"/>
  <c r="I419" i="1"/>
  <c r="J419" i="1"/>
  <c r="K419" i="1"/>
  <c r="A420" i="1"/>
  <c r="C420" i="1"/>
  <c r="D420" i="1"/>
  <c r="E420" i="1"/>
  <c r="F420" i="1"/>
  <c r="G420" i="1"/>
  <c r="I420" i="1"/>
  <c r="J420" i="1"/>
  <c r="K420" i="1"/>
  <c r="A421" i="1"/>
  <c r="C421" i="1"/>
  <c r="D421" i="1"/>
  <c r="E421" i="1"/>
  <c r="F421" i="1"/>
  <c r="G421" i="1"/>
  <c r="I421" i="1"/>
  <c r="J421" i="1"/>
  <c r="K421" i="1"/>
  <c r="A422" i="1"/>
  <c r="C422" i="1"/>
  <c r="D422" i="1"/>
  <c r="E422" i="1"/>
  <c r="F422" i="1"/>
  <c r="G422" i="1"/>
  <c r="I422" i="1"/>
  <c r="J422" i="1"/>
  <c r="K422" i="1"/>
  <c r="A423" i="1"/>
  <c r="C423" i="1"/>
  <c r="D423" i="1"/>
  <c r="E423" i="1"/>
  <c r="F423" i="1"/>
  <c r="G423" i="1"/>
  <c r="I423" i="1"/>
  <c r="J423" i="1"/>
  <c r="K423" i="1"/>
  <c r="A424" i="1"/>
  <c r="C424" i="1"/>
  <c r="D424" i="1"/>
  <c r="E424" i="1"/>
  <c r="F424" i="1"/>
  <c r="G424" i="1"/>
  <c r="I424" i="1"/>
  <c r="J424" i="1"/>
  <c r="K424" i="1"/>
  <c r="A425" i="1"/>
  <c r="C425" i="1"/>
  <c r="D425" i="1"/>
  <c r="E425" i="1"/>
  <c r="F425" i="1"/>
  <c r="G425" i="1"/>
  <c r="I425" i="1"/>
  <c r="J425" i="1"/>
  <c r="K425" i="1"/>
  <c r="A426" i="1"/>
  <c r="C426" i="1"/>
  <c r="D426" i="1"/>
  <c r="E426" i="1"/>
  <c r="F426" i="1"/>
  <c r="G426" i="1"/>
  <c r="I426" i="1"/>
  <c r="J426" i="1"/>
  <c r="K426" i="1"/>
  <c r="A427" i="1"/>
  <c r="C427" i="1"/>
  <c r="D427" i="1"/>
  <c r="E427" i="1"/>
  <c r="F427" i="1"/>
  <c r="G427" i="1"/>
  <c r="I427" i="1"/>
  <c r="J427" i="1"/>
  <c r="K427" i="1"/>
  <c r="A428" i="1"/>
  <c r="C428" i="1"/>
  <c r="D428" i="1"/>
  <c r="E428" i="1"/>
  <c r="F428" i="1"/>
  <c r="G428" i="1"/>
  <c r="I428" i="1"/>
  <c r="J428" i="1"/>
  <c r="K428" i="1"/>
  <c r="A429" i="1"/>
  <c r="C429" i="1"/>
  <c r="D429" i="1"/>
  <c r="E429" i="1"/>
  <c r="F429" i="1"/>
  <c r="G429" i="1"/>
  <c r="I429" i="1"/>
  <c r="J429" i="1"/>
  <c r="K429" i="1"/>
  <c r="A430" i="1"/>
  <c r="C430" i="1"/>
  <c r="D430" i="1"/>
  <c r="E430" i="1"/>
  <c r="F430" i="1"/>
  <c r="G430" i="1"/>
  <c r="I430" i="1"/>
  <c r="J430" i="1"/>
  <c r="K430" i="1"/>
  <c r="A431" i="1"/>
  <c r="C431" i="1"/>
  <c r="D431" i="1"/>
  <c r="E431" i="1"/>
  <c r="F431" i="1"/>
  <c r="G431" i="1"/>
  <c r="I431" i="1"/>
  <c r="J431" i="1"/>
  <c r="K431" i="1"/>
  <c r="A432" i="1"/>
  <c r="C432" i="1"/>
  <c r="D432" i="1"/>
  <c r="E432" i="1"/>
  <c r="F432" i="1"/>
  <c r="G432" i="1"/>
  <c r="I432" i="1"/>
  <c r="J432" i="1"/>
  <c r="K432" i="1"/>
  <c r="A433" i="1"/>
  <c r="C433" i="1"/>
  <c r="D433" i="1"/>
  <c r="E433" i="1"/>
  <c r="F433" i="1"/>
  <c r="G433" i="1"/>
  <c r="I433" i="1"/>
  <c r="J433" i="1"/>
  <c r="K433" i="1"/>
  <c r="A434" i="1"/>
  <c r="C434" i="1"/>
  <c r="D434" i="1"/>
  <c r="E434" i="1"/>
  <c r="F434" i="1"/>
  <c r="G434" i="1"/>
  <c r="I434" i="1"/>
  <c r="J434" i="1"/>
  <c r="K434" i="1"/>
  <c r="A435" i="1"/>
  <c r="C435" i="1"/>
  <c r="D435" i="1"/>
  <c r="E435" i="1"/>
  <c r="F435" i="1"/>
  <c r="G435" i="1"/>
  <c r="I435" i="1"/>
  <c r="J435" i="1"/>
  <c r="K435" i="1"/>
  <c r="A436" i="1"/>
  <c r="C436" i="1"/>
  <c r="D436" i="1"/>
  <c r="E436" i="1"/>
  <c r="F436" i="1"/>
  <c r="G436" i="1"/>
  <c r="I436" i="1"/>
  <c r="J436" i="1"/>
  <c r="K436" i="1"/>
  <c r="A437" i="1"/>
  <c r="C437" i="1"/>
  <c r="D437" i="1"/>
  <c r="E437" i="1"/>
  <c r="F437" i="1"/>
  <c r="G437" i="1"/>
  <c r="I437" i="1"/>
  <c r="J437" i="1"/>
  <c r="K437" i="1"/>
  <c r="A438" i="1"/>
  <c r="C438" i="1"/>
  <c r="D438" i="1"/>
  <c r="E438" i="1"/>
  <c r="F438" i="1"/>
  <c r="G438" i="1"/>
  <c r="I438" i="1"/>
  <c r="J438" i="1"/>
  <c r="K438" i="1"/>
  <c r="A439" i="1"/>
  <c r="C439" i="1"/>
  <c r="D439" i="1"/>
  <c r="E439" i="1"/>
  <c r="F439" i="1"/>
  <c r="G439" i="1"/>
  <c r="I439" i="1"/>
  <c r="J439" i="1"/>
  <c r="K439" i="1"/>
  <c r="A440" i="1"/>
  <c r="C440" i="1"/>
  <c r="D440" i="1"/>
  <c r="E440" i="1"/>
  <c r="F440" i="1"/>
  <c r="G440" i="1"/>
  <c r="I440" i="1"/>
  <c r="J440" i="1"/>
  <c r="K440" i="1"/>
  <c r="A441" i="1"/>
  <c r="C441" i="1"/>
  <c r="D441" i="1"/>
  <c r="E441" i="1"/>
  <c r="F441" i="1"/>
  <c r="G441" i="1"/>
  <c r="I441" i="1"/>
  <c r="J441" i="1"/>
  <c r="K441" i="1"/>
  <c r="A442" i="1"/>
  <c r="C442" i="1"/>
  <c r="D442" i="1"/>
  <c r="E442" i="1"/>
  <c r="F442" i="1"/>
  <c r="G442" i="1"/>
  <c r="I442" i="1"/>
  <c r="J442" i="1"/>
  <c r="K442" i="1"/>
  <c r="A443" i="1"/>
  <c r="C443" i="1"/>
  <c r="D443" i="1"/>
  <c r="E443" i="1"/>
  <c r="F443" i="1"/>
  <c r="G443" i="1"/>
  <c r="I443" i="1"/>
  <c r="J443" i="1"/>
  <c r="K443" i="1"/>
  <c r="A444" i="1"/>
  <c r="C444" i="1"/>
  <c r="D444" i="1"/>
  <c r="E444" i="1"/>
  <c r="F444" i="1"/>
  <c r="G444" i="1"/>
  <c r="I444" i="1"/>
  <c r="J444" i="1"/>
  <c r="K444" i="1"/>
  <c r="A445" i="1"/>
  <c r="C445" i="1"/>
  <c r="D445" i="1"/>
  <c r="E445" i="1"/>
  <c r="F445" i="1"/>
  <c r="G445" i="1"/>
  <c r="I445" i="1"/>
  <c r="J445" i="1"/>
  <c r="K445" i="1"/>
  <c r="A446" i="1"/>
  <c r="C446" i="1"/>
  <c r="D446" i="1"/>
  <c r="E446" i="1"/>
  <c r="F446" i="1"/>
  <c r="G446" i="1"/>
  <c r="I446" i="1"/>
  <c r="J446" i="1"/>
  <c r="K446" i="1"/>
  <c r="A447" i="1"/>
  <c r="C447" i="1"/>
  <c r="D447" i="1"/>
  <c r="E447" i="1"/>
  <c r="F447" i="1"/>
  <c r="G447" i="1"/>
  <c r="I447" i="1"/>
  <c r="J447" i="1"/>
  <c r="K447" i="1"/>
  <c r="A448" i="1"/>
  <c r="C448" i="1"/>
  <c r="D448" i="1"/>
  <c r="E448" i="1"/>
  <c r="F448" i="1"/>
  <c r="G448" i="1"/>
  <c r="I448" i="1"/>
  <c r="J448" i="1"/>
  <c r="K448" i="1"/>
  <c r="A449" i="1"/>
  <c r="C449" i="1"/>
  <c r="D449" i="1"/>
  <c r="E449" i="1"/>
  <c r="F449" i="1"/>
  <c r="G449" i="1"/>
  <c r="I449" i="1"/>
  <c r="J449" i="1"/>
  <c r="K449" i="1"/>
  <c r="A450" i="1"/>
  <c r="C450" i="1"/>
  <c r="D450" i="1"/>
  <c r="E450" i="1"/>
  <c r="F450" i="1"/>
  <c r="G450" i="1"/>
  <c r="I450" i="1"/>
  <c r="J450" i="1"/>
  <c r="K450" i="1"/>
  <c r="A451" i="1"/>
  <c r="C451" i="1"/>
  <c r="D451" i="1"/>
  <c r="E451" i="1"/>
  <c r="F451" i="1"/>
  <c r="G451" i="1"/>
  <c r="I451" i="1"/>
  <c r="J451" i="1"/>
  <c r="K451" i="1"/>
  <c r="A452" i="1"/>
  <c r="C452" i="1"/>
  <c r="D452" i="1"/>
  <c r="E452" i="1"/>
  <c r="F452" i="1"/>
  <c r="G452" i="1"/>
  <c r="I452" i="1"/>
  <c r="J452" i="1"/>
  <c r="K452" i="1"/>
  <c r="A453" i="1"/>
  <c r="C453" i="1"/>
  <c r="D453" i="1"/>
  <c r="E453" i="1"/>
  <c r="F453" i="1"/>
  <c r="G453" i="1"/>
  <c r="I453" i="1"/>
  <c r="J453" i="1"/>
  <c r="K453" i="1"/>
  <c r="A454" i="1"/>
  <c r="C454" i="1"/>
  <c r="D454" i="1"/>
  <c r="E454" i="1"/>
  <c r="F454" i="1"/>
  <c r="G454" i="1"/>
  <c r="I454" i="1"/>
  <c r="J454" i="1"/>
  <c r="K454" i="1"/>
  <c r="A455" i="1"/>
  <c r="C455" i="1"/>
  <c r="D455" i="1"/>
  <c r="E455" i="1"/>
  <c r="F455" i="1"/>
  <c r="G455" i="1"/>
  <c r="I455" i="1"/>
  <c r="J455" i="1"/>
  <c r="K455" i="1"/>
  <c r="A456" i="1"/>
  <c r="C456" i="1"/>
  <c r="D456" i="1"/>
  <c r="E456" i="1"/>
  <c r="F456" i="1"/>
  <c r="G456" i="1"/>
  <c r="I456" i="1"/>
  <c r="J456" i="1"/>
  <c r="K456" i="1"/>
  <c r="A457" i="1"/>
  <c r="C457" i="1"/>
  <c r="D457" i="1"/>
  <c r="E457" i="1"/>
  <c r="F457" i="1"/>
  <c r="G457" i="1"/>
  <c r="I457" i="1"/>
  <c r="J457" i="1"/>
  <c r="K457" i="1"/>
  <c r="A458" i="1"/>
  <c r="C458" i="1"/>
  <c r="D458" i="1"/>
  <c r="E458" i="1"/>
  <c r="F458" i="1"/>
  <c r="G458" i="1"/>
  <c r="I458" i="1"/>
  <c r="J458" i="1"/>
  <c r="K458" i="1"/>
  <c r="A459" i="1"/>
  <c r="C459" i="1"/>
  <c r="D459" i="1"/>
  <c r="E459" i="1"/>
  <c r="F459" i="1"/>
  <c r="G459" i="1"/>
  <c r="I459" i="1"/>
  <c r="J459" i="1"/>
  <c r="K459" i="1"/>
  <c r="A460" i="1"/>
  <c r="C460" i="1"/>
  <c r="D460" i="1"/>
  <c r="E460" i="1"/>
  <c r="F460" i="1"/>
  <c r="G460" i="1"/>
  <c r="I460" i="1"/>
  <c r="J460" i="1"/>
  <c r="K460" i="1"/>
  <c r="A461" i="1"/>
  <c r="C461" i="1"/>
  <c r="D461" i="1"/>
  <c r="E461" i="1"/>
  <c r="F461" i="1"/>
  <c r="G461" i="1"/>
  <c r="I461" i="1"/>
  <c r="J461" i="1"/>
  <c r="K461" i="1"/>
  <c r="A462" i="1"/>
  <c r="C462" i="1"/>
  <c r="D462" i="1"/>
  <c r="E462" i="1"/>
  <c r="F462" i="1"/>
  <c r="G462" i="1"/>
  <c r="I462" i="1"/>
  <c r="J462" i="1"/>
  <c r="K462" i="1"/>
  <c r="A463" i="1"/>
  <c r="C463" i="1"/>
  <c r="D463" i="1"/>
  <c r="E463" i="1"/>
  <c r="F463" i="1"/>
  <c r="G463" i="1"/>
  <c r="I463" i="1"/>
  <c r="J463" i="1"/>
  <c r="K463" i="1"/>
  <c r="A464" i="1"/>
  <c r="C464" i="1"/>
  <c r="D464" i="1"/>
  <c r="E464" i="1"/>
  <c r="F464" i="1"/>
  <c r="G464" i="1"/>
  <c r="I464" i="1"/>
  <c r="J464" i="1"/>
  <c r="K464" i="1"/>
  <c r="A465" i="1"/>
  <c r="C465" i="1"/>
  <c r="D465" i="1"/>
  <c r="E465" i="1"/>
  <c r="F465" i="1"/>
  <c r="G465" i="1"/>
  <c r="I465" i="1"/>
  <c r="J465" i="1"/>
  <c r="K465" i="1"/>
  <c r="A466" i="1"/>
  <c r="C466" i="1"/>
  <c r="D466" i="1"/>
  <c r="E466" i="1"/>
  <c r="F466" i="1"/>
  <c r="G466" i="1"/>
  <c r="I466" i="1"/>
  <c r="J466" i="1"/>
  <c r="K466" i="1"/>
  <c r="A467" i="1"/>
  <c r="C467" i="1"/>
  <c r="D467" i="1"/>
  <c r="E467" i="1"/>
  <c r="F467" i="1"/>
  <c r="G467" i="1"/>
  <c r="I467" i="1"/>
  <c r="J467" i="1"/>
  <c r="K467" i="1"/>
  <c r="A468" i="1"/>
  <c r="C468" i="1"/>
  <c r="D468" i="1"/>
  <c r="E468" i="1"/>
  <c r="F468" i="1"/>
  <c r="G468" i="1"/>
  <c r="I468" i="1"/>
  <c r="J468" i="1"/>
  <c r="K468" i="1"/>
  <c r="A469" i="1"/>
  <c r="C469" i="1"/>
  <c r="D469" i="1"/>
  <c r="E469" i="1"/>
  <c r="F469" i="1"/>
  <c r="G469" i="1"/>
  <c r="I469" i="1"/>
  <c r="J469" i="1"/>
  <c r="K469" i="1"/>
  <c r="A470" i="1"/>
  <c r="C470" i="1"/>
  <c r="D470" i="1"/>
  <c r="E470" i="1"/>
  <c r="F470" i="1"/>
  <c r="G470" i="1"/>
  <c r="I470" i="1"/>
  <c r="J470" i="1"/>
  <c r="K470" i="1"/>
  <c r="A471" i="1"/>
  <c r="C471" i="1"/>
  <c r="D471" i="1"/>
  <c r="E471" i="1"/>
  <c r="F471" i="1"/>
  <c r="G471" i="1"/>
  <c r="I471" i="1"/>
  <c r="J471" i="1"/>
  <c r="K471" i="1"/>
  <c r="A472" i="1"/>
  <c r="C472" i="1"/>
  <c r="D472" i="1"/>
  <c r="E472" i="1"/>
  <c r="F472" i="1"/>
  <c r="G472" i="1"/>
  <c r="I472" i="1"/>
  <c r="J472" i="1"/>
  <c r="K472" i="1"/>
  <c r="A473" i="1"/>
  <c r="C473" i="1"/>
  <c r="D473" i="1"/>
  <c r="E473" i="1"/>
  <c r="F473" i="1"/>
  <c r="G473" i="1"/>
  <c r="I473" i="1"/>
  <c r="J473" i="1"/>
  <c r="K473" i="1"/>
  <c r="A474" i="1"/>
  <c r="C474" i="1"/>
  <c r="D474" i="1"/>
  <c r="E474" i="1"/>
  <c r="F474" i="1"/>
  <c r="G474" i="1"/>
  <c r="I474" i="1"/>
  <c r="J474" i="1"/>
  <c r="K474" i="1"/>
  <c r="A475" i="1"/>
  <c r="C475" i="1"/>
  <c r="D475" i="1"/>
  <c r="E475" i="1"/>
  <c r="F475" i="1"/>
  <c r="G475" i="1"/>
  <c r="I475" i="1"/>
  <c r="J475" i="1"/>
  <c r="K475" i="1"/>
  <c r="A476" i="1"/>
  <c r="C476" i="1"/>
  <c r="D476" i="1"/>
  <c r="E476" i="1"/>
  <c r="F476" i="1"/>
  <c r="G476" i="1"/>
  <c r="I476" i="1"/>
  <c r="J476" i="1"/>
  <c r="K476" i="1"/>
  <c r="A477" i="1"/>
  <c r="C477" i="1"/>
  <c r="D477" i="1"/>
  <c r="E477" i="1"/>
  <c r="F477" i="1"/>
  <c r="G477" i="1"/>
  <c r="I477" i="1"/>
  <c r="J477" i="1"/>
  <c r="K477" i="1"/>
  <c r="A478" i="1"/>
  <c r="C478" i="1"/>
  <c r="D478" i="1"/>
  <c r="E478" i="1"/>
  <c r="F478" i="1"/>
  <c r="G478" i="1"/>
  <c r="I478" i="1"/>
  <c r="J478" i="1"/>
  <c r="K478" i="1"/>
  <c r="A479" i="1"/>
  <c r="C479" i="1"/>
  <c r="D479" i="1"/>
  <c r="E479" i="1"/>
  <c r="F479" i="1"/>
  <c r="G479" i="1"/>
  <c r="I479" i="1"/>
  <c r="J479" i="1"/>
  <c r="K479" i="1"/>
  <c r="A480" i="1"/>
  <c r="C480" i="1"/>
  <c r="D480" i="1"/>
  <c r="E480" i="1"/>
  <c r="F480" i="1"/>
  <c r="G480" i="1"/>
  <c r="I480" i="1"/>
  <c r="J480" i="1"/>
  <c r="K480" i="1"/>
  <c r="A481" i="1"/>
  <c r="C481" i="1"/>
  <c r="D481" i="1"/>
  <c r="E481" i="1"/>
  <c r="F481" i="1"/>
  <c r="G481" i="1"/>
  <c r="I481" i="1"/>
  <c r="J481" i="1"/>
  <c r="K481" i="1"/>
  <c r="A482" i="1"/>
  <c r="C482" i="1"/>
  <c r="D482" i="1"/>
  <c r="E482" i="1"/>
  <c r="F482" i="1"/>
  <c r="G482" i="1"/>
  <c r="I482" i="1"/>
  <c r="J482" i="1"/>
  <c r="K482" i="1"/>
  <c r="A483" i="1"/>
  <c r="C483" i="1"/>
  <c r="D483" i="1"/>
  <c r="E483" i="1"/>
  <c r="F483" i="1"/>
  <c r="G483" i="1"/>
  <c r="I483" i="1"/>
  <c r="J483" i="1"/>
  <c r="K483" i="1"/>
  <c r="A484" i="1"/>
  <c r="C484" i="1"/>
  <c r="D484" i="1"/>
  <c r="E484" i="1"/>
  <c r="F484" i="1"/>
  <c r="G484" i="1"/>
  <c r="I484" i="1"/>
  <c r="J484" i="1"/>
  <c r="K484" i="1"/>
  <c r="A485" i="1"/>
  <c r="C485" i="1"/>
  <c r="D485" i="1"/>
  <c r="E485" i="1"/>
  <c r="F485" i="1"/>
  <c r="G485" i="1"/>
  <c r="I485" i="1"/>
  <c r="J485" i="1"/>
  <c r="K485" i="1"/>
  <c r="A486" i="1"/>
  <c r="C486" i="1"/>
  <c r="D486" i="1"/>
  <c r="E486" i="1"/>
  <c r="F486" i="1"/>
  <c r="G486" i="1"/>
  <c r="I486" i="1"/>
  <c r="J486" i="1"/>
  <c r="K486" i="1"/>
  <c r="A487" i="1"/>
  <c r="C487" i="1"/>
  <c r="D487" i="1"/>
  <c r="E487" i="1"/>
  <c r="F487" i="1"/>
  <c r="G487" i="1"/>
  <c r="I487" i="1"/>
  <c r="J487" i="1"/>
  <c r="K487" i="1"/>
  <c r="A488" i="1"/>
  <c r="C488" i="1"/>
  <c r="D488" i="1"/>
  <c r="E488" i="1"/>
  <c r="F488" i="1"/>
  <c r="G488" i="1"/>
  <c r="I488" i="1"/>
  <c r="J488" i="1"/>
  <c r="K488" i="1"/>
  <c r="A489" i="1"/>
  <c r="C489" i="1"/>
  <c r="D489" i="1"/>
  <c r="E489" i="1"/>
  <c r="F489" i="1"/>
  <c r="G489" i="1"/>
  <c r="I489" i="1"/>
  <c r="J489" i="1"/>
  <c r="K489" i="1"/>
  <c r="A490" i="1"/>
  <c r="C490" i="1"/>
  <c r="D490" i="1"/>
  <c r="E490" i="1"/>
  <c r="F490" i="1"/>
  <c r="G490" i="1"/>
  <c r="I490" i="1"/>
  <c r="J490" i="1"/>
  <c r="K490" i="1"/>
  <c r="A491" i="1"/>
  <c r="C491" i="1"/>
  <c r="D491" i="1"/>
  <c r="E491" i="1"/>
  <c r="F491" i="1"/>
  <c r="G491" i="1"/>
  <c r="I491" i="1"/>
  <c r="J491" i="1"/>
  <c r="K491" i="1"/>
  <c r="A492" i="1"/>
  <c r="C492" i="1"/>
  <c r="D492" i="1"/>
  <c r="E492" i="1"/>
  <c r="F492" i="1"/>
  <c r="G492" i="1"/>
  <c r="I492" i="1"/>
  <c r="J492" i="1"/>
  <c r="K492" i="1"/>
  <c r="A493" i="1"/>
  <c r="C493" i="1"/>
  <c r="D493" i="1"/>
  <c r="E493" i="1"/>
  <c r="F493" i="1"/>
  <c r="G493" i="1"/>
  <c r="I493" i="1"/>
  <c r="J493" i="1"/>
  <c r="K493" i="1"/>
  <c r="A494" i="1"/>
  <c r="C494" i="1"/>
  <c r="D494" i="1"/>
  <c r="E494" i="1"/>
  <c r="F494" i="1"/>
  <c r="G494" i="1"/>
  <c r="I494" i="1"/>
  <c r="J494" i="1"/>
  <c r="K494" i="1"/>
  <c r="A495" i="1"/>
  <c r="C495" i="1"/>
  <c r="D495" i="1"/>
  <c r="E495" i="1"/>
  <c r="F495" i="1"/>
  <c r="G495" i="1"/>
  <c r="I495" i="1"/>
  <c r="J495" i="1"/>
  <c r="K495" i="1"/>
  <c r="A496" i="1"/>
  <c r="C496" i="1"/>
  <c r="D496" i="1"/>
  <c r="E496" i="1"/>
  <c r="F496" i="1"/>
  <c r="G496" i="1"/>
  <c r="I496" i="1"/>
  <c r="J496" i="1"/>
  <c r="K496" i="1"/>
  <c r="A497" i="1"/>
  <c r="C497" i="1"/>
  <c r="D497" i="1"/>
  <c r="E497" i="1"/>
  <c r="F497" i="1"/>
  <c r="G497" i="1"/>
  <c r="I497" i="1"/>
  <c r="J497" i="1"/>
  <c r="K497" i="1"/>
  <c r="A498" i="1"/>
  <c r="C498" i="1"/>
  <c r="D498" i="1"/>
  <c r="E498" i="1"/>
  <c r="F498" i="1"/>
  <c r="G498" i="1"/>
  <c r="I498" i="1"/>
  <c r="J498" i="1"/>
  <c r="K498" i="1"/>
  <c r="A499" i="1"/>
  <c r="C499" i="1"/>
  <c r="D499" i="1"/>
  <c r="E499" i="1"/>
  <c r="F499" i="1"/>
  <c r="G499" i="1"/>
  <c r="I499" i="1"/>
  <c r="J499" i="1"/>
  <c r="K499" i="1"/>
  <c r="A500" i="1"/>
  <c r="C500" i="1"/>
  <c r="D500" i="1"/>
  <c r="E500" i="1"/>
  <c r="F500" i="1"/>
  <c r="G500" i="1"/>
  <c r="I500" i="1"/>
  <c r="J500" i="1"/>
  <c r="K500" i="1"/>
  <c r="A501" i="1"/>
  <c r="C501" i="1"/>
  <c r="D501" i="1"/>
  <c r="E501" i="1"/>
  <c r="F501" i="1"/>
  <c r="G501" i="1"/>
  <c r="I501" i="1"/>
  <c r="J501" i="1"/>
  <c r="K501" i="1"/>
  <c r="A502" i="1"/>
  <c r="C502" i="1"/>
  <c r="D502" i="1"/>
  <c r="E502" i="1"/>
  <c r="F502" i="1"/>
  <c r="G502" i="1"/>
  <c r="I502" i="1"/>
  <c r="J502" i="1"/>
  <c r="K502" i="1"/>
  <c r="A503" i="1"/>
  <c r="C503" i="1"/>
  <c r="D503" i="1"/>
  <c r="E503" i="1"/>
  <c r="F503" i="1"/>
  <c r="G503" i="1"/>
  <c r="I503" i="1"/>
  <c r="J503" i="1"/>
  <c r="K503" i="1"/>
  <c r="A504" i="1"/>
  <c r="C504" i="1"/>
  <c r="D504" i="1"/>
  <c r="E504" i="1"/>
  <c r="F504" i="1"/>
  <c r="G504" i="1"/>
  <c r="I504" i="1"/>
  <c r="J504" i="1"/>
  <c r="K504" i="1"/>
  <c r="A505" i="1"/>
  <c r="C505" i="1"/>
  <c r="D505" i="1"/>
  <c r="E505" i="1"/>
  <c r="F505" i="1"/>
  <c r="G505" i="1"/>
  <c r="I505" i="1"/>
  <c r="J505" i="1"/>
  <c r="K505" i="1"/>
  <c r="A506" i="1"/>
  <c r="C506" i="1"/>
  <c r="D506" i="1"/>
  <c r="E506" i="1"/>
  <c r="F506" i="1"/>
  <c r="G506" i="1"/>
  <c r="I506" i="1"/>
  <c r="J506" i="1"/>
  <c r="K506" i="1"/>
  <c r="A507" i="1"/>
  <c r="C507" i="1"/>
  <c r="D507" i="1"/>
  <c r="E507" i="1"/>
  <c r="F507" i="1"/>
  <c r="G507" i="1"/>
  <c r="I507" i="1"/>
  <c r="J507" i="1"/>
  <c r="K507" i="1"/>
  <c r="A508" i="1"/>
  <c r="C508" i="1"/>
  <c r="D508" i="1"/>
  <c r="E508" i="1"/>
  <c r="F508" i="1"/>
  <c r="G508" i="1"/>
  <c r="I508" i="1"/>
  <c r="J508" i="1"/>
  <c r="K508" i="1"/>
  <c r="A509" i="1"/>
  <c r="C509" i="1"/>
  <c r="D509" i="1"/>
  <c r="E509" i="1"/>
  <c r="F509" i="1"/>
  <c r="G509" i="1"/>
  <c r="I509" i="1"/>
  <c r="J509" i="1"/>
  <c r="K509" i="1"/>
  <c r="A510" i="1"/>
  <c r="C510" i="1"/>
  <c r="D510" i="1"/>
  <c r="E510" i="1"/>
  <c r="F510" i="1"/>
  <c r="G510" i="1"/>
  <c r="I510" i="1"/>
  <c r="J510" i="1"/>
  <c r="K510" i="1"/>
  <c r="A511" i="1"/>
  <c r="C511" i="1"/>
  <c r="D511" i="1"/>
  <c r="E511" i="1"/>
  <c r="F511" i="1"/>
  <c r="G511" i="1"/>
  <c r="I511" i="1"/>
  <c r="J511" i="1"/>
  <c r="K511" i="1"/>
  <c r="A512" i="1"/>
  <c r="C512" i="1"/>
  <c r="D512" i="1"/>
  <c r="E512" i="1"/>
  <c r="F512" i="1"/>
  <c r="G512" i="1"/>
  <c r="I512" i="1"/>
  <c r="J512" i="1"/>
  <c r="K512" i="1"/>
  <c r="A513" i="1"/>
  <c r="C513" i="1"/>
  <c r="D513" i="1"/>
  <c r="E513" i="1"/>
  <c r="F513" i="1"/>
  <c r="G513" i="1"/>
  <c r="I513" i="1"/>
  <c r="J513" i="1"/>
  <c r="K513" i="1"/>
  <c r="A514" i="1"/>
  <c r="C514" i="1"/>
  <c r="D514" i="1"/>
  <c r="E514" i="1"/>
  <c r="F514" i="1"/>
  <c r="G514" i="1"/>
  <c r="I514" i="1"/>
  <c r="J514" i="1"/>
  <c r="K514" i="1"/>
  <c r="A515" i="1"/>
  <c r="C515" i="1"/>
  <c r="D515" i="1"/>
  <c r="E515" i="1"/>
  <c r="F515" i="1"/>
  <c r="G515" i="1"/>
  <c r="I515" i="1"/>
  <c r="J515" i="1"/>
  <c r="K515" i="1"/>
  <c r="A516" i="1"/>
  <c r="C516" i="1"/>
  <c r="D516" i="1"/>
  <c r="E516" i="1"/>
  <c r="F516" i="1"/>
  <c r="G516" i="1"/>
  <c r="I516" i="1"/>
  <c r="J516" i="1"/>
  <c r="K516" i="1"/>
  <c r="A517" i="1"/>
  <c r="C517" i="1"/>
  <c r="D517" i="1"/>
  <c r="E517" i="1"/>
  <c r="F517" i="1"/>
  <c r="G517" i="1"/>
  <c r="I517" i="1"/>
  <c r="J517" i="1"/>
  <c r="K517" i="1"/>
  <c r="A518" i="1"/>
  <c r="C518" i="1"/>
  <c r="D518" i="1"/>
  <c r="E518" i="1"/>
  <c r="F518" i="1"/>
  <c r="G518" i="1"/>
  <c r="I518" i="1"/>
  <c r="J518" i="1"/>
  <c r="K518" i="1"/>
  <c r="A519" i="1"/>
  <c r="C519" i="1"/>
  <c r="D519" i="1"/>
  <c r="E519" i="1"/>
  <c r="F519" i="1"/>
  <c r="G519" i="1"/>
  <c r="I519" i="1"/>
  <c r="J519" i="1"/>
  <c r="K519" i="1"/>
  <c r="A520" i="1"/>
  <c r="C520" i="1"/>
  <c r="D520" i="1"/>
  <c r="E520" i="1"/>
  <c r="F520" i="1"/>
  <c r="G520" i="1"/>
  <c r="I520" i="1"/>
  <c r="J520" i="1"/>
  <c r="K520" i="1"/>
  <c r="A521" i="1"/>
  <c r="C521" i="1"/>
  <c r="D521" i="1"/>
  <c r="E521" i="1"/>
  <c r="F521" i="1"/>
  <c r="G521" i="1"/>
  <c r="I521" i="1"/>
  <c r="J521" i="1"/>
  <c r="K521" i="1"/>
  <c r="A522" i="1"/>
  <c r="C522" i="1"/>
  <c r="D522" i="1"/>
  <c r="E522" i="1"/>
  <c r="F522" i="1"/>
  <c r="G522" i="1"/>
  <c r="I522" i="1"/>
  <c r="J522" i="1"/>
  <c r="K522" i="1"/>
  <c r="A523" i="1"/>
  <c r="C523" i="1"/>
  <c r="D523" i="1"/>
  <c r="E523" i="1"/>
  <c r="F523" i="1"/>
  <c r="G523" i="1"/>
  <c r="I523" i="1"/>
  <c r="J523" i="1"/>
  <c r="K523" i="1"/>
  <c r="A524" i="1"/>
  <c r="C524" i="1"/>
  <c r="D524" i="1"/>
  <c r="E524" i="1"/>
  <c r="F524" i="1"/>
  <c r="G524" i="1"/>
  <c r="I524" i="1"/>
  <c r="J524" i="1"/>
  <c r="K524" i="1"/>
  <c r="A525" i="1"/>
  <c r="C525" i="1"/>
  <c r="D525" i="1"/>
  <c r="E525" i="1"/>
  <c r="F525" i="1"/>
  <c r="G525" i="1"/>
  <c r="I525" i="1"/>
  <c r="J525" i="1"/>
  <c r="K525" i="1"/>
  <c r="A526" i="1"/>
  <c r="C526" i="1"/>
  <c r="D526" i="1"/>
  <c r="E526" i="1"/>
  <c r="F526" i="1"/>
  <c r="G526" i="1"/>
  <c r="I526" i="1"/>
  <c r="J526" i="1"/>
  <c r="K526" i="1"/>
  <c r="A527" i="1"/>
  <c r="C527" i="1"/>
  <c r="D527" i="1"/>
  <c r="E527" i="1"/>
  <c r="F527" i="1"/>
  <c r="G527" i="1"/>
  <c r="I527" i="1"/>
  <c r="J527" i="1"/>
  <c r="K527" i="1"/>
  <c r="A528" i="1"/>
  <c r="C528" i="1"/>
  <c r="D528" i="1"/>
  <c r="E528" i="1"/>
  <c r="F528" i="1"/>
  <c r="G528" i="1"/>
  <c r="I528" i="1"/>
  <c r="J528" i="1"/>
  <c r="K528" i="1"/>
  <c r="A529" i="1"/>
  <c r="C529" i="1"/>
  <c r="D529" i="1"/>
  <c r="E529" i="1"/>
  <c r="F529" i="1"/>
  <c r="G529" i="1"/>
  <c r="I529" i="1"/>
  <c r="J529" i="1"/>
  <c r="K529" i="1"/>
  <c r="A530" i="1"/>
  <c r="C530" i="1"/>
  <c r="D530" i="1"/>
  <c r="E530" i="1"/>
  <c r="F530" i="1"/>
  <c r="G530" i="1"/>
  <c r="I530" i="1"/>
  <c r="J530" i="1"/>
  <c r="K530" i="1"/>
  <c r="A531" i="1"/>
  <c r="C531" i="1"/>
  <c r="D531" i="1"/>
  <c r="E531" i="1"/>
  <c r="F531" i="1"/>
  <c r="G531" i="1"/>
  <c r="I531" i="1"/>
  <c r="J531" i="1"/>
  <c r="K531" i="1"/>
  <c r="A532" i="1"/>
  <c r="C532" i="1"/>
  <c r="D532" i="1"/>
  <c r="E532" i="1"/>
  <c r="F532" i="1"/>
  <c r="G532" i="1"/>
  <c r="I532" i="1"/>
  <c r="J532" i="1"/>
  <c r="K532" i="1"/>
  <c r="A533" i="1"/>
  <c r="C533" i="1"/>
  <c r="D533" i="1"/>
  <c r="E533" i="1"/>
  <c r="F533" i="1"/>
  <c r="G533" i="1"/>
  <c r="I533" i="1"/>
  <c r="J533" i="1"/>
  <c r="K533" i="1"/>
  <c r="A534" i="1"/>
  <c r="C534" i="1"/>
  <c r="D534" i="1"/>
  <c r="E534" i="1"/>
  <c r="F534" i="1"/>
  <c r="G534" i="1"/>
  <c r="I534" i="1"/>
  <c r="J534" i="1"/>
  <c r="K534" i="1"/>
  <c r="A535" i="1"/>
  <c r="C535" i="1"/>
  <c r="D535" i="1"/>
  <c r="E535" i="1"/>
  <c r="F535" i="1"/>
  <c r="G535" i="1"/>
  <c r="I535" i="1"/>
  <c r="J535" i="1"/>
  <c r="K535" i="1"/>
  <c r="A536" i="1"/>
  <c r="C536" i="1"/>
  <c r="D536" i="1"/>
  <c r="E536" i="1"/>
  <c r="F536" i="1"/>
  <c r="G536" i="1"/>
  <c r="I536" i="1"/>
  <c r="J536" i="1"/>
  <c r="K536" i="1"/>
  <c r="A537" i="1"/>
  <c r="C537" i="1"/>
  <c r="D537" i="1"/>
  <c r="E537" i="1"/>
  <c r="F537" i="1"/>
  <c r="G537" i="1"/>
  <c r="I537" i="1"/>
  <c r="J537" i="1"/>
  <c r="K537" i="1"/>
  <c r="A538" i="1"/>
  <c r="C538" i="1"/>
  <c r="D538" i="1"/>
  <c r="E538" i="1"/>
  <c r="F538" i="1"/>
  <c r="G538" i="1"/>
  <c r="I538" i="1"/>
  <c r="J538" i="1"/>
  <c r="K538" i="1"/>
  <c r="A539" i="1"/>
  <c r="C539" i="1"/>
  <c r="D539" i="1"/>
  <c r="E539" i="1"/>
  <c r="F539" i="1"/>
  <c r="G539" i="1"/>
  <c r="I539" i="1"/>
  <c r="J539" i="1"/>
  <c r="K539" i="1"/>
  <c r="A540" i="1"/>
  <c r="C540" i="1"/>
  <c r="D540" i="1"/>
  <c r="E540" i="1"/>
  <c r="F540" i="1"/>
  <c r="G540" i="1"/>
  <c r="I540" i="1"/>
  <c r="J540" i="1"/>
  <c r="K540" i="1"/>
  <c r="A541" i="1"/>
  <c r="C541" i="1"/>
  <c r="D541" i="1"/>
  <c r="E541" i="1"/>
  <c r="F541" i="1"/>
  <c r="G541" i="1"/>
  <c r="I541" i="1"/>
  <c r="J541" i="1"/>
  <c r="K541" i="1"/>
  <c r="A542" i="1"/>
  <c r="C542" i="1"/>
  <c r="D542" i="1"/>
  <c r="E542" i="1"/>
  <c r="F542" i="1"/>
  <c r="G542" i="1"/>
  <c r="I542" i="1"/>
  <c r="J542" i="1"/>
  <c r="K542" i="1"/>
  <c r="A543" i="1"/>
  <c r="C543" i="1"/>
  <c r="D543" i="1"/>
  <c r="E543" i="1"/>
  <c r="F543" i="1"/>
  <c r="G543" i="1"/>
  <c r="I543" i="1"/>
  <c r="J543" i="1"/>
  <c r="K543" i="1"/>
  <c r="A544" i="1"/>
  <c r="C544" i="1"/>
  <c r="D544" i="1"/>
  <c r="E544" i="1"/>
  <c r="F544" i="1"/>
  <c r="G544" i="1"/>
  <c r="I544" i="1"/>
  <c r="J544" i="1"/>
  <c r="K544" i="1"/>
  <c r="A545" i="1"/>
  <c r="C545" i="1"/>
  <c r="D545" i="1"/>
  <c r="E545" i="1"/>
  <c r="F545" i="1"/>
  <c r="G545" i="1"/>
  <c r="I545" i="1"/>
  <c r="J545" i="1"/>
  <c r="K545" i="1"/>
  <c r="A546" i="1"/>
  <c r="C546" i="1"/>
  <c r="D546" i="1"/>
  <c r="E546" i="1"/>
  <c r="F546" i="1"/>
  <c r="G546" i="1"/>
  <c r="I546" i="1"/>
  <c r="J546" i="1"/>
  <c r="K546" i="1"/>
  <c r="A547" i="1"/>
  <c r="C547" i="1"/>
  <c r="D547" i="1"/>
  <c r="E547" i="1"/>
  <c r="F547" i="1"/>
  <c r="G547" i="1"/>
  <c r="I547" i="1"/>
  <c r="J547" i="1"/>
  <c r="K547" i="1"/>
  <c r="A548" i="1"/>
  <c r="C548" i="1"/>
  <c r="D548" i="1"/>
  <c r="E548" i="1"/>
  <c r="F548" i="1"/>
  <c r="G548" i="1"/>
  <c r="I548" i="1"/>
  <c r="J548" i="1"/>
  <c r="K548" i="1"/>
  <c r="A549" i="1"/>
  <c r="C549" i="1"/>
  <c r="D549" i="1"/>
  <c r="E549" i="1"/>
  <c r="F549" i="1"/>
  <c r="G549" i="1"/>
  <c r="I549" i="1"/>
  <c r="J549" i="1"/>
  <c r="K549" i="1"/>
  <c r="A550" i="1"/>
  <c r="C550" i="1"/>
  <c r="D550" i="1"/>
  <c r="E550" i="1"/>
  <c r="F550" i="1"/>
  <c r="G550" i="1"/>
  <c r="I550" i="1"/>
  <c r="J550" i="1"/>
  <c r="K550" i="1"/>
  <c r="A551" i="1"/>
  <c r="C551" i="1"/>
  <c r="D551" i="1"/>
  <c r="E551" i="1"/>
  <c r="F551" i="1"/>
  <c r="G551" i="1"/>
  <c r="I551" i="1"/>
  <c r="J551" i="1"/>
  <c r="K551" i="1"/>
  <c r="A552" i="1"/>
  <c r="C552" i="1"/>
  <c r="D552" i="1"/>
  <c r="E552" i="1"/>
  <c r="F552" i="1"/>
  <c r="G552" i="1"/>
  <c r="I552" i="1"/>
  <c r="J552" i="1"/>
  <c r="K552" i="1"/>
  <c r="A553" i="1"/>
  <c r="C553" i="1"/>
  <c r="D553" i="1"/>
  <c r="E553" i="1"/>
  <c r="F553" i="1"/>
  <c r="G553" i="1"/>
  <c r="I553" i="1"/>
  <c r="J553" i="1"/>
  <c r="K553" i="1"/>
  <c r="A554" i="1"/>
  <c r="C554" i="1"/>
  <c r="D554" i="1"/>
  <c r="E554" i="1"/>
  <c r="F554" i="1"/>
  <c r="G554" i="1"/>
  <c r="I554" i="1"/>
  <c r="J554" i="1"/>
  <c r="K554" i="1"/>
  <c r="A555" i="1"/>
  <c r="C555" i="1"/>
  <c r="D555" i="1"/>
  <c r="E555" i="1"/>
  <c r="F555" i="1"/>
  <c r="G555" i="1"/>
  <c r="I555" i="1"/>
  <c r="J555" i="1"/>
  <c r="K555" i="1"/>
  <c r="A556" i="1"/>
  <c r="C556" i="1"/>
  <c r="D556" i="1"/>
  <c r="E556" i="1"/>
  <c r="F556" i="1"/>
  <c r="G556" i="1"/>
  <c r="I556" i="1"/>
  <c r="J556" i="1"/>
  <c r="K556" i="1"/>
  <c r="A557" i="1"/>
  <c r="C557" i="1"/>
  <c r="D557" i="1"/>
  <c r="E557" i="1"/>
  <c r="F557" i="1"/>
  <c r="G557" i="1"/>
  <c r="I557" i="1"/>
  <c r="J557" i="1"/>
  <c r="K557" i="1"/>
  <c r="A558" i="1"/>
  <c r="C558" i="1"/>
  <c r="D558" i="1"/>
  <c r="E558" i="1"/>
  <c r="F558" i="1"/>
  <c r="G558" i="1"/>
  <c r="I558" i="1"/>
  <c r="J558" i="1"/>
  <c r="K558" i="1"/>
  <c r="A559" i="1"/>
  <c r="C559" i="1"/>
  <c r="D559" i="1"/>
  <c r="E559" i="1"/>
  <c r="F559" i="1"/>
  <c r="G559" i="1"/>
  <c r="I559" i="1"/>
  <c r="J559" i="1"/>
  <c r="K559" i="1"/>
  <c r="A560" i="1"/>
  <c r="C560" i="1"/>
  <c r="D560" i="1"/>
  <c r="E560" i="1"/>
  <c r="F560" i="1"/>
  <c r="G560" i="1"/>
  <c r="I560" i="1"/>
  <c r="J560" i="1"/>
  <c r="K560" i="1"/>
  <c r="A561" i="1"/>
  <c r="C561" i="1"/>
  <c r="D561" i="1"/>
  <c r="E561" i="1"/>
  <c r="F561" i="1"/>
  <c r="G561" i="1"/>
  <c r="I561" i="1"/>
  <c r="J561" i="1"/>
  <c r="K561" i="1"/>
  <c r="A562" i="1"/>
  <c r="C562" i="1"/>
  <c r="D562" i="1"/>
  <c r="E562" i="1"/>
  <c r="F562" i="1"/>
  <c r="G562" i="1"/>
  <c r="I562" i="1"/>
  <c r="J562" i="1"/>
  <c r="K562" i="1"/>
  <c r="A563" i="1"/>
  <c r="C563" i="1"/>
  <c r="D563" i="1"/>
  <c r="E563" i="1"/>
  <c r="F563" i="1"/>
  <c r="G563" i="1"/>
  <c r="I563" i="1"/>
  <c r="J563" i="1"/>
  <c r="K563" i="1"/>
  <c r="A564" i="1"/>
  <c r="C564" i="1"/>
  <c r="D564" i="1"/>
  <c r="E564" i="1"/>
  <c r="F564" i="1"/>
  <c r="G564" i="1"/>
  <c r="I564" i="1"/>
  <c r="J564" i="1"/>
  <c r="K564" i="1"/>
  <c r="A565" i="1"/>
  <c r="C565" i="1"/>
  <c r="D565" i="1"/>
  <c r="E565" i="1"/>
  <c r="F565" i="1"/>
  <c r="G565" i="1"/>
  <c r="I565" i="1"/>
  <c r="J565" i="1"/>
  <c r="K565" i="1"/>
  <c r="A566" i="1"/>
  <c r="C566" i="1"/>
  <c r="D566" i="1"/>
  <c r="E566" i="1"/>
  <c r="F566" i="1"/>
  <c r="G566" i="1"/>
  <c r="I566" i="1"/>
  <c r="J566" i="1"/>
  <c r="K566" i="1"/>
  <c r="A567" i="1"/>
  <c r="C567" i="1"/>
  <c r="D567" i="1"/>
  <c r="E567" i="1"/>
  <c r="F567" i="1"/>
  <c r="G567" i="1"/>
  <c r="I567" i="1"/>
  <c r="J567" i="1"/>
  <c r="K567" i="1"/>
  <c r="A568" i="1"/>
  <c r="C568" i="1"/>
  <c r="D568" i="1"/>
  <c r="E568" i="1"/>
  <c r="F568" i="1"/>
  <c r="G568" i="1"/>
  <c r="I568" i="1"/>
  <c r="J568" i="1"/>
  <c r="K568" i="1"/>
  <c r="A569" i="1"/>
  <c r="C569" i="1"/>
  <c r="D569" i="1"/>
  <c r="E569" i="1"/>
  <c r="F569" i="1"/>
  <c r="G569" i="1"/>
  <c r="I569" i="1"/>
  <c r="J569" i="1"/>
  <c r="K569" i="1"/>
  <c r="A570" i="1"/>
  <c r="C570" i="1"/>
  <c r="D570" i="1"/>
  <c r="E570" i="1"/>
  <c r="F570" i="1"/>
  <c r="G570" i="1"/>
  <c r="I570" i="1"/>
  <c r="J570" i="1"/>
  <c r="K570" i="1"/>
  <c r="A571" i="1"/>
  <c r="C571" i="1"/>
  <c r="D571" i="1"/>
  <c r="E571" i="1"/>
  <c r="F571" i="1"/>
  <c r="G571" i="1"/>
  <c r="I571" i="1"/>
  <c r="J571" i="1"/>
  <c r="K571" i="1"/>
  <c r="A572" i="1"/>
  <c r="C572" i="1"/>
  <c r="D572" i="1"/>
  <c r="E572" i="1"/>
  <c r="F572" i="1"/>
  <c r="G572" i="1"/>
  <c r="I572" i="1"/>
  <c r="J572" i="1"/>
  <c r="K572" i="1"/>
  <c r="A573" i="1"/>
  <c r="C573" i="1"/>
  <c r="D573" i="1"/>
  <c r="E573" i="1"/>
  <c r="F573" i="1"/>
  <c r="G573" i="1"/>
  <c r="I573" i="1"/>
  <c r="J573" i="1"/>
  <c r="K573" i="1"/>
  <c r="A574" i="1"/>
  <c r="C574" i="1"/>
  <c r="D574" i="1"/>
  <c r="E574" i="1"/>
  <c r="F574" i="1"/>
  <c r="G574" i="1"/>
  <c r="I574" i="1"/>
  <c r="J574" i="1"/>
  <c r="K574" i="1"/>
  <c r="A575" i="1"/>
  <c r="C575" i="1"/>
  <c r="D575" i="1"/>
  <c r="E575" i="1"/>
  <c r="F575" i="1"/>
  <c r="G575" i="1"/>
  <c r="I575" i="1"/>
  <c r="J575" i="1"/>
  <c r="K575" i="1"/>
  <c r="A576" i="1"/>
  <c r="C576" i="1"/>
  <c r="D576" i="1"/>
  <c r="E576" i="1"/>
  <c r="F576" i="1"/>
  <c r="G576" i="1"/>
  <c r="I576" i="1"/>
  <c r="J576" i="1"/>
  <c r="K576" i="1"/>
  <c r="A577" i="1"/>
  <c r="C577" i="1"/>
  <c r="D577" i="1"/>
  <c r="E577" i="1"/>
  <c r="F577" i="1"/>
  <c r="G577" i="1"/>
  <c r="I577" i="1"/>
  <c r="J577" i="1"/>
  <c r="K577" i="1"/>
  <c r="A578" i="1"/>
  <c r="C578" i="1"/>
  <c r="D578" i="1"/>
  <c r="E578" i="1"/>
  <c r="F578" i="1"/>
  <c r="G578" i="1"/>
  <c r="I578" i="1"/>
  <c r="J578" i="1"/>
  <c r="K578" i="1"/>
  <c r="A579" i="1"/>
  <c r="C579" i="1"/>
  <c r="D579" i="1"/>
  <c r="E579" i="1"/>
  <c r="F579" i="1"/>
  <c r="G579" i="1"/>
  <c r="I579" i="1"/>
  <c r="J579" i="1"/>
  <c r="K579" i="1"/>
  <c r="A580" i="1"/>
  <c r="C580" i="1"/>
  <c r="D580" i="1"/>
  <c r="E580" i="1"/>
  <c r="F580" i="1"/>
  <c r="G580" i="1"/>
  <c r="I580" i="1"/>
  <c r="J580" i="1"/>
  <c r="K580" i="1"/>
  <c r="A581" i="1"/>
  <c r="C581" i="1"/>
  <c r="D581" i="1"/>
  <c r="E581" i="1"/>
  <c r="F581" i="1"/>
  <c r="G581" i="1"/>
  <c r="I581" i="1"/>
  <c r="J581" i="1"/>
  <c r="K581" i="1"/>
  <c r="A582" i="1"/>
  <c r="C582" i="1"/>
  <c r="D582" i="1"/>
  <c r="E582" i="1"/>
  <c r="F582" i="1"/>
  <c r="G582" i="1"/>
  <c r="I582" i="1"/>
  <c r="J582" i="1"/>
  <c r="K582" i="1"/>
  <c r="A583" i="1"/>
  <c r="C583" i="1"/>
  <c r="D583" i="1"/>
  <c r="E583" i="1"/>
  <c r="F583" i="1"/>
  <c r="G583" i="1"/>
  <c r="I583" i="1"/>
  <c r="J583" i="1"/>
  <c r="K583" i="1"/>
  <c r="A584" i="1"/>
  <c r="C584" i="1"/>
  <c r="D584" i="1"/>
  <c r="E584" i="1"/>
  <c r="F584" i="1"/>
  <c r="G584" i="1"/>
  <c r="I584" i="1"/>
  <c r="J584" i="1"/>
  <c r="K584" i="1"/>
  <c r="A585" i="1"/>
  <c r="C585" i="1"/>
  <c r="D585" i="1"/>
  <c r="E585" i="1"/>
  <c r="F585" i="1"/>
  <c r="G585" i="1"/>
  <c r="I585" i="1"/>
  <c r="J585" i="1"/>
  <c r="K585" i="1"/>
  <c r="A586" i="1"/>
  <c r="C586" i="1"/>
  <c r="D586" i="1"/>
  <c r="E586" i="1"/>
  <c r="F586" i="1"/>
  <c r="G586" i="1"/>
  <c r="I586" i="1"/>
  <c r="J586" i="1"/>
  <c r="K586" i="1"/>
  <c r="A587" i="1"/>
  <c r="C587" i="1"/>
  <c r="D587" i="1"/>
  <c r="E587" i="1"/>
  <c r="F587" i="1"/>
  <c r="G587" i="1"/>
  <c r="I587" i="1"/>
  <c r="J587" i="1"/>
  <c r="K587" i="1"/>
  <c r="A588" i="1"/>
  <c r="C588" i="1"/>
  <c r="D588" i="1"/>
  <c r="E588" i="1"/>
  <c r="F588" i="1"/>
  <c r="G588" i="1"/>
  <c r="I588" i="1"/>
  <c r="J588" i="1"/>
  <c r="K588" i="1"/>
  <c r="A589" i="1"/>
  <c r="C589" i="1"/>
  <c r="D589" i="1"/>
  <c r="E589" i="1"/>
  <c r="F589" i="1"/>
  <c r="G589" i="1"/>
  <c r="I589" i="1"/>
  <c r="J589" i="1"/>
  <c r="K589" i="1"/>
  <c r="A590" i="1"/>
  <c r="C590" i="1"/>
  <c r="D590" i="1"/>
  <c r="E590" i="1"/>
  <c r="F590" i="1"/>
  <c r="G590" i="1"/>
  <c r="I590" i="1"/>
  <c r="J590" i="1"/>
  <c r="K590" i="1"/>
  <c r="A591" i="1"/>
  <c r="C591" i="1"/>
  <c r="D591" i="1"/>
  <c r="E591" i="1"/>
  <c r="F591" i="1"/>
  <c r="G591" i="1"/>
  <c r="I591" i="1"/>
  <c r="J591" i="1"/>
  <c r="K591" i="1"/>
  <c r="A592" i="1"/>
  <c r="C592" i="1"/>
  <c r="D592" i="1"/>
  <c r="E592" i="1"/>
  <c r="F592" i="1"/>
  <c r="G592" i="1"/>
  <c r="I592" i="1"/>
  <c r="J592" i="1"/>
  <c r="K592" i="1"/>
  <c r="A593" i="1"/>
  <c r="C593" i="1"/>
  <c r="D593" i="1"/>
  <c r="E593" i="1"/>
  <c r="F593" i="1"/>
  <c r="G593" i="1"/>
  <c r="I593" i="1"/>
  <c r="J593" i="1"/>
  <c r="K593" i="1"/>
  <c r="A594" i="1"/>
  <c r="C594" i="1"/>
  <c r="D594" i="1"/>
  <c r="E594" i="1"/>
  <c r="F594" i="1"/>
  <c r="G594" i="1"/>
  <c r="I594" i="1"/>
  <c r="J594" i="1"/>
  <c r="K594" i="1"/>
  <c r="A595" i="1"/>
  <c r="C595" i="1"/>
  <c r="D595" i="1"/>
  <c r="E595" i="1"/>
  <c r="F595" i="1"/>
  <c r="G595" i="1"/>
  <c r="I595" i="1"/>
  <c r="J595" i="1"/>
  <c r="K595" i="1"/>
  <c r="A596" i="1"/>
  <c r="C596" i="1"/>
  <c r="D596" i="1"/>
  <c r="E596" i="1"/>
  <c r="F596" i="1"/>
  <c r="G596" i="1"/>
  <c r="I596" i="1"/>
  <c r="J596" i="1"/>
  <c r="K596" i="1"/>
  <c r="A597" i="1"/>
  <c r="C597" i="1"/>
  <c r="D597" i="1"/>
  <c r="E597" i="1"/>
  <c r="F597" i="1"/>
  <c r="G597" i="1"/>
  <c r="I597" i="1"/>
  <c r="J597" i="1"/>
  <c r="K597" i="1"/>
  <c r="A598" i="1"/>
  <c r="C598" i="1"/>
  <c r="D598" i="1"/>
  <c r="E598" i="1"/>
  <c r="F598" i="1"/>
  <c r="G598" i="1"/>
  <c r="I598" i="1"/>
  <c r="J598" i="1"/>
  <c r="K598" i="1"/>
  <c r="A599" i="1"/>
  <c r="C599" i="1"/>
  <c r="D599" i="1"/>
  <c r="E599" i="1"/>
  <c r="F599" i="1"/>
  <c r="G599" i="1"/>
  <c r="I599" i="1"/>
  <c r="J599" i="1"/>
  <c r="K599" i="1"/>
  <c r="A600" i="1"/>
  <c r="C600" i="1"/>
  <c r="D600" i="1"/>
  <c r="E600" i="1"/>
  <c r="F600" i="1"/>
  <c r="G600" i="1"/>
  <c r="I600" i="1"/>
  <c r="J600" i="1"/>
  <c r="K600" i="1"/>
  <c r="A601" i="1"/>
  <c r="C601" i="1"/>
  <c r="D601" i="1"/>
  <c r="E601" i="1"/>
  <c r="F601" i="1"/>
  <c r="G601" i="1"/>
  <c r="I601" i="1"/>
  <c r="J601" i="1"/>
  <c r="K601" i="1"/>
  <c r="A602" i="1"/>
  <c r="C602" i="1"/>
  <c r="D602" i="1"/>
  <c r="E602" i="1"/>
  <c r="F602" i="1"/>
  <c r="G602" i="1"/>
  <c r="I602" i="1"/>
  <c r="J602" i="1"/>
  <c r="K602" i="1"/>
  <c r="A603" i="1"/>
  <c r="C603" i="1"/>
  <c r="D603" i="1"/>
  <c r="E603" i="1"/>
  <c r="F603" i="1"/>
  <c r="G603" i="1"/>
  <c r="I603" i="1"/>
  <c r="J603" i="1"/>
  <c r="K603" i="1"/>
  <c r="A604" i="1"/>
  <c r="C604" i="1"/>
  <c r="D604" i="1"/>
  <c r="E604" i="1"/>
  <c r="F604" i="1"/>
  <c r="G604" i="1"/>
  <c r="I604" i="1"/>
  <c r="J604" i="1"/>
  <c r="K604" i="1"/>
  <c r="A605" i="1"/>
  <c r="C605" i="1"/>
  <c r="D605" i="1"/>
  <c r="E605" i="1"/>
  <c r="F605" i="1"/>
  <c r="G605" i="1"/>
  <c r="I605" i="1"/>
  <c r="J605" i="1"/>
  <c r="K605" i="1"/>
  <c r="A606" i="1"/>
  <c r="C606" i="1"/>
  <c r="D606" i="1"/>
  <c r="E606" i="1"/>
  <c r="F606" i="1"/>
  <c r="G606" i="1"/>
  <c r="I606" i="1"/>
  <c r="J606" i="1"/>
  <c r="K606" i="1"/>
  <c r="A607" i="1"/>
  <c r="C607" i="1"/>
  <c r="D607" i="1"/>
  <c r="E607" i="1"/>
  <c r="F607" i="1"/>
  <c r="G607" i="1"/>
  <c r="I607" i="1"/>
  <c r="J607" i="1"/>
  <c r="K607" i="1"/>
  <c r="A608" i="1"/>
  <c r="C608" i="1"/>
  <c r="D608" i="1"/>
  <c r="E608" i="1"/>
  <c r="F608" i="1"/>
  <c r="G608" i="1"/>
  <c r="I608" i="1"/>
  <c r="J608" i="1"/>
  <c r="K608" i="1"/>
  <c r="A609" i="1"/>
  <c r="C609" i="1"/>
  <c r="D609" i="1"/>
  <c r="E609" i="1"/>
  <c r="F609" i="1"/>
  <c r="G609" i="1"/>
  <c r="I609" i="1"/>
  <c r="J609" i="1"/>
  <c r="K609" i="1"/>
  <c r="A610" i="1"/>
  <c r="C610" i="1"/>
  <c r="D610" i="1"/>
  <c r="E610" i="1"/>
  <c r="F610" i="1"/>
  <c r="G610" i="1"/>
  <c r="I610" i="1"/>
  <c r="J610" i="1"/>
  <c r="K610" i="1"/>
  <c r="A611" i="1"/>
  <c r="C611" i="1"/>
  <c r="D611" i="1"/>
  <c r="E611" i="1"/>
  <c r="F611" i="1"/>
  <c r="G611" i="1"/>
  <c r="I611" i="1"/>
  <c r="J611" i="1"/>
  <c r="K611" i="1"/>
  <c r="A612" i="1"/>
  <c r="C612" i="1"/>
  <c r="D612" i="1"/>
  <c r="E612" i="1"/>
  <c r="F612" i="1"/>
  <c r="G612" i="1"/>
  <c r="I612" i="1"/>
  <c r="J612" i="1"/>
  <c r="K612" i="1"/>
  <c r="A613" i="1"/>
  <c r="C613" i="1"/>
  <c r="D613" i="1"/>
  <c r="E613" i="1"/>
  <c r="F613" i="1"/>
  <c r="G613" i="1"/>
  <c r="I613" i="1"/>
  <c r="J613" i="1"/>
  <c r="K613" i="1"/>
  <c r="A614" i="1"/>
  <c r="C614" i="1"/>
  <c r="D614" i="1"/>
  <c r="E614" i="1"/>
  <c r="F614" i="1"/>
  <c r="G614" i="1"/>
  <c r="I614" i="1"/>
  <c r="J614" i="1"/>
  <c r="K614" i="1"/>
  <c r="A615" i="1"/>
  <c r="C615" i="1"/>
  <c r="D615" i="1"/>
  <c r="E615" i="1"/>
  <c r="F615" i="1"/>
  <c r="G615" i="1"/>
  <c r="I615" i="1"/>
  <c r="J615" i="1"/>
  <c r="K615" i="1"/>
  <c r="A616" i="1"/>
  <c r="C616" i="1"/>
  <c r="D616" i="1"/>
  <c r="E616" i="1"/>
  <c r="F616" i="1"/>
  <c r="G616" i="1"/>
  <c r="I616" i="1"/>
  <c r="J616" i="1"/>
  <c r="K616" i="1"/>
  <c r="A617" i="1"/>
  <c r="C617" i="1"/>
  <c r="D617" i="1"/>
  <c r="E617" i="1"/>
  <c r="F617" i="1"/>
  <c r="G617" i="1"/>
  <c r="I617" i="1"/>
  <c r="J617" i="1"/>
  <c r="K617" i="1"/>
  <c r="A618" i="1"/>
  <c r="C618" i="1"/>
  <c r="D618" i="1"/>
  <c r="E618" i="1"/>
  <c r="F618" i="1"/>
  <c r="G618" i="1"/>
  <c r="I618" i="1"/>
  <c r="J618" i="1"/>
  <c r="K618" i="1"/>
  <c r="A619" i="1"/>
  <c r="C619" i="1"/>
  <c r="D619" i="1"/>
  <c r="E619" i="1"/>
  <c r="F619" i="1"/>
  <c r="G619" i="1"/>
  <c r="I619" i="1"/>
  <c r="J619" i="1"/>
  <c r="K619" i="1"/>
  <c r="A620" i="1"/>
  <c r="C620" i="1"/>
  <c r="D620" i="1"/>
  <c r="E620" i="1"/>
  <c r="F620" i="1"/>
  <c r="G620" i="1"/>
  <c r="I620" i="1"/>
  <c r="J620" i="1"/>
  <c r="K620" i="1"/>
  <c r="A621" i="1"/>
  <c r="C621" i="1"/>
  <c r="D621" i="1"/>
  <c r="E621" i="1"/>
  <c r="F621" i="1"/>
  <c r="G621" i="1"/>
  <c r="I621" i="1"/>
  <c r="J621" i="1"/>
  <c r="K621" i="1"/>
  <c r="A622" i="1"/>
  <c r="C622" i="1"/>
  <c r="D622" i="1"/>
  <c r="E622" i="1"/>
  <c r="F622" i="1"/>
  <c r="G622" i="1"/>
  <c r="I622" i="1"/>
  <c r="J622" i="1"/>
  <c r="K622" i="1"/>
  <c r="A623" i="1"/>
  <c r="C623" i="1"/>
  <c r="D623" i="1"/>
  <c r="E623" i="1"/>
  <c r="F623" i="1"/>
  <c r="G623" i="1"/>
  <c r="I623" i="1"/>
  <c r="J623" i="1"/>
  <c r="K623" i="1"/>
  <c r="A624" i="1"/>
  <c r="C624" i="1"/>
  <c r="D624" i="1"/>
  <c r="E624" i="1"/>
  <c r="F624" i="1"/>
  <c r="G624" i="1"/>
  <c r="I624" i="1"/>
  <c r="J624" i="1"/>
  <c r="K624" i="1"/>
  <c r="A625" i="1"/>
  <c r="C625" i="1"/>
  <c r="D625" i="1"/>
  <c r="E625" i="1"/>
  <c r="F625" i="1"/>
  <c r="G625" i="1"/>
  <c r="I625" i="1"/>
  <c r="J625" i="1"/>
  <c r="K625" i="1"/>
  <c r="A626" i="1"/>
  <c r="C626" i="1"/>
  <c r="D626" i="1"/>
  <c r="E626" i="1"/>
  <c r="F626" i="1"/>
  <c r="G626" i="1"/>
  <c r="I626" i="1"/>
  <c r="J626" i="1"/>
  <c r="K626" i="1"/>
  <c r="A627" i="1"/>
  <c r="C627" i="1"/>
  <c r="D627" i="1"/>
  <c r="E627" i="1"/>
  <c r="F627" i="1"/>
  <c r="G627" i="1"/>
  <c r="I627" i="1"/>
  <c r="J627" i="1"/>
  <c r="K627" i="1"/>
  <c r="A628" i="1"/>
  <c r="C628" i="1"/>
  <c r="D628" i="1"/>
  <c r="E628" i="1"/>
  <c r="F628" i="1"/>
  <c r="G628" i="1"/>
  <c r="I628" i="1"/>
  <c r="J628" i="1"/>
  <c r="K628" i="1"/>
  <c r="A629" i="1"/>
  <c r="C629" i="1"/>
  <c r="D629" i="1"/>
  <c r="E629" i="1"/>
  <c r="F629" i="1"/>
  <c r="G629" i="1"/>
  <c r="I629" i="1"/>
  <c r="J629" i="1"/>
  <c r="K629" i="1"/>
  <c r="A630" i="1"/>
  <c r="C630" i="1"/>
  <c r="D630" i="1"/>
  <c r="E630" i="1"/>
  <c r="F630" i="1"/>
  <c r="G630" i="1"/>
  <c r="I630" i="1"/>
  <c r="J630" i="1"/>
  <c r="K630" i="1"/>
  <c r="A631" i="1"/>
  <c r="C631" i="1"/>
  <c r="D631" i="1"/>
  <c r="E631" i="1"/>
  <c r="F631" i="1"/>
  <c r="G631" i="1"/>
  <c r="I631" i="1"/>
  <c r="J631" i="1"/>
  <c r="K631" i="1"/>
  <c r="A632" i="1"/>
  <c r="C632" i="1"/>
  <c r="D632" i="1"/>
  <c r="E632" i="1"/>
  <c r="F632" i="1"/>
  <c r="G632" i="1"/>
  <c r="I632" i="1"/>
  <c r="J632" i="1"/>
  <c r="K632" i="1"/>
  <c r="A633" i="1"/>
  <c r="C633" i="1"/>
  <c r="D633" i="1"/>
  <c r="E633" i="1"/>
  <c r="F633" i="1"/>
  <c r="G633" i="1"/>
  <c r="I633" i="1"/>
  <c r="J633" i="1"/>
  <c r="K633" i="1"/>
  <c r="A634" i="1"/>
  <c r="C634" i="1"/>
  <c r="D634" i="1"/>
  <c r="E634" i="1"/>
  <c r="F634" i="1"/>
  <c r="G634" i="1"/>
  <c r="I634" i="1"/>
  <c r="J634" i="1"/>
  <c r="K634" i="1"/>
  <c r="A635" i="1"/>
  <c r="C635" i="1"/>
  <c r="D635" i="1"/>
  <c r="E635" i="1"/>
  <c r="F635" i="1"/>
  <c r="G635" i="1"/>
  <c r="I635" i="1"/>
  <c r="J635" i="1"/>
  <c r="K635" i="1"/>
  <c r="A636" i="1"/>
  <c r="C636" i="1"/>
  <c r="D636" i="1"/>
  <c r="E636" i="1"/>
  <c r="F636" i="1"/>
  <c r="G636" i="1"/>
  <c r="I636" i="1"/>
  <c r="J636" i="1"/>
  <c r="K636" i="1"/>
  <c r="A637" i="1"/>
  <c r="C637" i="1"/>
  <c r="D637" i="1"/>
  <c r="E637" i="1"/>
  <c r="F637" i="1"/>
  <c r="G637" i="1"/>
  <c r="I637" i="1"/>
  <c r="J637" i="1"/>
  <c r="K637" i="1"/>
  <c r="A638" i="1"/>
  <c r="C638" i="1"/>
  <c r="D638" i="1"/>
  <c r="E638" i="1"/>
  <c r="F638" i="1"/>
  <c r="G638" i="1"/>
  <c r="I638" i="1"/>
  <c r="J638" i="1"/>
  <c r="K638" i="1"/>
  <c r="A639" i="1"/>
  <c r="C639" i="1"/>
  <c r="D639" i="1"/>
  <c r="E639" i="1"/>
  <c r="F639" i="1"/>
  <c r="G639" i="1"/>
  <c r="I639" i="1"/>
  <c r="J639" i="1"/>
  <c r="K639" i="1"/>
  <c r="A640" i="1"/>
  <c r="C640" i="1"/>
  <c r="D640" i="1"/>
  <c r="E640" i="1"/>
  <c r="F640" i="1"/>
  <c r="G640" i="1"/>
  <c r="I640" i="1"/>
  <c r="J640" i="1"/>
  <c r="K640" i="1"/>
  <c r="A641" i="1"/>
  <c r="C641" i="1"/>
  <c r="D641" i="1"/>
  <c r="E641" i="1"/>
  <c r="F641" i="1"/>
  <c r="G641" i="1"/>
  <c r="I641" i="1"/>
  <c r="J641" i="1"/>
  <c r="K641" i="1"/>
  <c r="A642" i="1"/>
  <c r="C642" i="1"/>
  <c r="D642" i="1"/>
  <c r="E642" i="1"/>
  <c r="F642" i="1"/>
  <c r="G642" i="1"/>
  <c r="I642" i="1"/>
  <c r="J642" i="1"/>
  <c r="K642" i="1"/>
  <c r="A643" i="1"/>
  <c r="C643" i="1"/>
  <c r="D643" i="1"/>
  <c r="E643" i="1"/>
  <c r="F643" i="1"/>
  <c r="G643" i="1"/>
  <c r="I643" i="1"/>
  <c r="J643" i="1"/>
  <c r="K643" i="1"/>
  <c r="A644" i="1"/>
  <c r="C644" i="1"/>
  <c r="D644" i="1"/>
  <c r="E644" i="1"/>
  <c r="F644" i="1"/>
  <c r="G644" i="1"/>
  <c r="I644" i="1"/>
  <c r="J644" i="1"/>
  <c r="K644" i="1"/>
  <c r="A645" i="1"/>
  <c r="C645" i="1"/>
  <c r="D645" i="1"/>
  <c r="E645" i="1"/>
  <c r="F645" i="1"/>
  <c r="G645" i="1"/>
  <c r="I645" i="1"/>
  <c r="J645" i="1"/>
  <c r="K645" i="1"/>
  <c r="A646" i="1"/>
  <c r="C646" i="1"/>
  <c r="D646" i="1"/>
  <c r="E646" i="1"/>
  <c r="F646" i="1"/>
  <c r="G646" i="1"/>
  <c r="I646" i="1"/>
  <c r="J646" i="1"/>
  <c r="K646" i="1"/>
  <c r="A647" i="1"/>
  <c r="C647" i="1"/>
  <c r="D647" i="1"/>
  <c r="E647" i="1"/>
  <c r="F647" i="1"/>
  <c r="G647" i="1"/>
  <c r="I647" i="1"/>
  <c r="J647" i="1"/>
  <c r="K647" i="1"/>
  <c r="A648" i="1"/>
  <c r="C648" i="1"/>
  <c r="D648" i="1"/>
  <c r="E648" i="1"/>
  <c r="F648" i="1"/>
  <c r="G648" i="1"/>
  <c r="I648" i="1"/>
  <c r="J648" i="1"/>
  <c r="K648" i="1"/>
  <c r="A649" i="1"/>
  <c r="C649" i="1"/>
  <c r="D649" i="1"/>
  <c r="E649" i="1"/>
  <c r="F649" i="1"/>
  <c r="G649" i="1"/>
  <c r="I649" i="1"/>
  <c r="J649" i="1"/>
  <c r="K649" i="1"/>
  <c r="A650" i="1"/>
  <c r="C650" i="1"/>
  <c r="D650" i="1"/>
  <c r="E650" i="1"/>
  <c r="F650" i="1"/>
  <c r="G650" i="1"/>
  <c r="I650" i="1"/>
  <c r="J650" i="1"/>
  <c r="K650" i="1"/>
  <c r="A651" i="1"/>
  <c r="C651" i="1"/>
  <c r="D651" i="1"/>
  <c r="E651" i="1"/>
  <c r="F651" i="1"/>
  <c r="G651" i="1"/>
  <c r="I651" i="1"/>
  <c r="J651" i="1"/>
  <c r="K651" i="1"/>
  <c r="A652" i="1"/>
  <c r="C652" i="1"/>
  <c r="D652" i="1"/>
  <c r="E652" i="1"/>
  <c r="F652" i="1"/>
  <c r="G652" i="1"/>
  <c r="I652" i="1"/>
  <c r="J652" i="1"/>
  <c r="K652" i="1"/>
  <c r="A653" i="1"/>
  <c r="C653" i="1"/>
  <c r="D653" i="1"/>
  <c r="E653" i="1"/>
  <c r="F653" i="1"/>
  <c r="G653" i="1"/>
  <c r="I653" i="1"/>
  <c r="J653" i="1"/>
  <c r="K653" i="1"/>
  <c r="A654" i="1"/>
  <c r="C654" i="1"/>
  <c r="D654" i="1"/>
  <c r="E654" i="1"/>
  <c r="F654" i="1"/>
  <c r="G654" i="1"/>
  <c r="I654" i="1"/>
  <c r="J654" i="1"/>
  <c r="K654" i="1"/>
  <c r="A655" i="1"/>
  <c r="C655" i="1"/>
  <c r="D655" i="1"/>
  <c r="E655" i="1"/>
  <c r="F655" i="1"/>
  <c r="G655" i="1"/>
  <c r="I655" i="1"/>
  <c r="J655" i="1"/>
  <c r="K655" i="1"/>
  <c r="A656" i="1"/>
  <c r="C656" i="1"/>
  <c r="D656" i="1"/>
  <c r="E656" i="1"/>
  <c r="F656" i="1"/>
  <c r="G656" i="1"/>
  <c r="I656" i="1"/>
  <c r="J656" i="1"/>
  <c r="K656" i="1"/>
  <c r="A657" i="1"/>
  <c r="C657" i="1"/>
  <c r="D657" i="1"/>
  <c r="E657" i="1"/>
  <c r="F657" i="1"/>
  <c r="G657" i="1"/>
  <c r="I657" i="1"/>
  <c r="J657" i="1"/>
  <c r="K657" i="1"/>
  <c r="A658" i="1"/>
  <c r="C658" i="1"/>
  <c r="D658" i="1"/>
  <c r="E658" i="1"/>
  <c r="F658" i="1"/>
  <c r="G658" i="1"/>
  <c r="I658" i="1"/>
  <c r="J658" i="1"/>
  <c r="K658" i="1"/>
  <c r="A659" i="1"/>
  <c r="C659" i="1"/>
  <c r="D659" i="1"/>
  <c r="E659" i="1"/>
  <c r="F659" i="1"/>
  <c r="G659" i="1"/>
  <c r="I659" i="1"/>
  <c r="J659" i="1"/>
  <c r="K659" i="1"/>
  <c r="A660" i="1"/>
  <c r="C660" i="1"/>
  <c r="D660" i="1"/>
  <c r="E660" i="1"/>
  <c r="F660" i="1"/>
  <c r="G660" i="1"/>
  <c r="I660" i="1"/>
  <c r="J660" i="1"/>
  <c r="K660" i="1"/>
  <c r="A661" i="1"/>
  <c r="C661" i="1"/>
  <c r="D661" i="1"/>
  <c r="E661" i="1"/>
  <c r="F661" i="1"/>
  <c r="G661" i="1"/>
  <c r="I661" i="1"/>
  <c r="J661" i="1"/>
  <c r="K661" i="1"/>
  <c r="A662" i="1"/>
  <c r="C662" i="1"/>
  <c r="D662" i="1"/>
  <c r="E662" i="1"/>
  <c r="F662" i="1"/>
  <c r="G662" i="1"/>
  <c r="I662" i="1"/>
  <c r="J662" i="1"/>
  <c r="K662" i="1"/>
  <c r="A663" i="1"/>
  <c r="C663" i="1"/>
  <c r="D663" i="1"/>
  <c r="E663" i="1"/>
  <c r="F663" i="1"/>
  <c r="G663" i="1"/>
  <c r="I663" i="1"/>
  <c r="J663" i="1"/>
  <c r="K663" i="1"/>
  <c r="A664" i="1"/>
  <c r="C664" i="1"/>
  <c r="D664" i="1"/>
  <c r="E664" i="1"/>
  <c r="F664" i="1"/>
  <c r="G664" i="1"/>
  <c r="I664" i="1"/>
  <c r="J664" i="1"/>
  <c r="K664" i="1"/>
  <c r="A665" i="1"/>
  <c r="C665" i="1"/>
  <c r="D665" i="1"/>
  <c r="E665" i="1"/>
  <c r="F665" i="1"/>
  <c r="G665" i="1"/>
  <c r="I665" i="1"/>
  <c r="J665" i="1"/>
  <c r="K665" i="1"/>
  <c r="A666" i="1"/>
  <c r="C666" i="1"/>
  <c r="D666" i="1"/>
  <c r="E666" i="1"/>
  <c r="F666" i="1"/>
  <c r="G666" i="1"/>
  <c r="I666" i="1"/>
  <c r="J666" i="1"/>
  <c r="K666" i="1"/>
  <c r="A667" i="1"/>
  <c r="C667" i="1"/>
  <c r="D667" i="1"/>
  <c r="E667" i="1"/>
  <c r="F667" i="1"/>
  <c r="G667" i="1"/>
  <c r="I667" i="1"/>
  <c r="J667" i="1"/>
  <c r="K667" i="1"/>
  <c r="A668" i="1"/>
  <c r="C668" i="1"/>
  <c r="D668" i="1"/>
  <c r="E668" i="1"/>
  <c r="F668" i="1"/>
  <c r="G668" i="1"/>
  <c r="I668" i="1"/>
  <c r="J668" i="1"/>
  <c r="K668" i="1"/>
  <c r="A669" i="1"/>
  <c r="C669" i="1"/>
  <c r="D669" i="1"/>
  <c r="E669" i="1"/>
  <c r="F669" i="1"/>
  <c r="G669" i="1"/>
  <c r="I669" i="1"/>
  <c r="J669" i="1"/>
  <c r="K669" i="1"/>
  <c r="A670" i="1"/>
  <c r="C670" i="1"/>
  <c r="D670" i="1"/>
  <c r="E670" i="1"/>
  <c r="F670" i="1"/>
  <c r="G670" i="1"/>
  <c r="I670" i="1"/>
  <c r="J670" i="1"/>
  <c r="K670" i="1"/>
  <c r="A671" i="1"/>
  <c r="C671" i="1"/>
  <c r="D671" i="1"/>
  <c r="E671" i="1"/>
  <c r="F671" i="1"/>
  <c r="G671" i="1"/>
  <c r="I671" i="1"/>
  <c r="J671" i="1"/>
  <c r="K671" i="1"/>
  <c r="A672" i="1"/>
  <c r="C672" i="1"/>
  <c r="D672" i="1"/>
  <c r="E672" i="1"/>
  <c r="F672" i="1"/>
  <c r="G672" i="1"/>
  <c r="I672" i="1"/>
  <c r="J672" i="1"/>
  <c r="K672" i="1"/>
  <c r="A673" i="1"/>
  <c r="C673" i="1"/>
  <c r="D673" i="1"/>
  <c r="E673" i="1"/>
  <c r="F673" i="1"/>
  <c r="G673" i="1"/>
  <c r="I673" i="1"/>
  <c r="J673" i="1"/>
  <c r="K673" i="1"/>
  <c r="A674" i="1"/>
  <c r="C674" i="1"/>
  <c r="D674" i="1"/>
  <c r="E674" i="1"/>
  <c r="F674" i="1"/>
  <c r="G674" i="1"/>
  <c r="I674" i="1"/>
  <c r="J674" i="1"/>
  <c r="K674" i="1"/>
  <c r="A675" i="1"/>
  <c r="C675" i="1"/>
  <c r="D675" i="1"/>
  <c r="E675" i="1"/>
  <c r="F675" i="1"/>
  <c r="G675" i="1"/>
  <c r="I675" i="1"/>
  <c r="J675" i="1"/>
  <c r="K675" i="1"/>
  <c r="A676" i="1"/>
  <c r="C676" i="1"/>
  <c r="D676" i="1"/>
  <c r="E676" i="1"/>
  <c r="F676" i="1"/>
  <c r="G676" i="1"/>
  <c r="I676" i="1"/>
  <c r="J676" i="1"/>
  <c r="K676" i="1"/>
  <c r="A677" i="1"/>
  <c r="C677" i="1"/>
  <c r="D677" i="1"/>
  <c r="E677" i="1"/>
  <c r="F677" i="1"/>
  <c r="G677" i="1"/>
  <c r="I677" i="1"/>
  <c r="J677" i="1"/>
  <c r="K677" i="1"/>
  <c r="A678" i="1"/>
  <c r="C678" i="1"/>
  <c r="D678" i="1"/>
  <c r="E678" i="1"/>
  <c r="F678" i="1"/>
  <c r="G678" i="1"/>
  <c r="I678" i="1"/>
  <c r="J678" i="1"/>
  <c r="K678" i="1"/>
  <c r="A679" i="1"/>
  <c r="C679" i="1"/>
  <c r="D679" i="1"/>
  <c r="E679" i="1"/>
  <c r="F679" i="1"/>
  <c r="G679" i="1"/>
  <c r="I679" i="1"/>
  <c r="J679" i="1"/>
  <c r="K679" i="1"/>
  <c r="A680" i="1"/>
  <c r="C680" i="1"/>
  <c r="D680" i="1"/>
  <c r="E680" i="1"/>
  <c r="F680" i="1"/>
  <c r="G680" i="1"/>
  <c r="I680" i="1"/>
  <c r="J680" i="1"/>
  <c r="K680" i="1"/>
  <c r="A681" i="1"/>
  <c r="C681" i="1"/>
  <c r="D681" i="1"/>
  <c r="E681" i="1"/>
  <c r="F681" i="1"/>
  <c r="G681" i="1"/>
  <c r="I681" i="1"/>
  <c r="J681" i="1"/>
  <c r="K681" i="1"/>
  <c r="A682" i="1"/>
  <c r="C682" i="1"/>
  <c r="D682" i="1"/>
  <c r="E682" i="1"/>
  <c r="F682" i="1"/>
  <c r="G682" i="1"/>
  <c r="I682" i="1"/>
  <c r="J682" i="1"/>
  <c r="K682" i="1"/>
  <c r="A683" i="1"/>
  <c r="C683" i="1"/>
  <c r="D683" i="1"/>
  <c r="E683" i="1"/>
  <c r="F683" i="1"/>
  <c r="G683" i="1"/>
  <c r="I683" i="1"/>
  <c r="J683" i="1"/>
  <c r="K683" i="1"/>
  <c r="A684" i="1"/>
  <c r="C684" i="1"/>
  <c r="D684" i="1"/>
  <c r="E684" i="1"/>
  <c r="F684" i="1"/>
  <c r="G684" i="1"/>
  <c r="I684" i="1"/>
  <c r="J684" i="1"/>
  <c r="K684" i="1"/>
  <c r="A685" i="1"/>
  <c r="C685" i="1"/>
  <c r="D685" i="1"/>
  <c r="E685" i="1"/>
  <c r="F685" i="1"/>
  <c r="G685" i="1"/>
  <c r="I685" i="1"/>
  <c r="J685" i="1"/>
  <c r="K685" i="1"/>
  <c r="A686" i="1"/>
  <c r="C686" i="1"/>
  <c r="D686" i="1"/>
  <c r="E686" i="1"/>
  <c r="F686" i="1"/>
  <c r="G686" i="1"/>
  <c r="I686" i="1"/>
  <c r="J686" i="1"/>
  <c r="K686" i="1"/>
  <c r="A687" i="1"/>
  <c r="C687" i="1"/>
  <c r="D687" i="1"/>
  <c r="E687" i="1"/>
  <c r="F687" i="1"/>
  <c r="G687" i="1"/>
  <c r="I687" i="1"/>
  <c r="J687" i="1"/>
  <c r="K687" i="1"/>
  <c r="A688" i="1"/>
  <c r="C688" i="1"/>
  <c r="D688" i="1"/>
  <c r="E688" i="1"/>
  <c r="F688" i="1"/>
  <c r="G688" i="1"/>
  <c r="I688" i="1"/>
  <c r="J688" i="1"/>
  <c r="K688" i="1"/>
  <c r="A689" i="1"/>
  <c r="C689" i="1"/>
  <c r="D689" i="1"/>
  <c r="E689" i="1"/>
  <c r="F689" i="1"/>
  <c r="G689" i="1"/>
  <c r="I689" i="1"/>
  <c r="J689" i="1"/>
  <c r="K689" i="1"/>
  <c r="A690" i="1"/>
  <c r="C690" i="1"/>
  <c r="D690" i="1"/>
  <c r="E690" i="1"/>
  <c r="F690" i="1"/>
  <c r="G690" i="1"/>
  <c r="I690" i="1"/>
  <c r="J690" i="1"/>
  <c r="K690" i="1"/>
  <c r="A691" i="1"/>
  <c r="C691" i="1"/>
  <c r="D691" i="1"/>
  <c r="E691" i="1"/>
  <c r="F691" i="1"/>
  <c r="G691" i="1"/>
  <c r="I691" i="1"/>
  <c r="J691" i="1"/>
  <c r="K691" i="1"/>
  <c r="A692" i="1"/>
  <c r="C692" i="1"/>
  <c r="D692" i="1"/>
  <c r="E692" i="1"/>
  <c r="F692" i="1"/>
  <c r="G692" i="1"/>
  <c r="I692" i="1"/>
  <c r="J692" i="1"/>
  <c r="K692" i="1"/>
  <c r="A693" i="1"/>
  <c r="C693" i="1"/>
  <c r="D693" i="1"/>
  <c r="E693" i="1"/>
  <c r="F693" i="1"/>
  <c r="G693" i="1"/>
  <c r="I693" i="1"/>
  <c r="J693" i="1"/>
  <c r="K693" i="1"/>
  <c r="A694" i="1"/>
  <c r="C694" i="1"/>
  <c r="D694" i="1"/>
  <c r="E694" i="1"/>
  <c r="F694" i="1"/>
  <c r="G694" i="1"/>
  <c r="I694" i="1"/>
  <c r="J694" i="1"/>
  <c r="K694" i="1"/>
  <c r="A695" i="1"/>
  <c r="C695" i="1"/>
  <c r="D695" i="1"/>
  <c r="E695" i="1"/>
  <c r="F695" i="1"/>
  <c r="G695" i="1"/>
  <c r="I695" i="1"/>
  <c r="J695" i="1"/>
  <c r="K695" i="1"/>
  <c r="A696" i="1"/>
  <c r="C696" i="1"/>
  <c r="D696" i="1"/>
  <c r="E696" i="1"/>
  <c r="F696" i="1"/>
  <c r="G696" i="1"/>
  <c r="I696" i="1"/>
  <c r="J696" i="1"/>
  <c r="K696" i="1"/>
  <c r="A697" i="1"/>
  <c r="C697" i="1"/>
  <c r="D697" i="1"/>
  <c r="E697" i="1"/>
  <c r="F697" i="1"/>
  <c r="G697" i="1"/>
  <c r="I697" i="1"/>
  <c r="J697" i="1"/>
  <c r="K697" i="1"/>
  <c r="A698" i="1"/>
  <c r="C698" i="1"/>
  <c r="D698" i="1"/>
  <c r="E698" i="1"/>
  <c r="F698" i="1"/>
  <c r="G698" i="1"/>
  <c r="I698" i="1"/>
  <c r="J698" i="1"/>
  <c r="K698" i="1"/>
  <c r="A699" i="1"/>
  <c r="C699" i="1"/>
  <c r="D699" i="1"/>
  <c r="E699" i="1"/>
  <c r="F699" i="1"/>
  <c r="G699" i="1"/>
  <c r="I699" i="1"/>
  <c r="J699" i="1"/>
  <c r="K699" i="1"/>
  <c r="A700" i="1"/>
  <c r="C700" i="1"/>
  <c r="D700" i="1"/>
  <c r="E700" i="1"/>
  <c r="F700" i="1"/>
  <c r="G700" i="1"/>
  <c r="I700" i="1"/>
  <c r="J700" i="1"/>
  <c r="K700" i="1"/>
  <c r="A701" i="1"/>
  <c r="C701" i="1"/>
  <c r="D701" i="1"/>
  <c r="E701" i="1"/>
  <c r="F701" i="1"/>
  <c r="G701" i="1"/>
  <c r="I701" i="1"/>
  <c r="J701" i="1"/>
  <c r="K701" i="1"/>
  <c r="A702" i="1"/>
  <c r="C702" i="1"/>
  <c r="D702" i="1"/>
  <c r="E702" i="1"/>
  <c r="F702" i="1"/>
  <c r="G702" i="1"/>
  <c r="I702" i="1"/>
  <c r="J702" i="1"/>
  <c r="K702" i="1"/>
  <c r="A703" i="1"/>
  <c r="C703" i="1"/>
  <c r="D703" i="1"/>
  <c r="E703" i="1"/>
  <c r="F703" i="1"/>
  <c r="G703" i="1"/>
  <c r="I703" i="1"/>
  <c r="J703" i="1"/>
  <c r="K703" i="1"/>
  <c r="A704" i="1"/>
  <c r="C704" i="1"/>
  <c r="D704" i="1"/>
  <c r="E704" i="1"/>
  <c r="F704" i="1"/>
  <c r="G704" i="1"/>
  <c r="I704" i="1"/>
  <c r="J704" i="1"/>
  <c r="K704" i="1"/>
  <c r="A705" i="1"/>
  <c r="C705" i="1"/>
  <c r="D705" i="1"/>
  <c r="E705" i="1"/>
  <c r="F705" i="1"/>
  <c r="G705" i="1"/>
  <c r="I705" i="1"/>
  <c r="J705" i="1"/>
  <c r="K705" i="1"/>
  <c r="A706" i="1"/>
  <c r="C706" i="1"/>
  <c r="D706" i="1"/>
  <c r="E706" i="1"/>
  <c r="F706" i="1"/>
  <c r="G706" i="1"/>
  <c r="I706" i="1"/>
  <c r="J706" i="1"/>
  <c r="K706" i="1"/>
  <c r="A707" i="1"/>
  <c r="C707" i="1"/>
  <c r="D707" i="1"/>
  <c r="E707" i="1"/>
  <c r="F707" i="1"/>
  <c r="G707" i="1"/>
  <c r="I707" i="1"/>
  <c r="J707" i="1"/>
  <c r="K707" i="1"/>
  <c r="A708" i="1"/>
  <c r="C708" i="1"/>
  <c r="D708" i="1"/>
  <c r="E708" i="1"/>
  <c r="F708" i="1"/>
  <c r="G708" i="1"/>
  <c r="I708" i="1"/>
  <c r="J708" i="1"/>
  <c r="K708" i="1"/>
  <c r="A709" i="1"/>
  <c r="C709" i="1"/>
  <c r="D709" i="1"/>
  <c r="E709" i="1"/>
  <c r="F709" i="1"/>
  <c r="G709" i="1"/>
  <c r="I709" i="1"/>
  <c r="J709" i="1"/>
  <c r="K709" i="1"/>
  <c r="A710" i="1"/>
  <c r="C710" i="1"/>
  <c r="D710" i="1"/>
  <c r="E710" i="1"/>
  <c r="F710" i="1"/>
  <c r="G710" i="1"/>
  <c r="I710" i="1"/>
  <c r="J710" i="1"/>
  <c r="K710" i="1"/>
  <c r="A711" i="1"/>
  <c r="C711" i="1"/>
  <c r="D711" i="1"/>
  <c r="E711" i="1"/>
  <c r="F711" i="1"/>
  <c r="G711" i="1"/>
  <c r="I711" i="1"/>
  <c r="J711" i="1"/>
  <c r="K711" i="1"/>
  <c r="A712" i="1"/>
  <c r="C712" i="1"/>
  <c r="D712" i="1"/>
  <c r="E712" i="1"/>
  <c r="F712" i="1"/>
  <c r="G712" i="1"/>
  <c r="I712" i="1"/>
  <c r="J712" i="1"/>
  <c r="K712" i="1"/>
  <c r="A713" i="1"/>
  <c r="C713" i="1"/>
  <c r="D713" i="1"/>
  <c r="E713" i="1"/>
  <c r="F713" i="1"/>
  <c r="G713" i="1"/>
  <c r="I713" i="1"/>
  <c r="J713" i="1"/>
  <c r="K713" i="1"/>
  <c r="A714" i="1"/>
  <c r="C714" i="1"/>
  <c r="D714" i="1"/>
  <c r="E714" i="1"/>
  <c r="F714" i="1"/>
  <c r="G714" i="1"/>
  <c r="I714" i="1"/>
  <c r="J714" i="1"/>
  <c r="K714" i="1"/>
  <c r="A715" i="1"/>
  <c r="C715" i="1"/>
  <c r="D715" i="1"/>
  <c r="E715" i="1"/>
  <c r="F715" i="1"/>
  <c r="G715" i="1"/>
  <c r="I715" i="1"/>
  <c r="J715" i="1"/>
  <c r="K715" i="1"/>
  <c r="A716" i="1"/>
  <c r="C716" i="1"/>
  <c r="D716" i="1"/>
  <c r="E716" i="1"/>
  <c r="F716" i="1"/>
  <c r="G716" i="1"/>
  <c r="I716" i="1"/>
  <c r="J716" i="1"/>
  <c r="K716" i="1"/>
  <c r="A717" i="1"/>
  <c r="C717" i="1"/>
  <c r="D717" i="1"/>
  <c r="E717" i="1"/>
  <c r="F717" i="1"/>
  <c r="G717" i="1"/>
  <c r="I717" i="1"/>
  <c r="J717" i="1"/>
  <c r="K717" i="1"/>
  <c r="A718" i="1"/>
  <c r="C718" i="1"/>
  <c r="D718" i="1"/>
  <c r="E718" i="1"/>
  <c r="F718" i="1"/>
  <c r="G718" i="1"/>
  <c r="I718" i="1"/>
  <c r="J718" i="1"/>
  <c r="K718" i="1"/>
  <c r="A719" i="1"/>
  <c r="C719" i="1"/>
  <c r="D719" i="1"/>
  <c r="E719" i="1"/>
  <c r="F719" i="1"/>
  <c r="G719" i="1"/>
  <c r="I719" i="1"/>
  <c r="J719" i="1"/>
  <c r="K719" i="1"/>
  <c r="A720" i="1"/>
  <c r="C720" i="1"/>
  <c r="D720" i="1"/>
  <c r="E720" i="1"/>
  <c r="F720" i="1"/>
  <c r="G720" i="1"/>
  <c r="I720" i="1"/>
  <c r="J720" i="1"/>
  <c r="K720" i="1"/>
  <c r="A721" i="1"/>
  <c r="C721" i="1"/>
  <c r="D721" i="1"/>
  <c r="E721" i="1"/>
  <c r="F721" i="1"/>
  <c r="G721" i="1"/>
  <c r="I721" i="1"/>
  <c r="J721" i="1"/>
  <c r="K721" i="1"/>
  <c r="A722" i="1"/>
  <c r="C722" i="1"/>
  <c r="D722" i="1"/>
  <c r="E722" i="1"/>
  <c r="F722" i="1"/>
  <c r="G722" i="1"/>
  <c r="I722" i="1"/>
  <c r="J722" i="1"/>
  <c r="K722" i="1"/>
  <c r="A723" i="1"/>
  <c r="C723" i="1"/>
  <c r="D723" i="1"/>
  <c r="E723" i="1"/>
  <c r="F723" i="1"/>
  <c r="G723" i="1"/>
  <c r="I723" i="1"/>
  <c r="J723" i="1"/>
  <c r="K723" i="1"/>
  <c r="A724" i="1"/>
  <c r="C724" i="1"/>
  <c r="D724" i="1"/>
  <c r="E724" i="1"/>
  <c r="F724" i="1"/>
  <c r="G724" i="1"/>
  <c r="I724" i="1"/>
  <c r="J724" i="1"/>
  <c r="K724" i="1"/>
  <c r="A725" i="1"/>
  <c r="C725" i="1"/>
  <c r="D725" i="1"/>
  <c r="E725" i="1"/>
  <c r="F725" i="1"/>
  <c r="G725" i="1"/>
  <c r="I725" i="1"/>
  <c r="J725" i="1"/>
  <c r="K725" i="1"/>
  <c r="A726" i="1"/>
  <c r="C726" i="1"/>
  <c r="D726" i="1"/>
  <c r="E726" i="1"/>
  <c r="F726" i="1"/>
  <c r="G726" i="1"/>
  <c r="I726" i="1"/>
  <c r="J726" i="1"/>
  <c r="K726" i="1"/>
  <c r="A727" i="1"/>
  <c r="C727" i="1"/>
  <c r="D727" i="1"/>
  <c r="E727" i="1"/>
  <c r="F727" i="1"/>
  <c r="G727" i="1"/>
  <c r="I727" i="1"/>
  <c r="J727" i="1"/>
  <c r="K727" i="1"/>
  <c r="A728" i="1"/>
  <c r="C728" i="1"/>
  <c r="D728" i="1"/>
  <c r="E728" i="1"/>
  <c r="F728" i="1"/>
  <c r="G728" i="1"/>
  <c r="I728" i="1"/>
  <c r="J728" i="1"/>
  <c r="K728" i="1"/>
  <c r="A729" i="1"/>
  <c r="C729" i="1"/>
  <c r="D729" i="1"/>
  <c r="E729" i="1"/>
  <c r="F729" i="1"/>
  <c r="G729" i="1"/>
  <c r="I729" i="1"/>
  <c r="J729" i="1"/>
  <c r="K729" i="1"/>
  <c r="A730" i="1"/>
  <c r="C730" i="1"/>
  <c r="D730" i="1"/>
  <c r="E730" i="1"/>
  <c r="F730" i="1"/>
  <c r="G730" i="1"/>
  <c r="I730" i="1"/>
  <c r="J730" i="1"/>
  <c r="K730" i="1"/>
  <c r="A731" i="1"/>
  <c r="C731" i="1"/>
  <c r="D731" i="1"/>
  <c r="E731" i="1"/>
  <c r="F731" i="1"/>
  <c r="G731" i="1"/>
  <c r="I731" i="1"/>
  <c r="J731" i="1"/>
  <c r="K731" i="1"/>
  <c r="A732" i="1"/>
  <c r="C732" i="1"/>
  <c r="D732" i="1"/>
  <c r="E732" i="1"/>
  <c r="F732" i="1"/>
  <c r="G732" i="1"/>
  <c r="I732" i="1"/>
  <c r="J732" i="1"/>
  <c r="K732" i="1"/>
  <c r="A733" i="1"/>
  <c r="C733" i="1"/>
  <c r="D733" i="1"/>
  <c r="E733" i="1"/>
  <c r="F733" i="1"/>
  <c r="G733" i="1"/>
  <c r="I733" i="1"/>
  <c r="J733" i="1"/>
  <c r="K733" i="1"/>
  <c r="A734" i="1"/>
  <c r="C734" i="1"/>
  <c r="D734" i="1"/>
  <c r="E734" i="1"/>
  <c r="F734" i="1"/>
  <c r="G734" i="1"/>
  <c r="I734" i="1"/>
  <c r="J734" i="1"/>
  <c r="K734" i="1"/>
  <c r="A735" i="1"/>
  <c r="C735" i="1"/>
  <c r="D735" i="1"/>
  <c r="E735" i="1"/>
  <c r="F735" i="1"/>
  <c r="G735" i="1"/>
  <c r="I735" i="1"/>
  <c r="J735" i="1"/>
  <c r="K735" i="1"/>
  <c r="A736" i="1"/>
  <c r="C736" i="1"/>
  <c r="D736" i="1"/>
  <c r="E736" i="1"/>
  <c r="F736" i="1"/>
  <c r="G736" i="1"/>
  <c r="I736" i="1"/>
  <c r="J736" i="1"/>
  <c r="K736" i="1"/>
  <c r="A737" i="1"/>
  <c r="C737" i="1"/>
  <c r="D737" i="1"/>
  <c r="E737" i="1"/>
  <c r="F737" i="1"/>
  <c r="G737" i="1"/>
  <c r="I737" i="1"/>
  <c r="J737" i="1"/>
  <c r="K737" i="1"/>
  <c r="A738" i="1"/>
  <c r="C738" i="1"/>
  <c r="D738" i="1"/>
  <c r="E738" i="1"/>
  <c r="F738" i="1"/>
  <c r="G738" i="1"/>
  <c r="I738" i="1"/>
  <c r="J738" i="1"/>
  <c r="K738" i="1"/>
  <c r="A739" i="1"/>
  <c r="C739" i="1"/>
  <c r="D739" i="1"/>
  <c r="E739" i="1"/>
  <c r="F739" i="1"/>
  <c r="G739" i="1"/>
  <c r="I739" i="1"/>
  <c r="J739" i="1"/>
  <c r="K739" i="1"/>
  <c r="A740" i="1"/>
  <c r="C740" i="1"/>
  <c r="D740" i="1"/>
  <c r="E740" i="1"/>
  <c r="F740" i="1"/>
  <c r="G740" i="1"/>
  <c r="I740" i="1"/>
  <c r="J740" i="1"/>
  <c r="K740" i="1"/>
  <c r="A741" i="1"/>
  <c r="C741" i="1"/>
  <c r="D741" i="1"/>
  <c r="E741" i="1"/>
  <c r="F741" i="1"/>
  <c r="G741" i="1"/>
  <c r="I741" i="1"/>
  <c r="J741" i="1"/>
  <c r="K741" i="1"/>
  <c r="A742" i="1"/>
  <c r="C742" i="1"/>
  <c r="D742" i="1"/>
  <c r="E742" i="1"/>
  <c r="F742" i="1"/>
  <c r="G742" i="1"/>
  <c r="I742" i="1"/>
  <c r="J742" i="1"/>
  <c r="K742" i="1"/>
  <c r="A743" i="1"/>
  <c r="C743" i="1"/>
  <c r="D743" i="1"/>
  <c r="E743" i="1"/>
  <c r="F743" i="1"/>
  <c r="G743" i="1"/>
  <c r="I743" i="1"/>
  <c r="J743" i="1"/>
  <c r="K743" i="1"/>
  <c r="A744" i="1"/>
  <c r="C744" i="1"/>
  <c r="D744" i="1"/>
  <c r="E744" i="1"/>
  <c r="F744" i="1"/>
  <c r="G744" i="1"/>
  <c r="I744" i="1"/>
  <c r="J744" i="1"/>
  <c r="K744" i="1"/>
  <c r="A745" i="1"/>
  <c r="C745" i="1"/>
  <c r="D745" i="1"/>
  <c r="E745" i="1"/>
  <c r="F745" i="1"/>
  <c r="G745" i="1"/>
  <c r="I745" i="1"/>
  <c r="J745" i="1"/>
  <c r="K745" i="1"/>
  <c r="A746" i="1"/>
  <c r="C746" i="1"/>
  <c r="D746" i="1"/>
  <c r="E746" i="1"/>
  <c r="F746" i="1"/>
  <c r="G746" i="1"/>
  <c r="I746" i="1"/>
  <c r="J746" i="1"/>
  <c r="K746" i="1"/>
  <c r="A747" i="1"/>
  <c r="C747" i="1"/>
  <c r="D747" i="1"/>
  <c r="E747" i="1"/>
  <c r="F747" i="1"/>
  <c r="G747" i="1"/>
  <c r="I747" i="1"/>
  <c r="J747" i="1"/>
  <c r="K747" i="1"/>
  <c r="A748" i="1"/>
  <c r="C748" i="1"/>
  <c r="D748" i="1"/>
  <c r="E748" i="1"/>
  <c r="F748" i="1"/>
  <c r="G748" i="1"/>
  <c r="I748" i="1"/>
  <c r="J748" i="1"/>
  <c r="K748" i="1"/>
  <c r="A749" i="1"/>
  <c r="C749" i="1"/>
  <c r="D749" i="1"/>
  <c r="E749" i="1"/>
  <c r="F749" i="1"/>
  <c r="G749" i="1"/>
  <c r="I749" i="1"/>
  <c r="J749" i="1"/>
  <c r="K749" i="1"/>
  <c r="A750" i="1"/>
  <c r="C750" i="1"/>
  <c r="D750" i="1"/>
  <c r="E750" i="1"/>
  <c r="F750" i="1"/>
  <c r="G750" i="1"/>
  <c r="I750" i="1"/>
  <c r="J750" i="1"/>
  <c r="K750" i="1"/>
  <c r="A751" i="1"/>
  <c r="C751" i="1"/>
  <c r="D751" i="1"/>
  <c r="E751" i="1"/>
  <c r="F751" i="1"/>
  <c r="G751" i="1"/>
  <c r="I751" i="1"/>
  <c r="J751" i="1"/>
  <c r="K751" i="1"/>
  <c r="A752" i="1"/>
  <c r="C752" i="1"/>
  <c r="D752" i="1"/>
  <c r="E752" i="1"/>
  <c r="F752" i="1"/>
  <c r="G752" i="1"/>
  <c r="I752" i="1"/>
  <c r="J752" i="1"/>
  <c r="K752" i="1"/>
  <c r="A753" i="1"/>
  <c r="C753" i="1"/>
  <c r="D753" i="1"/>
  <c r="E753" i="1"/>
  <c r="F753" i="1"/>
  <c r="G753" i="1"/>
  <c r="I753" i="1"/>
  <c r="J753" i="1"/>
  <c r="K753" i="1"/>
  <c r="A754" i="1"/>
  <c r="C754" i="1"/>
  <c r="D754" i="1"/>
  <c r="E754" i="1"/>
  <c r="F754" i="1"/>
  <c r="G754" i="1"/>
  <c r="I754" i="1"/>
  <c r="J754" i="1"/>
  <c r="K754" i="1"/>
  <c r="A755" i="1"/>
  <c r="C755" i="1"/>
  <c r="D755" i="1"/>
  <c r="E755" i="1"/>
  <c r="F755" i="1"/>
  <c r="G755" i="1"/>
  <c r="I755" i="1"/>
  <c r="J755" i="1"/>
  <c r="K755" i="1"/>
  <c r="A756" i="1"/>
  <c r="C756" i="1"/>
  <c r="D756" i="1"/>
  <c r="E756" i="1"/>
  <c r="F756" i="1"/>
  <c r="G756" i="1"/>
  <c r="I756" i="1"/>
  <c r="J756" i="1"/>
  <c r="K756" i="1"/>
  <c r="A757" i="1"/>
  <c r="C757" i="1"/>
  <c r="D757" i="1"/>
  <c r="E757" i="1"/>
  <c r="F757" i="1"/>
  <c r="G757" i="1"/>
  <c r="I757" i="1"/>
  <c r="J757" i="1"/>
  <c r="K757" i="1"/>
  <c r="A758" i="1"/>
  <c r="C758" i="1"/>
  <c r="D758" i="1"/>
  <c r="E758" i="1"/>
  <c r="F758" i="1"/>
  <c r="G758" i="1"/>
  <c r="I758" i="1"/>
  <c r="J758" i="1"/>
  <c r="K758" i="1"/>
  <c r="A759" i="1"/>
  <c r="C759" i="1"/>
  <c r="D759" i="1"/>
  <c r="E759" i="1"/>
  <c r="F759" i="1"/>
  <c r="G759" i="1"/>
  <c r="I759" i="1"/>
  <c r="J759" i="1"/>
  <c r="K759" i="1"/>
  <c r="A760" i="1"/>
  <c r="C760" i="1"/>
  <c r="D760" i="1"/>
  <c r="E760" i="1"/>
  <c r="F760" i="1"/>
  <c r="G760" i="1"/>
  <c r="I760" i="1"/>
  <c r="J760" i="1"/>
  <c r="K760" i="1"/>
  <c r="A761" i="1"/>
  <c r="C761" i="1"/>
  <c r="D761" i="1"/>
  <c r="E761" i="1"/>
  <c r="F761" i="1"/>
  <c r="G761" i="1"/>
  <c r="I761" i="1"/>
  <c r="J761" i="1"/>
  <c r="K761" i="1"/>
  <c r="A762" i="1"/>
  <c r="C762" i="1"/>
  <c r="D762" i="1"/>
  <c r="E762" i="1"/>
  <c r="F762" i="1"/>
  <c r="G762" i="1"/>
  <c r="I762" i="1"/>
  <c r="J762" i="1"/>
  <c r="K762" i="1"/>
  <c r="A763" i="1"/>
  <c r="C763" i="1"/>
  <c r="D763" i="1"/>
  <c r="E763" i="1"/>
  <c r="F763" i="1"/>
  <c r="G763" i="1"/>
  <c r="I763" i="1"/>
  <c r="J763" i="1"/>
  <c r="K763" i="1"/>
  <c r="A764" i="1"/>
  <c r="C764" i="1"/>
  <c r="D764" i="1"/>
  <c r="E764" i="1"/>
  <c r="F764" i="1"/>
  <c r="G764" i="1"/>
  <c r="I764" i="1"/>
  <c r="J764" i="1"/>
  <c r="K764" i="1"/>
  <c r="A765" i="1"/>
  <c r="C765" i="1"/>
  <c r="D765" i="1"/>
  <c r="E765" i="1"/>
  <c r="F765" i="1"/>
  <c r="G765" i="1"/>
  <c r="I765" i="1"/>
  <c r="J765" i="1"/>
  <c r="K765" i="1"/>
  <c r="A766" i="1"/>
  <c r="C766" i="1"/>
  <c r="D766" i="1"/>
  <c r="E766" i="1"/>
  <c r="F766" i="1"/>
  <c r="G766" i="1"/>
  <c r="I766" i="1"/>
  <c r="J766" i="1"/>
  <c r="K766" i="1"/>
  <c r="A767" i="1"/>
  <c r="C767" i="1"/>
  <c r="D767" i="1"/>
  <c r="E767" i="1"/>
  <c r="F767" i="1"/>
  <c r="G767" i="1"/>
  <c r="I767" i="1"/>
  <c r="J767" i="1"/>
  <c r="K767" i="1"/>
  <c r="A768" i="1"/>
  <c r="C768" i="1"/>
  <c r="D768" i="1"/>
  <c r="E768" i="1"/>
  <c r="F768" i="1"/>
  <c r="G768" i="1"/>
  <c r="I768" i="1"/>
  <c r="J768" i="1"/>
  <c r="K768" i="1"/>
  <c r="A769" i="1"/>
  <c r="C769" i="1"/>
  <c r="D769" i="1"/>
  <c r="E769" i="1"/>
  <c r="F769" i="1"/>
  <c r="G769" i="1"/>
  <c r="I769" i="1"/>
  <c r="J769" i="1"/>
  <c r="K769" i="1"/>
  <c r="A770" i="1"/>
  <c r="C770" i="1"/>
  <c r="D770" i="1"/>
  <c r="E770" i="1"/>
  <c r="F770" i="1"/>
  <c r="G770" i="1"/>
  <c r="I770" i="1"/>
  <c r="J770" i="1"/>
  <c r="K770" i="1"/>
  <c r="A771" i="1"/>
  <c r="C771" i="1"/>
  <c r="D771" i="1"/>
  <c r="E771" i="1"/>
  <c r="F771" i="1"/>
  <c r="G771" i="1"/>
  <c r="I771" i="1"/>
  <c r="J771" i="1"/>
  <c r="K771" i="1"/>
  <c r="A772" i="1"/>
  <c r="C772" i="1"/>
  <c r="D772" i="1"/>
  <c r="E772" i="1"/>
  <c r="F772" i="1"/>
  <c r="G772" i="1"/>
  <c r="I772" i="1"/>
  <c r="J772" i="1"/>
  <c r="K772" i="1"/>
  <c r="A773" i="1"/>
  <c r="C773" i="1"/>
  <c r="D773" i="1"/>
  <c r="E773" i="1"/>
  <c r="F773" i="1"/>
  <c r="G773" i="1"/>
  <c r="I773" i="1"/>
  <c r="J773" i="1"/>
  <c r="K773" i="1"/>
  <c r="A774" i="1"/>
  <c r="C774" i="1"/>
  <c r="D774" i="1"/>
  <c r="E774" i="1"/>
  <c r="F774" i="1"/>
  <c r="G774" i="1"/>
  <c r="I774" i="1"/>
  <c r="J774" i="1"/>
  <c r="K774" i="1"/>
  <c r="A775" i="1"/>
  <c r="C775" i="1"/>
  <c r="D775" i="1"/>
  <c r="E775" i="1"/>
  <c r="F775" i="1"/>
  <c r="G775" i="1"/>
  <c r="I775" i="1"/>
  <c r="J775" i="1"/>
  <c r="K775" i="1"/>
  <c r="A776" i="1"/>
  <c r="C776" i="1"/>
  <c r="D776" i="1"/>
  <c r="E776" i="1"/>
  <c r="F776" i="1"/>
  <c r="G776" i="1"/>
  <c r="I776" i="1"/>
  <c r="J776" i="1"/>
  <c r="K776" i="1"/>
  <c r="A777" i="1"/>
  <c r="C777" i="1"/>
  <c r="D777" i="1"/>
  <c r="E777" i="1"/>
  <c r="F777" i="1"/>
  <c r="G777" i="1"/>
  <c r="I777" i="1"/>
  <c r="J777" i="1"/>
  <c r="K777" i="1"/>
  <c r="A778" i="1"/>
  <c r="C778" i="1"/>
  <c r="D778" i="1"/>
  <c r="E778" i="1"/>
  <c r="F778" i="1"/>
  <c r="G778" i="1"/>
  <c r="I778" i="1"/>
  <c r="J778" i="1"/>
  <c r="K778" i="1"/>
  <c r="A779" i="1"/>
  <c r="C779" i="1"/>
  <c r="D779" i="1"/>
  <c r="E779" i="1"/>
  <c r="F779" i="1"/>
  <c r="G779" i="1"/>
  <c r="I779" i="1"/>
  <c r="J779" i="1"/>
  <c r="K779" i="1"/>
  <c r="A780" i="1"/>
  <c r="C780" i="1"/>
  <c r="D780" i="1"/>
  <c r="E780" i="1"/>
  <c r="F780" i="1"/>
  <c r="G780" i="1"/>
  <c r="I780" i="1"/>
  <c r="J780" i="1"/>
  <c r="K780" i="1"/>
  <c r="A781" i="1"/>
  <c r="C781" i="1"/>
  <c r="D781" i="1"/>
  <c r="E781" i="1"/>
  <c r="F781" i="1"/>
  <c r="G781" i="1"/>
  <c r="I781" i="1"/>
  <c r="J781" i="1"/>
  <c r="K781" i="1"/>
  <c r="A782" i="1"/>
  <c r="C782" i="1"/>
  <c r="D782" i="1"/>
  <c r="E782" i="1"/>
  <c r="F782" i="1"/>
  <c r="G782" i="1"/>
  <c r="I782" i="1"/>
  <c r="J782" i="1"/>
  <c r="K782" i="1"/>
  <c r="A783" i="1"/>
  <c r="C783" i="1"/>
  <c r="D783" i="1"/>
  <c r="E783" i="1"/>
  <c r="F783" i="1"/>
  <c r="G783" i="1"/>
  <c r="I783" i="1"/>
  <c r="J783" i="1"/>
  <c r="K783" i="1"/>
  <c r="A784" i="1"/>
  <c r="C784" i="1"/>
  <c r="D784" i="1"/>
  <c r="E784" i="1"/>
  <c r="F784" i="1"/>
  <c r="G784" i="1"/>
  <c r="I784" i="1"/>
  <c r="J784" i="1"/>
  <c r="K784" i="1"/>
  <c r="A785" i="1"/>
  <c r="C785" i="1"/>
  <c r="D785" i="1"/>
  <c r="E785" i="1"/>
  <c r="F785" i="1"/>
  <c r="G785" i="1"/>
  <c r="I785" i="1"/>
  <c r="J785" i="1"/>
  <c r="K785" i="1"/>
  <c r="A786" i="1"/>
  <c r="C786" i="1"/>
  <c r="D786" i="1"/>
  <c r="E786" i="1"/>
  <c r="F786" i="1"/>
  <c r="G786" i="1"/>
  <c r="I786" i="1"/>
  <c r="J786" i="1"/>
  <c r="K786" i="1"/>
  <c r="A787" i="1"/>
  <c r="C787" i="1"/>
  <c r="D787" i="1"/>
  <c r="E787" i="1"/>
  <c r="F787" i="1"/>
  <c r="G787" i="1"/>
  <c r="I787" i="1"/>
  <c r="J787" i="1"/>
  <c r="K787" i="1"/>
  <c r="A788" i="1"/>
  <c r="C788" i="1"/>
  <c r="D788" i="1"/>
  <c r="E788" i="1"/>
  <c r="F788" i="1"/>
  <c r="G788" i="1"/>
  <c r="I788" i="1"/>
  <c r="J788" i="1"/>
  <c r="K788" i="1"/>
  <c r="A789" i="1"/>
  <c r="C789" i="1"/>
  <c r="D789" i="1"/>
  <c r="E789" i="1"/>
  <c r="F789" i="1"/>
  <c r="G789" i="1"/>
  <c r="I789" i="1"/>
  <c r="J789" i="1"/>
  <c r="K789" i="1"/>
  <c r="A790" i="1"/>
  <c r="C790" i="1"/>
  <c r="D790" i="1"/>
  <c r="E790" i="1"/>
  <c r="F790" i="1"/>
  <c r="G790" i="1"/>
  <c r="I790" i="1"/>
  <c r="J790" i="1"/>
  <c r="K790" i="1"/>
  <c r="A791" i="1"/>
  <c r="C791" i="1"/>
  <c r="D791" i="1"/>
  <c r="E791" i="1"/>
  <c r="F791" i="1"/>
  <c r="G791" i="1"/>
  <c r="I791" i="1"/>
  <c r="J791" i="1"/>
  <c r="K791" i="1"/>
</calcChain>
</file>

<file path=xl/sharedStrings.xml><?xml version="1.0" encoding="utf-8"?>
<sst xmlns="http://schemas.openxmlformats.org/spreadsheetml/2006/main" count="14129" uniqueCount="3853">
  <si>
    <t>Peterson Sullivan&amp;Co</t>
  </si>
  <si>
    <t>Whatcom Occupational Health</t>
  </si>
  <si>
    <t>01112006 WHATCOM OCCUPATIONAL HEAL</t>
  </si>
  <si>
    <t>Transpo Group</t>
  </si>
  <si>
    <t>McNeill Polygraph And Investigation</t>
  </si>
  <si>
    <t>David H. Smith, PhD.</t>
  </si>
  <si>
    <t>Smith, David H..</t>
  </si>
  <si>
    <t>Northup Group</t>
  </si>
  <si>
    <t>Move expense to FY06</t>
  </si>
  <si>
    <t>Susan D. Musselman Inc</t>
  </si>
  <si>
    <t>Rcrd Accr Invoice for Bond Counsel</t>
  </si>
  <si>
    <t>John Brandon&amp;Associates</t>
  </si>
  <si>
    <t>Weslin Consulting Services Inc</t>
  </si>
  <si>
    <t>Corr Acct Code for Proj Mgmt Fees</t>
  </si>
  <si>
    <t>Ruddell International</t>
  </si>
  <si>
    <t>KIM CS134</t>
  </si>
  <si>
    <t>07262005 CARROT-TOP INDUSTRIES</t>
  </si>
  <si>
    <t>07272005 ROCKWOOD CORP</t>
  </si>
  <si>
    <t>CorpEx Order 114986645</t>
  </si>
  <si>
    <t>09262005 XEROX CORP OFF PRINT BUS.</t>
  </si>
  <si>
    <t>11042005 XEROX CORP OFF PRINT BUS.</t>
  </si>
  <si>
    <t>12082005 XEROX CORP OFF PRINT BUS.</t>
  </si>
  <si>
    <t>01052006 XEROX CORP OFF PRINT BUS.</t>
  </si>
  <si>
    <t>Kim Edwards, CS 134</t>
  </si>
  <si>
    <t>01122006 XEROX CORP OFF PRINT BUS.</t>
  </si>
  <si>
    <t>03032006 SPECIALT STRIPING&amp;S</t>
  </si>
  <si>
    <t>03022006 NW COMPUTER SUPPLIES</t>
  </si>
  <si>
    <t>03062006 XEROX CORP OFF PRINT BUS.</t>
  </si>
  <si>
    <t>04242006 XEROX CORP OFF PRINT BUS.</t>
  </si>
  <si>
    <t>05042006 BLUMENTHAL UNIFORMS -</t>
  </si>
  <si>
    <t>05152006 LAW ENFORCEMENT TARGETS</t>
  </si>
  <si>
    <t>05222006 FAIRHAVEN BIKE &amp; MT SPORT</t>
  </si>
  <si>
    <t>06192006 XEROX CORP OFF PRINT BUS.</t>
  </si>
  <si>
    <t>Cross Match Technologies</t>
  </si>
  <si>
    <t>Share Expenses for Services</t>
  </si>
  <si>
    <t>05112006 DISPLAYS 2 GO</t>
  </si>
  <si>
    <t>Clark Security Products</t>
  </si>
  <si>
    <t>08012005 HARDWARE SALES</t>
  </si>
  <si>
    <t>08022005 BUILDING SPECIALTIES NORT</t>
  </si>
  <si>
    <t>Door Pros Inc</t>
  </si>
  <si>
    <t>10072005 NW COMPUTER SUPPLIES</t>
  </si>
  <si>
    <t>11152005 BELLINGHAM LOCK &amp; S</t>
  </si>
  <si>
    <t>11142005 NW COMPUTER SUPPLIES</t>
  </si>
  <si>
    <t>11302005 WW GRAINGER 758</t>
  </si>
  <si>
    <t>Northwest Computer Supplies Unlimit</t>
  </si>
  <si>
    <t>08252005 FACTORY EXPRESS</t>
  </si>
  <si>
    <t>CorpEx Order 117400837</t>
  </si>
  <si>
    <t>CorpEx Order 118048661</t>
  </si>
  <si>
    <t>Jennings Printing Inc</t>
  </si>
  <si>
    <t>09202005 SLIDELOCK TOOL CO-Z TOOL</t>
  </si>
  <si>
    <t>10062005 SETON NAME PLATE COMPANY</t>
  </si>
  <si>
    <t>10132005 GRAPHIC ART PRODUCTION</t>
  </si>
  <si>
    <t>10252005 OFFICE MAX    00008870</t>
  </si>
  <si>
    <t>CorpEx Order 122713271</t>
  </si>
  <si>
    <t>12302005 HARDWARE SALES</t>
  </si>
  <si>
    <t>01092006 INDEL-DAVIS INC</t>
  </si>
  <si>
    <t>CorpEx Order 133627159</t>
  </si>
  <si>
    <t>03082006 HARDWARE SALES</t>
  </si>
  <si>
    <t>05032006 NW COMPUTER SUPPLIES</t>
  </si>
  <si>
    <t>CorpEx Order 140082640</t>
  </si>
  <si>
    <t>09282005 GRAPHIC ART PRODUCTION</t>
  </si>
  <si>
    <t>11292005 BATTERY ZONE</t>
  </si>
  <si>
    <t>05052006 GRAPHIC ART PRODUCTION</t>
  </si>
  <si>
    <t>06022006 BATTERY ZONE</t>
  </si>
  <si>
    <t>06162006 GRAPHIC ART PRODUCTION</t>
  </si>
  <si>
    <t>01102006 INDEL-DAVIS INC</t>
  </si>
  <si>
    <t>10262005 NW COMPUTER SUPPLIES</t>
  </si>
  <si>
    <t>05192006 PTI*PEAKTECH TELPAR</t>
  </si>
  <si>
    <t>06022006 PTI*PEAKTECH TELPAR</t>
  </si>
  <si>
    <t>09122005 NATIONAL CRIME PREVENTION</t>
  </si>
  <si>
    <t>09232005 POCKET PRESS INC</t>
  </si>
  <si>
    <t>12302005 SEMINARS NAT'L/PADGETT</t>
  </si>
  <si>
    <t>06072006 NW COMPUTER SUPPLIES</t>
  </si>
  <si>
    <t>12152005 JENNINGS PRINTING CO</t>
  </si>
  <si>
    <t>01312006 JENNINGS PRINTING CO</t>
  </si>
  <si>
    <t>10192005 ZUMAR INDUSTRIES</t>
  </si>
  <si>
    <t>WA State Department Of Corrections</t>
  </si>
  <si>
    <t>02132006 SAFETY SIGNS INC</t>
  </si>
  <si>
    <t>WA State Patrol</t>
  </si>
  <si>
    <t>Telecom charges Jun 2005</t>
  </si>
  <si>
    <t>Telecom charges Jul 2005</t>
  </si>
  <si>
    <t>Telecom charges Aug 2005</t>
  </si>
  <si>
    <t>Telecom charges Sep 2005</t>
  </si>
  <si>
    <t>Telecom charges Oct 2005</t>
  </si>
  <si>
    <t>Telecom charges Nov 2005</t>
  </si>
  <si>
    <t>Telecom charges Dec 2005</t>
  </si>
  <si>
    <t>Telecom charges Jan 2006</t>
  </si>
  <si>
    <t>Telecom charges Feb 2006</t>
  </si>
  <si>
    <t>Telecom charges Mar 2006</t>
  </si>
  <si>
    <t>Telecom charges Apr 2006</t>
  </si>
  <si>
    <t>Telecom charges May 2006</t>
  </si>
  <si>
    <t>VEH LSE 05/06</t>
  </si>
  <si>
    <t>City Of Bellingham</t>
  </si>
  <si>
    <t>YR VEH LSE</t>
  </si>
  <si>
    <t>Birch Equipment Co Inc</t>
  </si>
  <si>
    <t>Sterling Realty Organization Co</t>
  </si>
  <si>
    <t>11222005 MAX TOOL</t>
  </si>
  <si>
    <t>01092006 HARDWARE SALES</t>
  </si>
  <si>
    <t>2002 DODGE GRAND MINI VAN 7 PASS</t>
  </si>
  <si>
    <t>O/P University Police Vehicle Serv</t>
  </si>
  <si>
    <t>o/p university police for 2005-06</t>
  </si>
  <si>
    <t>mg prep new patrol car</t>
  </si>
  <si>
    <t>cs raise fingerprint counter</t>
  </si>
  <si>
    <t>20285E  2005 FORD VIC 4 DOOR SEDAN</t>
  </si>
  <si>
    <t>cs 105 install cat3 cables</t>
  </si>
  <si>
    <t>cs lockshop assist</t>
  </si>
  <si>
    <t>Pom Inc</t>
  </si>
  <si>
    <t>16513E 2004 CHEV P/U</t>
  </si>
  <si>
    <t>pl grade/tamper pot holes etc</t>
  </si>
  <si>
    <t>gr repaint high street</t>
  </si>
  <si>
    <t>pl repaint directional arrows</t>
  </si>
  <si>
    <t>cs 122 install ventilation</t>
  </si>
  <si>
    <t>pl 27r rep roadway</t>
  </si>
  <si>
    <t>pl grade c lots</t>
  </si>
  <si>
    <t>15081e install snow plow</t>
  </si>
  <si>
    <t>20293E 2006 FORD RANGER PU</t>
  </si>
  <si>
    <t>Cummins-Allison Corp</t>
  </si>
  <si>
    <t>Repairs Adjustment</t>
  </si>
  <si>
    <t>Vehicle Maintenance and Repair</t>
  </si>
  <si>
    <t>15069E VEHICLE MAINTENANCE REPAIR</t>
  </si>
  <si>
    <t>20282E  GEM 2005 ELECTRIC VEHICLE</t>
  </si>
  <si>
    <t>20283E GEM 2005 ELECTRIC VEHICLE</t>
  </si>
  <si>
    <t>pl 10g paint traffic circle</t>
  </si>
  <si>
    <t>pl east college double yellow line</t>
  </si>
  <si>
    <t>pl fill potholes etc. at l8</t>
  </si>
  <si>
    <t>pl lctc spray herbicide</t>
  </si>
  <si>
    <t>pl lctc priority repairs</t>
  </si>
  <si>
    <t>01302006 DAY WIRELESS SYSTEMS</t>
  </si>
  <si>
    <t>Central Admin Compting Charge</t>
  </si>
  <si>
    <t>Central Adm Computing Charge</t>
  </si>
  <si>
    <t>Central Admin Computing Charge</t>
  </si>
  <si>
    <t>11212005 CARAVAN CANOPY IN01 OF 01</t>
  </si>
  <si>
    <t>Lexis Systems Inc</t>
  </si>
  <si>
    <t>Minor Key Service - Police</t>
  </si>
  <si>
    <t>07292005 SPECIALT STRIPING&amp;S</t>
  </si>
  <si>
    <t>10182005 FAIRHAVEN BIKE &amp; MT SPORT</t>
  </si>
  <si>
    <t>05302006 FAIRHAVEN BIKE &amp; MT SPORT</t>
  </si>
  <si>
    <t>ANIMAL LABS - NO CHARGE</t>
  </si>
  <si>
    <t>keys prox cards open number</t>
  </si>
  <si>
    <t>01052006 BODE'S PRECAST, INC</t>
  </si>
  <si>
    <t>Cowden Inc</t>
  </si>
  <si>
    <t>Evidence Tags</t>
  </si>
  <si>
    <t>Letterhead</t>
  </si>
  <si>
    <t>Daily Key Check Out Card</t>
  </si>
  <si>
    <t>PTO Receipts</t>
  </si>
  <si>
    <t>Short Term Parking Permit</t>
  </si>
  <si>
    <t>Parking Guide</t>
  </si>
  <si>
    <t>Courtesy Permits 2006</t>
  </si>
  <si>
    <t>Bike Warning Tag</t>
  </si>
  <si>
    <t>Departmental Permits</t>
  </si>
  <si>
    <t>Env - 6 3/4 Courtesy</t>
  </si>
  <si>
    <t>Env - #10 Window Stmnt Enc</t>
  </si>
  <si>
    <t>Wheellock Warning Stickers</t>
  </si>
  <si>
    <t>Courtesy Warning Stickers</t>
  </si>
  <si>
    <t>Env - #10 Window</t>
  </si>
  <si>
    <t>Off-Site Receipts</t>
  </si>
  <si>
    <t>Sep 05 Map Graphics</t>
  </si>
  <si>
    <t>Shuttle Map Graphics - Feb 06</t>
  </si>
  <si>
    <t>30-AUG-05 DETAIL</t>
  </si>
  <si>
    <t>30-SEP-05 DETAIL</t>
  </si>
  <si>
    <t>31-OCT-05 DETAIL</t>
  </si>
  <si>
    <t>30-MAR-06 DETAIL</t>
  </si>
  <si>
    <t>31-MAY-06 DETAIL</t>
  </si>
  <si>
    <t>30-JUN-06 DETAIL</t>
  </si>
  <si>
    <t>30-NOV-05 DETAIL</t>
  </si>
  <si>
    <t>28-DEC-05 DETAIL</t>
  </si>
  <si>
    <t>31-JAN-06 DETAIL</t>
  </si>
  <si>
    <t>28-FEB-06 DETAIL</t>
  </si>
  <si>
    <t>29-JUL-05 DETAIL</t>
  </si>
  <si>
    <t>28-APR-06 DETAIL</t>
  </si>
  <si>
    <t>11032005 SLIDELOCK TOOL CO-Z TOOL</t>
  </si>
  <si>
    <t>10112005 MOSAIC THREAT ASSESSMENT</t>
  </si>
  <si>
    <t>07152005 THE BACK UP</t>
  </si>
  <si>
    <t>08182005 GRANT WRITING USA</t>
  </si>
  <si>
    <t>American Council On Criminal Justic</t>
  </si>
  <si>
    <t>09082005 SKILLPATH SEMINARS</t>
  </si>
  <si>
    <t>10222005 TRIDENT CONCEPTS LLC</t>
  </si>
  <si>
    <t>11302005 FREDPRYOR/CAREERTRACK</t>
  </si>
  <si>
    <t>12132005 GLOCK, INC.</t>
  </si>
  <si>
    <t>Whatcom County Parks&amp;Recreation</t>
  </si>
  <si>
    <t>04192006 FREDPRYOR/CAREERTRACK</t>
  </si>
  <si>
    <t xml:space="preserve">WA State Criminal Justice Training </t>
  </si>
  <si>
    <t>10072005 T2 SYSTEMS INC</t>
  </si>
  <si>
    <t>11082005 SEMINARS NAT'L/PADGETT</t>
  </si>
  <si>
    <t>01262006 FREDPRYOR/CAREERTRACK</t>
  </si>
  <si>
    <t>03222006 SEMINARS NAT'L/PADGETT</t>
  </si>
  <si>
    <t>03232006 SKILLPATH SEMINARS</t>
  </si>
  <si>
    <t>08162005 PAYPAL</t>
  </si>
  <si>
    <t>WACLEA</t>
  </si>
  <si>
    <t>09302005 IACLEA</t>
  </si>
  <si>
    <t>WA State Crime Prevention Associati</t>
  </si>
  <si>
    <t>Police Executive Research Forum</t>
  </si>
  <si>
    <t>Washington Association Of Sheriffs&amp;</t>
  </si>
  <si>
    <t>01132006 INTL ASSN OF CHIEF OF POL</t>
  </si>
  <si>
    <t>LEIRA</t>
  </si>
  <si>
    <t>05182006 IACLEA</t>
  </si>
  <si>
    <t>Glacken And Associates</t>
  </si>
  <si>
    <t>Malpica, Edwin Leonard.</t>
  </si>
  <si>
    <t>02142006 END2END PUBLIC SAFETY SYS</t>
  </si>
  <si>
    <t>02272006 INSTITUTE FOR CAMPUS SAFE</t>
  </si>
  <si>
    <t>WA Traffic Safety Commission</t>
  </si>
  <si>
    <t>03162006 MCKENZIE MOHR</t>
  </si>
  <si>
    <t>10212005 NATIONAL PBLC SFTY INF</t>
  </si>
  <si>
    <t>05302006 COMMUNICATION BRIEFINGS A</t>
  </si>
  <si>
    <t>WA State Department Of General Admi</t>
  </si>
  <si>
    <t>Airporter Shuttle Inc</t>
  </si>
  <si>
    <t>Fund E/c-Inv00004542</t>
  </si>
  <si>
    <t>Fund E/c-Inv00004543</t>
  </si>
  <si>
    <t>Fund E/c-Inv00004687</t>
  </si>
  <si>
    <t>Fund E/c-Inv00004658</t>
  </si>
  <si>
    <t>Fund E/c-Inv00004653</t>
  </si>
  <si>
    <t>Fund E/c-Inv00004685</t>
  </si>
  <si>
    <t>Airporter 4712/April</t>
  </si>
  <si>
    <t>Airporter May/4773</t>
  </si>
  <si>
    <t>Airporter May/4741</t>
  </si>
  <si>
    <t>Airporter June/4812</t>
  </si>
  <si>
    <t>Airporter June/4795</t>
  </si>
  <si>
    <t>Airporter May/4774</t>
  </si>
  <si>
    <t>Airporter 4771/May</t>
  </si>
  <si>
    <t>Airporter 4708/April</t>
  </si>
  <si>
    <t>Bank&amp;Office Interiors dba Inc</t>
  </si>
  <si>
    <t>To Corr Orgn on Pmt for Appraisal</t>
  </si>
  <si>
    <t>David Evans and Associates Inc.</t>
  </si>
  <si>
    <t>David Evans and Assoc</t>
  </si>
  <si>
    <t>3% LCTC PDCA Proj Mgmt Fee</t>
  </si>
  <si>
    <t>WA State Dept Of Licensing</t>
  </si>
  <si>
    <t>End2End Inc</t>
  </si>
  <si>
    <t>12122005 ISYS SEARCH SOFTWARE INC</t>
  </si>
  <si>
    <t>Public Safety Computer Services NW</t>
  </si>
  <si>
    <t>T2 Systems Inc</t>
  </si>
  <si>
    <t>7/05 Bank Card Fees</t>
  </si>
  <si>
    <t>8/05 Bank Card Fees</t>
  </si>
  <si>
    <t>9/05 Bank Card Fees</t>
  </si>
  <si>
    <t>10/05 Bank Card Fees</t>
  </si>
  <si>
    <t>11/05 Bank Card Fees</t>
  </si>
  <si>
    <t>12/05 Bank Card Fees</t>
  </si>
  <si>
    <t>01/06 Bank Card Fees</t>
  </si>
  <si>
    <t>02/06 Bank Card Fees</t>
  </si>
  <si>
    <t>03/06 Bank Card Fees</t>
  </si>
  <si>
    <t>04/06 Bank Card Fees</t>
  </si>
  <si>
    <t>05/06 Bank Card Fees</t>
  </si>
  <si>
    <t>06/06 Bank Card Fees</t>
  </si>
  <si>
    <t>Fund E/c-Shuttle Insurance</t>
  </si>
  <si>
    <t>Parking &amp; Trans Reimb</t>
  </si>
  <si>
    <t>08052005 SPECIALT STRIPING&amp;S</t>
  </si>
  <si>
    <t>Bulk Fuel 7/1-8/3</t>
  </si>
  <si>
    <t>Bulk Fuel 8/3-9/2</t>
  </si>
  <si>
    <t>Bulk Fuel 9/2-9/30</t>
  </si>
  <si>
    <t>Bulk Fuel 9/30-10/31</t>
  </si>
  <si>
    <t>Bulk Fuel 12/2-12/2</t>
  </si>
  <si>
    <t>Bulk Fuel 10/31-12/2</t>
  </si>
  <si>
    <t>05FuelPremium</t>
  </si>
  <si>
    <t>Bulk Fuel 12/2-1/6</t>
  </si>
  <si>
    <t>Bulk Fuel 1/6-2/6</t>
  </si>
  <si>
    <t>Bulk Fuel 2/6-3/1</t>
  </si>
  <si>
    <t>Bulk Fuel 3/1-3/29</t>
  </si>
  <si>
    <t>Bulk Fuel 3/29-4/28</t>
  </si>
  <si>
    <t>Bulk Fuel 4/28-6/5</t>
  </si>
  <si>
    <t>Bulk Fuel 6/5-7/3</t>
  </si>
  <si>
    <t>Fund E/c-Fuel fr 9/05 to 02/06</t>
  </si>
  <si>
    <t>MPG000304 Fuel/Apr</t>
  </si>
  <si>
    <t>MPG000305 Fuel/May</t>
  </si>
  <si>
    <t>MPG000306 Fuel/June</t>
  </si>
  <si>
    <t>SHTTL LW SULFL ADJ</t>
  </si>
  <si>
    <t>Guest/Conference Permits</t>
  </si>
  <si>
    <t>Hortons Towing&amp;Automotive Repair In</t>
  </si>
  <si>
    <t>Johnsons Towing Inc</t>
  </si>
  <si>
    <t>San Diego Police Equipt-Inv 568116</t>
  </si>
  <si>
    <t>10242005 BERGEN &amp; CO</t>
  </si>
  <si>
    <t>10262005 BERGEN &amp; CO</t>
  </si>
  <si>
    <t>12272005 SPECIALT STRIPING&amp;S</t>
  </si>
  <si>
    <t>02152006 ZUMAR INDUSTIRES INC</t>
  </si>
  <si>
    <t>10072005 BRENTHAVEN TRAVEL  STORE</t>
  </si>
  <si>
    <t>01312006 FOSSIL FOOL</t>
  </si>
  <si>
    <t>10202005 THE BELLINGHAM HERALD</t>
  </si>
  <si>
    <t>10202005 SKAGIT VALLEY HERALD</t>
  </si>
  <si>
    <t>03152006 4 IMPRINT</t>
  </si>
  <si>
    <t>Fund E/c-Shuttle Advertising</t>
  </si>
  <si>
    <t>Parking and Transportation</t>
  </si>
  <si>
    <t>Alternative Transportation</t>
  </si>
  <si>
    <t>Bergen&amp;Co</t>
  </si>
  <si>
    <t>Bellingham Herald</t>
  </si>
  <si>
    <t>TRANSPORT SERVICES</t>
  </si>
  <si>
    <t>Sunshine Cleaners</t>
  </si>
  <si>
    <t>Gassman, Julia A.</t>
  </si>
  <si>
    <t>Correct Travel Reimb</t>
  </si>
  <si>
    <t>11102005 THE HOME DEPOT 4715</t>
  </si>
  <si>
    <t>05262006 HARDWARE SALES</t>
  </si>
  <si>
    <t>08052005 BLUMENTHAL UNIFORMS 01</t>
  </si>
  <si>
    <t>08172005 BERGEN &amp; CO</t>
  </si>
  <si>
    <t>10082005 BLUMENTHAL UNIFORMS 01</t>
  </si>
  <si>
    <t>10112005 BLUMENTHAL UNIFORMS 01</t>
  </si>
  <si>
    <t>10202005 GAL</t>
  </si>
  <si>
    <t>10312005 BRATWEAR</t>
  </si>
  <si>
    <t>02102006 BLUMENTHAL UNIFORMS 01</t>
  </si>
  <si>
    <t>02242006 BLUMENTHAL UNIFORMS 01</t>
  </si>
  <si>
    <t>03102006 BLUMENTHAL UNIFORMS 01</t>
  </si>
  <si>
    <t>03152006 BLUMENTHAL UNIFORMS -</t>
  </si>
  <si>
    <t>03172006 BLUMENTHAL UNIFORMS -</t>
  </si>
  <si>
    <t>03162006 BRATWEAR</t>
  </si>
  <si>
    <t>03292006 PACA BODY ARMOR</t>
  </si>
  <si>
    <t>04042006 PACA BODY ARMOR</t>
  </si>
  <si>
    <t>04112006 WATERSHED INC</t>
  </si>
  <si>
    <t>04182006 KESSELRING GUN SHOP INC</t>
  </si>
  <si>
    <t>05182006 BLUMENTHAL UNIFORMS -</t>
  </si>
  <si>
    <t>06082006 BLUMENTHAL UNIFORMS -</t>
  </si>
  <si>
    <t>09282005 BRATWEAR</t>
  </si>
  <si>
    <t>11242005 WEARGUARD</t>
  </si>
  <si>
    <t>12172005 WEARGUARD</t>
  </si>
  <si>
    <t>12212005 WATERSHED INC</t>
  </si>
  <si>
    <t>02102006 BAY TROPHIES AND ENRAVING</t>
  </si>
  <si>
    <t>03272006 BERGEN &amp; CO</t>
  </si>
  <si>
    <t>06272006 MARTINI CERAMICS</t>
  </si>
  <si>
    <t>10102005 GAL</t>
  </si>
  <si>
    <t>09142005 AMJAY INC</t>
  </si>
  <si>
    <t>Sep 05 Sales Tax</t>
  </si>
  <si>
    <t>Oct 05 Sales Tax</t>
  </si>
  <si>
    <t>July 05 Sales Tax</t>
  </si>
  <si>
    <t>Aug 05 Sales Tax</t>
  </si>
  <si>
    <t>03012006 THE BELLINGHAM HERALD</t>
  </si>
  <si>
    <t>03022006 SEA TIMES PI CLASSIFIEDS</t>
  </si>
  <si>
    <t>09222005 THE BELLINGHAM HERALD</t>
  </si>
  <si>
    <t>Ellingson, Linda A.</t>
  </si>
  <si>
    <t>Whatcom Medic One</t>
  </si>
  <si>
    <t>Edwards, Kimberly Lucile.</t>
  </si>
  <si>
    <t>2005-06 Assessment-1st Qtr</t>
  </si>
  <si>
    <t>2005-06 Assessment-2nd Qtr</t>
  </si>
  <si>
    <t>2005-06 Assessment - 3rd Qtr</t>
  </si>
  <si>
    <t>2005-06 Assessment - 4th Qtr</t>
  </si>
  <si>
    <t>Correctg 2005-06 Assessment/1st Qtr</t>
  </si>
  <si>
    <t>Whatcom Transportation Authority</t>
  </si>
  <si>
    <t>FY06 inventory adj-Lockshop</t>
  </si>
  <si>
    <t>02102006 TUCKER'S TUFFER COATINGS</t>
  </si>
  <si>
    <t>Satter, Constance Lee.</t>
  </si>
  <si>
    <t>Bailey, Josef Ronald.</t>
  </si>
  <si>
    <t>Garcia, David J.</t>
  </si>
  <si>
    <t>Smith, Bianca Lorraine.</t>
  </si>
  <si>
    <t>Doughty, David Allan.</t>
  </si>
  <si>
    <t>Ellis, Eric S.</t>
  </si>
  <si>
    <t>Alexander, Joseph Lee.</t>
  </si>
  <si>
    <t>Davis, Christopher Marshall.</t>
  </si>
  <si>
    <t>Dickinson, Linda M.</t>
  </si>
  <si>
    <t>Scott, Stephanie Renee.</t>
  </si>
  <si>
    <t>Martini, George A.</t>
  </si>
  <si>
    <t>Shaw, James E.</t>
  </si>
  <si>
    <t>Berry, Carol Gail.</t>
  </si>
  <si>
    <t>Whipple, Heather M..</t>
  </si>
  <si>
    <t>MTR POL SEDAN</t>
  </si>
  <si>
    <t>Hewlett-Packard Co</t>
  </si>
  <si>
    <t>Dell Computer Corp</t>
  </si>
  <si>
    <t>08312005 HEADSETS 4 U BIZ INC</t>
  </si>
  <si>
    <t>10032005 ITIN SCALE CO</t>
  </si>
  <si>
    <t>11102005 BLUMENTHAL UNIFORMS 01</t>
  </si>
  <si>
    <t>03082006 INTOXIMETERS INC</t>
  </si>
  <si>
    <t>03132006 DAY WIRELESS SYSTEMS</t>
  </si>
  <si>
    <t>Rutland Industries Inc</t>
  </si>
  <si>
    <t>Nelson Truck Equipment Co Inc</t>
  </si>
  <si>
    <t>08092005 HEADSETS 4 U BIZ</t>
  </si>
  <si>
    <t>08242005 HEADSETS 4 U BIZ INC</t>
  </si>
  <si>
    <t>11212005 BEST BUY      00003590</t>
  </si>
  <si>
    <t>12272005 HARDWARE SALES</t>
  </si>
  <si>
    <t>01242006 HEADSETS 4-U</t>
  </si>
  <si>
    <t>02062006 WWW COSTCO COM</t>
  </si>
  <si>
    <t>02082006 BLUMENTHAL UNIFORMS 01</t>
  </si>
  <si>
    <t>02212006 HEADSETS 4-U</t>
  </si>
  <si>
    <t>11102005 OFFICE MAX    00024000</t>
  </si>
  <si>
    <t>San Diego Police Equipment Co Inc</t>
  </si>
  <si>
    <t>Motorola Inc</t>
  </si>
  <si>
    <t>06162006 DAY WIRELESS SYSTEMS</t>
  </si>
  <si>
    <t>Cascade Chevrolet Co</t>
  </si>
  <si>
    <t>Sound Ford  Inc</t>
  </si>
  <si>
    <t>to correct program code</t>
  </si>
  <si>
    <t>Adobe Photoshop 9.0 CS2 Win Lic</t>
  </si>
  <si>
    <t>Western Front Ads for May 2007</t>
  </si>
  <si>
    <t>TRANSFER POLICE CAR EQUIPMENT</t>
  </si>
  <si>
    <t>LOT ATTENDANDT</t>
  </si>
  <si>
    <t>Subsidy staff Bpass</t>
  </si>
  <si>
    <t>GUEST/CONFERENCE PERMITS</t>
  </si>
  <si>
    <t>SIGN</t>
  </si>
  <si>
    <t>Bulk Fuel 5/3-6/4</t>
  </si>
  <si>
    <t>Bulk Fuel 4/1-5/2</t>
  </si>
  <si>
    <t>Bulk Fuel 12/28-4/3</t>
  </si>
  <si>
    <t>Bulk Fuel 2/3-3/2</t>
  </si>
  <si>
    <t>Bulk Fuel 12/28-2/3</t>
  </si>
  <si>
    <t>Bulk Fuel 12/5-12/28</t>
  </si>
  <si>
    <t>Bulk Fuel 11/1-12/5</t>
  </si>
  <si>
    <t>Bulk Fuel 9/29-11/1</t>
  </si>
  <si>
    <t>Bulk Fuel 9/5-9/29</t>
  </si>
  <si>
    <t>Bulk Fuel 8/1-9/5</t>
  </si>
  <si>
    <t>Bulk Fuel 7/3-8/1</t>
  </si>
  <si>
    <t>Bulk Fuel 11/1-11/1</t>
  </si>
  <si>
    <t>LCTC DBE Goals &amp; Metholology</t>
  </si>
  <si>
    <t>28-JUN-07 DETAIL</t>
  </si>
  <si>
    <t>30-MAY-07 DETAIL</t>
  </si>
  <si>
    <t>30-APR-07 DETAIL</t>
  </si>
  <si>
    <t>30-MAR-07 DETAIL</t>
  </si>
  <si>
    <t>28-FEB-07 DETAIL</t>
  </si>
  <si>
    <t>31-JAN-07 DETAIL</t>
  </si>
  <si>
    <t>28-DEC-06 DETAIL</t>
  </si>
  <si>
    <t>30-NOV-06 DETAIL</t>
  </si>
  <si>
    <t>30-OCT-06 DETAIL</t>
  </si>
  <si>
    <t>29-SEP-06 DETAIL</t>
  </si>
  <si>
    <t>30-AUG-06 DETAIL</t>
  </si>
  <si>
    <t>31-JUL-06 DETAIL</t>
  </si>
  <si>
    <t>Record Printg/Bindg Cost of Stmnts</t>
  </si>
  <si>
    <t>Courtesy Warning Sticker</t>
  </si>
  <si>
    <t>Wheellock Warning Sticker</t>
  </si>
  <si>
    <t>Parking Citation Books</t>
  </si>
  <si>
    <t>Env - #10 window</t>
  </si>
  <si>
    <t>Env - 6 3/4 Regular</t>
  </si>
  <si>
    <t>Departmental Parking Permit</t>
  </si>
  <si>
    <t>Event/Conference Permit</t>
  </si>
  <si>
    <t>Daily key check out card</t>
  </si>
  <si>
    <t>Bus Cards - 6 names</t>
  </si>
  <si>
    <t>Property Form</t>
  </si>
  <si>
    <t>BIKE STORAGE LOCK</t>
  </si>
  <si>
    <t>MAKE BIKE STORAGE KEYS 1 EACH</t>
  </si>
  <si>
    <t>replace 4 drawer locks</t>
  </si>
  <si>
    <t>Parking Lot Snow Removal</t>
  </si>
  <si>
    <t>Central Adm Computing Chg</t>
  </si>
  <si>
    <t>Central Adm Computing Chag</t>
  </si>
  <si>
    <t>Telecom charges Jan 2007</t>
  </si>
  <si>
    <t>VEHICLE MINOR PM - 15069E - 5/2007</t>
  </si>
  <si>
    <t>20283E OPEN WORK ORDER</t>
  </si>
  <si>
    <t>20282E OPEN WORK ORDER</t>
  </si>
  <si>
    <t>mg repl batteries for GEM cars</t>
  </si>
  <si>
    <t>cs install panic button</t>
  </si>
  <si>
    <t>cs lobby signage</t>
  </si>
  <si>
    <t>cs 122 adjust the ventilation</t>
  </si>
  <si>
    <t>15043E OPEN WORK ORDER</t>
  </si>
  <si>
    <t>O/P UNIVERSITY POLICE VEHICLES</t>
  </si>
  <si>
    <t>06/07 VEH LSE</t>
  </si>
  <si>
    <t>Phone expense for Alternative Prog</t>
  </si>
  <si>
    <t>Telecom charges May 2007</t>
  </si>
  <si>
    <t>Telecom charges Apr 2007</t>
  </si>
  <si>
    <t>Telecom charges Mar 2007</t>
  </si>
  <si>
    <t>Telecom charges Feb 2007</t>
  </si>
  <si>
    <t>Telecom charges Dec 2006</t>
  </si>
  <si>
    <t>Telecom charges Nov 2006</t>
  </si>
  <si>
    <t>Telecom charges Oct 2006</t>
  </si>
  <si>
    <t>Telecom charges Sep 2006</t>
  </si>
  <si>
    <t>Telecom charges Aug 2006</t>
  </si>
  <si>
    <t>Telecom charges Jul 2006</t>
  </si>
  <si>
    <t>Telecom charges Jun 2006</t>
  </si>
  <si>
    <t>Overhead Costs Paid Out</t>
  </si>
  <si>
    <t>LOT ATTENDANT</t>
  </si>
  <si>
    <t>Sodexho Inc &amp; Affiliates</t>
  </si>
  <si>
    <t>Assign Correct Exp Code</t>
  </si>
  <si>
    <t>09262006 OFFICE DEPOT #1078</t>
  </si>
  <si>
    <t>01032007 SKAGIT VALLEY HERALD</t>
  </si>
  <si>
    <t>Record'07 Amort of Issuance Costs</t>
  </si>
  <si>
    <t>transfer exp from fund 72017</t>
  </si>
  <si>
    <t>Transfer Exp fr Fd 72017 to 54551</t>
  </si>
  <si>
    <t>Trf Exp from Fund 72017</t>
  </si>
  <si>
    <t>Bayes, Randy Allen.</t>
  </si>
  <si>
    <t>Fr S311/Spec Receivable</t>
  </si>
  <si>
    <t>First American Title Company Of Bel</t>
  </si>
  <si>
    <t>Scholtens Equipment Inc</t>
  </si>
  <si>
    <t>Kesselring Gun Shop</t>
  </si>
  <si>
    <t>SAN DIEGO POLICE EQUIP, INV 574448</t>
  </si>
  <si>
    <t>05082007 MOUNTAIN COIN MACHINE</t>
  </si>
  <si>
    <t>04202007 BEST BUY      00003590</t>
  </si>
  <si>
    <t>12122006 BEST BUY      00003590</t>
  </si>
  <si>
    <t>10172006 BLUMENTHAL UNIFORMS -</t>
  </si>
  <si>
    <t>08072006 BEST BUY      00003590</t>
  </si>
  <si>
    <t>05292007 BEST BUY      00003590</t>
  </si>
  <si>
    <t>05162007 SND COMMUNICATIONS</t>
  </si>
  <si>
    <t>02272007 DYNAMETRIC INC</t>
  </si>
  <si>
    <t>07142006 DAY WIRELESS SYSTEMS</t>
  </si>
  <si>
    <t>Software House International Inc</t>
  </si>
  <si>
    <t>10132006 NW COMPUTER SUPPLIES</t>
  </si>
  <si>
    <t>08172006 NW COMPUTER SUPPLIES</t>
  </si>
  <si>
    <t>04132007 NW COMPUTER SUPPLIES</t>
  </si>
  <si>
    <t>04042007 NW COMPUTER SUPPLIES</t>
  </si>
  <si>
    <t>02152007 NW COMPUTER SUPPLIES</t>
  </si>
  <si>
    <t>01292007 NW COMPUTER SUPPLIES</t>
  </si>
  <si>
    <t>12202006 NW COMPUTER SUPPLIES</t>
  </si>
  <si>
    <t>12222006 NW COMPUTER SUPPLIES</t>
  </si>
  <si>
    <t>Osborn, Todd Randolph.</t>
  </si>
  <si>
    <t>Julia Gassman - Atlanta, GA</t>
  </si>
  <si>
    <t>David Garcia - San Diego, CA</t>
  </si>
  <si>
    <t>Jenkins, Stacy Marie.</t>
  </si>
  <si>
    <t>Lipson, Loren Scott.</t>
  </si>
  <si>
    <t>Kinser, Jacob Ray.</t>
  </si>
  <si>
    <t>Himmelstein, Jason M.</t>
  </si>
  <si>
    <t>E/c Malpica FODRS Mischarge</t>
  </si>
  <si>
    <t>Corr Fast Index for WestCoast paper</t>
  </si>
  <si>
    <t>West Coast Paper Co Inc</t>
  </si>
  <si>
    <t>Correct Account Code</t>
  </si>
  <si>
    <t>2006-07 Assessment -4th Qtr</t>
  </si>
  <si>
    <t>2006-07 Assessment-3rd Qtr</t>
  </si>
  <si>
    <t>2006-07 Assessment - 2nd Quarter</t>
  </si>
  <si>
    <t>2006-07 Assessment - 1st Quarter</t>
  </si>
  <si>
    <t>01112007 SKAGIT VALLEY HERALD</t>
  </si>
  <si>
    <t>01112007 THE BELLINGHAM HERALD</t>
  </si>
  <si>
    <t>01042007 THE BELLINGHAM HERALD</t>
  </si>
  <si>
    <t>01042007 SEA TIMES PI CLASSIFIEDS</t>
  </si>
  <si>
    <t>08182006 THE BELLINGHAM HERALD</t>
  </si>
  <si>
    <t>08182006 SKAGIT VALLEY HERALD</t>
  </si>
  <si>
    <t>07072006 SKAGIT VALLEY HERALD</t>
  </si>
  <si>
    <t>07102006 THE BELLINGHAM HERALD</t>
  </si>
  <si>
    <t>09202006 SKAGIT VALLEY HERALD</t>
  </si>
  <si>
    <t>09202006 THE BELLINGHAM HERALD</t>
  </si>
  <si>
    <t>09202006 SEA TIMES PI CLASSIFIEDS</t>
  </si>
  <si>
    <t>Sep 06 Sales Tax</t>
  </si>
  <si>
    <t>Jul 06 Sales Tax</t>
  </si>
  <si>
    <t>Nov 06 Sales Tax</t>
  </si>
  <si>
    <t>Oct 06 Sales Tax</t>
  </si>
  <si>
    <t>Jun 06 Sales Tax</t>
  </si>
  <si>
    <t>06262007 BLUMENTHAL UNIFORMS -</t>
  </si>
  <si>
    <t>06262007 EMBLEM ENTERPRISES INC</t>
  </si>
  <si>
    <t>05242007 BLUMENTHAL UNIFORMS -</t>
  </si>
  <si>
    <t>04202007 WATERSHED INC</t>
  </si>
  <si>
    <t>03302007 BLUMENTHAL UNIFORMS -</t>
  </si>
  <si>
    <t>03202007 BLUMENTHAL UNIFORMS -</t>
  </si>
  <si>
    <t>03072007 BLUMENTHAL UNIFORMS -</t>
  </si>
  <si>
    <t>02202007 WATERSHED INC</t>
  </si>
  <si>
    <t>01102007 WATERSHED INC</t>
  </si>
  <si>
    <t>10202006 LANDSENDBUSINESS</t>
  </si>
  <si>
    <t>04102007 MARTINI CERAMICS</t>
  </si>
  <si>
    <t>10312006 WEARGUARD</t>
  </si>
  <si>
    <t>08302006 PROFESSIONAL INSPECTION</t>
  </si>
  <si>
    <t>11132006 BERGEN &amp; CO</t>
  </si>
  <si>
    <t>10302006 BERGEN &amp; CO</t>
  </si>
  <si>
    <t>06142007 BLUMENTHAL UNIFORMS -</t>
  </si>
  <si>
    <t>06062007 PACA BODY ARMOR</t>
  </si>
  <si>
    <t>05252007 BLUMENTHAL UNIFORMS -</t>
  </si>
  <si>
    <t>04242007 BLUMENTHAL UNIFORMS -</t>
  </si>
  <si>
    <t>04112007 BRATWEAR</t>
  </si>
  <si>
    <t>04102007 GAL</t>
  </si>
  <si>
    <t>03282007 GAL</t>
  </si>
  <si>
    <t>03232007 PACA BODY ARMOR</t>
  </si>
  <si>
    <t>01252007 BLUMENTHAL UNIFORMS -</t>
  </si>
  <si>
    <t>01052007 BLUMENTHAL UNIFORMS -</t>
  </si>
  <si>
    <t>12202006 PACA BODY ARMOR</t>
  </si>
  <si>
    <t>12072006 EMBEL ENTERPRISES WEB</t>
  </si>
  <si>
    <t>11212006 BLUMENTHAL UNIFORMS -</t>
  </si>
  <si>
    <t>09212006 BLUMENTHAL UNIFORMS -</t>
  </si>
  <si>
    <t>08252006 PACA BODY ARMOR</t>
  </si>
  <si>
    <t>08022006 BLUMENTHAL UNIFORMS -</t>
  </si>
  <si>
    <t>07242006 BLUMENTHAL UNIFORMS -</t>
  </si>
  <si>
    <t>07112006 SLIDELOCK TOOL CO-Z TOOL</t>
  </si>
  <si>
    <t>Sew&amp;Sew</t>
  </si>
  <si>
    <t>06112007 SIGNS BY TOMORROW</t>
  </si>
  <si>
    <t>06072007 SIGNS BY TOMORROW</t>
  </si>
  <si>
    <t>05042007 BRENTHAVEN - RETAIL</t>
  </si>
  <si>
    <t>05112007 SKAGIT VALLEY HERALD</t>
  </si>
  <si>
    <t>05112007 THE BELLINGHAM HERALD</t>
  </si>
  <si>
    <t>02082007 BERGEN &amp; CO</t>
  </si>
  <si>
    <t>12122006 FLAG FACTORY NW</t>
  </si>
  <si>
    <t>08082006 DAY WIRELESS SYSTEMS</t>
  </si>
  <si>
    <t>07142006 KESSELRING GUN SHOP INC</t>
  </si>
  <si>
    <t>Berks Bellingham Towing</t>
  </si>
  <si>
    <t>06/07 Bank Card Fees</t>
  </si>
  <si>
    <t>05/07 Bank Card Fees</t>
  </si>
  <si>
    <t>04/07 Bank Card Fees</t>
  </si>
  <si>
    <t>03/07 Bank Card Fees</t>
  </si>
  <si>
    <t>02/07 Bank Card Fees</t>
  </si>
  <si>
    <t>01/07 Bank Card Fees</t>
  </si>
  <si>
    <t>12/06 Bank Card Fees</t>
  </si>
  <si>
    <t>11/06 Bank Card Fees</t>
  </si>
  <si>
    <t>10/06 Bank Card Fees</t>
  </si>
  <si>
    <t>09/06 Bank Card Fees</t>
  </si>
  <si>
    <t>08/06 Bank Card Fees</t>
  </si>
  <si>
    <t>07/06 Bank Card Fees</t>
  </si>
  <si>
    <t>Cubic Transportation Systems Inc</t>
  </si>
  <si>
    <t>11072006 DAY WIRELESS SYSTEMS</t>
  </si>
  <si>
    <t>Record Prepaid Exp in Correct Year</t>
  </si>
  <si>
    <t>Accurate Lock Service</t>
  </si>
  <si>
    <t>WA State Dept Of Personnel</t>
  </si>
  <si>
    <t>09262006 V AND V MANUFACTURING INC</t>
  </si>
  <si>
    <t>06142007 WSU CONFER       01 OF 01</t>
  </si>
  <si>
    <t>12082006 T2 SYSTEMS INC</t>
  </si>
  <si>
    <t>04112007 WESTERN WA UNIV CASHIER</t>
  </si>
  <si>
    <t>01102007 END2END PUBLIC SAFETY SYS</t>
  </si>
  <si>
    <t>07172006 INTL ASSN OF CHIEF OF POL</t>
  </si>
  <si>
    <t>05082007 IACLEA</t>
  </si>
  <si>
    <t>11302006 INT'L ASSN OF CHI01 OF 01</t>
  </si>
  <si>
    <t>11132006 POLICE EXECUTIVE RESEARCH</t>
  </si>
  <si>
    <t>01302007 SKILLPATH SEMINARS</t>
  </si>
  <si>
    <t>11032006 SEMINARS NAT'L/PADGETT</t>
  </si>
  <si>
    <t>01312007 SEMINARS NAT'L/PADGETT</t>
  </si>
  <si>
    <t>05302007 PAYPAL</t>
  </si>
  <si>
    <t>Spokane County Sheriff's Office</t>
  </si>
  <si>
    <t>03272007 SEMINARS NAT'L/PADGETT</t>
  </si>
  <si>
    <t>03062007 CENTER FOR EFFECTIVE LEAD</t>
  </si>
  <si>
    <t>09122006 IAPE</t>
  </si>
  <si>
    <t>01042007 PAYPAL</t>
  </si>
  <si>
    <t>01252007 LAW ENFORCEMENT TARGETS</t>
  </si>
  <si>
    <t>06262007 LOWE'S #1631</t>
  </si>
  <si>
    <t>04052007 THE HOME DEPOT 4715</t>
  </si>
  <si>
    <t>03272007 THE HOME DEPOT 4715</t>
  </si>
  <si>
    <t>10252006 SAFETY SIGNS INC</t>
  </si>
  <si>
    <t>10182006 LOWE'S #1631</t>
  </si>
  <si>
    <t>10052006 HARDWARE SALES</t>
  </si>
  <si>
    <t>10032006 LOWE'S #1631</t>
  </si>
  <si>
    <t>09272006 HARDWARE SALES</t>
  </si>
  <si>
    <t>09132006 RODDA PAINT BH51</t>
  </si>
  <si>
    <t>09072006 HARDWARE SALES</t>
  </si>
  <si>
    <t>08312006 HARDWARE SALES</t>
  </si>
  <si>
    <t>08252006 HARDWARE SALES</t>
  </si>
  <si>
    <t>07202006 HARDWARE SALES</t>
  </si>
  <si>
    <t>03052007 DAY WIRELESS SYSTEMS</t>
  </si>
  <si>
    <t>Record accrual of FY 2007 expenses.</t>
  </si>
  <si>
    <t>08042006 POM INC</t>
  </si>
  <si>
    <t>09212006 DAY WIRELESS SYSTEMS</t>
  </si>
  <si>
    <t>06262007 DAY WIRELESS SYSTEMS</t>
  </si>
  <si>
    <t>06042007 SND COMMUNICATION00 OF 00</t>
  </si>
  <si>
    <t>05182007 FAIRHAVEN BIKE &amp; MOUNT</t>
  </si>
  <si>
    <t>07032006 DAY WIRELESS SYSTEMS</t>
  </si>
  <si>
    <t>Veh Lse 06/07</t>
  </si>
  <si>
    <t>10032006 SAFETY SIGNS INC</t>
  </si>
  <si>
    <t>09072006 SAFETY SIGNS INC</t>
  </si>
  <si>
    <t>06072007 OFFICE DEPOT #1078</t>
  </si>
  <si>
    <t>06252007 OFFICE DEPOT #1078</t>
  </si>
  <si>
    <t>02022007 OFFICE DEPOT #1078</t>
  </si>
  <si>
    <t>12132006 OFFICE DEPOT #1078</t>
  </si>
  <si>
    <t>11162006 OFFICE DEPOT #1078</t>
  </si>
  <si>
    <t>10112006 OFFICE DEPOT #1078</t>
  </si>
  <si>
    <t>09252006 OFFICE DEPOT #1078</t>
  </si>
  <si>
    <t>02132007 NW COMPUTER SUPPLIES</t>
  </si>
  <si>
    <t>05182007 XEROX CORP OFF PRINT BUS.</t>
  </si>
  <si>
    <t>04102007 XEROX CORP OFF PRINT BUS.</t>
  </si>
  <si>
    <t>01152007 OFFICE DEPOT #1078</t>
  </si>
  <si>
    <t>11152006 XEROX CORP OFF PRINT BUS.</t>
  </si>
  <si>
    <t>09272006 XEROX CORP OFF PRINT BUS.</t>
  </si>
  <si>
    <t>02282007 SLIDELOCK TOOL CO-Z TOOL</t>
  </si>
  <si>
    <t>08022006 POCKET PRESS INC</t>
  </si>
  <si>
    <t>01262007 OFFICE DEPOT #1078</t>
  </si>
  <si>
    <t>06152007 SDP</t>
  </si>
  <si>
    <t>01242007 INDEL-DAVIS INC</t>
  </si>
  <si>
    <t>12282006 OFFICE DEPOT #1078</t>
  </si>
  <si>
    <t>10242006 OFFICE DEPOT #1078</t>
  </si>
  <si>
    <t>09262006 NW COMPUTER SUPPLIES</t>
  </si>
  <si>
    <t>07182006 INDEL-DAVIS INC</t>
  </si>
  <si>
    <t>04182007 GRAPHIC ART PRODUCTION</t>
  </si>
  <si>
    <t>04052007 GRAPHIC ART PRODUCTION</t>
  </si>
  <si>
    <t>10062006 GRAPHIC ART PRODUCTION</t>
  </si>
  <si>
    <t>07212006 STAMPADOODLE INC.</t>
  </si>
  <si>
    <t>01052007 THE TAMIS CORPORATION</t>
  </si>
  <si>
    <t>06292007 OFFICE DEPOT #1078</t>
  </si>
  <si>
    <t>04272007 OFFICE DEPOT #1078</t>
  </si>
  <si>
    <t>04182007 BATTERY ZONE</t>
  </si>
  <si>
    <t>02222007 OFFICE DEPOT #1078</t>
  </si>
  <si>
    <t>02202007 TAG INTERNATIONAL, INC.</t>
  </si>
  <si>
    <t>Comp Tax 1,749.60 @ 8.4%</t>
  </si>
  <si>
    <t>11222006 BLOCK AND COMPANY</t>
  </si>
  <si>
    <t>10162006 GRAPHIC ART PRODUCTION</t>
  </si>
  <si>
    <t>10132006 GRAPHIC ART PRODUCTION</t>
  </si>
  <si>
    <t>09012006 BATTERY ZONE</t>
  </si>
  <si>
    <t>CorpEx Order 152624394</t>
  </si>
  <si>
    <t>CorpEx Order 147689613</t>
  </si>
  <si>
    <t>07282006 INDEL-DAVIS INC</t>
  </si>
  <si>
    <t>07202006 SETON NAME PLATE COMPANY</t>
  </si>
  <si>
    <t>CorpEx Order 147066735</t>
  </si>
  <si>
    <t>CorpEx Order 146504595</t>
  </si>
  <si>
    <t>12272006 BELLINGHAM LOCK &amp; S</t>
  </si>
  <si>
    <t>07192006 NW COMPUTER SUPPLIES</t>
  </si>
  <si>
    <t>01122007 CROSS MATCH TECHNOLOGIES,</t>
  </si>
  <si>
    <t>06082007 BOSTEC</t>
  </si>
  <si>
    <t>06092007 TITLE BXING/LINE DR SP</t>
  </si>
  <si>
    <t>05092007 KESSELRING GUN SHOP</t>
  </si>
  <si>
    <t>05072007 OFFICE DEPOT #1078</t>
  </si>
  <si>
    <t>05022007 FAIRHAVEN BIKE &amp; MOUNT</t>
  </si>
  <si>
    <t>04242007 BELLINGHAM PROMO PR</t>
  </si>
  <si>
    <t>04112007 XEROX CORP OFF PRINT BUS.</t>
  </si>
  <si>
    <t>04032007 MEDTRONIC EMERGENCY RESPO</t>
  </si>
  <si>
    <t>03202007 PROFORCE LAW ENFORCEMENT</t>
  </si>
  <si>
    <t>01302007 XEROX CORP OFF PRINT BUS.</t>
  </si>
  <si>
    <t>CorpEx Order 153377686</t>
  </si>
  <si>
    <t>08052006 XEROX CORP OFF PRINT BUS.</t>
  </si>
  <si>
    <t>CorpEx Order 145982043</t>
  </si>
  <si>
    <t>Wm. T. Follis Realtors</t>
  </si>
  <si>
    <t>KPMG LLP</t>
  </si>
  <si>
    <t>Trf Design Exp fr Fund 72030</t>
  </si>
  <si>
    <t>Adobe CS3 Web Premium Win Lic</t>
  </si>
  <si>
    <t>Microsoft Windows Server 2003 Std</t>
  </si>
  <si>
    <t>Interdepartment Printing Expense</t>
  </si>
  <si>
    <t>Indirect for May 2008</t>
  </si>
  <si>
    <t>Initial Allotment</t>
  </si>
  <si>
    <t>BlkFuel1/31-2/28/08</t>
  </si>
  <si>
    <t>BLKF12/30/07-2/1/08</t>
  </si>
  <si>
    <t>BLKF11/30-12/31/07</t>
  </si>
  <si>
    <t>BLKF10/29-11/30/07</t>
  </si>
  <si>
    <t>BlkF10/01-10/29/07</t>
  </si>
  <si>
    <t>Blk Fl 8/31-10/1/07</t>
  </si>
  <si>
    <t>Bulk Fuel 8/2-30/07</t>
  </si>
  <si>
    <t>Bulk Fuel 7/3-8/2</t>
  </si>
  <si>
    <t>Fuel6/2-6/30/08</t>
  </si>
  <si>
    <t>VOYAGER3/08-5/08</t>
  </si>
  <si>
    <t>Fuel4/28-6/1/08</t>
  </si>
  <si>
    <t>BLKFUEL2/28-4/28/08</t>
  </si>
  <si>
    <t>Writ Policy/Proc/Task-Berry</t>
  </si>
  <si>
    <t>27-JUN-08 DETAIL</t>
  </si>
  <si>
    <t>27-MAY-08 DETAIL</t>
  </si>
  <si>
    <t>29-APR-08 DETAIL</t>
  </si>
  <si>
    <t>28-MAR-08 DETAIL</t>
  </si>
  <si>
    <t>28-FEB-08 DETAIL</t>
  </si>
  <si>
    <t>29-JAN-08 DETAIL</t>
  </si>
  <si>
    <t>26-DEC-07 DETAIL</t>
  </si>
  <si>
    <t>29-NOV-07 DETAIL</t>
  </si>
  <si>
    <t>30-OCT-07 DETAIL</t>
  </si>
  <si>
    <t>28-SEP-07 DETAIL</t>
  </si>
  <si>
    <t>30-AUG-07 DETAIL</t>
  </si>
  <si>
    <t>30-JUL-07 DETAIL</t>
  </si>
  <si>
    <t>Statement Env. w/ return address</t>
  </si>
  <si>
    <t>Envelope size 6.75 - public safety</t>
  </si>
  <si>
    <t>Public safety no. 10 Envelopes</t>
  </si>
  <si>
    <t>REPAIR METERS</t>
  </si>
  <si>
    <t>Telecom charges May 2008</t>
  </si>
  <si>
    <t>HA WORK</t>
  </si>
  <si>
    <t>EF WORK FABRICATE BIKE SHELTER</t>
  </si>
  <si>
    <t>BA WORK</t>
  </si>
  <si>
    <t>IC WORK</t>
  </si>
  <si>
    <t>DA WORK</t>
  </si>
  <si>
    <t>WA FIXED ESTIMATED PROJECTS FEE</t>
  </si>
  <si>
    <t>PDCA DESIGN</t>
  </si>
  <si>
    <t>15082E OPEN WORK ORDER</t>
  </si>
  <si>
    <t>15083E OPEN WORK ORDER</t>
  </si>
  <si>
    <t>15069E OPEN WORK ORDER</t>
  </si>
  <si>
    <t>PM VEHICLE MAJOR  11/2007</t>
  </si>
  <si>
    <t>PM VEHICLE MINOR 16513E 8/08 PARKIN</t>
  </si>
  <si>
    <t>PM VEHICLE MINOR 16513E 5/08 PARKIN</t>
  </si>
  <si>
    <t>SINK HOLE IN LOT 12A</t>
  </si>
  <si>
    <t>16513E OPEN WORK ORDER</t>
  </si>
  <si>
    <t>CLEAN FABRIC ON APPROX 25 CHAIRS</t>
  </si>
  <si>
    <t>PM VEHICLE MAJOR - 20293E - 1/2008</t>
  </si>
  <si>
    <t>POT HOLES IN 8G</t>
  </si>
  <si>
    <t>PM VEHICLE MINOR  11/2007</t>
  </si>
  <si>
    <t>B29 KUBOTA TRACTOR OPEN WORK ORDER</t>
  </si>
  <si>
    <t xml:space="preserve">PM VEHICLE MINOR - 15043E - 2/2008 </t>
  </si>
  <si>
    <t>PATCH AND PAINT CHIEF'S OFFICE</t>
  </si>
  <si>
    <t>VEHICLE MINOR PM - 15043E</t>
  </si>
  <si>
    <t>YR VEH LSE07/08</t>
  </si>
  <si>
    <t>Telecom charges Jun 2008</t>
  </si>
  <si>
    <t>Telecom charges Apr 2008</t>
  </si>
  <si>
    <t>Telecom charges Mar 2008</t>
  </si>
  <si>
    <t>Telecom charges Feb 2008</t>
  </si>
  <si>
    <t>Telecom charges Jan 2008</t>
  </si>
  <si>
    <t>Telecom charges Dec 2007</t>
  </si>
  <si>
    <t>Telecom charges Nov 2007</t>
  </si>
  <si>
    <t>Telecom charges Oct 2007</t>
  </si>
  <si>
    <t>Telecom charges Sep 2007</t>
  </si>
  <si>
    <t>Telecom charges Aug 2007</t>
  </si>
  <si>
    <t>Telecom charges Jul 2007</t>
  </si>
  <si>
    <t>Telecom charges Jun 2007</t>
  </si>
  <si>
    <t>Bookstore Charges</t>
  </si>
  <si>
    <t>KIM CS1134</t>
  </si>
  <si>
    <t>DEPARTMENT RESERVED SPACES</t>
  </si>
  <si>
    <t>DEPARTMENT RESERVED SPACE(S)</t>
  </si>
  <si>
    <t>PCard Acct Code Correction to E111</t>
  </si>
  <si>
    <t>08222007 WSBA.ORG</t>
  </si>
  <si>
    <t>07102007 OFFICE DEPOT #1078</t>
  </si>
  <si>
    <t>Principal due on lease #31</t>
  </si>
  <si>
    <t>Amort Lincohn Creek Issuance Cost</t>
  </si>
  <si>
    <t>Fr 72030</t>
  </si>
  <si>
    <t>Trf Exp to Fund 72027</t>
  </si>
  <si>
    <t>Trf Exp to 54551</t>
  </si>
  <si>
    <t>Trf Design Exp fr 72030 to 54551</t>
  </si>
  <si>
    <t>Clearing Trap &amp; Training Guns</t>
  </si>
  <si>
    <t>12042007 COPS PLUS, INC</t>
  </si>
  <si>
    <t>11272007 NATIONAL POLICE SUPPLY, L</t>
  </si>
  <si>
    <t>11082007 NATIONAL POLICE SUPPLY, L</t>
  </si>
  <si>
    <t>06122008 HP DIRECT-PUBLICSECTOR</t>
  </si>
  <si>
    <t>Technology Express Inc</t>
  </si>
  <si>
    <t>Dell Laptop</t>
  </si>
  <si>
    <t>10232007 ALPHA INDUSTRIES INC</t>
  </si>
  <si>
    <t>07102007 HEADSETPLUS.COM</t>
  </si>
  <si>
    <t>05302008 LOWES #01631</t>
  </si>
  <si>
    <t>Rifle Sights</t>
  </si>
  <si>
    <t>Bolt Cutters</t>
  </si>
  <si>
    <t>03192008 GAL</t>
  </si>
  <si>
    <t>02152008 SND COMMUNICATIONS</t>
  </si>
  <si>
    <t>12192007 BLUMENTHAL UNIFORMS -</t>
  </si>
  <si>
    <t>10252007 HARDWARE SALES</t>
  </si>
  <si>
    <t>08222007 KESSELRING GUN SHOP</t>
  </si>
  <si>
    <t>07252007 KESSELRING GUN SHOP</t>
  </si>
  <si>
    <t>06192008 OFFICE DEPOT #1078</t>
  </si>
  <si>
    <t>06122008 NW COMPUTER SUPPLIES</t>
  </si>
  <si>
    <t>Network Routers</t>
  </si>
  <si>
    <t>03242008 NW COMPUTER SUPPLIES</t>
  </si>
  <si>
    <t>10182007 OFFICE DEPOT #1078</t>
  </si>
  <si>
    <t>07102007 CIRCUIT CITY SS #3326</t>
  </si>
  <si>
    <t>Carol Berry - Reno, NV</t>
  </si>
  <si>
    <t>Julia Gassman - Dallas, TX</t>
  </si>
  <si>
    <t>Stegmeier, Randolph John.</t>
  </si>
  <si>
    <t>Corr Budget String on Travel Exp</t>
  </si>
  <si>
    <t>Bartl, Craig Michael.</t>
  </si>
  <si>
    <t>Move Visitor Center Sweep to 43000</t>
  </si>
  <si>
    <t>Computer Printer Ink</t>
  </si>
  <si>
    <t>FY 07-08 Assessment-Annual</t>
  </si>
  <si>
    <t>03072008 SVP-ADVERTISING</t>
  </si>
  <si>
    <t>03072008 BELLINGHAM HERALD</t>
  </si>
  <si>
    <t>10092007 BELLINGHAM HERALD</t>
  </si>
  <si>
    <t>02082008 BELLINGHAM HERALD</t>
  </si>
  <si>
    <t>11212007 BELLINGHAM HERALD</t>
  </si>
  <si>
    <t>09192007 BELLINGHAM HERALD</t>
  </si>
  <si>
    <t>09192007 SKAGIT VALLEY HERALD</t>
  </si>
  <si>
    <t>09192007 SEA TIMES PI CLASSIFIEDS</t>
  </si>
  <si>
    <t>06062008 BLUMENTHAL SEA TAC #50</t>
  </si>
  <si>
    <t>05302008 BLUMENTHAL SEA TAC #50</t>
  </si>
  <si>
    <t>10252007 BLUMENTHAL UNIFORMS -</t>
  </si>
  <si>
    <t>09262007 BLUMENTHAL UNIFORMS -</t>
  </si>
  <si>
    <t>08292007 BLUMENTHAL UNIFORMS -</t>
  </si>
  <si>
    <t>08132007 BRATWEAR</t>
  </si>
  <si>
    <t>08012007 BLUMENTHAL UNIFORMS -</t>
  </si>
  <si>
    <t>10112007 WEARGUARD</t>
  </si>
  <si>
    <t>05032008 WEARGUARD</t>
  </si>
  <si>
    <t>04292008 WEARGUARD</t>
  </si>
  <si>
    <t>04182008 BERGEN &amp; CO</t>
  </si>
  <si>
    <t>04152008 BLUMENTHAL SEA TAC #50</t>
  </si>
  <si>
    <t>04092008 BERGEN &amp; CO</t>
  </si>
  <si>
    <t>03132008 BLUMENTHAL UNIFORMS -</t>
  </si>
  <si>
    <t>02292008 BLUMENTHAL UNIFORMS -</t>
  </si>
  <si>
    <t>02152008 BLUMENTHAL UNIFORMS -</t>
  </si>
  <si>
    <t>01292008 BLUMENTHAL UNIFORMS -</t>
  </si>
  <si>
    <t>01252008 COPS PLUS, INC</t>
  </si>
  <si>
    <t>01112008 BLUMENTHAL UNIFORMS -</t>
  </si>
  <si>
    <t>12312007 COPS PLUS, INC</t>
  </si>
  <si>
    <t>12132007 BLUMENTHAL UNIFORMS -</t>
  </si>
  <si>
    <t>12102007 COPS PLUS, INC</t>
  </si>
  <si>
    <t>11292007 BLUMENTHAL UNIFORMS -</t>
  </si>
  <si>
    <t>11212007 BLUMENTHAL UNIFORMS -</t>
  </si>
  <si>
    <t>Carpenter, Ronald Charles.</t>
  </si>
  <si>
    <t>10112007 V AND V MANUFACTURING INC</t>
  </si>
  <si>
    <t>08242007 BERGEN &amp; CO</t>
  </si>
  <si>
    <t>08212007 V AND V MANUFACTURING INC</t>
  </si>
  <si>
    <t>08082007 BERGEN &amp; CO</t>
  </si>
  <si>
    <t>07232007 BERGEN &amp; CO</t>
  </si>
  <si>
    <t>07122007 BLUMENTHAL UNIFORMS -</t>
  </si>
  <si>
    <t>07112007 WATERSHED INC</t>
  </si>
  <si>
    <t>Whistle Workwear Of Bellingham LLC</t>
  </si>
  <si>
    <t>04012008 GAL</t>
  </si>
  <si>
    <t>03202008 WHATCOM RADIATOR</t>
  </si>
  <si>
    <t>03192008 WHATCOM RADIATOR</t>
  </si>
  <si>
    <t>03202008 GAL</t>
  </si>
  <si>
    <t>03032008 HARDWARE SALES</t>
  </si>
  <si>
    <t>01172008 WW GRAINGER 758</t>
  </si>
  <si>
    <t>Sparkle Cleaners</t>
  </si>
  <si>
    <t>Shining Sun Corporation</t>
  </si>
  <si>
    <t>Rydin Decal</t>
  </si>
  <si>
    <t>Apple Computer Inc</t>
  </si>
  <si>
    <t>01042008 BERGEN &amp; CO</t>
  </si>
  <si>
    <t>12102007 BERGEN &amp; CO</t>
  </si>
  <si>
    <t>09182007 SPECIAL T STRIPING &amp; S</t>
  </si>
  <si>
    <t>06/08 Bank Card Fees</t>
  </si>
  <si>
    <t>05/08 Bank Card Fees</t>
  </si>
  <si>
    <t>Apr 08 Bk Card Fees</t>
  </si>
  <si>
    <t>Mar08 Bank Card Fees-Pay Stations</t>
  </si>
  <si>
    <t>Feb 08 Bk Card Fees</t>
  </si>
  <si>
    <t>Jan 08 Bank Card Fees</t>
  </si>
  <si>
    <t>Dec07 Bank Card Fees</t>
  </si>
  <si>
    <t>Nov-07 Bank Card Fees</t>
  </si>
  <si>
    <t>10/07 Bank Card Fees</t>
  </si>
  <si>
    <t>09/07 Bank Card Fees</t>
  </si>
  <si>
    <t>08/07 Bank Card Fees</t>
  </si>
  <si>
    <t>07/07 Bank Card Fees</t>
  </si>
  <si>
    <t>Mar08 Bk Card Fees-Parking</t>
  </si>
  <si>
    <t>10/07 PO 113858</t>
  </si>
  <si>
    <t>8/07 PO 113842</t>
  </si>
  <si>
    <t>7/07 PO 113837</t>
  </si>
  <si>
    <t>11/07 PO 113869</t>
  </si>
  <si>
    <t>Reverse Prior Year Prepaid Exp</t>
  </si>
  <si>
    <t>Health Promotion Northwest</t>
  </si>
  <si>
    <t>Ergometrics &amp; Applied Personnel Res</t>
  </si>
  <si>
    <t>American Public Transportation Asso</t>
  </si>
  <si>
    <t>04172008 INTERNATIONAL PARKING INS</t>
  </si>
  <si>
    <t>01302008 END2END PUBLIC SAFETY SYS</t>
  </si>
  <si>
    <t>02212008 IAPE</t>
  </si>
  <si>
    <t>10102007 SKILLPATH SEMINARS</t>
  </si>
  <si>
    <t>04082008 INTL ASSN OF CHIEF OF POL</t>
  </si>
  <si>
    <t>03252008 WASHINGTON ASSOCIATI</t>
  </si>
  <si>
    <t>03182008 GRANTWRITIN</t>
  </si>
  <si>
    <t>InSights LLC</t>
  </si>
  <si>
    <t>04162008 CENTER FOR PERS PROT AND</t>
  </si>
  <si>
    <t>01252008 GRAPHIC ART PRODUCTION</t>
  </si>
  <si>
    <t>09202007 GRAPHIC ART PRODUCTION</t>
  </si>
  <si>
    <t>08292007 HARDWARE SALES</t>
  </si>
  <si>
    <t>08282007 HARDWARE SALES</t>
  </si>
  <si>
    <t>08172007 HARDWARE SALES</t>
  </si>
  <si>
    <t>08012007 HARDWARE SALES</t>
  </si>
  <si>
    <t>07122007 HARDWARE SALES</t>
  </si>
  <si>
    <t>Cook Security Group</t>
  </si>
  <si>
    <t>01282008 SND COMMUNICATION00 OF 00</t>
  </si>
  <si>
    <t>09052007 BELLINGHAM BUSINESS MACHI</t>
  </si>
  <si>
    <t>12312007 BELLINGHAM BUSINESS MACHI</t>
  </si>
  <si>
    <t>04292008 EVERGREEN ID SYSTEMS</t>
  </si>
  <si>
    <t>SND Communications Inc</t>
  </si>
  <si>
    <t>04032008 DAY WIRELESS SYSTEMS</t>
  </si>
  <si>
    <t>09242007 SND COMMUNICATION00 OF 00</t>
  </si>
  <si>
    <t>08032007 KULSHAN CYCLES</t>
  </si>
  <si>
    <t>EMS Maintenance</t>
  </si>
  <si>
    <t>VehLse 07/08</t>
  </si>
  <si>
    <t>Veh Lse07/08</t>
  </si>
  <si>
    <t>Record fiscal 2008 invoices.</t>
  </si>
  <si>
    <t>MAY08 Mail Service Postage Recovery</t>
  </si>
  <si>
    <t>04222008 SAFETY SIGNS INC</t>
  </si>
  <si>
    <t>Pedestrian Crossing Signs</t>
  </si>
  <si>
    <t>10292007 SAFETY SIGNS INC</t>
  </si>
  <si>
    <t>01252008 OFFICE DEPOT #1078</t>
  </si>
  <si>
    <t>09112007 OFFICE DEPOT #1078</t>
  </si>
  <si>
    <t>09122007 NW COMPUTER SUPPLIES</t>
  </si>
  <si>
    <t>03282008 XEROX CORP OFF PRINT BUS.</t>
  </si>
  <si>
    <t>03052008 XEROX CORP OFF PRINT BUS.</t>
  </si>
  <si>
    <t>11082007 XEROX CORP OFF PRINT BUS.</t>
  </si>
  <si>
    <t>07202007 XEROX CORP OFF PRINT BUS.</t>
  </si>
  <si>
    <t>09212007 POCKET PRESS INC</t>
  </si>
  <si>
    <t>12112007 OFFICE DEPOT #1078</t>
  </si>
  <si>
    <t>12012007 PTI*PEAKTECH TELPAR</t>
  </si>
  <si>
    <t>08232007 OFFICE DEPOT #1078</t>
  </si>
  <si>
    <t>08222007 OFFICE DEPOT #1078</t>
  </si>
  <si>
    <t>08102007 INDEL-DAVIS INC</t>
  </si>
  <si>
    <t>Mt Baker Bicycle Club</t>
  </si>
  <si>
    <t>05222008 OFFICE DEPOT #1078</t>
  </si>
  <si>
    <t>01302008 GRAPHIC ART PRODUCTION</t>
  </si>
  <si>
    <t>07042007 OFFICE DEPOT #1078</t>
  </si>
  <si>
    <t>06182008 OFFICE DEPOT #1078</t>
  </si>
  <si>
    <t>05212008 BATTERY ZONE INC</t>
  </si>
  <si>
    <t>03132008 NW COMPUTER SUPPLIES</t>
  </si>
  <si>
    <t>02152008 INDEL-DAVIS INC</t>
  </si>
  <si>
    <t>01042008 OFFICE DEPOT #1078</t>
  </si>
  <si>
    <t>10302007 SETON NAME PLATE COMPANY</t>
  </si>
  <si>
    <t>09212007 HARDWARE SALES</t>
  </si>
  <si>
    <t>09102007 OFFICE DEPOT #1078</t>
  </si>
  <si>
    <t>08222007 NW COMPUTER SUPPLIES</t>
  </si>
  <si>
    <t>08172007 INDEL-DAVIS INC</t>
  </si>
  <si>
    <t>07312007 BATTERY ZONE</t>
  </si>
  <si>
    <t>07252007 OFFICE DEPOT #1078</t>
  </si>
  <si>
    <t>06172008 HARDWARE SALES</t>
  </si>
  <si>
    <t>04172008 HARDWARE SALES</t>
  </si>
  <si>
    <t>09142007 HARDWARE SALES</t>
  </si>
  <si>
    <t>04102008 NW COMPUTER SUPPLIES</t>
  </si>
  <si>
    <t>03192008 BUILDERS HARDWARE&amp;SUPPLY</t>
  </si>
  <si>
    <t>09262007 BELLINGHAM LOCK &amp; S</t>
  </si>
  <si>
    <t>08142007 WW GRAINGER 758</t>
  </si>
  <si>
    <t>04282008 XEROX CORP OFF PRINT BUS.</t>
  </si>
  <si>
    <t>03212008 OFFICE DEPOT #1078</t>
  </si>
  <si>
    <t>03192008 PROFORCE LAW ENFORCEMENT</t>
  </si>
  <si>
    <t>02262008 SND COMMUNICATIONS</t>
  </si>
  <si>
    <t>12172007 TRI-TECH INC</t>
  </si>
  <si>
    <t>11262007 DELTA GLOVES</t>
  </si>
  <si>
    <t>08102007 PEAVEY CORPORATION</t>
  </si>
  <si>
    <t>08132007 CSI FORENSICS SUPPLY</t>
  </si>
  <si>
    <t>08132007 TRI-TECH INC</t>
  </si>
  <si>
    <t>St Joseph Hospital</t>
  </si>
  <si>
    <t>Dashen Musselman Incorporated</t>
  </si>
  <si>
    <t>Comprehensive School Safety LLC</t>
  </si>
  <si>
    <t>Trf to Orgn Code 5740</t>
  </si>
  <si>
    <t>Accrued payable WTA summer passes</t>
  </si>
  <si>
    <t>Transfer fr Orgn 5740 to Orgn5741</t>
  </si>
  <si>
    <t>Correct Coding</t>
  </si>
  <si>
    <t>Amort Bond Costs Lincoln Cr</t>
  </si>
  <si>
    <t>Trf Design Exp fr 72031-54551</t>
  </si>
  <si>
    <t>Trf Design Exp fr 54551-72031</t>
  </si>
  <si>
    <t>Transfer Design Exp fm Fund 72031</t>
  </si>
  <si>
    <t>Westek Marketing</t>
  </si>
  <si>
    <t>Accrue fiscal 2009 invoices paid in</t>
  </si>
  <si>
    <t>Applied Concepts Inc</t>
  </si>
  <si>
    <t>Decatur Electronics Inc</t>
  </si>
  <si>
    <t>APPLIED CONCEPTS, INC, INV 170094</t>
  </si>
  <si>
    <t>APPLIED CONCEPTS INC, INV 171590</t>
  </si>
  <si>
    <t>Proforce Law Enforcement</t>
  </si>
  <si>
    <t>COOL GUY GEAR, INV 22334</t>
  </si>
  <si>
    <t>Cool Guy Gear LLC</t>
  </si>
  <si>
    <t>01062009 POSGUYS.COM</t>
  </si>
  <si>
    <t>12302008 BEST BUY      00003590</t>
  </si>
  <si>
    <t>02052009 OFFICE DEPOT #1078</t>
  </si>
  <si>
    <t>05152009 LOWES #01631</t>
  </si>
  <si>
    <t>06022009 THE HOME DEPOT 4715</t>
  </si>
  <si>
    <t>05082009 COPS PLUS, INC</t>
  </si>
  <si>
    <t>Helmet Pro</t>
  </si>
  <si>
    <t>02242009 CHINOOK MEDICAL GEAR I</t>
  </si>
  <si>
    <t>02162009 STREICHERS INC</t>
  </si>
  <si>
    <t>01312009 DIAMONDBACK TACTICAL</t>
  </si>
  <si>
    <t>01082009 SAVING LIVES FROM FIRE LL</t>
  </si>
  <si>
    <t>10272008 COPS PLUS, INC</t>
  </si>
  <si>
    <t>09242008 DYNAMETRIC INC</t>
  </si>
  <si>
    <t>07072008 BIG SKY RACKS INC</t>
  </si>
  <si>
    <t>Adobe Dreamweaver 9.0 CS3 Win Lic</t>
  </si>
  <si>
    <t>05272009 GOVCNCTN*#44715824</t>
  </si>
  <si>
    <t>Reallocate Exp 55729</t>
  </si>
  <si>
    <t>2008-09 Assessment-4th Quarter</t>
  </si>
  <si>
    <t>2008-09 Assessment - 3rd quarter</t>
  </si>
  <si>
    <t>2008-09 Assessment - 2nd Quarter</t>
  </si>
  <si>
    <t>2008-09 Assessment - 1st Quarter</t>
  </si>
  <si>
    <t>Sodexo</t>
  </si>
  <si>
    <t>11212008 SKAGIT PUBLISHING ADVERT</t>
  </si>
  <si>
    <t>11212008 BELLINGHAM HERALD ADVERTI</t>
  </si>
  <si>
    <t>11142008 SKAGIT PUBLISHING ADVERT</t>
  </si>
  <si>
    <t>11152008 SEA TIMES PL CLASSIFIEDS</t>
  </si>
  <si>
    <t>06262009 EMBLEM ENTERPRISES INC</t>
  </si>
  <si>
    <t>Move Pcard Transaction to FY09</t>
  </si>
  <si>
    <t>02272009 BLUMENTHAL SEA TAC #50</t>
  </si>
  <si>
    <t>01302009 BLUMENTHAL SEA TAC #50</t>
  </si>
  <si>
    <t>01292009 WATERSHED INC</t>
  </si>
  <si>
    <t>12302008 BERGEN &amp; CO</t>
  </si>
  <si>
    <t>11142008 BLUMENTHAL SEA TAC #50</t>
  </si>
  <si>
    <t>06252009 BLUMENTHAL SEA TAC #50</t>
  </si>
  <si>
    <t>06152009 BRATWEAR</t>
  </si>
  <si>
    <t>06122009 BLUMENTHAL SEA TAC #50</t>
  </si>
  <si>
    <t>06052009 BLUMENTHAL SEA TAC #50</t>
  </si>
  <si>
    <t>05282009 KULSHAN CYCLES</t>
  </si>
  <si>
    <t>05082009 BLUMENTHAL SEA TAC #50</t>
  </si>
  <si>
    <t>04172009 BLUMENTHAL SEA TAC #50</t>
  </si>
  <si>
    <t>03062009 BLUMENTHAL SEA TAC #50</t>
  </si>
  <si>
    <t>08222008 BLUMENTHAL SEA TAC #50</t>
  </si>
  <si>
    <t>07312008 BLUMENTHAL SEA TAC #50</t>
  </si>
  <si>
    <t>Triplett, An'dre Maurice.</t>
  </si>
  <si>
    <t>03062009 WW GRAINGER</t>
  </si>
  <si>
    <t>Reaallocate Exp 55729</t>
  </si>
  <si>
    <t>Spivey Group LLC</t>
  </si>
  <si>
    <t>WF ads 6/1/09 to 6/15/09</t>
  </si>
  <si>
    <t>Western Front Ads - May 2009</t>
  </si>
  <si>
    <t>Western Front Ads 9-23 to 9-30-08</t>
  </si>
  <si>
    <t>FUEL5/31-6/30/09</t>
  </si>
  <si>
    <t>FUEL5/1-5/30/09</t>
  </si>
  <si>
    <t>FUEL4/1-4/30/09</t>
  </si>
  <si>
    <t>FUEL 3/1-3/31/2009</t>
  </si>
  <si>
    <t>FUEL 2/1-2/28/2009</t>
  </si>
  <si>
    <t>FUEL 1/1-1/31/2009</t>
  </si>
  <si>
    <t>FUEL12/08-12/31/08</t>
  </si>
  <si>
    <t>FUEL NOV 2008</t>
  </si>
  <si>
    <t>FUEL 10/02-10/31/08</t>
  </si>
  <si>
    <t>FUEL 8/30-10/01/08</t>
  </si>
  <si>
    <t>FUEL 8/4-8/29/08</t>
  </si>
  <si>
    <t>Fuel7/1-8/3/08</t>
  </si>
  <si>
    <t>Comdata Network Inc</t>
  </si>
  <si>
    <t>GEM ELECTRIC CAR</t>
  </si>
  <si>
    <t>GEM CAR REPAIR 20283E</t>
  </si>
  <si>
    <t>GEM CAR REPAIR</t>
  </si>
  <si>
    <t>12/08 Bank Card Fees</t>
  </si>
  <si>
    <t>11/08 Bank Card Fees</t>
  </si>
  <si>
    <t>10/08 Bank Card Fees</t>
  </si>
  <si>
    <t>09/08 Bank Card Fees</t>
  </si>
  <si>
    <t>08/08 Bank Card Fees</t>
  </si>
  <si>
    <t>07/08 Bank Card Fees</t>
  </si>
  <si>
    <t>6/09 Bank Card Fees</t>
  </si>
  <si>
    <t>5/09 Bank Card Fees</t>
  </si>
  <si>
    <t>4/09 Bank Card Fees</t>
  </si>
  <si>
    <t>3/09 Bank Card Fees</t>
  </si>
  <si>
    <t>2/09 Bank Card Fees</t>
  </si>
  <si>
    <t>1/09 Bank Card Fees</t>
  </si>
  <si>
    <t>Ems &amp; Master Calendar</t>
  </si>
  <si>
    <t>Record Exps in Correct FY</t>
  </si>
  <si>
    <t>01272009 SPECIAL T STRIPING &amp; S</t>
  </si>
  <si>
    <t>06172009 WASHINGTON ASSOCIATI</t>
  </si>
  <si>
    <t>10222008 IACLEA</t>
  </si>
  <si>
    <t>International Parking Institute</t>
  </si>
  <si>
    <t>05042009 RELATIVE GENETICS</t>
  </si>
  <si>
    <t>01162009 NWTC WEB REGISTRATION</t>
  </si>
  <si>
    <t>12052008 WICKLANDER ZULAWSKI AND A</t>
  </si>
  <si>
    <t>Harvey, Ward &amp; Associates</t>
  </si>
  <si>
    <t>11052008 WASHINGTON ASSOCIATI</t>
  </si>
  <si>
    <t>10022008 COLT DEFENSE</t>
  </si>
  <si>
    <t>09112008 GLOCK PROFESSIONAL INC</t>
  </si>
  <si>
    <t>11072008 SAFE TRAVEL INSTITUTE</t>
  </si>
  <si>
    <t>Copier Color copy/print - June</t>
  </si>
  <si>
    <t>29-JUN-09 DETAIL</t>
  </si>
  <si>
    <t>29-MAY-09 DETAIL</t>
  </si>
  <si>
    <t>29-APR-09 DETAIL</t>
  </si>
  <si>
    <t>31-MAR-09 DETAIL</t>
  </si>
  <si>
    <t>29-JAN-09 DETAIL</t>
  </si>
  <si>
    <t>29-DEC-08 DETAIL</t>
  </si>
  <si>
    <t>26-NOV-08 DETAIL</t>
  </si>
  <si>
    <t>31-OCT-08 DETAIL</t>
  </si>
  <si>
    <t>29-SEP-08 DETAIL</t>
  </si>
  <si>
    <t>31-JUL-08 DETAIL</t>
  </si>
  <si>
    <t>28-MAY-09 DETAIL</t>
  </si>
  <si>
    <t>26-JUN-09 DETAIL</t>
  </si>
  <si>
    <t>Campus map with bike paths and rack</t>
  </si>
  <si>
    <t>Logo</t>
  </si>
  <si>
    <t>Envelopes</t>
  </si>
  <si>
    <t>10032008 GRAPHIC ART PRODUCTION</t>
  </si>
  <si>
    <t>Notice of Infraction</t>
  </si>
  <si>
    <t>Courtesy Reply Env</t>
  </si>
  <si>
    <t>Daily Key Check Out Cards</t>
  </si>
  <si>
    <t>Business Cards</t>
  </si>
  <si>
    <t>Five Two Color Business Cards</t>
  </si>
  <si>
    <t>Micro Data Services</t>
  </si>
  <si>
    <t>Nov Parts Sold</t>
  </si>
  <si>
    <t>Oct Parts Sold</t>
  </si>
  <si>
    <t>03102009 SCHOLTENS EQUIPMENT INC</t>
  </si>
  <si>
    <t>07172008 SND COMMUNICATIONS</t>
  </si>
  <si>
    <t>11242008 PTI*PEAKTECH TELPAR</t>
  </si>
  <si>
    <t>09242008 PTI*PEAKTECH TELPAR</t>
  </si>
  <si>
    <t>02202009 ACCURATE DATA SERVICE</t>
  </si>
  <si>
    <t>08292008 SND COMMUNICATION00 OF 00</t>
  </si>
  <si>
    <t>03032009 EVERGREEN ID SYSTEMS</t>
  </si>
  <si>
    <t>04072009 DAY WIRELESS SYSTEMS 1603</t>
  </si>
  <si>
    <t>PM VEHICLE MAJOR 15069E PARKING 5/0</t>
  </si>
  <si>
    <t>PM VEHICLE MINOR 15069E PARKING 11/</t>
  </si>
  <si>
    <t>PM VEHICLE MAJOR 16513E PARKING 11/</t>
  </si>
  <si>
    <t>PM VEHICLE MAJOR PARKING SERVICES 9</t>
  </si>
  <si>
    <t>20293E OPEN WORK ORDER</t>
  </si>
  <si>
    <t>consultant Exp-80 Percent</t>
  </si>
  <si>
    <t>UPD VEHICLE EQUIP OPEN WORK ORDER</t>
  </si>
  <si>
    <t xml:space="preserve">NEW ROVER TRUCK EQUIPMENT TRANSFER </t>
  </si>
  <si>
    <t>NEW ROVER TRUCK EQUIPMENT TRANSFER</t>
  </si>
  <si>
    <t>PM VEHICLE MINOR  15043E UPD 2/09 D</t>
  </si>
  <si>
    <t>10364E OPEN WORK ORDER</t>
  </si>
  <si>
    <t>PM VEHICLE MAJOR 15043E PARKING 11/</t>
  </si>
  <si>
    <t>PM VEHICLE MINOR 15043E 5/08 PARKIN</t>
  </si>
  <si>
    <t>Wireless Connection LLC</t>
  </si>
  <si>
    <t>Computer Lab 6/15-17/09</t>
  </si>
  <si>
    <t>VEH LSE 08/09</t>
  </si>
  <si>
    <t>Accrual of fiscal 2009 expenditures</t>
  </si>
  <si>
    <t>Reverse the recording of 2008 invoi</t>
  </si>
  <si>
    <t>Telecom charges Jun 2009</t>
  </si>
  <si>
    <t>Telecom charges May 2009</t>
  </si>
  <si>
    <t>Telecom charges Apr 2009</t>
  </si>
  <si>
    <t>Telecom charges Mar 2009</t>
  </si>
  <si>
    <t>Telecom charges Feb 2009</t>
  </si>
  <si>
    <t>Telecom charges Jan 2009</t>
  </si>
  <si>
    <t>Telecom charges Dec 2008</t>
  </si>
  <si>
    <t>Telecom charges Nov 2008</t>
  </si>
  <si>
    <t>Telecom charges Oct 2008</t>
  </si>
  <si>
    <t>Telecom charges Sep 2008</t>
  </si>
  <si>
    <t>Telecom charges Aug 2008</t>
  </si>
  <si>
    <t>Telecom charges Jul 2008</t>
  </si>
  <si>
    <t>06102009 SAFETY SIGNS INC</t>
  </si>
  <si>
    <t>Bike Lane Signs</t>
  </si>
  <si>
    <t>02132009 SAFETY SIGNS INC</t>
  </si>
  <si>
    <t>01062009 SAFETY SIGNS INC</t>
  </si>
  <si>
    <t>10152008 SAFETY SIGNS INC</t>
  </si>
  <si>
    <t>09242008 OFFICE DEPOT #1078</t>
  </si>
  <si>
    <t>08132008 POCKET PRESS INC</t>
  </si>
  <si>
    <t>05292009 OFFICE DEPOT #1078</t>
  </si>
  <si>
    <t>150 Bike Bells</t>
  </si>
  <si>
    <t>05152009 SIGNS BY TOMORROW</t>
  </si>
  <si>
    <t>04022009 OFFICE DEPOT #1078</t>
  </si>
  <si>
    <t>Comp Tax 1,331.55 @ 8.5%</t>
  </si>
  <si>
    <t>01092009 WILDERNESS VENTURES</t>
  </si>
  <si>
    <t>12152008 WILDERNESS VENTURES</t>
  </si>
  <si>
    <t>11252008 WILDERNESS VENTURES</t>
  </si>
  <si>
    <t>11172008 REI 65 BELLINGHAM</t>
  </si>
  <si>
    <t>04242009 GRAPHIC ART/SHORT RUN</t>
  </si>
  <si>
    <t>02102009 SND COMMUNICATIONS</t>
  </si>
  <si>
    <t>12092008 WEB ORDER 866-688-6912</t>
  </si>
  <si>
    <t>11012008 GOV CNCTN</t>
  </si>
  <si>
    <t>08292008 GRAPHIC ART PRODUCTION</t>
  </si>
  <si>
    <t>06122009 OFFICE DEPOT #1078</t>
  </si>
  <si>
    <t>06092009 INDEL DAVIS INC</t>
  </si>
  <si>
    <t>06032009 OFFICE DEPOT #1078</t>
  </si>
  <si>
    <t>04152009 OFFICE DEPOT #5125</t>
  </si>
  <si>
    <t>03042009 LAMINATION DEPOT, INC.</t>
  </si>
  <si>
    <t>02232009 BATTERY ZONE INC</t>
  </si>
  <si>
    <t>01232009 OFFICE DEPOT #1078</t>
  </si>
  <si>
    <t>11062008 OFFICE DEPOT #1078</t>
  </si>
  <si>
    <t>09292008 INDEL DAVIS INC</t>
  </si>
  <si>
    <t>09152008 OFFICE DEPOT #1078</t>
  </si>
  <si>
    <t>08082008 NW COMPUTER SUPPLIES</t>
  </si>
  <si>
    <t>07082008 1000BULBS COM</t>
  </si>
  <si>
    <t>06012009 HARDWARE SALES</t>
  </si>
  <si>
    <t>04242009 HARDWARE SALES</t>
  </si>
  <si>
    <t>04232009 HARDWARE SALES</t>
  </si>
  <si>
    <t>10152008 HARDWARE SALES</t>
  </si>
  <si>
    <t>07282008 HARDWARE SALES</t>
  </si>
  <si>
    <t>07232008 HARDWARE SALES</t>
  </si>
  <si>
    <t>05132009 EVERGREEN ID SYSTEMS</t>
  </si>
  <si>
    <t>03042009 OFFICE DEPOT #1078</t>
  </si>
  <si>
    <t>10092008 EVERGREEN ID SYSTEMS</t>
  </si>
  <si>
    <t>09292008 BELLINGHAM LOCK &amp; S</t>
  </si>
  <si>
    <t>09182008 BELLINGHAM LOCK &amp; S</t>
  </si>
  <si>
    <t>07012008 BELLINGHAM LOCK &amp; S</t>
  </si>
  <si>
    <t>03202009 OFFICE DEPOT #1078</t>
  </si>
  <si>
    <t>04282009 FLAG CENTER</t>
  </si>
  <si>
    <t>04242009 OFFICE DEPOT #1078</t>
  </si>
  <si>
    <t>04232009 BOSTEC</t>
  </si>
  <si>
    <t>01122009 LAW ENFORCEMENT TARGETS</t>
  </si>
  <si>
    <t>11252008 XEROX CORP OFF PRINT BUS.</t>
  </si>
  <si>
    <t>11172008 FLAG CENTER</t>
  </si>
  <si>
    <t>11072008 FLAG CENTER</t>
  </si>
  <si>
    <t>10312008 BLUMENTHAL SEA TAC #50</t>
  </si>
  <si>
    <t>10272008 XEROX CORP OFF PRINT BUS.</t>
  </si>
  <si>
    <t>10022008 OFFICE DEPOT #1078</t>
  </si>
  <si>
    <t>09232008 XEROX CORP OFF PRINT BUS.</t>
  </si>
  <si>
    <t>07162008 OFFICE DEPOT #1078</t>
  </si>
  <si>
    <t>Northwest Emergency Physicians</t>
  </si>
  <si>
    <t>St Joseph Hospital/PeaceHealth</t>
  </si>
  <si>
    <t>Record Payment to Health Care Auth.</t>
  </si>
  <si>
    <t>Accrued Payable WTA Summer Passes</t>
  </si>
  <si>
    <t>WTA agent commission</t>
  </si>
  <si>
    <t>WTA Agent Commission</t>
  </si>
  <si>
    <t>WTA Agent Commisssion</t>
  </si>
  <si>
    <t>LOT RENTAL</t>
  </si>
  <si>
    <t>Bank card fees</t>
  </si>
  <si>
    <t>Chargebacks</t>
  </si>
  <si>
    <t>Bank Card Fees</t>
  </si>
  <si>
    <t>10G Permit Incentives</t>
  </si>
  <si>
    <t>Digital Payment Technologies Corp</t>
  </si>
  <si>
    <t>Trf fr E216 to E414</t>
  </si>
  <si>
    <t>N125316 FREIGHT CHARGES</t>
  </si>
  <si>
    <t>T2 SYSTEMS, INV F000864</t>
  </si>
  <si>
    <t>Reverse accrual of fiscal 2009 invo</t>
  </si>
  <si>
    <t>DATEC Inc</t>
  </si>
  <si>
    <t>Decatur Elec 55752 to 55753</t>
  </si>
  <si>
    <t>04202010 STALKER RADAR</t>
  </si>
  <si>
    <t>Stalker Radar</t>
  </si>
  <si>
    <t>Decatur Elec from FODPS to 55752</t>
  </si>
  <si>
    <t>Lidar Exp fr Grant 55753</t>
  </si>
  <si>
    <t>03082010 DECATUR ELECTRONICS</t>
  </si>
  <si>
    <t>02252010 WWW.COSTCO.COM</t>
  </si>
  <si>
    <t>US Bank Inc</t>
  </si>
  <si>
    <t>06222010 DMI* DELL HIGHER EDUC</t>
  </si>
  <si>
    <t>06052010 DMI* DELL HIGHER EDUC</t>
  </si>
  <si>
    <t>10212009 DMI* DELL HIGHER EDUC</t>
  </si>
  <si>
    <t>11242009 OFFICE DEPOT #1078</t>
  </si>
  <si>
    <t>United Group Inc</t>
  </si>
  <si>
    <t>Day Wireless Systems Inc</t>
  </si>
  <si>
    <t>04302010 AMAZON MKTPLACE PMTS</t>
  </si>
  <si>
    <t>03012010 BESTBUYCOM    88994009</t>
  </si>
  <si>
    <t>03092010 HARDWARE SALES</t>
  </si>
  <si>
    <t>02052010 LAMINATOR.COM</t>
  </si>
  <si>
    <t>Comp Tax 1,434.25 @ 8.5%</t>
  </si>
  <si>
    <t>02032010 BELLINGHAM AUTO PARTS</t>
  </si>
  <si>
    <t>09202009 AMERICAN PWR CNVRSN CORP</t>
  </si>
  <si>
    <t>01162010 GOVCNCTN*#45371656</t>
  </si>
  <si>
    <t>03122010 DICKS RESTAURANT SUPPLY</t>
  </si>
  <si>
    <t>03082010 KULSHAN CYCLES</t>
  </si>
  <si>
    <t>03022010 COPS PLUS, INC</t>
  </si>
  <si>
    <t>02182010 KULSHAN CYCLES</t>
  </si>
  <si>
    <t>02102010 SCANNERMASTER CORP</t>
  </si>
  <si>
    <t>Bear Communications Inc</t>
  </si>
  <si>
    <t>01212010 CASHNCARRY552 52105525</t>
  </si>
  <si>
    <t>08242009 BROWNELLS INC</t>
  </si>
  <si>
    <t>07272009 ION INC.651-773-4193</t>
  </si>
  <si>
    <t>12092009 NA.STORE.PGP.COM</t>
  </si>
  <si>
    <t>10152009 KIOWARE #2</t>
  </si>
  <si>
    <t>Microsoft SQL SrvStd 2008 SA</t>
  </si>
  <si>
    <t>MS WinServer Ent 2008R2 SA</t>
  </si>
  <si>
    <t>Adobe DreamweaverCS5 Win Lic&amp;UPG</t>
  </si>
  <si>
    <t>InterAct Public Safety Systems</t>
  </si>
  <si>
    <t>07072009 GOVCNCTN*#44835195</t>
  </si>
  <si>
    <t>07122009 AMERICAN PWR CNVRSN CORP</t>
  </si>
  <si>
    <t>12072009 AMERICAN PWR CNVRSN CORP</t>
  </si>
  <si>
    <t>Sheldon, Danette Lynn.</t>
  </si>
  <si>
    <t>American Security Distribution</t>
  </si>
  <si>
    <t>BT Transport Desk to HSG</t>
  </si>
  <si>
    <t>Reverse Deposit of Receivable Funds</t>
  </si>
  <si>
    <t>Traffic safty grnts mvd to W0</t>
  </si>
  <si>
    <t>2009-10 Assessment 4th Quarter</t>
  </si>
  <si>
    <t>2009-10 Assessment-3rd Quarter</t>
  </si>
  <si>
    <t>2009-10 Assessment-2nd Quarter</t>
  </si>
  <si>
    <t>2009-10 Assessment-1st Quarter</t>
  </si>
  <si>
    <t>08122009 BELLINGHAM HERALD ADVERTI</t>
  </si>
  <si>
    <t>09022009 SKAGIT PUBLISHING ADVERT</t>
  </si>
  <si>
    <t>09022009 BELLINGHAM HERALD ADVERTI</t>
  </si>
  <si>
    <t>06042010 BLUMENTHAL UNIFORMS AND E</t>
  </si>
  <si>
    <t>11202009 BLUMENTHAL UNIFORMS AND E</t>
  </si>
  <si>
    <t>10282009 BLUMENTHAL UNIFORMS AND E</t>
  </si>
  <si>
    <t>10092009 BLUMENTHAL UNIFORMS AND E</t>
  </si>
  <si>
    <t>08072009 BLUMENTHAL UNIFORMS AND E</t>
  </si>
  <si>
    <t>06072010 BERGEN &amp; CO</t>
  </si>
  <si>
    <t>06012010 BERGEN &amp; CO</t>
  </si>
  <si>
    <t>06242010 BLUMENTHAL UNIFORMS AND E</t>
  </si>
  <si>
    <t>06212010 COPS PLUS, INC</t>
  </si>
  <si>
    <t>04282010 V &amp; V MANUFACTURING, I</t>
  </si>
  <si>
    <t>03312010 BERGEN &amp; CO</t>
  </si>
  <si>
    <t>03032010 BERGEN &amp; CO</t>
  </si>
  <si>
    <t>01152010 BLUMENTHAL UNIFORMS AND E</t>
  </si>
  <si>
    <t>10152009 BLUMENTHAL UNIFORMS AND E</t>
  </si>
  <si>
    <t>03122010 GAL</t>
  </si>
  <si>
    <t>01222010 HARDWARE SALES</t>
  </si>
  <si>
    <t>07292009 THE HOME DEPOT 4715</t>
  </si>
  <si>
    <t>12162009 MCMASTER-CARR</t>
  </si>
  <si>
    <t>Western Front Ads for Jun 1-15, 201</t>
  </si>
  <si>
    <t>The Western Front - ads for May 201</t>
  </si>
  <si>
    <t>Ads for October 2009</t>
  </si>
  <si>
    <t>05182010 SAFETY SIGNS INC</t>
  </si>
  <si>
    <t>6/1-6/30/2010</t>
  </si>
  <si>
    <t>FUEL 5/1-5/31/2010</t>
  </si>
  <si>
    <t>FUEL 4/1-4/30/2010</t>
  </si>
  <si>
    <t>FUEL 3/1-3/31/2010</t>
  </si>
  <si>
    <t>FUEL 2/1-2/28/2010</t>
  </si>
  <si>
    <t>FUEL 1/1-31/2010</t>
  </si>
  <si>
    <t>FUEL 12/1-31/09</t>
  </si>
  <si>
    <t>FUEL 11/1-30/09</t>
  </si>
  <si>
    <t>FUEL10/1-10/31/09</t>
  </si>
  <si>
    <t>FUEL9/1-9/30/09</t>
  </si>
  <si>
    <t>FUEL8/1-8/31/09</t>
  </si>
  <si>
    <t>FUEL 7/1-7/31/09</t>
  </si>
  <si>
    <t>SONOMA #13463E HEATER CORE LEAKS CH</t>
  </si>
  <si>
    <t>REPAIR DRIVER'S SIDE DOOR 15069E</t>
  </si>
  <si>
    <t>REPLACE ABS PUMP MOTOR ASSEMBLY D</t>
  </si>
  <si>
    <t>REPAIR/ REBUILD DRIVER'S SEATS IN T</t>
  </si>
  <si>
    <t>REPAIR AIR CONDITIONER 13463E</t>
  </si>
  <si>
    <t>RADIATOR 13463E</t>
  </si>
  <si>
    <t>06252010 SPECIAL-T SIGNS &amp; GRAPHIC</t>
  </si>
  <si>
    <t>12/09 Bankcard Fees</t>
  </si>
  <si>
    <t>06/10 Bankcard Fees</t>
  </si>
  <si>
    <t>05/10 Bankcard Fees</t>
  </si>
  <si>
    <t>04/10 Bankcard Fees</t>
  </si>
  <si>
    <t>03/10 Bankcard Fees</t>
  </si>
  <si>
    <t>02/10 Bankcard Fees</t>
  </si>
  <si>
    <t>01/10 Bankcard Fees</t>
  </si>
  <si>
    <t>11/09 Bankcard Fees</t>
  </si>
  <si>
    <t>10/09 Bankcard Fees</t>
  </si>
  <si>
    <t>09/09 Bankcard Fees</t>
  </si>
  <si>
    <t>08/09 Bankcard Fees</t>
  </si>
  <si>
    <t>7/09 Bank Card Fees</t>
  </si>
  <si>
    <t>T2 Software Maintenace</t>
  </si>
  <si>
    <t>Travel Expenses-Nicole</t>
  </si>
  <si>
    <t>T2-software maintenance</t>
  </si>
  <si>
    <t>Error - Not Capital Item Trf fr E41</t>
  </si>
  <si>
    <t>Iron Mountain Intellectual Property</t>
  </si>
  <si>
    <t>Accrue 2010 invoices paid in 2011.</t>
  </si>
  <si>
    <t>EMS &amp; Master Calendar Maint</t>
  </si>
  <si>
    <t>Reverse Prepaid Exp Per T2 Contract</t>
  </si>
  <si>
    <t>Correct Prepaid Expense Balance</t>
  </si>
  <si>
    <t>Hearing Conversation</t>
  </si>
  <si>
    <t>01062010 ERGOMETRICS&amp; APPLIED PE</t>
  </si>
  <si>
    <t>12032009 SPECIAL T STRIPING &amp; S</t>
  </si>
  <si>
    <t>10152009 ERGOMETRICS&amp; APPLIED PE</t>
  </si>
  <si>
    <t>06222010 WASHINGTON ASSOCIATI</t>
  </si>
  <si>
    <t>03022010 WASHINGTON ASSOCIATI</t>
  </si>
  <si>
    <t>12012009 WASHINGTON ASSOCIATI</t>
  </si>
  <si>
    <t>02222010 WASHINGTON ASSOCIATI</t>
  </si>
  <si>
    <t>05282010 WHATCOM COMMUNITY COLLEGE</t>
  </si>
  <si>
    <t>03102010 T2 SYSTEMS INC</t>
  </si>
  <si>
    <t>10172009 WSU PESTICIDE</t>
  </si>
  <si>
    <t>09292009 PROGRESSIVE BUSINESS CONF</t>
  </si>
  <si>
    <t>05122010 POWERPHONE, INC.</t>
  </si>
  <si>
    <t>04072010 JOHN E REID &amp; ASSOC INC</t>
  </si>
  <si>
    <t>03262010 CODE 4 PUBLIC SAFETY EDU</t>
  </si>
  <si>
    <t>Whatcom County Sheriffs Office</t>
  </si>
  <si>
    <t>05072010 MEDIA PARTNERS CORP.</t>
  </si>
  <si>
    <t>28-JUN-10 DETAIL</t>
  </si>
  <si>
    <t>31-MAY-10 DETAIL</t>
  </si>
  <si>
    <t>31-MAR-10 DETAIL</t>
  </si>
  <si>
    <t>29-OCT-09 DETAIL</t>
  </si>
  <si>
    <t>30-SEP-09 DETAIL</t>
  </si>
  <si>
    <t>27-AUG-09 DETAIL</t>
  </si>
  <si>
    <t>22-DEC-09 DETAIL</t>
  </si>
  <si>
    <t>25-FEB-10 DETAIL</t>
  </si>
  <si>
    <t>30-JUN-10 DETAIL</t>
  </si>
  <si>
    <t>27-JAN-10 DETAIL</t>
  </si>
  <si>
    <t>27-MAY-10 DETAIL</t>
  </si>
  <si>
    <t>29-APR-10 DETAIL</t>
  </si>
  <si>
    <t>29-SEP-09 DETAIL</t>
  </si>
  <si>
    <t>ENVELOPES</t>
  </si>
  <si>
    <t>PARKING GUIDE</t>
  </si>
  <si>
    <t>LETTERHEAD</t>
  </si>
  <si>
    <t>Micro Data Business Forms</t>
  </si>
  <si>
    <t>PROBERTY FORM - EVIDENCE</t>
  </si>
  <si>
    <t>02102010 HARDWARE SALES</t>
  </si>
  <si>
    <t>01202010 NORTHSTAR STONE AN</t>
  </si>
  <si>
    <t>06012010 SPECIAL-T SIGNS &amp; GRAPHIC</t>
  </si>
  <si>
    <t>REPAIR DENTS TO POLICE VEHICLE</t>
  </si>
  <si>
    <t>rekey 005 to 351K only</t>
  </si>
  <si>
    <t>Apr Parts Sold</t>
  </si>
  <si>
    <t>Feb Parts Sold</t>
  </si>
  <si>
    <t>Keywest Lock Service Inc.</t>
  </si>
  <si>
    <t>Central ADM Computing Chg</t>
  </si>
  <si>
    <t>Central ADM Computing Charge</t>
  </si>
  <si>
    <t>Central ADM Computing Chag</t>
  </si>
  <si>
    <t>09252009 EVERGREEN ID SYSTEMS, LLC</t>
  </si>
  <si>
    <t>10192009 SND COMMUNICATION00 OF 00</t>
  </si>
  <si>
    <t>09302009 SND COMMUNICATION00 OF 00</t>
  </si>
  <si>
    <t>CUT OUT TAPE LETTERS FROM PAINT SHO</t>
  </si>
  <si>
    <t xml:space="preserve">SHUT OFF POWER TO PAY STATIONS FOR </t>
  </si>
  <si>
    <t>7G PAYBOX REPAIR</t>
  </si>
  <si>
    <t>MOVE RADIO CABLE</t>
  </si>
  <si>
    <t>FDCA</t>
  </si>
  <si>
    <t>POST SIGN ON ENTRANCE TO CAMPUS SER</t>
  </si>
  <si>
    <t>PM VEHICLE MINOR 16513E PARKING 4/1</t>
  </si>
  <si>
    <t>PM VEHICLE MINOR 16513E PARKING 3/1</t>
  </si>
  <si>
    <t>EF WORK - RC ASPHALT CURB IN PARKIN</t>
  </si>
  <si>
    <t>PM VEHICLE MAJOR KUBOTA TRACTOR PAR</t>
  </si>
  <si>
    <t>CS OUTLET/CIRCUIT FOR LAMINATING MA</t>
  </si>
  <si>
    <t>PM VEHICLE MAJOR 20293E PARKING ROG</t>
  </si>
  <si>
    <t>REPAIR DRAINAGE IN 12A PARKING LOT</t>
  </si>
  <si>
    <t>PM VEHICLE MINOR 16513E PARKING</t>
  </si>
  <si>
    <t>PREP 2 CHEV EXPRESS CARGO VAN FOR S</t>
  </si>
  <si>
    <t>After Hrs Inv Split</t>
  </si>
  <si>
    <t>PM VEHICLE MINOR 15043E UPD 4/10 D</t>
  </si>
  <si>
    <t>PM VEHICLE MINOR 15043E UPD 3/10 D</t>
  </si>
  <si>
    <t>PM VEHICLE MAJOR 15043E UPD 11/09</t>
  </si>
  <si>
    <t>NEW POLICE CRUISER TRANSFER EQUIPME</t>
  </si>
  <si>
    <t>REPLACE SEATS IN VEHICLES 85,15,AND</t>
  </si>
  <si>
    <t>YR VEH LSE  FY10</t>
  </si>
  <si>
    <t>VEH LSE FY10</t>
  </si>
  <si>
    <t>T-Mobile USA Inc</t>
  </si>
  <si>
    <t>Verizon Wireless Service Corp</t>
  </si>
  <si>
    <t>Telecom charges Jun 2010</t>
  </si>
  <si>
    <t>Telecom charges May 2010</t>
  </si>
  <si>
    <t>Telecom charges Apr 2010</t>
  </si>
  <si>
    <t>Telecom charges Mar 2010</t>
  </si>
  <si>
    <t>Telecom charges Feb 2010</t>
  </si>
  <si>
    <t>Telecom charges Jan 2010</t>
  </si>
  <si>
    <t>Telecom charges Dec 2009</t>
  </si>
  <si>
    <t>Telecom charges Nov 2009</t>
  </si>
  <si>
    <t>Telecom charges Oct 2009</t>
  </si>
  <si>
    <t>Telecom charges Sep 2009</t>
  </si>
  <si>
    <t>Telecom charges Aug 2009</t>
  </si>
  <si>
    <t>Telecom charges Jul 2009</t>
  </si>
  <si>
    <t>09012009 SAFETY SIGNS INC</t>
  </si>
  <si>
    <t xml:space="preserve">Rainbow Printing And Ultra Plastic </t>
  </si>
  <si>
    <t>08142009 POCKET PRESS INC</t>
  </si>
  <si>
    <t>PENSRUS fr FODPS to 55752</t>
  </si>
  <si>
    <t>03102010 DIGITALPAYMENTTE</t>
  </si>
  <si>
    <t>12182009 DIGITALPAYMENTTE</t>
  </si>
  <si>
    <t>11102009 DIGITALPAYMENTTE</t>
  </si>
  <si>
    <t>10262009 DIGITALPAYMENTTE</t>
  </si>
  <si>
    <t>03022010 T2 SYSTEMS INC</t>
  </si>
  <si>
    <t>02022010 GRAPHIC ART/SHORT RUN</t>
  </si>
  <si>
    <t>11112009 OFFICE DEPOT #1078</t>
  </si>
  <si>
    <t>11102009 DISCOUNT TWO WAY RADIO</t>
  </si>
  <si>
    <t>10092009 GRAPHIC ART/SHORT RUN</t>
  </si>
  <si>
    <t>07312009 BEST BUY      00003590</t>
  </si>
  <si>
    <t>06152010 BATTERY ZONE INC</t>
  </si>
  <si>
    <t>06102010 OFFICE DEPOT #1078</t>
  </si>
  <si>
    <t>05282010 GOVCNCTN</t>
  </si>
  <si>
    <t>05122010 DISPLAYS 2 GO</t>
  </si>
  <si>
    <t>04202010 GOVCNCTN*#45712531</t>
  </si>
  <si>
    <t>04132010 ROLL A SHADE</t>
  </si>
  <si>
    <t>02262010 OFFICE DEPOT #1078</t>
  </si>
  <si>
    <t>02112010 GOVCNCTN*#45515867</t>
  </si>
  <si>
    <t>01042010 BATTERY ZONE INC</t>
  </si>
  <si>
    <t>10272009 OFFICE DEPOT #1078</t>
  </si>
  <si>
    <t>10222009 OFFICE DEPOT #1078</t>
  </si>
  <si>
    <t>10212009 LAMINATION DEPOT, INC.</t>
  </si>
  <si>
    <t>10092009 SIGNS PLUS</t>
  </si>
  <si>
    <t>10062009 OFFICE DEPOT #1078</t>
  </si>
  <si>
    <t>10082009 WW GRAINGER</t>
  </si>
  <si>
    <t>08312009 DISPLAYS 2 GO</t>
  </si>
  <si>
    <t>08102009 OFFICE DEPOT #1078</t>
  </si>
  <si>
    <t>07272009 OFFICE DEPOT #1078</t>
  </si>
  <si>
    <t>06022010 SPECIAL-T SIGNS &amp; GRAPHIC</t>
  </si>
  <si>
    <t>05072010 HARDWARE SALES</t>
  </si>
  <si>
    <t>01152010 OFFICE DEPOT #1078</t>
  </si>
  <si>
    <t>08282009 HARDWARE SALES</t>
  </si>
  <si>
    <t>08212009 HARDWARE SALES</t>
  </si>
  <si>
    <t>08182009 HARDWARE SALES</t>
  </si>
  <si>
    <t>08062009 HARDWARE SALES</t>
  </si>
  <si>
    <t>07292009 HARDWARE SALES</t>
  </si>
  <si>
    <t>07242009 HARDWARE SALES</t>
  </si>
  <si>
    <t>PB Walker &amp; Associates Inc</t>
  </si>
  <si>
    <t>01142010 SECURITY SOLUTIONS NW</t>
  </si>
  <si>
    <t>10062009 WW GRAINGER</t>
  </si>
  <si>
    <t>06282010 OFFICE DEPOT #1078</t>
  </si>
  <si>
    <t>05272010 OFFICE DEPOT #1078</t>
  </si>
  <si>
    <t>05122010 SAN DIEGO POLICE EQUIP CO</t>
  </si>
  <si>
    <t>05052010 OFFICE DEPOT #1078</t>
  </si>
  <si>
    <t>04282010 XEROX CORP OFF PRINT BUS.</t>
  </si>
  <si>
    <t>04052010 BESTBUYCOM    88994009</t>
  </si>
  <si>
    <t>03242010 FLAG FACTORY NW</t>
  </si>
  <si>
    <t>03182010 OFFICE DEPOT #1078</t>
  </si>
  <si>
    <t>02222010 PENSRUS</t>
  </si>
  <si>
    <t>02222010 PROFORCE LAW ENFORCEMENT</t>
  </si>
  <si>
    <t>02182010 OFFICE DEPOT #1078</t>
  </si>
  <si>
    <t>02102010 LAW ENFORCEMENT TARGETS</t>
  </si>
  <si>
    <t>02102010 OFFICE DEPOT #1078</t>
  </si>
  <si>
    <t>02052010 OFFICE DEPOT #1078</t>
  </si>
  <si>
    <t>12042009 XEROX CORP OFF PRINT BUS.</t>
  </si>
  <si>
    <t>11112009 XEROX CORP OFF PRINT BUS.</t>
  </si>
  <si>
    <t>10302009 OFFICE DEPOT #1078</t>
  </si>
  <si>
    <t>10222009 AMERICAN PWR CNVRSN CORP</t>
  </si>
  <si>
    <t>10132009 CARROT-TOP INDUSTRIES</t>
  </si>
  <si>
    <t>10092009 OFFICE DEPOT #1078</t>
  </si>
  <si>
    <t>10052009 CSI FORENSICS SUPPLY</t>
  </si>
  <si>
    <t>10052009 PROFORCE LAW ENFORCEMENT</t>
  </si>
  <si>
    <t>09232009 BROWNELLS INC</t>
  </si>
  <si>
    <t>09222009 HARDWARE SALES</t>
  </si>
  <si>
    <t>08192009 XEROX CORP OFF PRINT BUS.</t>
  </si>
  <si>
    <t>08182009 XEROX CORP OFF PRINT BUS.</t>
  </si>
  <si>
    <t>07212009 OFFICE DEPOT #1078</t>
  </si>
  <si>
    <t>02252010 TEAM HEALTH</t>
  </si>
  <si>
    <t>Fund Correction</t>
  </si>
  <si>
    <t>bank card fees</t>
  </si>
  <si>
    <t>Jan 11 Sales Tax</t>
  </si>
  <si>
    <t>Jerry Chambers Chevrolet Inc</t>
  </si>
  <si>
    <t>05122011 SIRENNET.COM</t>
  </si>
  <si>
    <t>Sirennet.com</t>
  </si>
  <si>
    <t>04272011 TECHNOLOGY EXPRESS</t>
  </si>
  <si>
    <t>05092011 AMAZON MKTPLACE PMTS</t>
  </si>
  <si>
    <t>12032010 SAFETY SIGNS INC</t>
  </si>
  <si>
    <t>11112010 CABELAS INC.*601889320</t>
  </si>
  <si>
    <t>10202010 BEARCOM SALES</t>
  </si>
  <si>
    <t>09222010 POSGUYS.COM</t>
  </si>
  <si>
    <t>09232010 BEST BUY      00009944</t>
  </si>
  <si>
    <t>10132010 BELLINGHAM AUTO PARTS</t>
  </si>
  <si>
    <t>07062010 BEARCOM SALES</t>
  </si>
  <si>
    <t>Teamviewer 6 Corporate License</t>
  </si>
  <si>
    <t>Avery, Sean Christian.</t>
  </si>
  <si>
    <t>McLane, Tyler William.</t>
  </si>
  <si>
    <t>Corr to Fd 10200-OT Traffic Grants</t>
  </si>
  <si>
    <t>Corr Fd to 10200/Traff Safety Reimb</t>
  </si>
  <si>
    <t>Cr FIMREP Cop Veh</t>
  </si>
  <si>
    <t>2010-11 ASA ASSESSEMENT 4TH QTR</t>
  </si>
  <si>
    <t>2010-11 ASA Assessment 3rd Quarter</t>
  </si>
  <si>
    <t>2010-11 Assessment-2nd Quarter</t>
  </si>
  <si>
    <t>2010-11 Assessment-1 Quarter</t>
  </si>
  <si>
    <t>12012010 DIGITALPAYMENTTE</t>
  </si>
  <si>
    <t>The Isamu Noguchi Foundation Inc</t>
  </si>
  <si>
    <t>11112010 BLUMENTHAL UNIFORMS AND E</t>
  </si>
  <si>
    <t>10122010 BERGEN &amp; CO</t>
  </si>
  <si>
    <t>10182010 BERGEN &amp; CO</t>
  </si>
  <si>
    <t>07302010 BLUMENTHAL UNIFORMS AND E</t>
  </si>
  <si>
    <t>Blumenthal Uniforms And Equipment</t>
  </si>
  <si>
    <t>05202011 BLUMENTHAL UNIFORMS AND E</t>
  </si>
  <si>
    <t>04072011 BLUMENTHAL UNIFORMS AND E</t>
  </si>
  <si>
    <t>11302010 BLUMENTHAL UNIFORMS AND E</t>
  </si>
  <si>
    <t>09202010 BLUMENTHAL UNIFORMS AND E</t>
  </si>
  <si>
    <t>08172010 BLUMENTHAL UNIFORMS AND E</t>
  </si>
  <si>
    <t>07292010 BRATWEAR</t>
  </si>
  <si>
    <t>07122010 BIG 5 SPORTING #118</t>
  </si>
  <si>
    <t>12022010 WHISTLE WORKWEAR - BEL</t>
  </si>
  <si>
    <t>03022011 HARDWARE SALES</t>
  </si>
  <si>
    <t>Corr to Fd 10200-Sparkle Cleaners</t>
  </si>
  <si>
    <t>04192011 GRAPHIC ART/SHORT RUN</t>
  </si>
  <si>
    <t>03022011 XEROX CORPORATION-CREDIT</t>
  </si>
  <si>
    <t>12172010 SKAGIT VALLEY PUBLISHING</t>
  </si>
  <si>
    <t>Wfront Ads for Sept 2010</t>
  </si>
  <si>
    <t>12042010 SEA TIMES PL CLASSIFIEDS</t>
  </si>
  <si>
    <t>12012010 SKAGIT VALLEY PUBLISHING</t>
  </si>
  <si>
    <t>account code correction</t>
  </si>
  <si>
    <t>6/1-6/30/11 FUEL</t>
  </si>
  <si>
    <t>5/1-31/11 FUEL</t>
  </si>
  <si>
    <t>4/1-30/11 FUEL</t>
  </si>
  <si>
    <t>3/1-3/31/11 FUEL</t>
  </si>
  <si>
    <t>2/1-2/28/2011FUEL</t>
  </si>
  <si>
    <t>1/1/-31 2011FUEL</t>
  </si>
  <si>
    <t>12/1-31 2010 FUEL</t>
  </si>
  <si>
    <t>11/1-30 2010 FUEL</t>
  </si>
  <si>
    <t>10/1-31 2010 FUEL</t>
  </si>
  <si>
    <t>9/1-9/302010 FUEL</t>
  </si>
  <si>
    <t>8/1-8/31/2010 FUEL</t>
  </si>
  <si>
    <t>7/1-7/31/2010 FUEL</t>
  </si>
  <si>
    <t>June 2011 Bankcard Fees</t>
  </si>
  <si>
    <t>May Bank Card Fee Distribution</t>
  </si>
  <si>
    <t>Apr 2011 BankCard Fee Distribution</t>
  </si>
  <si>
    <t>Mar 2011 Bank Card Fee Distribution</t>
  </si>
  <si>
    <t>02/11 Bankcard Fees</t>
  </si>
  <si>
    <t>January BankCard Fees</t>
  </si>
  <si>
    <t>Dec 2010 Bank Card Fee Distribution</t>
  </si>
  <si>
    <t>Nov 2010 BankCard Fee Distribution</t>
  </si>
  <si>
    <t>October 2010 BankCard Fees</t>
  </si>
  <si>
    <t>Sep 2010 Bank Card Fee Distribution</t>
  </si>
  <si>
    <t>08/10 Bankcard Fees</t>
  </si>
  <si>
    <t>7/10 Bankcard Fees</t>
  </si>
  <si>
    <t>Record fy 11 invoice paid in 2012.</t>
  </si>
  <si>
    <t>01252011 DIGITALPAYMENTTE</t>
  </si>
  <si>
    <t>Record fiscal 2011 expense paid in</t>
  </si>
  <si>
    <t>FY Portion of Inv 138266</t>
  </si>
  <si>
    <t>05112011 PACIFIC INTER MTN PRKG &amp;</t>
  </si>
  <si>
    <t>12282010 WASHINGTON ASSOC OF SHER</t>
  </si>
  <si>
    <t>Record fiscal 2011 expense.</t>
  </si>
  <si>
    <t>03222011 WASHINGTON ASSOC OF SHER</t>
  </si>
  <si>
    <t>02152011 T2 SYSTEMS INC</t>
  </si>
  <si>
    <t>02012011 T2 SYSTEMS INC</t>
  </si>
  <si>
    <t>06082011 JOHN E. REID AND ASSOC</t>
  </si>
  <si>
    <t>06082011 CODE 4 PUBLIC SAFETY EDU</t>
  </si>
  <si>
    <t>03092011 NWTC GB REGISTRATION</t>
  </si>
  <si>
    <t>RAR Communications Inc</t>
  </si>
  <si>
    <t>07232010 CODE 4 PUBLIC SAFETY EDU</t>
  </si>
  <si>
    <t>07152010 PAYPAL *DOLORES</t>
  </si>
  <si>
    <t>10212010 WSU PESTICIDE</t>
  </si>
  <si>
    <t>07142010 CDN PARKING ASSOC  QPL</t>
  </si>
  <si>
    <t>04142011 GLOCK PROFESSIONAL INC</t>
  </si>
  <si>
    <t>30-JUN-11 DETAIL</t>
  </si>
  <si>
    <t>31-MAY-11 DETAIL</t>
  </si>
  <si>
    <t>29-APR-11 DETAIL</t>
  </si>
  <si>
    <t>31-MAR-11 DETAIL</t>
  </si>
  <si>
    <t>28-FEB-11 DETAIL</t>
  </si>
  <si>
    <t>31-JAN-11 DETAIL</t>
  </si>
  <si>
    <t>30-DEC-10 DETAIL</t>
  </si>
  <si>
    <t>30-NOV-10 DETAIL</t>
  </si>
  <si>
    <t>31-OCT-10 DETAIL</t>
  </si>
  <si>
    <t>30-SEP-10 DETAIL</t>
  </si>
  <si>
    <t>27-AUG-10 DETAIL</t>
  </si>
  <si>
    <t>29-DEC-10 DETAIL</t>
  </si>
  <si>
    <t>28-APR-11 DETAIL</t>
  </si>
  <si>
    <t>27-JAN-11 DETAIL</t>
  </si>
  <si>
    <t>29-OCT-10 DETAIL</t>
  </si>
  <si>
    <t>29-SEP-10 DETAIL</t>
  </si>
  <si>
    <t>26-AUG-10 DETAIL</t>
  </si>
  <si>
    <t>29-JUL-10 DETAIL</t>
  </si>
  <si>
    <t>Courtesy Reply Envelopes</t>
  </si>
  <si>
    <t>Statement #10 Envelopes</t>
  </si>
  <si>
    <t>Parking Map/Guide and Parking Map</t>
  </si>
  <si>
    <t>Daily Key Check Out Forms</t>
  </si>
  <si>
    <t>FY11 Portion of Inv 77692</t>
  </si>
  <si>
    <t>10072010 BELLINGHAM BUSINESS MACHI</t>
  </si>
  <si>
    <t>Glock Inc</t>
  </si>
  <si>
    <t>02032011 INTRALOCK TOOL LTD</t>
  </si>
  <si>
    <t>24160E OPEN WORK ORDER</t>
  </si>
  <si>
    <t>PM VEHICLE MINOR 15069E  PARKING  D</t>
  </si>
  <si>
    <t>PM VEHICLE MAJOR 15069E PARKING</t>
  </si>
  <si>
    <t>REMOVE TRASH COMPACTOR</t>
  </si>
  <si>
    <t>MOVE PS PARKING RADIO</t>
  </si>
  <si>
    <t>PM VEHICLE MINOR 16513E PARKING  D</t>
  </si>
  <si>
    <t>PM VEHICLE MAJOR 20293E  PARKING RO</t>
  </si>
  <si>
    <t>PM VEHICLE MAJOR 16513E PARKING D</t>
  </si>
  <si>
    <t>PM VEHICLE MAJOR B26 KUBOTA PARKING</t>
  </si>
  <si>
    <t>UPDATE KIOSK MAP</t>
  </si>
  <si>
    <t>PM VEHICLE MAJOR 15043E PARKING</t>
  </si>
  <si>
    <t>VEH LSES FY11</t>
  </si>
  <si>
    <t>Telecom charges Jun 2011</t>
  </si>
  <si>
    <t>Telecom charges May 2011</t>
  </si>
  <si>
    <t>Telecom charges Apr 2011</t>
  </si>
  <si>
    <t>Telecom charges Mar 2011</t>
  </si>
  <si>
    <t>Telecom charges Feb 2011</t>
  </si>
  <si>
    <t>Telecom charges Jan 2011</t>
  </si>
  <si>
    <t>Telecom charges Dec 2010</t>
  </si>
  <si>
    <t>Telecom charges Nov 2010</t>
  </si>
  <si>
    <t>Telecom charges Oct 2010</t>
  </si>
  <si>
    <t>Telecom charges Sep 2010</t>
  </si>
  <si>
    <t>Telecom charges Aug 2010</t>
  </si>
  <si>
    <t>Telecom charges Jul 2010</t>
  </si>
  <si>
    <t>04042011 BELLINGHAM POLICE DEPARTM</t>
  </si>
  <si>
    <t xml:space="preserve">WA State Department Of Corrections </t>
  </si>
  <si>
    <t>03042011 CORRECTIONAL INDUSTRIES</t>
  </si>
  <si>
    <t>12222010 ZUMAR IND INC - WA</t>
  </si>
  <si>
    <t>08052010 POCKETPRESS</t>
  </si>
  <si>
    <t>08302010 INTOXIMETERS</t>
  </si>
  <si>
    <t>11102010 DIGITALPAYMENTTE</t>
  </si>
  <si>
    <t>09142010 DIGITALPAYMENTTE</t>
  </si>
  <si>
    <t>06222011 SPECIAL-T SIGNS &amp; GRAPH</t>
  </si>
  <si>
    <t>06192011 AMAZON MKTPLACE PMTS</t>
  </si>
  <si>
    <t>04292011 GRAPHIC ART/SHORT RUN</t>
  </si>
  <si>
    <t>11172010 OFFICE DEPOT #1078</t>
  </si>
  <si>
    <t>11162010 HEADSETPLUS COM</t>
  </si>
  <si>
    <t>09292010 PARTEK</t>
  </si>
  <si>
    <t>07152010 GRAPHIC ART/SHORT RUN</t>
  </si>
  <si>
    <t>06272011 OFFICE DEPOT #1078</t>
  </si>
  <si>
    <t>06162011 OFFICE DEPOT #1078</t>
  </si>
  <si>
    <t>06012011 Best Buy      00003590</t>
  </si>
  <si>
    <t>05122011 EQUICROSS INC.</t>
  </si>
  <si>
    <t>04272011 OFFICE DEPOT #1078</t>
  </si>
  <si>
    <t>04122011 XEROX CORPORATION-CREDIT</t>
  </si>
  <si>
    <t>04112011 TENNESSEE FLAG COMPANY</t>
  </si>
  <si>
    <t>04122011 OFFICE DEPOT #1078</t>
  </si>
  <si>
    <t>04122011 Amazon.com</t>
  </si>
  <si>
    <t>Eric Davidson, CS 132</t>
  </si>
  <si>
    <t>03152011 OFFICE DEPOT #1078</t>
  </si>
  <si>
    <t>02282011 OFFICE DEPOT #1078</t>
  </si>
  <si>
    <t>02242011 OFFICE DEPOT #851</t>
  </si>
  <si>
    <t>01312011 OFFICE DEPOT #851</t>
  </si>
  <si>
    <t>Office Depot Inc</t>
  </si>
  <si>
    <t>12202010 INDEL DAVIS INC</t>
  </si>
  <si>
    <t>12062010 OFFICE DEPOT #1078</t>
  </si>
  <si>
    <t>12042010 LAMINATION DEPOT</t>
  </si>
  <si>
    <t>10262010 OFFICE DEPOT #1078</t>
  </si>
  <si>
    <t>10152010 OFFICE DEPOT #1078</t>
  </si>
  <si>
    <t>09232010 GOVCNCTN</t>
  </si>
  <si>
    <t>09182010 OFFICE DEPOT #851</t>
  </si>
  <si>
    <t>09102010 OFFICE DEPOT #1078</t>
  </si>
  <si>
    <t>09032010 ACT*Whatcom Parks and</t>
  </si>
  <si>
    <t>08232010 OFFICE DEPOT #1078</t>
  </si>
  <si>
    <t>08122010 M.C. MIETH MANUFACTURI</t>
  </si>
  <si>
    <t>08102010 OFFICE DEPOT #1078</t>
  </si>
  <si>
    <t>07282010 GOVCNCTN</t>
  </si>
  <si>
    <t>12202010 HARDWARE SALES</t>
  </si>
  <si>
    <t>08312010 HARDWARE SALES</t>
  </si>
  <si>
    <t>08192010 HARDWARE SALES</t>
  </si>
  <si>
    <t>08132010 HARDWARE SALES</t>
  </si>
  <si>
    <t>08052010 HARDWARE SALES</t>
  </si>
  <si>
    <t>07072010 HARDWARE SALES</t>
  </si>
  <si>
    <t>Accrue fy 2012 invoices pd in 2011</t>
  </si>
  <si>
    <t>10142010 GOVCNCTN</t>
  </si>
  <si>
    <t>06222011 OFFICE DEPOT #1078</t>
  </si>
  <si>
    <t>06112011 SURPLUS AMMO</t>
  </si>
  <si>
    <t>06082011 OFFICE DEPOT #1078</t>
  </si>
  <si>
    <t>06032011 AMAZON MKTPLACE PMTS</t>
  </si>
  <si>
    <t>06022011 XEROX CORPORATION-CREDIT</t>
  </si>
  <si>
    <t>Eric Davidson, CS 129</t>
  </si>
  <si>
    <t>05272011 Amazon.com</t>
  </si>
  <si>
    <t>05252011 Bestbuy.com   00009944</t>
  </si>
  <si>
    <t>05192011 Amazon.com</t>
  </si>
  <si>
    <t>05042011 OFFICE DEPOT #1078</t>
  </si>
  <si>
    <t>03152011 OFFICE DEPOT #1080</t>
  </si>
  <si>
    <t>Bostec Inc</t>
  </si>
  <si>
    <t>11292010 OFFICE DEPOT #1078</t>
  </si>
  <si>
    <t>11272010 XEROX CORPORATION-CREDIT</t>
  </si>
  <si>
    <t>09162010 INTOXIMETERS</t>
  </si>
  <si>
    <t>09152010 GOVCNCTN</t>
  </si>
  <si>
    <t>09112010 XEROX CORPORATION-CREDIT</t>
  </si>
  <si>
    <t>09122010 XEROX CORPORATION-CREDIT</t>
  </si>
  <si>
    <t>08232010 THE HOME DEPOT 4715</t>
  </si>
  <si>
    <t>08022010 AMAZON MKTPLACE PMTS</t>
  </si>
  <si>
    <t>10132010 HORTONS TOWING ATMV</t>
  </si>
  <si>
    <t>Paybox bank card fees June 2012</t>
  </si>
  <si>
    <t>POSTER</t>
  </si>
  <si>
    <t>Cascade Engineering Group PS Inc</t>
  </si>
  <si>
    <t>Transfer exp. to fund 54551</t>
  </si>
  <si>
    <t>04172012 DECATUR ELECTRONICS INC</t>
  </si>
  <si>
    <t>05312012 EPSON  *STORE</t>
  </si>
  <si>
    <t>02032012 SIRENNET.COM</t>
  </si>
  <si>
    <t>Motorola Solutions Inc</t>
  </si>
  <si>
    <t>07132011 SIRENNET.COM</t>
  </si>
  <si>
    <t>05252012 AMAZON MKTPLACE PMTS</t>
  </si>
  <si>
    <t>05272012 Amazon.com</t>
  </si>
  <si>
    <t>Adobe Design&amp;Web Premium CS6 Lic</t>
  </si>
  <si>
    <t>05222012 CLARK SECURITY PROD SEA</t>
  </si>
  <si>
    <t>05212012 CLARK SECURITY PROD SEA</t>
  </si>
  <si>
    <t>Teamviewer 7 Corp Lic Upg</t>
  </si>
  <si>
    <t>Jones, Derek Lee.</t>
  </si>
  <si>
    <t>Ma, Ta-Fei</t>
  </si>
  <si>
    <t>4TH QUARTER ASA</t>
  </si>
  <si>
    <t>2011-12 ASA 3rd Quarter</t>
  </si>
  <si>
    <t>2011-12 ASA 1st Quarter</t>
  </si>
  <si>
    <t>Ammortize bond costs Lincoln Creek</t>
  </si>
  <si>
    <t>Kelly's O'Deli</t>
  </si>
  <si>
    <t>02072012 BELLINGHAM HERALD ADVE</t>
  </si>
  <si>
    <t>01312012 THE HERALD</t>
  </si>
  <si>
    <t>Thacker Safety Boot</t>
  </si>
  <si>
    <t>08032011 BERGEN &amp; CO</t>
  </si>
  <si>
    <t>06252012 BLUMENTHAL UNIFORMS AND E</t>
  </si>
  <si>
    <t>06132012 BLUMENTHAL UNIFORMS AND E</t>
  </si>
  <si>
    <t>06052012 COPS PLUS, INC</t>
  </si>
  <si>
    <t>05022012 BLUMENTHAL UNIFORMS AND E</t>
  </si>
  <si>
    <t>01312012 BLUMENTHAL UNIFORMS AND E</t>
  </si>
  <si>
    <t>11292011 BLUMENTHAL UNIFORMS AND E</t>
  </si>
  <si>
    <t>10262011 BRATWEAR</t>
  </si>
  <si>
    <t>10072011 BLUMENTHAL UNIFORMS AND E</t>
  </si>
  <si>
    <t>09082011 BERGEN &amp; CO</t>
  </si>
  <si>
    <t>08032011 COPS PLUS, INC</t>
  </si>
  <si>
    <t>08182011 WHISTLE WORKWEAR - BEL</t>
  </si>
  <si>
    <t>01182012 HARDWARE SALES</t>
  </si>
  <si>
    <t>11032011 HARDWARE SALES</t>
  </si>
  <si>
    <t>09122011 HARDWARE SALES</t>
  </si>
  <si>
    <t>11042011 CPO COMMERCE</t>
  </si>
  <si>
    <t>11032011 WW GRAINGER</t>
  </si>
  <si>
    <t>03302012 DIGITALPAYMENTTE</t>
  </si>
  <si>
    <t>05232012 PARTS NOW LLC</t>
  </si>
  <si>
    <t>05242012 SIRENNET.COM</t>
  </si>
  <si>
    <t>JUNE 1-30 FY12 FUEL</t>
  </si>
  <si>
    <t>MAY 1-31 FY12 FUEL</t>
  </si>
  <si>
    <t>APR 1-30 FY12 FUEL</t>
  </si>
  <si>
    <t>MAR 1-31 FY12 FUEL</t>
  </si>
  <si>
    <t>FEB1-29 FY12 FUEL</t>
  </si>
  <si>
    <t>01/1-31/12 FUEL</t>
  </si>
  <si>
    <t>12/-12/31/11 FUEL</t>
  </si>
  <si>
    <t>11/1-11/31/11 FUEL</t>
  </si>
  <si>
    <t>10/1-10/30/11 FUEL</t>
  </si>
  <si>
    <t>9/1-9/30/11 FUEL</t>
  </si>
  <si>
    <t>8/1-8/31/11 FUEL</t>
  </si>
  <si>
    <t>7/1-7/31/11 FUEL</t>
  </si>
  <si>
    <t>06202012 SPECIAL-T SIGNS &amp; GRAPHIC</t>
  </si>
  <si>
    <t>06192012 SPECIAL-T SIGNS &amp; GRAPHIC</t>
  </si>
  <si>
    <t>06152012 MAACO COLLISION REPAIR</t>
  </si>
  <si>
    <t>FRONT END WORK NEEDED  13463E  D</t>
  </si>
  <si>
    <t>REPLACE WATERPUMP 15069E   D</t>
  </si>
  <si>
    <t xml:space="preserve">MUD FLAPS ADDED TO VEHICLE 13463E  </t>
  </si>
  <si>
    <t>2000 GMC SOMONA GASKET REPLACEMENT</t>
  </si>
  <si>
    <t>A/C COMPRESSOR AND FAN BELT  D</t>
  </si>
  <si>
    <t>BRAKE WORK FOR WHITE UNMARKED VEHIC</t>
  </si>
  <si>
    <t>04122012 SPECIAL-T SIGNS &amp; GRAPHIC</t>
  </si>
  <si>
    <t>07292011 KULSHAN CYCLES</t>
  </si>
  <si>
    <t>Bank Card Fees June 2012</t>
  </si>
  <si>
    <t>May 2012 Bankcard Fee Distribution</t>
  </si>
  <si>
    <t>April 2012 Bankcard fees</t>
  </si>
  <si>
    <t>March Bank Card Fee Distribution</t>
  </si>
  <si>
    <t>Feb 2012 BankCard Fee Distribution</t>
  </si>
  <si>
    <t>Jan 2012 Bank Card Fee Distribution</t>
  </si>
  <si>
    <t>Dec 2011 Bank Card Fee Distribution</t>
  </si>
  <si>
    <t>Nov 2011 BankCard Fee Distribution</t>
  </si>
  <si>
    <t>October 2011 Bank Card Fee Distribu</t>
  </si>
  <si>
    <t>Sep Bank Card Fee Distribution</t>
  </si>
  <si>
    <t>August 2011 BankCard Fee Dist.</t>
  </si>
  <si>
    <t>7/11 Bankcard Fees</t>
  </si>
  <si>
    <t>EMS &amp; Master calendar maintenance</t>
  </si>
  <si>
    <t>03062012 DATEC, INC</t>
  </si>
  <si>
    <t>Administrative fee for Fairhaven lo</t>
  </si>
  <si>
    <t>Shift from prepay to service expens</t>
  </si>
  <si>
    <t>Daywireless license exp for EHS</t>
  </si>
  <si>
    <t>08032011 DAY WIRELESS SYSTEMS 1601</t>
  </si>
  <si>
    <t>08032011 RADIO LICENSING SRV</t>
  </si>
  <si>
    <t>06132012 WASHINGTON ASSOC OF SHER</t>
  </si>
  <si>
    <t>04012012 GOOGLE *WACLEA</t>
  </si>
  <si>
    <t>02032012 END2END PUBLIC SAFETY</t>
  </si>
  <si>
    <t>12062011 WASHINGTON ASSOC OF SHER</t>
  </si>
  <si>
    <t>01312012 WASHINGTON ASSOC OF SHER</t>
  </si>
  <si>
    <t>08262011 WSU PESTICIDE</t>
  </si>
  <si>
    <t>D Stafford &amp; Associates</t>
  </si>
  <si>
    <t>03152012 ACT*LAWS COMMUNICATION</t>
  </si>
  <si>
    <t>02152012 NWTC WEB REGISTRATION</t>
  </si>
  <si>
    <t>Public Grants &amp; Training Initiative</t>
  </si>
  <si>
    <t>10062011 PAYPAL *LAWENFORCEM</t>
  </si>
  <si>
    <t>Center for Police Leadership</t>
  </si>
  <si>
    <t>07122011 CODE 4 PUBLIC SAFETY EDU</t>
  </si>
  <si>
    <t>29-JUN-12 DETAIL</t>
  </si>
  <si>
    <t>30-APR-12 DETAIL</t>
  </si>
  <si>
    <t>30-MAR-12 DETAIL</t>
  </si>
  <si>
    <t>29-FEB-12 DETAIL</t>
  </si>
  <si>
    <t>31-JAN-12 DETAIL</t>
  </si>
  <si>
    <t>31-DEC-11 DETAIL</t>
  </si>
  <si>
    <t>30-NOV-11 DETAIL</t>
  </si>
  <si>
    <t>30-SEP-11 DETAIL</t>
  </si>
  <si>
    <t>LS Ricoh Color copy/print - Sept 20</t>
  </si>
  <si>
    <t>CS129 UP Ricoh Color copy/print  -</t>
  </si>
  <si>
    <t>28-JUL-11 DETAIL</t>
  </si>
  <si>
    <t>26-APR-12 DETAIL</t>
  </si>
  <si>
    <t>30-JAN-12 DETAIL</t>
  </si>
  <si>
    <t>28-OCT-11 DETAIL</t>
  </si>
  <si>
    <t>29-SEP-11 DETAIL</t>
  </si>
  <si>
    <t>31-AUG-11 DETAIL</t>
  </si>
  <si>
    <t>28-FEB-12 DETAIL</t>
  </si>
  <si>
    <t>Statement Enclosed Envelopes - #10</t>
  </si>
  <si>
    <t>10072011 GRAPHIC TICKETS &amp; SYST</t>
  </si>
  <si>
    <t>Envelopes, Courtsey Reply, 1 color,</t>
  </si>
  <si>
    <t>Envelopes - #10 Window, Stmt enclos</t>
  </si>
  <si>
    <t>Parking Maps - One Sided - 3000</t>
  </si>
  <si>
    <t>Parking Map/Guide - 2 sided</t>
  </si>
  <si>
    <t>Parking Map - One Side - 5000</t>
  </si>
  <si>
    <t>Parking Map (1 side)</t>
  </si>
  <si>
    <t>Envelopes - #10 - 500</t>
  </si>
  <si>
    <t>Letterhead - 500</t>
  </si>
  <si>
    <t>Evidence Tags - 500</t>
  </si>
  <si>
    <t>Key padlocks 6721wo to 50B</t>
  </si>
  <si>
    <t>MAKE KEYS FOR CS</t>
  </si>
  <si>
    <t>Jan Parts Sold</t>
  </si>
  <si>
    <t>03062012 DIGITALPAYMENTTE</t>
  </si>
  <si>
    <t>INSTALL WIRING FOR HEADREST PRINTER</t>
  </si>
  <si>
    <t>09272011 ACCURATE LOCK AND SECURIT</t>
  </si>
  <si>
    <t>EF WORK-MOVE PAY STATION</t>
  </si>
  <si>
    <t xml:space="preserve">PM VEHICLE MINOR  15069E  PARKING  </t>
  </si>
  <si>
    <t>05292012 SPECIAL-T SIGNS &amp; GRAPHIC</t>
  </si>
  <si>
    <t>Maaco Collision Repair &amp; Auto Paint</t>
  </si>
  <si>
    <t>PM VEHICLE MINOR  15069E PARKING  D</t>
  </si>
  <si>
    <t>15069E COOLANT LEAK  D</t>
  </si>
  <si>
    <t xml:space="preserve">PM VEHICLE MINOR  16513E  PARKING  </t>
  </si>
  <si>
    <t>PM VEHICLE MAJOR  PARKING KUBOTA  D</t>
  </si>
  <si>
    <t xml:space="preserve">PM VEHICLE MAJOR  16513E  PARKING  </t>
  </si>
  <si>
    <t>PARKING LOT SNOW REMOVAL</t>
  </si>
  <si>
    <t xml:space="preserve">RAISE AND LOWER DESK HEIGHT ON TWO </t>
  </si>
  <si>
    <t>INSTALL LIGHTS</t>
  </si>
  <si>
    <t>MAKE PLATES FOR LOCKS</t>
  </si>
  <si>
    <t xml:space="preserve">24164E 2012 FORD EXPLORER PREP FOR </t>
  </si>
  <si>
    <t xml:space="preserve">20527E 2012 CHEV COLORADO PREP FOR </t>
  </si>
  <si>
    <t>10400E OPEN WORK ORDER</t>
  </si>
  <si>
    <t>08262011 ACT*Whatcom Parks and</t>
  </si>
  <si>
    <t>YR VEH LSE  FY12</t>
  </si>
  <si>
    <t>VEH LSES FY12</t>
  </si>
  <si>
    <t>Telecom charges Jun 2012</t>
  </si>
  <si>
    <t>Telecom charges May 2012</t>
  </si>
  <si>
    <t>Telecom charges Apr 2012</t>
  </si>
  <si>
    <t>Telecom charges Mar 2012</t>
  </si>
  <si>
    <t>Telecom charges Feb 2012</t>
  </si>
  <si>
    <t>Telecom charges Jan 2012</t>
  </si>
  <si>
    <t>Telecom charges Dec 2011</t>
  </si>
  <si>
    <t>Telecom charges Nov 2011</t>
  </si>
  <si>
    <t>Telecom charges Oct 2011</t>
  </si>
  <si>
    <t>Telecom charges Sep 2011</t>
  </si>
  <si>
    <t>Telecom charges Aug 2011</t>
  </si>
  <si>
    <t>Telecom charges Jul 2011</t>
  </si>
  <si>
    <t>05312012 APL*APPLE ONLINE STORE</t>
  </si>
  <si>
    <t>05082012 GOVCNCTN</t>
  </si>
  <si>
    <t>01022012 POCKETPRESS</t>
  </si>
  <si>
    <t>02062012 POS SUPPLY</t>
  </si>
  <si>
    <t>10142011 OFFICE DEPOT #1080</t>
  </si>
  <si>
    <t>09022011 SYX*GLOBALINDUSTRIALEQ</t>
  </si>
  <si>
    <t>06212012 OFFICE DEPOT #1078</t>
  </si>
  <si>
    <t>06152012 SCHILLER IMAGING GROUP</t>
  </si>
  <si>
    <t>05222012 OFFICE DEPOT #1078</t>
  </si>
  <si>
    <t>04302012 OFFICE DEPOT #1078</t>
  </si>
  <si>
    <t>04112012 OFFICE DEPOT #1078</t>
  </si>
  <si>
    <t>04122012 XEROX CORPORATION-CREDIT</t>
  </si>
  <si>
    <t>03092012 XEROX CORPORATION-CREDIT</t>
  </si>
  <si>
    <t>03062012 OFFICE DEPOT #1078</t>
  </si>
  <si>
    <t>02162012 SCHILLER IMAGING GROUP</t>
  </si>
  <si>
    <t>12062011 OFFICE DEPOT #1078</t>
  </si>
  <si>
    <t>11302011 SCHILLER IMAGING GROUP</t>
  </si>
  <si>
    <t>10052011 OFFICE DEPOT #1078</t>
  </si>
  <si>
    <t>09142011 OFFICE DEPOT #1078</t>
  </si>
  <si>
    <t>08312011 OFFICE DEPOT #1078</t>
  </si>
  <si>
    <t>08302011 OFFICE DEPOT #1078</t>
  </si>
  <si>
    <t>08122011 OFFICE DEPOT #1078</t>
  </si>
  <si>
    <t>08052011 XEROX CORPORATION-CREDIT</t>
  </si>
  <si>
    <t>08022011 FACTORY OUTLET STORE</t>
  </si>
  <si>
    <t>Eric Davidson, CS 131</t>
  </si>
  <si>
    <t>07152011 OFFICE DEPOT #1078</t>
  </si>
  <si>
    <t>04132012 BERGEN &amp; CO</t>
  </si>
  <si>
    <t>02242012 THE HOME DEPOT 4715</t>
  </si>
  <si>
    <t>08122011 HARDWARE SALES</t>
  </si>
  <si>
    <t>08012011 HARDWARE SALES</t>
  </si>
  <si>
    <t>06072012 KEENEYS OFFICE SUPPLY, IN</t>
  </si>
  <si>
    <t>05242012 OFFICE DEPOT #1078</t>
  </si>
  <si>
    <t>04262012 COPS PLUS, INC</t>
  </si>
  <si>
    <t>04182012 DYNAMETRIC INC</t>
  </si>
  <si>
    <t>04122012 JOHNSONS TOWING</t>
  </si>
  <si>
    <t>04032012 RADIO LICENSING SRV</t>
  </si>
  <si>
    <t>03022012 COPS PLUS, INC</t>
  </si>
  <si>
    <t>02222012 OFFICE DEPOT #1078</t>
  </si>
  <si>
    <t>02022012 OFFICE DEPOT #1078</t>
  </si>
  <si>
    <t>01272012 OFFICE DEPOT #1078</t>
  </si>
  <si>
    <t>01112012 SUREFIRE LLC</t>
  </si>
  <si>
    <t>01062012 XEROX CORPORATION-CREDIT</t>
  </si>
  <si>
    <t>01042012 OFFICE DEPOT #1078</t>
  </si>
  <si>
    <t>12232011 BLUMENTHAL UNIFORMS AND E</t>
  </si>
  <si>
    <t>12072011 GOVCNCTN</t>
  </si>
  <si>
    <t>11222011 AMBRY, INC</t>
  </si>
  <si>
    <t>10242011 CROSS MATCH TECHNOLOGIES,</t>
  </si>
  <si>
    <t>10202011 FOX LABS INTERNATIONAL</t>
  </si>
  <si>
    <t>08252011 OFFICE DEPOT #1078</t>
  </si>
  <si>
    <t>08032011 OFFICE DEPOT #1078</t>
  </si>
  <si>
    <t>07132011 XEROX CORPORATION-CREDIT</t>
  </si>
  <si>
    <t>07112011 CSI FORENSIC SUPPLY</t>
  </si>
  <si>
    <t>07072011 OFFICE DEPOT #1078</t>
  </si>
  <si>
    <t>12082011 DAY WIRELESS SYSTEMS 1603</t>
  </si>
  <si>
    <t>05242012 ERGOMETRICS&amp; APPLIED PE</t>
  </si>
  <si>
    <t>04262012 ERGOMETRICS&amp; APPLIED PE</t>
  </si>
  <si>
    <t>09202011 AED SUPERSTORE</t>
  </si>
  <si>
    <t>08032011 WHATCOM OCCUPATIONAL HEAL</t>
  </si>
  <si>
    <t>FY! SAO F/S Audit Charge</t>
  </si>
  <si>
    <t>WTA Summer FY 13 liability</t>
  </si>
  <si>
    <t>Spring 2013 Bus Pass Commission</t>
  </si>
  <si>
    <t>Winter 2013 BusPassSales Commission</t>
  </si>
  <si>
    <t>Summer 2012 Bus Pass Commission</t>
  </si>
  <si>
    <t>Bank card fees May 2013 Paybox</t>
  </si>
  <si>
    <t>Bank card fees Apr 2013 Paybox</t>
  </si>
  <si>
    <t>Bank card fees Mar 2013 Paybox</t>
  </si>
  <si>
    <t>Bank card fees Feb 2013 Paybox</t>
  </si>
  <si>
    <t>Bank card fees Jan 2013 Paybox</t>
  </si>
  <si>
    <t>Bank card fees Dec 2012 Paybox</t>
  </si>
  <si>
    <t>AIRPORTER SHUTTLE PERMITS</t>
  </si>
  <si>
    <t>Amortize Remaining Lease 31 Discoun</t>
  </si>
  <si>
    <t>Amort Bond Costs Lincoln Cr per GAS</t>
  </si>
  <si>
    <t>Transf exp LCTC Light/Security</t>
  </si>
  <si>
    <t>Transf exp LCTC Lighting</t>
  </si>
  <si>
    <t>Diehl Ford Inc</t>
  </si>
  <si>
    <t>MOTOROLA SOLUTIONS INC, INV 1392290</t>
  </si>
  <si>
    <t>Applied Concepts</t>
  </si>
  <si>
    <t>Taser International</t>
  </si>
  <si>
    <t>Denali Advanced Integration</t>
  </si>
  <si>
    <t>Commercial Office Interiors Inc</t>
  </si>
  <si>
    <t>12102012 MOTOROLA, INC. - ONLINE</t>
  </si>
  <si>
    <t>parking cc terminals 1/22</t>
  </si>
  <si>
    <t>Teamviewer 8 Upgrade License</t>
  </si>
  <si>
    <t>06122013 AMAZON MKTPLACE PMTS</t>
  </si>
  <si>
    <t>Wolf, Linda C.</t>
  </si>
  <si>
    <t>Transfer Exp from FOFPD to FODPS</t>
  </si>
  <si>
    <t>Best Western Lakeway Inn</t>
  </si>
  <si>
    <t>Julia Gassman - Eugene, OR</t>
  </si>
  <si>
    <t>David Ma - Orlando, FL</t>
  </si>
  <si>
    <t>Julia Gassman - Orlando, FL</t>
  </si>
  <si>
    <t>Wickkiser International Companies I</t>
  </si>
  <si>
    <t>Enterprise Holdings</t>
  </si>
  <si>
    <t>12202012 ENTERPRISE RENT-A-CAR</t>
  </si>
  <si>
    <t>Lipson, Wolf</t>
  </si>
  <si>
    <t>Record prepaid WTA expense</t>
  </si>
  <si>
    <t>FY13 WWU Card Extra Qtr Start Staff</t>
  </si>
  <si>
    <t>FY13 WWU Card Support</t>
  </si>
  <si>
    <t>FY13 4TH Qtr Admin Services Asses</t>
  </si>
  <si>
    <t>FY13 3rd QTR Admin Service Asses</t>
  </si>
  <si>
    <t>FY13 2nd QTR Admin Service Assessme</t>
  </si>
  <si>
    <t>FY13 1st QTR Admin Service Assessme</t>
  </si>
  <si>
    <t>12192012 ARAMARK WWU ARAMARK CATER</t>
  </si>
  <si>
    <t>Davidson, Eric J.</t>
  </si>
  <si>
    <t>02222013 BELLINGHAM HERAL</t>
  </si>
  <si>
    <t>02202013 BELLINGHAM HERAL</t>
  </si>
  <si>
    <t>Hispanic American Police Command Of</t>
  </si>
  <si>
    <t>05102013 BLUMENTHAL UNIFORMS AND E</t>
  </si>
  <si>
    <t>10082012 BLUMENTHAL UNIFORMS AND E</t>
  </si>
  <si>
    <t>09182012 WHISTLE WORKWEAR - BEL</t>
  </si>
  <si>
    <t>06152013 WEARGUARD   *78793602</t>
  </si>
  <si>
    <t>06212013 BLUMENTHAL UNIFORMS AND E</t>
  </si>
  <si>
    <t>06052013 BRATWEAR INC.</t>
  </si>
  <si>
    <t>04052013 BLUMENTHAL UNIFORMS AND E</t>
  </si>
  <si>
    <t>03072013 EMBLEM ENTERPRISES INC</t>
  </si>
  <si>
    <t>03072013 BERGEN &amp; CO</t>
  </si>
  <si>
    <t>03062013 BLUMENTHAL UNIFORMS AND E</t>
  </si>
  <si>
    <t>01102013 V&amp;V MANUFACTURING INC</t>
  </si>
  <si>
    <t>12112012 BLUMENTHAL UNIFORMS AND E</t>
  </si>
  <si>
    <t>12102012 V&amp;V MANUFACTURING INC</t>
  </si>
  <si>
    <t>08302012 BLUMENTHAL UNIFORMS AND E</t>
  </si>
  <si>
    <t>08292012 BLUMENTHAL UNIFORMS AND E</t>
  </si>
  <si>
    <t>06122013 HARDWARE SALES</t>
  </si>
  <si>
    <t>10042012 REI 65 BELLINGHAM</t>
  </si>
  <si>
    <t>Adventures in Advertising</t>
  </si>
  <si>
    <t>08092012 NOBLE</t>
  </si>
  <si>
    <t>08072012 HISPANIC OUTLOOK IN HIGHE</t>
  </si>
  <si>
    <t>08062012 HISPANIC RECRUITMENT SERV</t>
  </si>
  <si>
    <t>08072012 RECRUITMILITARY LLC</t>
  </si>
  <si>
    <t>08062012 COX, MATTHEWS &amp; ASSOC.</t>
  </si>
  <si>
    <t>08062012 BELLINGHAM HERALD ADVE</t>
  </si>
  <si>
    <t>08062012 SEATTLE TIMES CLASSIFIED</t>
  </si>
  <si>
    <t>Programming Support</t>
  </si>
  <si>
    <t>03212013 LA FIAMMA</t>
  </si>
  <si>
    <t>Payment to FXXORS</t>
  </si>
  <si>
    <t>JUN 1-30 FY13FUEL</t>
  </si>
  <si>
    <t>MAY 1-31 FY13FUEL</t>
  </si>
  <si>
    <t>APR 1-31 FY13FUEL</t>
  </si>
  <si>
    <t>MAR 1-31 FY13FUEL</t>
  </si>
  <si>
    <t>FEB 1-28  FY13FUEL</t>
  </si>
  <si>
    <t>JAN 1-31  FY13FUEL</t>
  </si>
  <si>
    <t>DEC 1-31  FY13FUEL</t>
  </si>
  <si>
    <t>NOV 1-30 FY13FUEL</t>
  </si>
  <si>
    <t>OCT1-31 FY13FUEL</t>
  </si>
  <si>
    <t>SEP1-30 FY13FUEL</t>
  </si>
  <si>
    <t>AUG1-31 FY13 FUEL</t>
  </si>
  <si>
    <t>JUL 1-31 FY13 FUEL</t>
  </si>
  <si>
    <t>02262013 CRAWFORD AUTO UP</t>
  </si>
  <si>
    <t>02012013 CRAWFORD AUTO UPHOLSTERY</t>
  </si>
  <si>
    <t>Bellair Charters Inc</t>
  </si>
  <si>
    <t>BRAKE WORK FOR WHITE UNMARKED 10400</t>
  </si>
  <si>
    <t>Lexipol LLC</t>
  </si>
  <si>
    <t>FY2013 Ins Prem Redistribution</t>
  </si>
  <si>
    <t>June 2013 Bankcard Fees</t>
  </si>
  <si>
    <t>May 2013 Bankcard Fees</t>
  </si>
  <si>
    <t>April 2013 Bankcard Fees</t>
  </si>
  <si>
    <t>March 2013 Bankcard Fees</t>
  </si>
  <si>
    <t>February 2013 Bankcard Fees</t>
  </si>
  <si>
    <t>January 2013 Bankcard Fees</t>
  </si>
  <si>
    <t>December 2012 Bankcard Fees</t>
  </si>
  <si>
    <t>November 2012 Bankcard Fees</t>
  </si>
  <si>
    <t>Oct 201 Bankcard Fee Distribution</t>
  </si>
  <si>
    <t>Sept 2012 Bankcard Fees</t>
  </si>
  <si>
    <t>August 2012 Bankcard Fees</t>
  </si>
  <si>
    <t>July 2012 Bankcard Fees</t>
  </si>
  <si>
    <t>Expenses moved to 2014</t>
  </si>
  <si>
    <t>Expense moved to FY2013-reversal</t>
  </si>
  <si>
    <t>03282013 CRAWFORD AUTO UP</t>
  </si>
  <si>
    <t>FY 13 portion of Invoice 188733</t>
  </si>
  <si>
    <t>TRUSYS Inc</t>
  </si>
  <si>
    <t>10092012 RADIO LICENSING SRV</t>
  </si>
  <si>
    <t>09042012 LMI SPINO BONDING</t>
  </si>
  <si>
    <t>07022012 PACIFIC INTER MTN PRKG &amp;</t>
  </si>
  <si>
    <t>12132012 WASHINGTON ASSOC OF SHER</t>
  </si>
  <si>
    <t>06052013 WASHINGTON ASSOC OF SHER</t>
  </si>
  <si>
    <t>10092012 GOOGLE *WACLEA</t>
  </si>
  <si>
    <t>06212013 STEPHEN KENT</t>
  </si>
  <si>
    <t>03072013 T2 SYSTEMS INC</t>
  </si>
  <si>
    <t>01092013 T2 SYSTEMS INC</t>
  </si>
  <si>
    <t>08292012 WSU PESTICIDE EDUCATION</t>
  </si>
  <si>
    <t>06212013 GLOCK PROFESSIONAL INC</t>
  </si>
  <si>
    <t>05172013 BLAUER TACTICAL SYSTEMS</t>
  </si>
  <si>
    <t>03192013 LIFELINE TRAINING INC</t>
  </si>
  <si>
    <t>09122012 CUTTING EDGE TRAINING LLC</t>
  </si>
  <si>
    <t>08292012 POLICE TECHNICAL TRAINING</t>
  </si>
  <si>
    <t>07172012 LIFELINE TRAINING INC</t>
  </si>
  <si>
    <t>06082013 CODE 4 PUBLIC SAFETY EDU</t>
  </si>
  <si>
    <t>05092013 CPPS / STI</t>
  </si>
  <si>
    <t>Record FY 13 expense</t>
  </si>
  <si>
    <t>CS129 Parking Ricoh CLR cpy/prt-6/2</t>
  </si>
  <si>
    <t>CS129 Parking Ricoh CLR cpy/prt-5/2</t>
  </si>
  <si>
    <t>CS129 Parking Ricoh CLR cpy/prt-4/2</t>
  </si>
  <si>
    <t>CS129 Parking Ricoh CLR cpy/prt-3/2</t>
  </si>
  <si>
    <t>CS129 Parking Ricoh BLK cpy/prt-3/2</t>
  </si>
  <si>
    <t>30-SEP-12 DETAIL</t>
  </si>
  <si>
    <t>31-AUG-12 DETAIL</t>
  </si>
  <si>
    <t>31-JUL-12 DETAIL</t>
  </si>
  <si>
    <t>CS129 UP Ricoh CLR cpy/prt -4/2013</t>
  </si>
  <si>
    <t>CS129 UP Ricoh clr cpy/prt -1/2013</t>
  </si>
  <si>
    <t>CS129 UP Ricoh clr cpy/prt -10/2012</t>
  </si>
  <si>
    <t>21-DEC-12 DETAIL</t>
  </si>
  <si>
    <t>31-MAY-13 DETAIL</t>
  </si>
  <si>
    <t>26-APR-13 DETAIL</t>
  </si>
  <si>
    <t>28-MAR-13 DETAIL</t>
  </si>
  <si>
    <t>28-FEB-13 DETAIL</t>
  </si>
  <si>
    <t>31-JAN-13 DETAIL</t>
  </si>
  <si>
    <t>30-NOV-12 DETAIL</t>
  </si>
  <si>
    <t>28-SEP-12 DETAIL</t>
  </si>
  <si>
    <t>27-JUL-12 DETAIL</t>
  </si>
  <si>
    <t>31-OCT-12 DETAIL</t>
  </si>
  <si>
    <t>Envelope #10 Statement Enclosed - 5</t>
  </si>
  <si>
    <t>Parking Maps - 15,000</t>
  </si>
  <si>
    <t>Move expense from E170 to E111</t>
  </si>
  <si>
    <t>01112013 GRAPHIC TICKETS &amp; SYST</t>
  </si>
  <si>
    <t>Comp Tax 1,428.08 @ 8.7%</t>
  </si>
  <si>
    <t>05242013 INT*SIGNS PLUS</t>
  </si>
  <si>
    <t>10022012 SIGNS PLUS</t>
  </si>
  <si>
    <t>lockshop job incorrectly billed</t>
  </si>
  <si>
    <t>06202013 DIGITALPAYMENTTE</t>
  </si>
  <si>
    <t>Telecom charges Apr 2013</t>
  </si>
  <si>
    <t>PM VEHICLE MAJOR  24160E PARKING  D</t>
  </si>
  <si>
    <t>PM VEHICLE MINOR 15069E PARKING</t>
  </si>
  <si>
    <t>12112012 T2 SYSTEMS INC</t>
  </si>
  <si>
    <t>PM VEHICLE MAJOR  15069E PARKING</t>
  </si>
  <si>
    <t>RAISE CATCH BASIN 6 INCHES IN NORTH</t>
  </si>
  <si>
    <t>PM VEHICLE MAJOR  16513E PARKING  D</t>
  </si>
  <si>
    <t>PM VEHICLE MAJOR  20293E PARKING  D</t>
  </si>
  <si>
    <t>PM VEHICLE MINOR  B26 KUBOTA  D</t>
  </si>
  <si>
    <t>EF WORK</t>
  </si>
  <si>
    <t>EF WORK -INSTALL BUTTONS OVER EXIST</t>
  </si>
  <si>
    <t>EF WORK - 13A PARKING LOT (DIRT LOT</t>
  </si>
  <si>
    <t>PM VEHICLE MINOR  16513E PARKING  D</t>
  </si>
  <si>
    <t>Reclass JV fund from 10200 to 43000</t>
  </si>
  <si>
    <t>CLEANING CALLOUT: DISPATCH DOG CLEA</t>
  </si>
  <si>
    <t xml:space="preserve">REPLACEMENT PART ON TRACTOR/LOADER </t>
  </si>
  <si>
    <t>BIO INCIDENT CLEAN UP FOR POLICE CA</t>
  </si>
  <si>
    <t>16511E OPEN WORK ORDER</t>
  </si>
  <si>
    <t>MOVE FURNITURE</t>
  </si>
  <si>
    <t>PM VEHICLE MAJOR  10400E  UPD  D</t>
  </si>
  <si>
    <t>FC WORK</t>
  </si>
  <si>
    <t>TOUCH UP HOLES IN WALLS</t>
  </si>
  <si>
    <t>CA WORK - TWO WAY RADIO SITE SUPPOR</t>
  </si>
  <si>
    <t>FDCB</t>
  </si>
  <si>
    <t>MOVE AND INSTALL CABINETS IN UP DIS</t>
  </si>
  <si>
    <t>PM VEHICLE MINOR  10400E UPD  D</t>
  </si>
  <si>
    <t>PM VEHICLE MAJOR  16511E UPD  D</t>
  </si>
  <si>
    <t>EMS &amp; Master Calendar Maintenance</t>
  </si>
  <si>
    <t>YR VEH LSE  FY13</t>
  </si>
  <si>
    <t>VEH LSES FY13</t>
  </si>
  <si>
    <t>Expense Moved to 2014</t>
  </si>
  <si>
    <t>Telecom charges Jun 2013</t>
  </si>
  <si>
    <t>Telecom charges May 2013</t>
  </si>
  <si>
    <t>Telecom charges Mar 2013</t>
  </si>
  <si>
    <t>Telecom charges Feb 2013</t>
  </si>
  <si>
    <t>Telecom charges Jan 2013</t>
  </si>
  <si>
    <t>Telecom charges Dec 2012</t>
  </si>
  <si>
    <t>Telecom charges Nov 2012</t>
  </si>
  <si>
    <t>Telecom charges Oct 2012</t>
  </si>
  <si>
    <t>Telecom charges Sep 2012</t>
  </si>
  <si>
    <t>Telecom charges Aug 2012</t>
  </si>
  <si>
    <t>Telecom charges Jul 2012</t>
  </si>
  <si>
    <t>01102013 DAY WIRELESS SYSTEMS 1601</t>
  </si>
  <si>
    <t>01072013 DISCOUNT TWO WAY RADIO</t>
  </si>
  <si>
    <t>01222013 DAY WIRELESS SYSTEMS 1601</t>
  </si>
  <si>
    <t>01092013 talktwoway.com</t>
  </si>
  <si>
    <t>05152013 OREGON CORRECTIONS ENTERP</t>
  </si>
  <si>
    <t>12242012 OREGON CORRECTIONS ENTERP</t>
  </si>
  <si>
    <t>09182012 SAFETY SIGNS INC</t>
  </si>
  <si>
    <t>08132012 LEGEND DATA SYSTEMS</t>
  </si>
  <si>
    <t>Fund Change of Doc# PCD00575</t>
  </si>
  <si>
    <t>05222013 DIGITALPAYMENTTE</t>
  </si>
  <si>
    <t>04122013 SHOE STOP</t>
  </si>
  <si>
    <t>04052013 T2 SYSTEMS INC</t>
  </si>
  <si>
    <t>03202013 DIGITALPAYMENTTE</t>
  </si>
  <si>
    <t>03082013 DIGITALPAYMENTTE</t>
  </si>
  <si>
    <t>08212012 DIGITALPAYMENTTE</t>
  </si>
  <si>
    <t>06252013 CRAWFORD AUTO UPHOLSTERY</t>
  </si>
  <si>
    <t>05192013 Amazon.com</t>
  </si>
  <si>
    <t>05102013 OFFICE DEPOT #1078</t>
  </si>
  <si>
    <t>03212013 GRAPHIC TICKETS &amp; SYST</t>
  </si>
  <si>
    <t>12122012 DIGITALPAYMENTTE</t>
  </si>
  <si>
    <t>10242012 OFFICE DEPOT #1078</t>
  </si>
  <si>
    <t>07272012 GRAPHIC TICKETS &amp; SYST</t>
  </si>
  <si>
    <t>Comp Tax 1,425.80 @ 8.7%</t>
  </si>
  <si>
    <t>07242012 GRAPHIC TICKETS &amp; SYST</t>
  </si>
  <si>
    <t>ERIC DAVIDSON, AC 129</t>
  </si>
  <si>
    <t>05202013 PAYPAL *CARAVAN</t>
  </si>
  <si>
    <t>05142013 LAMINATECOM</t>
  </si>
  <si>
    <t>Northwest Safety Signs Inc</t>
  </si>
  <si>
    <t>03152013 OFFICE DEPOT #1078</t>
  </si>
  <si>
    <t>01252013 SCHILLER IMAGING GROUP</t>
  </si>
  <si>
    <t>01162013 LAMINATECOM</t>
  </si>
  <si>
    <t>12172012 DIGITALBUYER.COM</t>
  </si>
  <si>
    <t>12132012 KEENEYS OFFICE SUPPLY, IN</t>
  </si>
  <si>
    <t>12102012 OFFICE DEPOT #1078</t>
  </si>
  <si>
    <t>11192012 OFFICE DEPOT #1078</t>
  </si>
  <si>
    <t>11152012 XEROX CORPORATION-CREDIT</t>
  </si>
  <si>
    <t>10242012 KEENEYS OFFICE SUPPLY, IN</t>
  </si>
  <si>
    <t>09182012 SCHILLER IMAGING GROUP</t>
  </si>
  <si>
    <t>09292012 APC DATA CENTER UNIVER</t>
  </si>
  <si>
    <t>09252012 KEENEYS OFFICE SUPPLY, IN</t>
  </si>
  <si>
    <t>09202012 XEROX CORPORATION-CREDIT</t>
  </si>
  <si>
    <t>07052012 KEENEYS OFFICE SUPPLY, IN</t>
  </si>
  <si>
    <t>Eric Davidson, SV 132</t>
  </si>
  <si>
    <t>ERIC DAVIDSON, CS 132</t>
  </si>
  <si>
    <t>06192013 HARDWARE SALES</t>
  </si>
  <si>
    <t>05212013 OREGON CORRECTIONS ENTERP</t>
  </si>
  <si>
    <t>05202013 APEX UNIVERSAL INC</t>
  </si>
  <si>
    <t>03132013 CORRECTIONAL INDUSTRIES</t>
  </si>
  <si>
    <t>02212013 THE HOME DEPOT 4</t>
  </si>
  <si>
    <t>08152012 LOWES #01631*</t>
  </si>
  <si>
    <t>08012012 HARDWARE SALES</t>
  </si>
  <si>
    <t>07122012 HARDWARE SALES</t>
  </si>
  <si>
    <t>07112012 HARDWARE SALES</t>
  </si>
  <si>
    <t>05232013 HARDWARE SALES</t>
  </si>
  <si>
    <t>05222013 SECURAM SYSTEMS INC</t>
  </si>
  <si>
    <t>06212013 OFFICE DEPOT #1078</t>
  </si>
  <si>
    <t>06202013 XEROX CORPORATION-CREDIT</t>
  </si>
  <si>
    <t>06202013 Amazon.com</t>
  </si>
  <si>
    <t>06142013 OFFICE DEPOT #1078</t>
  </si>
  <si>
    <t>06172013 DELTA GLOVES-INTERNET</t>
  </si>
  <si>
    <t>04262013 OFFICE DEPOT #1078</t>
  </si>
  <si>
    <t>04262013 Amazon.com</t>
  </si>
  <si>
    <t>ERIC DAVIDSON, CS 129</t>
  </si>
  <si>
    <t>03252013 BOSTEC INC</t>
  </si>
  <si>
    <t>03182013 OFFICE DEPOT #1078</t>
  </si>
  <si>
    <t>03052013 XEROX CORPORATION-CREDIT</t>
  </si>
  <si>
    <t>02122013 XEROX CORPORATION-CREDIT</t>
  </si>
  <si>
    <t>01312013 OFFICE DEPOT #1078</t>
  </si>
  <si>
    <t>01302013 OFFICE DEPOT #1078</t>
  </si>
  <si>
    <t>01292013 OFFICE DEPOT #1078</t>
  </si>
  <si>
    <t>01172013 OFFICE DEPOT #1078</t>
  </si>
  <si>
    <t>01162013 KEENEYS OFFICE SUPPLY, IN</t>
  </si>
  <si>
    <t>01102013 OFFICE DEPOT #1078</t>
  </si>
  <si>
    <t>01112013 OFFICE DEPOT #1078</t>
  </si>
  <si>
    <t>01082013 OFFICE DEPOT #1078</t>
  </si>
  <si>
    <t>01092013 BLUMENTHAL UNIFORM CO</t>
  </si>
  <si>
    <t>12272012 OFFICE DEPOT #1078</t>
  </si>
  <si>
    <t>11292012 OFFICE DEPOT #1078</t>
  </si>
  <si>
    <t>11282012 CT FLAGS</t>
  </si>
  <si>
    <t>11152012 KEENEYS OFFICE SUPPLY, IN</t>
  </si>
  <si>
    <t>10232012 KEENEYS OFFICE SUPPLY, IN</t>
  </si>
  <si>
    <t>10122012 HP PRODUCT SVC&amp;RPR</t>
  </si>
  <si>
    <t>09242012 KEENEYS OFFICE SUPPLY, IN</t>
  </si>
  <si>
    <t>08222012 OFFICE DEPOT #1078</t>
  </si>
  <si>
    <t>08232012 POCKETPRESS</t>
  </si>
  <si>
    <t>08172012 KEENEYS OFFICE SUPPLY, IN</t>
  </si>
  <si>
    <t>07212012 XEROX CORPORATION-CREDIT</t>
  </si>
  <si>
    <t>07052012 OFFICE DEPOT #1078</t>
  </si>
  <si>
    <t>FY 12 FS Audit Charges</t>
  </si>
  <si>
    <t>Emp Bus Pass FOAPAL change</t>
  </si>
  <si>
    <t>trnsf 43003 to 43000</t>
  </si>
  <si>
    <t>Closing 43001. Move to 43000.</t>
  </si>
  <si>
    <t>Trnsfr cryfwd bal to new fund</t>
  </si>
  <si>
    <t>YTD frm 5610 to 5620</t>
  </si>
  <si>
    <t>trsnf to new org code</t>
  </si>
  <si>
    <t>Org code change for 43007</t>
  </si>
  <si>
    <t>YTD 43004 to 43000</t>
  </si>
  <si>
    <t>WTA Summer FY 14 liability</t>
  </si>
  <si>
    <t>Fall 2013 Empl Bus Pass Sales Comm</t>
  </si>
  <si>
    <t>Summer Employee Bus Pass Commission</t>
  </si>
  <si>
    <t>Transfer of Spring WTA commission</t>
  </si>
  <si>
    <t>WTA Agent commission</t>
  </si>
  <si>
    <t>43003 exp to 43000</t>
  </si>
  <si>
    <t>YTD frm 5740 to 5620</t>
  </si>
  <si>
    <t>Closing fund 31040</t>
  </si>
  <si>
    <t>trsnf expense to new fund</t>
  </si>
  <si>
    <t>Bank card fees May 2014 Paybox</t>
  </si>
  <si>
    <t>Bank card fees Apr 2014 Paybox</t>
  </si>
  <si>
    <t>Bank card fees Mar 2014 Paybox</t>
  </si>
  <si>
    <t>Bank card fees Feb 2014 Paybox</t>
  </si>
  <si>
    <t>Bank card fees Jan 2014 Paybox</t>
  </si>
  <si>
    <t>Bank card fees Dec 2013 Paybox</t>
  </si>
  <si>
    <t>Bank card fees Nov 2013 Paybox</t>
  </si>
  <si>
    <t>Bank card fees Oct 2013 Paybox</t>
  </si>
  <si>
    <t>Bank card fees Sep 2013 Paybox</t>
  </si>
  <si>
    <t>Bank card fees Aug 2013 Paybox</t>
  </si>
  <si>
    <t>Bank card fees Jul 2013 Paybox</t>
  </si>
  <si>
    <t>FY14 Bank card fees Jun 2014 Paybox</t>
  </si>
  <si>
    <t>BELLAIRE SHUTTLE PERMITS</t>
  </si>
  <si>
    <t>Security Recharge Halloween Bus</t>
  </si>
  <si>
    <t>Moving YTD; org code change</t>
  </si>
  <si>
    <t>Move PKO Vehicle Res Acct 43007</t>
  </si>
  <si>
    <t>BusLeasing LLC</t>
  </si>
  <si>
    <t>01252014 DMI* DELL HIGHER EDUC</t>
  </si>
  <si>
    <t>1408771630 GOVCNCTN</t>
  </si>
  <si>
    <t>Onstream Systems Limited</t>
  </si>
  <si>
    <t>Comp Tax 1,496.01 @ 8.7%</t>
  </si>
  <si>
    <t>1361761552 LAMINATOR.COM</t>
  </si>
  <si>
    <t>01032014 CUMMINS-ALLISON CORP.</t>
  </si>
  <si>
    <t>07292013 AMAZON MKTPLACE PMTS</t>
  </si>
  <si>
    <t>01022014 DYNAMETRIC INC</t>
  </si>
  <si>
    <t>11282013 COMMAND CONCEPTS</t>
  </si>
  <si>
    <t>11252013 BESTBUY.COM   00009944</t>
  </si>
  <si>
    <t>1337879257 ATLAS BUSINESS SOLUTIONS</t>
  </si>
  <si>
    <t>09172013 CDW GOVERNMENT</t>
  </si>
  <si>
    <t>Van Diest, Ethan Ledru.</t>
  </si>
  <si>
    <t>Haas, Luke Henry.</t>
  </si>
  <si>
    <t>Rasmussen, Darin Patrick.</t>
  </si>
  <si>
    <t>Maxwell Evans - Champagne, IL</t>
  </si>
  <si>
    <t>Springhill Suites</t>
  </si>
  <si>
    <t>Denson Chatfield - Bellingham,</t>
  </si>
  <si>
    <t>Julia Gassman - Pheonix,AZ</t>
  </si>
  <si>
    <t>Tafei (David) Ma - Pheonix, AZ</t>
  </si>
  <si>
    <t>Ethan VanDiest - Lexington, KY</t>
  </si>
  <si>
    <t>Carol Berry - Champagne, IL</t>
  </si>
  <si>
    <t>Move Invoices frm E210 to E365</t>
  </si>
  <si>
    <t>Schenck, Julius</t>
  </si>
  <si>
    <t>Chatfield, Denson</t>
  </si>
  <si>
    <t>Evans, Maxwell Harrison.</t>
  </si>
  <si>
    <t>Begin balance trnsf to new fund</t>
  </si>
  <si>
    <t>Reverse J0004549 Prepd WTA Expense</t>
  </si>
  <si>
    <t>Moving YTD; Org code change</t>
  </si>
  <si>
    <t>FY14 WWU Card Extra Qtr Start Staff</t>
  </si>
  <si>
    <t>FY14 WWU Card Office Support</t>
  </si>
  <si>
    <t>Doughty billable time for LS</t>
  </si>
  <si>
    <t>Doughty billable time PD</t>
  </si>
  <si>
    <t>FY14 2nd QTR ASA Correction</t>
  </si>
  <si>
    <t>FY14 2nd QTR Admin Service Asses</t>
  </si>
  <si>
    <t>FY14 1st QTR Admin Service Asses</t>
  </si>
  <si>
    <t>FY14 4th QTR Admin Service Asses</t>
  </si>
  <si>
    <t>FY14 3rd QTR Admin Service Asses</t>
  </si>
  <si>
    <t>1421765282 ARAMARK WWU ARAMARK CATE</t>
  </si>
  <si>
    <t>Aramark Corporation</t>
  </si>
  <si>
    <t>Higher One Payments Inc</t>
  </si>
  <si>
    <t>1400054097 HISPANIC RECRUITMENT SER</t>
  </si>
  <si>
    <t>1400054096 HAPCOA*4438546727</t>
  </si>
  <si>
    <t>1397205366 SEATTLE TIMES CLASSIFI</t>
  </si>
  <si>
    <t>1401469109 HISPANIC OUTLOOK IN HIGH</t>
  </si>
  <si>
    <t>1402924106 NOBLE</t>
  </si>
  <si>
    <t>1401469110 PAYPAL</t>
  </si>
  <si>
    <t>1400054100 COX, MATTHEWS &amp; ASSOC.</t>
  </si>
  <si>
    <t>1400054099 RECRUITMILITARY LLC</t>
  </si>
  <si>
    <t>01172014 BERGEN &amp; CO</t>
  </si>
  <si>
    <t>12202013 BLUMENTHAL UNIFORMS AND E</t>
  </si>
  <si>
    <t>12122013 CAFEPRESS INC</t>
  </si>
  <si>
    <t>11062013 BLUMENTHAL UNIFORMS AND E</t>
  </si>
  <si>
    <t>10212013 BLUMENTHAL UNIFORMS AND E</t>
  </si>
  <si>
    <t>09232013 BLUMENTHAL UNIFORMS AND E</t>
  </si>
  <si>
    <t>09182013 INTERNATIONAL RADIO</t>
  </si>
  <si>
    <t>1294772972 BERGEN &amp; CO</t>
  </si>
  <si>
    <t>01102014 BERGEN &amp; CO</t>
  </si>
  <si>
    <t>09252013 BERGEN &amp; CO</t>
  </si>
  <si>
    <t xml:space="preserve">1411951408 BLUMENTHAL UNIFORMS AND </t>
  </si>
  <si>
    <t xml:space="preserve">1408771563 BLUMENTHAL UNIFORMS AND </t>
  </si>
  <si>
    <t xml:space="preserve">1408771565 BLUMENTHAL UNIFORMS AND </t>
  </si>
  <si>
    <t xml:space="preserve">1424625757 BLUMENTHAL UNIFORMS AND </t>
  </si>
  <si>
    <t xml:space="preserve">1424625758 BLUMENTHAL UNIFORMS AND </t>
  </si>
  <si>
    <t xml:space="preserve">1344427438 BLUMENTHAL UNIFORMS AND </t>
  </si>
  <si>
    <t xml:space="preserve">1294772970 BLUMENTHAL UNIFORMS AND </t>
  </si>
  <si>
    <t>01162014 BLUMENTHAL UNIFORMS AND E</t>
  </si>
  <si>
    <t>01072014 BRATWEAR INC.</t>
  </si>
  <si>
    <t>01022014 BLUMENTHAL UNIFORMS AND E</t>
  </si>
  <si>
    <t>12192013 BLUMENTHAL UNIFORMS AND E</t>
  </si>
  <si>
    <t>10282013 V&amp;V MANUFACTURING INC</t>
  </si>
  <si>
    <t>07182013 BLUMENTHAL UNIFORMS AND E</t>
  </si>
  <si>
    <t>09132013 HARDWARE SALES</t>
  </si>
  <si>
    <t>08082013 PETERSON MANUFACTURING IN</t>
  </si>
  <si>
    <t>Corrys Fine Dry Cleaning</t>
  </si>
  <si>
    <t>Trnsf exp to new fund/org</t>
  </si>
  <si>
    <t>10022013 REI 65 BELLINGHAM</t>
  </si>
  <si>
    <t>1419164293 ADVENTURES IN ADVERTISIN</t>
  </si>
  <si>
    <t>11212013 NOBLE</t>
  </si>
  <si>
    <t>11182013 SEATTLE TIMES ADVRTSNG</t>
  </si>
  <si>
    <t>11152013 HISPANIC RECRUITMENT SERV</t>
  </si>
  <si>
    <t>11152013 HISPANIC OUTLOOK IN HIGHE</t>
  </si>
  <si>
    <t>11142013 RECRUITMILITARY LLC</t>
  </si>
  <si>
    <t>11142013 HAPCOA*4438546727</t>
  </si>
  <si>
    <t>11142013 COX, MATTHEWS &amp; ASSOC.</t>
  </si>
  <si>
    <t>11142013 BELLINGHAM HERALD ADVE</t>
  </si>
  <si>
    <t>Programming Support Charges</t>
  </si>
  <si>
    <t>1358446409 ASAP TOWING</t>
  </si>
  <si>
    <t>JUN FY14 FUEL</t>
  </si>
  <si>
    <t>MAY FY14 FUEL</t>
  </si>
  <si>
    <t>APR FY14 FUEL</t>
  </si>
  <si>
    <t>MAR FY14 FUEL</t>
  </si>
  <si>
    <t>FEB FY14 FUEL</t>
  </si>
  <si>
    <t>JAN FY14 FUEL</t>
  </si>
  <si>
    <t>DEC FY14 FUEL</t>
  </si>
  <si>
    <t>NOV FY14 FUEL</t>
  </si>
  <si>
    <t>OCT FY14 FUEL</t>
  </si>
  <si>
    <t>SEP FY14 FUEL</t>
  </si>
  <si>
    <t>AUG FY14 FUEL</t>
  </si>
  <si>
    <t>JUL 1-3 FY14FUEL</t>
  </si>
  <si>
    <t>VEHICLE 15069E COOLANT REPAIR NEEDE</t>
  </si>
  <si>
    <t>Special T Signs &amp; Graphics</t>
  </si>
  <si>
    <t>INSTALL LIGHTS ON F-150 PICK UP AND</t>
  </si>
  <si>
    <t>1341670006 AUTO ADDITIONS INC</t>
  </si>
  <si>
    <t>1359887560 SPECIAL T SIGNS AND GRAP</t>
  </si>
  <si>
    <t>10072013 KULSHAN CYCLES</t>
  </si>
  <si>
    <t>08082013 KULSHAN CYCLES</t>
  </si>
  <si>
    <t>08022013 KULSHAN CYCLES</t>
  </si>
  <si>
    <t>FY2014 Insurance Prem Redist</t>
  </si>
  <si>
    <t>FY 2014 Premium Redist ADDITIONALS</t>
  </si>
  <si>
    <t>May 2014 V/MC/Disc Bankcard Fees</t>
  </si>
  <si>
    <t>Apr 2014 V/MC/Disc Bankcard Fees</t>
  </si>
  <si>
    <t>Mar 2014 V/MC/Disc Bankcard Fees</t>
  </si>
  <si>
    <t>Feb 2014 V/MC/Disc Bankcard Fees</t>
  </si>
  <si>
    <t>Jan 2014 V/MC/Disc Bankcard Fees</t>
  </si>
  <si>
    <t>Dec 2013 V/MC/Disc Bankcard Fees</t>
  </si>
  <si>
    <t>Nov 2013 V/MC/Disc Bankcard Fees</t>
  </si>
  <si>
    <t>Oct 2013 Bankcard Fees</t>
  </si>
  <si>
    <t>Sep 2013 AMEX Bankcard Fees</t>
  </si>
  <si>
    <t>Sep 2013 Bankcard Fees</t>
  </si>
  <si>
    <t>August 2013 Bankcard Fees</t>
  </si>
  <si>
    <t>July 2013 Bankcard Fees</t>
  </si>
  <si>
    <t>Jun 2014 V/MC/Disc Bankcard Fees</t>
  </si>
  <si>
    <t>AT&amp;T Wireless</t>
  </si>
  <si>
    <t>210955A-Prepaid to Expense</t>
  </si>
  <si>
    <t>Legend Data Systems Inc</t>
  </si>
  <si>
    <t>11082013 SPECIAL T SIGNS AND GRAPH</t>
  </si>
  <si>
    <t>12192013 TMS*SAMORA TOWING INC</t>
  </si>
  <si>
    <t>12232013 T2 SYSTEMS INC</t>
  </si>
  <si>
    <t>09052013 T2 SYSTEMS</t>
  </si>
  <si>
    <t>1354545782 ALOA SECURITY PROFESSION</t>
  </si>
  <si>
    <t>09112013 ALOA SECURITY PRO00 OF 00</t>
  </si>
  <si>
    <t>1284692360 AMERICAN PUBLIC TRANS AS</t>
  </si>
  <si>
    <t>1281582955 AMERICAN PUBLIC TRANS AS</t>
  </si>
  <si>
    <t>12192013 WASHINGTON ASSOC OF SHER</t>
  </si>
  <si>
    <t>1361761550 ALOA SECURITY PROFESSION</t>
  </si>
  <si>
    <t>11062013 ALOA SECURITY PRO00 OF 00</t>
  </si>
  <si>
    <t>1330565705 WAPRO</t>
  </si>
  <si>
    <t>01022014 WASHINGTON ASSOC OF SHER</t>
  </si>
  <si>
    <t>10282013 APCO INTERNATIONAL INC</t>
  </si>
  <si>
    <t>08052013 APCO INTERNATIONAL INC</t>
  </si>
  <si>
    <t>01302014 PIPTA</t>
  </si>
  <si>
    <t>08132013 T2 SYSTEMS INC</t>
  </si>
  <si>
    <t>07122013 T2 SYSTEMS INC</t>
  </si>
  <si>
    <t>08212013 WSU PESTICIDE EDUCATION</t>
  </si>
  <si>
    <t>1379484434 ACT*DOMESTIC VIOLENCE</t>
  </si>
  <si>
    <t>Kebcor.com</t>
  </si>
  <si>
    <t>CS129 Parking Ricoh CLR cpy/prt-2/2</t>
  </si>
  <si>
    <t>CS129 Parking Ricoh CLR cpy/prt-1/2</t>
  </si>
  <si>
    <t>CS129 Parking Ricoh CLR cpy/prt-12/</t>
  </si>
  <si>
    <t>CS129 Parking Ricoh CLR cpy/prt-11/</t>
  </si>
  <si>
    <t>CS129 Parking Ricoh CLR cpy/prt-10/</t>
  </si>
  <si>
    <t>CS129 Parking Ricoh CLR cpy/prt-9/2</t>
  </si>
  <si>
    <t>CS129 Parking Ricoh CLR cpy/prt-8/2</t>
  </si>
  <si>
    <t>CS129 Parking Ricoh CLR cpy/prt-7/2</t>
  </si>
  <si>
    <t>CS129 LS Ricoh CLR cpy/prt-3/2014</t>
  </si>
  <si>
    <t>CS129 LS Ricoh CLR cpy/prt-9/2013</t>
  </si>
  <si>
    <t>CS129 LS Ricoh CLR cpy/prt-7/2013</t>
  </si>
  <si>
    <t>CS129 UP Ricoh CLR cpy/prt -3/2014</t>
  </si>
  <si>
    <t>27-FEB-14 DETAIL</t>
  </si>
  <si>
    <t>27-SEP-13 DETAIL</t>
  </si>
  <si>
    <t>27-JUN-14 DETAIL</t>
  </si>
  <si>
    <t>30-MAY-14 DETAIL</t>
  </si>
  <si>
    <t>25-MAR-14 DETAIL</t>
  </si>
  <si>
    <t>31-DEC-13 DETAIL</t>
  </si>
  <si>
    <t>26-JUL-13 DETAIL</t>
  </si>
  <si>
    <t>30-APR-14 DETAIL</t>
  </si>
  <si>
    <t>28-AUG-13 DETAIL</t>
  </si>
  <si>
    <t>07182013 SIRENNET.COM</t>
  </si>
  <si>
    <t>Comp Tax 1,798.57 @ 8.7%</t>
  </si>
  <si>
    <t>07022013 LINKS AUTO &amp; TRUCK ACCESS</t>
  </si>
  <si>
    <t>EF WORK - PATCH WITH TAR 17G AND 19</t>
  </si>
  <si>
    <t>VEHICLE SEAT TRACKS IN NEED OF REPA</t>
  </si>
  <si>
    <t>PM VEHICLE MINOR  15069E PARKING</t>
  </si>
  <si>
    <t>PM VEHICLE MINOR  24160E PARKING  D</t>
  </si>
  <si>
    <t>PM VEHICLE MINOR  15069E PARKING D</t>
  </si>
  <si>
    <t xml:space="preserve">PM VEHICLE MAJOR  15069E  PARKING  </t>
  </si>
  <si>
    <t>AUTO SHOP FIXING TRACTOR B26 KUBOTA</t>
  </si>
  <si>
    <t>WA FIXED ESTEMATED PROJECTS FEE</t>
  </si>
  <si>
    <t>NA PARKING GARAGE</t>
  </si>
  <si>
    <t xml:space="preserve">PM VEHICLE MINOR  PARKING SERVICES </t>
  </si>
  <si>
    <t>PM VEHICLE MINOR 16513E  D</t>
  </si>
  <si>
    <t>SNOW/SAND/DEICING AS NEEDED AT CAMP</t>
  </si>
  <si>
    <t>HA WORK - LINCOLN CREEK ADA SPACES</t>
  </si>
  <si>
    <t>LINCOLN CREEK PARKING SPACE ASSESSM</t>
  </si>
  <si>
    <t>PM VEHICLE MINOR  B26 KUBOTA PARKIN</t>
  </si>
  <si>
    <t>CUBICLE RECONFIGURATION</t>
  </si>
  <si>
    <t>EF WORK-14G PARKING LOT REPAIR</t>
  </si>
  <si>
    <t>EF WORK-4R PARKING LOT REPAIR</t>
  </si>
  <si>
    <t>EA WORK- 14G PARKING LOT REPAIR</t>
  </si>
  <si>
    <t>PM VEHICLE MINOR  20293E PARKING RO</t>
  </si>
  <si>
    <t>EA WORK-4R PARKING LOT REPAIR</t>
  </si>
  <si>
    <t>SHOP MANAGER APPROVAL</t>
  </si>
  <si>
    <t>PM VEHICLE MINOR  16513E  PARKING D</t>
  </si>
  <si>
    <t>POLICE SUV INSTALL DEPT EQUIOMENT</t>
  </si>
  <si>
    <t>Auto Additions Inc</t>
  </si>
  <si>
    <t>12192013 DAY WIRELESS SYSTEMS 1603</t>
  </si>
  <si>
    <t>RE-PAINT/PATCH WALLS IN OFFICE</t>
  </si>
  <si>
    <t>EMS &amp; Mater Calendar Maintenance</t>
  </si>
  <si>
    <t>YR VEH LSE  FY14</t>
  </si>
  <si>
    <t>VEH LSES FY14</t>
  </si>
  <si>
    <t>Telecom charges Mar 2014</t>
  </si>
  <si>
    <t>Telecom charges Feb 2014</t>
  </si>
  <si>
    <t>Telecom charges Jan 2014</t>
  </si>
  <si>
    <t>Telecom charges Dec 2013</t>
  </si>
  <si>
    <t>Telecom charges Nov 2013</t>
  </si>
  <si>
    <t>Telecom charges Oct 2013</t>
  </si>
  <si>
    <t>Telecom charges Sep 2013</t>
  </si>
  <si>
    <t>Telecom charges Aug 2013</t>
  </si>
  <si>
    <t>Telecom charges Jul 2013</t>
  </si>
  <si>
    <t>Telecom charges Jun 2014</t>
  </si>
  <si>
    <t>Telecom charges May 2014</t>
  </si>
  <si>
    <t>Telecom charges Apr 2014</t>
  </si>
  <si>
    <t>Comp Tax 1,247.00 @ 8.7%</t>
  </si>
  <si>
    <t>1376767861 OREGON CORRECTIONS ENTER</t>
  </si>
  <si>
    <t>01232014 OREGON CORRECTIONS ENTERP</t>
  </si>
  <si>
    <t>12202013 OREGON CORRECTIONS ENTERP</t>
  </si>
  <si>
    <t>10242013 OREGON CORRECTIONS ENTERP</t>
  </si>
  <si>
    <t>09102013 OREGON CORRECTIONS ENTERP</t>
  </si>
  <si>
    <t>07182013 OREGON CORRECTIONS ENTERP</t>
  </si>
  <si>
    <t>1349042610 OREGON CORRECTIONS ENTER</t>
  </si>
  <si>
    <t>PCD00615 08252013 PENSRUS</t>
  </si>
  <si>
    <t>1347666167 OPT - DIGITAL PAYMENT/</t>
  </si>
  <si>
    <t>12212013 OPT - DIGITAL PAYMENT/</t>
  </si>
  <si>
    <t>09272013 OPT - DIGITAL PAYMENT</t>
  </si>
  <si>
    <t>09232013 OPT - DIGITAL PAYMENT</t>
  </si>
  <si>
    <t>1358446410 GRAPHICS TICKETS SYSTEMS</t>
  </si>
  <si>
    <t>01142014 GRAPHICS TICKETS SYSTEMS</t>
  </si>
  <si>
    <t>10252013 OFFICE DEPOT #1078</t>
  </si>
  <si>
    <t>1340248046 OFFICE DEPOT #1078</t>
  </si>
  <si>
    <t>1304360336 OFFICE DEPOT #1078</t>
  </si>
  <si>
    <t>02052014 OFFICE DEPOT #1078</t>
  </si>
  <si>
    <t>12202013 ALPS INC</t>
  </si>
  <si>
    <t>12192013 LAMINATE.COM</t>
  </si>
  <si>
    <t>12192013 SCHILLER IMAGING GROUP</t>
  </si>
  <si>
    <t>12032013 OFFICE DEPOT #1078</t>
  </si>
  <si>
    <t>09202013 KEENEYS OFFICE SUPPLY, IN</t>
  </si>
  <si>
    <t>07152013 OFFICE DEPOT #1078</t>
  </si>
  <si>
    <t>1391928561 HARDWARE SALES</t>
  </si>
  <si>
    <t>10102013 HARDWARE SALES</t>
  </si>
  <si>
    <t>08192013 HARDWARE SALES</t>
  </si>
  <si>
    <t>08072013 HARDWARE SALES</t>
  </si>
  <si>
    <t>07262013 HARDWARE SALES</t>
  </si>
  <si>
    <t>1423137881 DIGITALPAYMENTTE</t>
  </si>
  <si>
    <t>1417393496 HARDWARE SALES</t>
  </si>
  <si>
    <t>CLARK Security Products, a division</t>
  </si>
  <si>
    <t>12062013 SECURITY SOLUTIONS NW</t>
  </si>
  <si>
    <t>09202013 LEGEND DATA SYSTEMS</t>
  </si>
  <si>
    <t>1410205515 OFFICE DEPOT #1078</t>
  </si>
  <si>
    <t>1421765244 TASER INTERNATIONAL</t>
  </si>
  <si>
    <t>1373479929 OFFICE DEPOT #1078</t>
  </si>
  <si>
    <t>1391928564 XEROX SUPPLY TEXAS</t>
  </si>
  <si>
    <t>ERIC DAVIDSON CS 132</t>
  </si>
  <si>
    <t>1361761553 LIONSDEAL.COM</t>
  </si>
  <si>
    <t>1361761551 CARROT TOP INDUSTRIES IN</t>
  </si>
  <si>
    <t>1302768838 XEROX CORPORATION-CREDIT</t>
  </si>
  <si>
    <t>01222014 OFFICE DEPOT #1078</t>
  </si>
  <si>
    <t>12262013 POCKETPRESS</t>
  </si>
  <si>
    <t>12182013 OFFICE DEPOT #1078</t>
  </si>
  <si>
    <t>12102013 OFFICE DEPOT #1078</t>
  </si>
  <si>
    <t>12092013 SCHOOL OUTFITTERS</t>
  </si>
  <si>
    <t>11202013 OFFICE DEPOT #1078</t>
  </si>
  <si>
    <t>11042013 OFFICE DEPOT #1078</t>
  </si>
  <si>
    <t>10022013 KEENEYS OFFICE SUPPLY, IN</t>
  </si>
  <si>
    <t>09302013 LAW ENFORCEMENT TARGETS</t>
  </si>
  <si>
    <t>09302013 OFFICE DEPOT #1078</t>
  </si>
  <si>
    <t>09242013 XEROX CORPORATION-CREDIT</t>
  </si>
  <si>
    <t>09182013 OFFICE DEPOT #1078</t>
  </si>
  <si>
    <t>08232013 OFFICE DEPOT #1078</t>
  </si>
  <si>
    <t>08092013 OFFICE DEPOT #1080</t>
  </si>
  <si>
    <t>08092013 OFFICE DEPOT #1078</t>
  </si>
  <si>
    <t>08022013 CT FLAGS</t>
  </si>
  <si>
    <t>07292013 OFFICE DEPOT #1078</t>
  </si>
  <si>
    <t>07032013 OFFICE DEPOT #1078</t>
  </si>
  <si>
    <t>08252013 PENSRUS</t>
  </si>
  <si>
    <t>Middle Fork GIS dba</t>
  </si>
  <si>
    <t>FY 13 Fin Audit Exps</t>
  </si>
  <si>
    <t>Exp to new org/fund</t>
  </si>
  <si>
    <t>exp/rev to new fund/org</t>
  </si>
  <si>
    <t>Expenses to new org</t>
  </si>
  <si>
    <t>FY 15 Emp Bus Pass Invoice Accrual</t>
  </si>
  <si>
    <t>Year end expenses to new org</t>
  </si>
  <si>
    <t>Moved frm old org code</t>
  </si>
  <si>
    <t>fund code chg 34010 to 24081</t>
  </si>
  <si>
    <t>Org code chg 5740 to 5620</t>
  </si>
  <si>
    <t>Parking Correction</t>
  </si>
  <si>
    <t>1708707895 GOVCNCTN</t>
  </si>
  <si>
    <t>1710650073 GOVCNCTN</t>
  </si>
  <si>
    <t>Gunarama Wholesale Inc</t>
  </si>
  <si>
    <t>1703325946 GOVCNCTN</t>
  </si>
  <si>
    <t>1703325945 GOVCNCTN</t>
  </si>
  <si>
    <t>United Van Lines LLC</t>
  </si>
  <si>
    <t>EAN Services LLC</t>
  </si>
  <si>
    <t>Donnell Tanksley - Seattle</t>
  </si>
  <si>
    <t>Donnell Tanksley - Seattle, WA</t>
  </si>
  <si>
    <t>Ta-Fei Ma - Indianapolis</t>
  </si>
  <si>
    <t>Julia Gassman - Indianapolis</t>
  </si>
  <si>
    <t>Tanksley, Donnell Winfred.</t>
  </si>
  <si>
    <t>Maczala, Csaba</t>
  </si>
  <si>
    <t>FY 15 ending inventory adjustment</t>
  </si>
  <si>
    <t>exp/rev to new fund</t>
  </si>
  <si>
    <t>Trnsfr Summer Bus Pass Commission</t>
  </si>
  <si>
    <t>Trans Winter Bus Pass Commission</t>
  </si>
  <si>
    <t>Trnsfr Fall Bus Pass Commission</t>
  </si>
  <si>
    <t>Trnfs Spring Commission</t>
  </si>
  <si>
    <t>Reverse prepaid WTA expense</t>
  </si>
  <si>
    <t>Year End Alt Trans Exp to 5741</t>
  </si>
  <si>
    <t>correct bus pass FOAPAL</t>
  </si>
  <si>
    <t>FY15 WWU Card Extra Qtr Start Staff</t>
  </si>
  <si>
    <t>FY15 WWU Card Office Support</t>
  </si>
  <si>
    <t>trns OT from Police to Parking</t>
  </si>
  <si>
    <t>FY15 4th QTR ASA</t>
  </si>
  <si>
    <t>FY15 3rd QTR ASA</t>
  </si>
  <si>
    <t>FY15 2nd QTR Administrative Service</t>
  </si>
  <si>
    <t>FY15 1st QTR Administrative Service</t>
  </si>
  <si>
    <t>1589411611 ARAMARK WWU ARAMARK CATE</t>
  </si>
  <si>
    <t>1484239679 ARAMARK WWU ARAMARK CATE</t>
  </si>
  <si>
    <t>March 15 Sales Tax</t>
  </si>
  <si>
    <t xml:space="preserve">1574105954 BLUMENTHAL UNIFORMS AND </t>
  </si>
  <si>
    <t xml:space="preserve">1574105955 BLUMENTHAL UNIFORMS AND </t>
  </si>
  <si>
    <t>Billing Error Thacker Shoes Fr FM</t>
  </si>
  <si>
    <t>1554942804 WHISTLE WORKWEAR - BEL</t>
  </si>
  <si>
    <t xml:space="preserve">1787474438 BLUMENTHAL UNIFORMS AND </t>
  </si>
  <si>
    <t xml:space="preserve">1636798946 BLUMENTHAL UNIFORMS AND </t>
  </si>
  <si>
    <t xml:space="preserve">1574105960 BLUMENTHAL UNIFORMS AND </t>
  </si>
  <si>
    <t xml:space="preserve">1574105959 BLUMENTHAL UNIFORMS AND </t>
  </si>
  <si>
    <t xml:space="preserve">1576210464 BLUMENTHAL UNIFORMS AND </t>
  </si>
  <si>
    <t xml:space="preserve">1574105957 BLUMENTHAL UNIFORMS AND </t>
  </si>
  <si>
    <t xml:space="preserve">1574105958 BLUMENTHAL UNIFORMS AND </t>
  </si>
  <si>
    <t>1524207677 BERGEN AND COMPANY</t>
  </si>
  <si>
    <t>V &amp; V Manufacturing Inc</t>
  </si>
  <si>
    <t xml:space="preserve">1469498640 BLUMENTHAL UNIFORMS AND </t>
  </si>
  <si>
    <t xml:space="preserve">1469498641 BLUMENTHAL UNIFORMS AND </t>
  </si>
  <si>
    <t>Morris, Rachael Deon.</t>
  </si>
  <si>
    <t>1497322393 REI 65 BELLINGHAM</t>
  </si>
  <si>
    <t>WF ads for January 2015</t>
  </si>
  <si>
    <t>Western Front Ads for Dec 2014</t>
  </si>
  <si>
    <t>WF ads for October 2014</t>
  </si>
  <si>
    <t>Hearing Conservation Parking</t>
  </si>
  <si>
    <t>1652479753 IN *SIGNS PLUS</t>
  </si>
  <si>
    <t>1608276004 IN *SIGNS PLUS</t>
  </si>
  <si>
    <t>MONTHLY FUEL CHARGES</t>
  </si>
  <si>
    <t>Move exp to new org code</t>
  </si>
  <si>
    <t>T2 exp frm reserves to prk op</t>
  </si>
  <si>
    <t>FY2015 Ins Prem Redist a/o 3-13-15</t>
  </si>
  <si>
    <t>Total Fees less service fee</t>
  </si>
  <si>
    <t>Total Fees Less Service Fee</t>
  </si>
  <si>
    <t>Total Fees Less Service Fees</t>
  </si>
  <si>
    <t>Bank card Fees</t>
  </si>
  <si>
    <t>Total fees less Service fee</t>
  </si>
  <si>
    <t>Total Fees less Service charge</t>
  </si>
  <si>
    <t>Total Fees less Service Fee</t>
  </si>
  <si>
    <t>Jun 2015 V/MC/Disc Bankcard Fees</t>
  </si>
  <si>
    <t>May 2015 V/MC/Disc Bankcard Fees</t>
  </si>
  <si>
    <t>Apr 2015 V/MC/Disc Bankcard Fees</t>
  </si>
  <si>
    <t>Mar 2015 AMEX Bankcard Fees</t>
  </si>
  <si>
    <t>Mar 2015 V/MC/Disc Bankcard Fees</t>
  </si>
  <si>
    <t>Feb 2015 V/MC/Disc Bankcard Fees</t>
  </si>
  <si>
    <t>Jan 2015 V/MC/Disc Bankcard Fees</t>
  </si>
  <si>
    <t>Dec 2014 V/MC/Disc Bankcard Fees</t>
  </si>
  <si>
    <t>Total fees less Service Fee</t>
  </si>
  <si>
    <t>Nov 2014 V/MC/Disc Bankcard Fees</t>
  </si>
  <si>
    <t>Oct 2014 V/MC/Disc Bankcard Fees</t>
  </si>
  <si>
    <t>Sep 2014 V/MC/Disc Bankcard Fees</t>
  </si>
  <si>
    <t>Sep 2014 AMEX Bankcard Fees</t>
  </si>
  <si>
    <t>Aug 2014 V/MC/Disc Bankcard Fees</t>
  </si>
  <si>
    <t>Jul 2014 V/MC/Disc Bankcard Fees</t>
  </si>
  <si>
    <t>T2 Systems Canada Inc</t>
  </si>
  <si>
    <t>1710650075 GOVCNCTN</t>
  </si>
  <si>
    <t>1710650074 GOVCNCTN</t>
  </si>
  <si>
    <t>1673508386 ACT*CITY-BELLINGHAM</t>
  </si>
  <si>
    <t>1673508387 ACT*CITY-BELLINGHAM</t>
  </si>
  <si>
    <t>1728141274 IN *SOUND RECYCLING SERV</t>
  </si>
  <si>
    <t>To clear WATCH liability</t>
  </si>
  <si>
    <t>Halloween Shuttle security</t>
  </si>
  <si>
    <t>1432509256 PIPTA</t>
  </si>
  <si>
    <t>1703325760 ALOA SECURITY PROFESSION</t>
  </si>
  <si>
    <t>1688007904 ALOA SECURITY PROFESSION</t>
  </si>
  <si>
    <t>1576210462 ALOA SECURITY PROFESSION</t>
  </si>
  <si>
    <t>1576210463 ALOA SECURITY PROFESSION</t>
  </si>
  <si>
    <t>1576210461 ALOA SECURITY PROFESSION</t>
  </si>
  <si>
    <t>1775097843 IACLEA</t>
  </si>
  <si>
    <t>1683876997 IACLEA</t>
  </si>
  <si>
    <t>1683876998 IACLEA</t>
  </si>
  <si>
    <t>1645900677 WASHINGTON ASSOC OF SHER</t>
  </si>
  <si>
    <t>APCO International</t>
  </si>
  <si>
    <t>1624107219 FREDPRYOR CAREERTRACK</t>
  </si>
  <si>
    <t>1673508391 WSU PESTICIDE EDUCATION</t>
  </si>
  <si>
    <t>1673508393 WAPRO</t>
  </si>
  <si>
    <t>1519335154 PAYPAL</t>
  </si>
  <si>
    <t>1447496590 NWTC WEB REGISTRATION</t>
  </si>
  <si>
    <t>1604085180 IN *SIGNS PLUS</t>
  </si>
  <si>
    <t>CS129 Parking Ricoh CLR cpy/prt-02/</t>
  </si>
  <si>
    <t>CS129 Parking Ricoh CLR cpy/prt-01/</t>
  </si>
  <si>
    <t>CS129 LS Ricoh CLR cpy/prt-5/2015</t>
  </si>
  <si>
    <t>CS129 LS Ricoh CLR cpy/prt-3/2015</t>
  </si>
  <si>
    <t>CS129 LS Ricoh CLR cpy/prt-10/2014</t>
  </si>
  <si>
    <t>CS129 LS Ricoh CLR cpy/prt-9/2014</t>
  </si>
  <si>
    <t>CS129 UP Ricoh CLR cpy/prt -6/2015</t>
  </si>
  <si>
    <t>CS129 UP Ricoh CLR cpy/prt -5/2015</t>
  </si>
  <si>
    <t>CS129 UP Ricoh CLR cpy/prt -4/2015</t>
  </si>
  <si>
    <t>CS129 UP Ricoh CLR cpy/prt -3/2015</t>
  </si>
  <si>
    <t>CS129 UP Ricoh CLR cpy/prt -12/2014</t>
  </si>
  <si>
    <t>CS129 UP Ricoh CLR cpy/prt -10/2014</t>
  </si>
  <si>
    <t>CS129 UP Ricoh BLK cpy/prt -9/2014</t>
  </si>
  <si>
    <t>CS129 UP Ricoh CLR cpy/prt -9/2014</t>
  </si>
  <si>
    <t>CS129 UP Ricoh CLR cpy/prt -7/2014</t>
  </si>
  <si>
    <t>28-AUG-14 DETAIL</t>
  </si>
  <si>
    <t>29-JUN-15 DETAIL</t>
  </si>
  <si>
    <t>30-APR-15 DETAIL</t>
  </si>
  <si>
    <t>30-JAN-15 DETAIL</t>
  </si>
  <si>
    <t>30-DEC-14 DETAIL</t>
  </si>
  <si>
    <t>30-SEP-14 DETAIL</t>
  </si>
  <si>
    <t>27-FEB-15 DETAIL</t>
  </si>
  <si>
    <t>31-OCT-14 DETAIL</t>
  </si>
  <si>
    <t>31-JUL-14 DETAIL</t>
  </si>
  <si>
    <t>1769008224 IN *SIGNS PLUS</t>
  </si>
  <si>
    <t>1495852069 IN *SIGNS PLUS</t>
  </si>
  <si>
    <t>1692514811 MAACO COLLISION REPAIR</t>
  </si>
  <si>
    <t>1597882793 OFFICE DEPOT #851</t>
  </si>
  <si>
    <t>1593686581 DIGITALPAYMENTTE</t>
  </si>
  <si>
    <t>1460237736 SPORTWORKS</t>
  </si>
  <si>
    <t>1631411260 NATIONAL PRODUCTS INC</t>
  </si>
  <si>
    <t>1529727671 CUSTOMDEFENSIVEPRDCTS</t>
  </si>
  <si>
    <t>1590536965 XEROX CORP.-FCP</t>
  </si>
  <si>
    <t>1527042970 PC LIQUIDATIONS.COM</t>
  </si>
  <si>
    <t>1554942860 LEGEND DATA SYSTEMS</t>
  </si>
  <si>
    <t>1587552688 SPECIAL T SIGNS AND GRAP</t>
  </si>
  <si>
    <t>PM VEHICLE MAJOR  24174E</t>
  </si>
  <si>
    <t xml:space="preserve">24160E PARKING TRUCK MINOR REPAIRS </t>
  </si>
  <si>
    <t xml:space="preserve">PM VEHICLE MAJOR  24174E  PARKING  </t>
  </si>
  <si>
    <t>24160E PARKING TRUCK MINOR REPAIRS</t>
  </si>
  <si>
    <t>PM VEHICLE MINOR  24160E UPD  D</t>
  </si>
  <si>
    <t>16513E REPLACE THROTTLE BODY REPAIR</t>
  </si>
  <si>
    <t>PM VEHICLE MAJOR  20293E</t>
  </si>
  <si>
    <t>PM VEHICLE MAJOR  20293E RODGER PAR</t>
  </si>
  <si>
    <t>16513E REPLACE ALTERNATOR  D</t>
  </si>
  <si>
    <t>EF WORK-TREE ROOT REMOVAL 27R PARKI</t>
  </si>
  <si>
    <t>EA WORK - [NOT PART OF ESTIMATE]</t>
  </si>
  <si>
    <t>EF WORK-PARKING LOT 11G</t>
  </si>
  <si>
    <t>HA WORK PAINT SHOP</t>
  </si>
  <si>
    <t>EF WORK-PARKING LOT 19G</t>
  </si>
  <si>
    <t>EF WORK-BICYCLE RACK CLEANING</t>
  </si>
  <si>
    <t>EF WORK-PARKING LOT 17G</t>
  </si>
  <si>
    <t>EF WORK-ADD MISSING BUTTONS IN 27R</t>
  </si>
  <si>
    <t>ELECTRICAL WORK AT 12A FAIRHAVEN PA</t>
  </si>
  <si>
    <t>ELECTRICAL WORK AT 12A FA</t>
  </si>
  <si>
    <t>REMOVE BUS GRAFFITI</t>
  </si>
  <si>
    <t>*PARKING KUBOTA FLUID LEAK REPAIR</t>
  </si>
  <si>
    <t>RELOCATE BIKE RACK</t>
  </si>
  <si>
    <t>REPAINTING 3R PARKING LOT LINES</t>
  </si>
  <si>
    <t>MAKE PLATES FOR LOCKING HARDWARE</t>
  </si>
  <si>
    <t xml:space="preserve">PM VEHICLE MINOR  24149E LOCKSHOP  </t>
  </si>
  <si>
    <t>CC WORK</t>
  </si>
  <si>
    <t>PATROL CAR VOMIT CLEAN UP</t>
  </si>
  <si>
    <t>20515E REMOVE DEPT OWNED EQUIPMENT</t>
  </si>
  <si>
    <t>25109E INSTALL DEPT. OWNED EQUIPMEN</t>
  </si>
  <si>
    <t>10400E REPLACE INTAKE MANIFOLD  D</t>
  </si>
  <si>
    <t>PM VEHICLE MAJOR  10400E UPD  D</t>
  </si>
  <si>
    <t>VEHICLE LEASE PROGRAM</t>
  </si>
  <si>
    <t>Exp pd in and moved from FY14</t>
  </si>
  <si>
    <t>Telecom charges May 2015</t>
  </si>
  <si>
    <t>Telecom charges Apr 2015</t>
  </si>
  <si>
    <t>Telecom charges Mar 2015</t>
  </si>
  <si>
    <t>Telecom charges Feb 2015</t>
  </si>
  <si>
    <t>Telecom charges Jan 2015</t>
  </si>
  <si>
    <t>Telecom charges Dec 2014</t>
  </si>
  <si>
    <t>Telecom charges Nov 2014</t>
  </si>
  <si>
    <t>Telecom charges Oct 2014</t>
  </si>
  <si>
    <t>Telecom charges Sep 2014</t>
  </si>
  <si>
    <t>Telecom charges Aug 2014</t>
  </si>
  <si>
    <t>Telecom charges Jul 2014</t>
  </si>
  <si>
    <t>Telecom charges Jun 2015</t>
  </si>
  <si>
    <t>AT&amp;T Mobility</t>
  </si>
  <si>
    <t>1773927491 OREGON CORRECTIONS ENTER</t>
  </si>
  <si>
    <t>Comp Tax 2,487.00 @ 8.7%</t>
  </si>
  <si>
    <t>1763165766 SAFETY SIGNS INC</t>
  </si>
  <si>
    <t>1639701595 LEGEND DATA SYSTEMS</t>
  </si>
  <si>
    <t>1632600024 ALPS INC</t>
  </si>
  <si>
    <t>1587552687 OFFICE DEPOT #1078</t>
  </si>
  <si>
    <t>1587552686 OFFICE DEPOT #1080</t>
  </si>
  <si>
    <t>1602287583 OFFICE DEPOT #1078</t>
  </si>
  <si>
    <t>1586619489 GRAPHICS TICKETS SYSTEMS</t>
  </si>
  <si>
    <t>1572882560 BILL R EKEMO</t>
  </si>
  <si>
    <t xml:space="preserve">1574105953 BLUMENTHAL UNIFORMS AND </t>
  </si>
  <si>
    <t>1543596648 DAY WIRELESS SYSTEMS 160</t>
  </si>
  <si>
    <t>1547106205 AMAZON MKTPLACE PMTS</t>
  </si>
  <si>
    <t>1519335153 OFFICE DEPOT #1078</t>
  </si>
  <si>
    <t>1548930394 IN *DATEC, INC</t>
  </si>
  <si>
    <t>1495851719 OFFICE DEPOT #851</t>
  </si>
  <si>
    <t>1516156642 XEROX CORP.-FCP</t>
  </si>
  <si>
    <t>1511663724 BAY TROPHIES &amp; ENGRAVI</t>
  </si>
  <si>
    <t>1503686877 OFFICE DEPOT #1078</t>
  </si>
  <si>
    <t>1510271536 BERGEN AND COMPANY</t>
  </si>
  <si>
    <t>1514342480 OFFICE DEPOT #1078</t>
  </si>
  <si>
    <t>1493305124 HARDWARE SALES</t>
  </si>
  <si>
    <t>1465463566 HARDWARE SALES</t>
  </si>
  <si>
    <t>1769008183 OFFICE DEPOT  1135</t>
  </si>
  <si>
    <t>1624107218 GRAPHICS TICKETS SYSTEMS</t>
  </si>
  <si>
    <t>1644518200 AMAZON.COM</t>
  </si>
  <si>
    <t>1769008184 OFFICE DEPOT #1078</t>
  </si>
  <si>
    <t>LAURIE PORTER, CS 132 FRNT DESK</t>
  </si>
  <si>
    <t>1734525905 OFFICE DEPOT #1078</t>
  </si>
  <si>
    <t>1729312920 AMAZON MKTPLACE PMTS</t>
  </si>
  <si>
    <t>1699014585 OFFICE DEPOT #1078</t>
  </si>
  <si>
    <t>1681002478 OFFICE DEPOT #1078</t>
  </si>
  <si>
    <t>1695708618 OFFICE DEPOT #1078</t>
  </si>
  <si>
    <t>1652478034 OFFICE DEPOT #1078</t>
  </si>
  <si>
    <t>1652478035 OFFICE DEPOT #1078</t>
  </si>
  <si>
    <t>1647241130 OFFICE DEPOT #1078</t>
  </si>
  <si>
    <t>1655295621 HRM USA 8004038285</t>
  </si>
  <si>
    <t>LAURIE PORTER, CS 132 FRONT DEST</t>
  </si>
  <si>
    <t>1614799417 OFFICE DEPOT #1078</t>
  </si>
  <si>
    <t>1631411261 SCHILLER IMAGING GROUP</t>
  </si>
  <si>
    <t>1628178609 OFFICE DEPOT #1078</t>
  </si>
  <si>
    <t>1614799420 OFFICE DEPOT #1078</t>
  </si>
  <si>
    <t>LAURIE PORTER, CS 132</t>
  </si>
  <si>
    <t>1576210466 OFFICE DEPOT #1078</t>
  </si>
  <si>
    <t>1451801835 OFFICE DEPOT #1078</t>
  </si>
  <si>
    <t>1440507969 XEROX CORP.-FCP</t>
  </si>
  <si>
    <t>1444960561 OFFICE DEPOT #1078</t>
  </si>
  <si>
    <t>1780146353 HARDWARE SALES</t>
  </si>
  <si>
    <t>1617209193 HARDWARE SALES</t>
  </si>
  <si>
    <t>1746670987 MBA USA INC</t>
  </si>
  <si>
    <t>1723416529 OFFICE DEPOT #1078</t>
  </si>
  <si>
    <t>1547106266 LEGEND DATA SYSTEMS</t>
  </si>
  <si>
    <t>1782796518 GALLS</t>
  </si>
  <si>
    <t>1778090385 GALLS</t>
  </si>
  <si>
    <t>1768227654 GALLS INTERN</t>
  </si>
  <si>
    <t>1748637122 OFFICE DEPOT #1078</t>
  </si>
  <si>
    <t>1710649885 OFFICE DEPOT #1078</t>
  </si>
  <si>
    <t>1673508390 COPS PLUS, INC</t>
  </si>
  <si>
    <t>1647241129 OFFICE DEPOT #1078</t>
  </si>
  <si>
    <t>1639701564 CARROT TOP INDUSTRIES IN</t>
  </si>
  <si>
    <t>1612858746 BOSTEC INC</t>
  </si>
  <si>
    <t>1607582651 OFFICE DEPOT #1078</t>
  </si>
  <si>
    <t>1597882794 OFFICE DEPOT #1078</t>
  </si>
  <si>
    <t>Carrot Top Industries</t>
  </si>
  <si>
    <t>1434945296 OFFICE DEPOT #1078</t>
  </si>
  <si>
    <t>ERIC J. DAVIDSON, CS 132</t>
  </si>
  <si>
    <t>1532589676 L A POLICE GEAR INC</t>
  </si>
  <si>
    <t>1710649884 WHATCOM OCCUPATIONAL HEA</t>
  </si>
  <si>
    <t>FY 14 Audit Charges</t>
  </si>
  <si>
    <t>SHUTTLE PERMITS</t>
  </si>
  <si>
    <t>WOLFE PERMIT</t>
  </si>
  <si>
    <t>September 15 Sales Tax</t>
  </si>
  <si>
    <t>Bad Debt Allowance FY16 Q3</t>
  </si>
  <si>
    <t>Bad Debt Allowance FY16 Q4</t>
  </si>
  <si>
    <t>Bad Debt Allowance FY16 Q2</t>
  </si>
  <si>
    <t>COP #47 refunding costs</t>
  </si>
  <si>
    <t>COP #47</t>
  </si>
  <si>
    <t>Jun '16 Interest Accrual</t>
  </si>
  <si>
    <t>March, 2016 int - Lease 31</t>
  </si>
  <si>
    <t>February 16 int-lease 31</t>
  </si>
  <si>
    <t>January 16 int-lease 31</t>
  </si>
  <si>
    <t>December 15 int-lease 31</t>
  </si>
  <si>
    <t>November 15 int-lease 31</t>
  </si>
  <si>
    <t>October 15 int-lease 31</t>
  </si>
  <si>
    <t>September 15 int-lease 31</t>
  </si>
  <si>
    <t>August 15 int-lease 31</t>
  </si>
  <si>
    <t>July 15 int-lease 31</t>
  </si>
  <si>
    <t>LPR Third Party Software - Mapping</t>
  </si>
  <si>
    <t>LPR Third Party Services - Custom d</t>
  </si>
  <si>
    <t>Datamax - O'Neil Accessory:  Apex 3</t>
  </si>
  <si>
    <t>LPR Third Party Software - Includin</t>
  </si>
  <si>
    <t>LPR Third Party Software - Hotlist</t>
  </si>
  <si>
    <t>LPR Third Party Services - Travel C</t>
  </si>
  <si>
    <t>LPR Third Party Services - Installa</t>
  </si>
  <si>
    <t>LPR Third Party Software - Interfac</t>
  </si>
  <si>
    <t>ER FM OWNED EQUIPMENT RENTAL - PARK</t>
  </si>
  <si>
    <t>LPR Third Party Services - Shipping</t>
  </si>
  <si>
    <t>EF WORK - PARKING SIGNS - LICENSE P</t>
  </si>
  <si>
    <t>DA WORK - PARKING SIGNS - LICENSE P</t>
  </si>
  <si>
    <t>LPR Third Party Hardware - AutoVu S</t>
  </si>
  <si>
    <t>OPTIONAL:  LPR Third Party Software</t>
  </si>
  <si>
    <t>LPR Third Party Software - Autovu M</t>
  </si>
  <si>
    <t>LPR Third Party Hardware - MOBILE -</t>
  </si>
  <si>
    <t>LPR Third Party Software - GSC Auto</t>
  </si>
  <si>
    <t>Expense transfer for LPR tech VP1x$</t>
  </si>
  <si>
    <t>BA WORK INSTALL PADS - PAYSTATION I</t>
  </si>
  <si>
    <t>EF WORK SITE PREP - PAYSTATION INST</t>
  </si>
  <si>
    <t>DA WORK INSTALLATION AND DEMO - PAY</t>
  </si>
  <si>
    <t>IC WORK - PAYSTATION INSTALLATION A</t>
  </si>
  <si>
    <t>DA WORK LOCATE UTILITIES - PAYSTATI</t>
  </si>
  <si>
    <t>ER FM OWNED EQUIPMENT RENTAL - PAYS</t>
  </si>
  <si>
    <t>460.0023 Digital Connect SIM Card 1</t>
  </si>
  <si>
    <t>Item #: 900.0034  LUKEll-600B</t>
  </si>
  <si>
    <t>Item #: 900.0036 LUKEll-602B</t>
  </si>
  <si>
    <t>Item #: 880.4066 Modem Kit-GSM HSPA</t>
  </si>
  <si>
    <t>663.0013 Paper 2in No perf/w Varnis</t>
  </si>
  <si>
    <t>WA FIXED ESTIMATE PROJECTS FEE</t>
  </si>
  <si>
    <t>100.0102 Digital Connect Activation</t>
  </si>
  <si>
    <t>Tsfr. Expense from 5620 to 5740</t>
  </si>
  <si>
    <t>43000 exp to 5740</t>
  </si>
  <si>
    <t>From E402 T2 Systems Canada Inc</t>
  </si>
  <si>
    <t>From E216-  T2 Systems,  AutoVu</t>
  </si>
  <si>
    <t>From E157- T2 Systems, AutoVu</t>
  </si>
  <si>
    <t>Northwest Bus Sales Inc</t>
  </si>
  <si>
    <t>LIND 120 Watt 12-32 Volt Input Car</t>
  </si>
  <si>
    <t>Premium Passenger Side Mounting Kit</t>
  </si>
  <si>
    <t>Panasonic Vehicle Dock - Dual Pass</t>
  </si>
  <si>
    <t>Win7 (Win 10 Pro COA), m5-6Y57 1.10</t>
  </si>
  <si>
    <t>9" telescoping pole (C-HDM-202)</t>
  </si>
  <si>
    <t>Havis Charge Guard (CG.X)</t>
  </si>
  <si>
    <t>Swing Arm with Motion Adapter (C-MD</t>
  </si>
  <si>
    <t>Cell/LTE/GPS Antenna, Threaded Bolt</t>
  </si>
  <si>
    <t>GovConnection Inc</t>
  </si>
  <si>
    <t>From E404 - City of Bham -Taser pur</t>
  </si>
  <si>
    <t>Datamax O'Neil 2 pack 3i Printer</t>
  </si>
  <si>
    <t>2199477291 PROVANTAGE LLC</t>
  </si>
  <si>
    <t>Print Sensor Upgrade Kit L2</t>
  </si>
  <si>
    <t>Battery 18 Ah-L/LR/L2</t>
  </si>
  <si>
    <t>Battery 33 Ah-C</t>
  </si>
  <si>
    <t>Battery Charger Ext. Dual-C</t>
  </si>
  <si>
    <t>2192640551 TMOBILE*POSTPAID IVR</t>
  </si>
  <si>
    <t>Traffic Safety Supply Co Inc</t>
  </si>
  <si>
    <t>PURCHASE 4 SAFETY GAS CANS FOR PARK</t>
  </si>
  <si>
    <t>2129050981 TMOBILE*BUS CENTER REP</t>
  </si>
  <si>
    <t>2202270133 OREGON CORRECTIONS ENTER</t>
  </si>
  <si>
    <t>Corr Amt for EMV Terminals</t>
  </si>
  <si>
    <t>New EMV CC Terminal</t>
  </si>
  <si>
    <t>Comp View Inc</t>
  </si>
  <si>
    <t>B&amp;H Photo Video Inc</t>
  </si>
  <si>
    <t>2137798419 ACT*CITY-BELLINGHAM</t>
  </si>
  <si>
    <t>2161434250 LAW ENFORCEMENT TARGETS</t>
  </si>
  <si>
    <t>Approved Gas Masks</t>
  </si>
  <si>
    <t>TO: 1x Expenses from E111 and E257</t>
  </si>
  <si>
    <t>Datamax- O'Neil Accessory Apek 3i C</t>
  </si>
  <si>
    <t>100.0055 One Day Training w. Travel</t>
  </si>
  <si>
    <t>100.0056 One Day Training w/o Trave</t>
  </si>
  <si>
    <t>19646770 CEDARBROOK LODGE</t>
  </si>
  <si>
    <t>1910416811 HEATHMAN LODGE</t>
  </si>
  <si>
    <t>Julia Gassman - New Orleans</t>
  </si>
  <si>
    <t>2149239021 ALASKA AIR</t>
  </si>
  <si>
    <t>2122330797 ALASKA AIR</t>
  </si>
  <si>
    <t>Stephanie Scott -</t>
  </si>
  <si>
    <t>Gatterman, Brooke Christina.</t>
  </si>
  <si>
    <t>2147292649 MARRIOTT SN FRAN MARQU</t>
  </si>
  <si>
    <t>2190045376 HOLIDAY INN EXPRESS</t>
  </si>
  <si>
    <t>2132279041 HOLIDAY INN PORT/MIAMI</t>
  </si>
  <si>
    <t>2132279042 HOLIDAY INN PORT/MIAMI</t>
  </si>
  <si>
    <t>TO: Cedarbrook Lodge expenses</t>
  </si>
  <si>
    <t>TO: Heathman Lodge expenses</t>
  </si>
  <si>
    <t>2184678929 HOTEL MURANO</t>
  </si>
  <si>
    <t>2176263791 LA QUINTA INNS  0675</t>
  </si>
  <si>
    <t>2155021721 LA QUINTA INNS  0675</t>
  </si>
  <si>
    <t>Emp Bus Pass Subsidy Pmt</t>
  </si>
  <si>
    <t>Univ subsidy for emp bus pass</t>
  </si>
  <si>
    <t>Duplicate transaction</t>
  </si>
  <si>
    <t>Reverse prepaid WTA expense, FY16</t>
  </si>
  <si>
    <t>FY16 WWU Card Office Support</t>
  </si>
  <si>
    <t>FY16 WWU Card Extra Qtr Start Staff</t>
  </si>
  <si>
    <t>labor exp from 5620 to 5740</t>
  </si>
  <si>
    <t>$ for E-bike pilot SAF project</t>
  </si>
  <si>
    <t>FY16 2nd QTR ASA</t>
  </si>
  <si>
    <t>FY16 1st QTR ASA</t>
  </si>
  <si>
    <t>3rd QTR ASA</t>
  </si>
  <si>
    <t>FY16 3rd QTR ASA</t>
  </si>
  <si>
    <t>1953791149 ARAMARK WWU ARAMARK CATE</t>
  </si>
  <si>
    <t>1877418743 ARAMARK WWU ARAMARK CATE</t>
  </si>
  <si>
    <t>2122330852 ARAMARK WWU ARAMARK CATE</t>
  </si>
  <si>
    <t>2083523292 ARAMARK WWU ARAMARK CATE</t>
  </si>
  <si>
    <t>1916898454 ARAMARK WWU ARAMARK CATE</t>
  </si>
  <si>
    <t>2116222084 ARAMARK WWU ARAMARK CATE</t>
  </si>
  <si>
    <t>2038074882 SKAGIT VALLEY PUBLISHING</t>
  </si>
  <si>
    <t>1995677724 GALLS HQ</t>
  </si>
  <si>
    <t>2032290300 BERGEN AND COMPANY</t>
  </si>
  <si>
    <t>2198145918 GALLS HQ</t>
  </si>
  <si>
    <t>Kroesens Uniform Company</t>
  </si>
  <si>
    <t>2102595753 GALLS HQ</t>
  </si>
  <si>
    <t>Comp Tax 1,209.13 @ 8.7%</t>
  </si>
  <si>
    <t>2028384628 L A POLICE GEAR INC</t>
  </si>
  <si>
    <t>2018186026 GALLS HQ</t>
  </si>
  <si>
    <t>1995677723 GALLS</t>
  </si>
  <si>
    <t>1864632090 GALLS</t>
  </si>
  <si>
    <t>1866122311 GALLS</t>
  </si>
  <si>
    <t xml:space="preserve">1831105710 BLUMENTHAL UNIFORMS AND </t>
  </si>
  <si>
    <t>1831105713 EMBLEM ENTERPRISES INC</t>
  </si>
  <si>
    <t>Whistleworks inv 78298 RogerThacker</t>
  </si>
  <si>
    <t>Exp Moved from FY17</t>
  </si>
  <si>
    <t>2187192490 ADVENTURES IN ADVERTISIN</t>
  </si>
  <si>
    <t>WF Advertisements for 5-6/2016</t>
  </si>
  <si>
    <t>1880733123 BELLINGHAM HERALD ADVE</t>
  </si>
  <si>
    <t>Prog Support Chrgs - Apr-Jun 2016</t>
  </si>
  <si>
    <t>2027011801 SPECIAL T SIGNS AND GRAP</t>
  </si>
  <si>
    <t>5620 exp to 5740</t>
  </si>
  <si>
    <t>2147292755 FRIENDLY FORD (SERVICE)</t>
  </si>
  <si>
    <t>1857431985 SPECIAL T SIGNS AND GRAP</t>
  </si>
  <si>
    <t>FY2016 Ins Premium Redistribution</t>
  </si>
  <si>
    <t>Apr 2016 V/MC/D Bankcard Fees</t>
  </si>
  <si>
    <t>Jun 2016 V/MC/D Bankcard Fees</t>
  </si>
  <si>
    <t>May 2016 V/MC/D Bankcard Fees</t>
  </si>
  <si>
    <t>Paymentech Fees FEB 16</t>
  </si>
  <si>
    <t>Mar 2016 V/MC/D Bankcard Fees</t>
  </si>
  <si>
    <t>Feb 2016 V/MC/Disc Bankcard Fees</t>
  </si>
  <si>
    <t>Jan 2016 V/MC/Disc Bankcard Fees</t>
  </si>
  <si>
    <t>Dec 2015 V/MC/Disc Bankcard Fees</t>
  </si>
  <si>
    <t>Oct 2015 V/MC/Disc Bankcard Fees</t>
  </si>
  <si>
    <t>September 2015 AMEX Bankcard Fees</t>
  </si>
  <si>
    <t>Sep 2015 V/MC/Disc Bankcard Fees</t>
  </si>
  <si>
    <t>Aug 2015 V/MC/Disc Bankcard Fees</t>
  </si>
  <si>
    <t>Jul 2015 V/MC/Disc Bankcard Fees</t>
  </si>
  <si>
    <t>Ro VR Config &amp; Implementation</t>
  </si>
  <si>
    <t>eTicketbook and LPR Integration Imp</t>
  </si>
  <si>
    <t>Flex Port Implementation 50%</t>
  </si>
  <si>
    <t>Panasonic Toughbook extended warran</t>
  </si>
  <si>
    <t>Tsfr. Expense from 5740 to 5620</t>
  </si>
  <si>
    <t>Transfer 43000 expense from 5620</t>
  </si>
  <si>
    <t>PCS Mobile</t>
  </si>
  <si>
    <t>Prog Support Chrgs - Jan-Mar 2016</t>
  </si>
  <si>
    <t>Rainbow Printing And Ultra Plastic</t>
  </si>
  <si>
    <t>2013356678 IN *ERGOMETRICS INC.</t>
  </si>
  <si>
    <t>1976024193 RADIO LICENSING SRV</t>
  </si>
  <si>
    <t>City of Ferndale</t>
  </si>
  <si>
    <t>1811152698 PIPTA</t>
  </si>
  <si>
    <t>2173548117 WAPRO</t>
  </si>
  <si>
    <t>2122330800 BSU UPAY-COMBINED</t>
  </si>
  <si>
    <t>Conf Exp to 5620 from 5310</t>
  </si>
  <si>
    <t>1910416730 T2 SYSTEMS CONNECT 2015</t>
  </si>
  <si>
    <t>2052082452 WASHINGTON ASSOC OF SHER</t>
  </si>
  <si>
    <t>2003649134 APCO INTERNATIONAL INC</t>
  </si>
  <si>
    <t>1802808473 IACLEA</t>
  </si>
  <si>
    <t>1826204261 LEAGUE OF AMERICAN WHEEL</t>
  </si>
  <si>
    <t>1873939482 T2 SYSTEMS CONNECT 2015</t>
  </si>
  <si>
    <t>1886999006 SQ *ERIC DAIGLE</t>
  </si>
  <si>
    <t>The Results Group Ltd</t>
  </si>
  <si>
    <t>2144125176 BLAUER TACTICAL SYSTEM</t>
  </si>
  <si>
    <t>Bellingham Police Department</t>
  </si>
  <si>
    <t>2062742101 PP*ARRESTLING</t>
  </si>
  <si>
    <t>2058537494 NACUBO</t>
  </si>
  <si>
    <t>2083523174 TASER TRAINING ACADEMY</t>
  </si>
  <si>
    <t>2005219903 ACT*CITY-BELLINGHAM</t>
  </si>
  <si>
    <t>2210473563 GRAPHICS</t>
  </si>
  <si>
    <t>1886999049 IN *SIGNS PLUS</t>
  </si>
  <si>
    <t>CS129Parking Ricoh CLR cpy/prt-5/2</t>
  </si>
  <si>
    <t>CS129 LS Ricoh CLR cpy/prt-9/2015</t>
  </si>
  <si>
    <t>CS129 UP Ricoh CLR cpy/prt -6/2016</t>
  </si>
  <si>
    <t>CS129UP Ricoh CLR cpy/prt -5/2016</t>
  </si>
  <si>
    <t>CS129 UP Ricoh CLR cpy/prt -4/2016</t>
  </si>
  <si>
    <t>CS129 UP Ricoh CLR cpy/prt -3/2016</t>
  </si>
  <si>
    <t>CS129 UP Ricoh CLR cpy/prt -2/2016</t>
  </si>
  <si>
    <t>CS129 UP Ricoh CLR cpy/prt -1/2016</t>
  </si>
  <si>
    <t>CS129 UP Ricoh CLR cpy/prt -12/2015</t>
  </si>
  <si>
    <t>CS129 UP Ricoh CLR cpy/prt -11/2015</t>
  </si>
  <si>
    <t>CS129 UP Ricoh CLR cpy/prt -10/2015</t>
  </si>
  <si>
    <t>CS129 UP Ricoh CLR cpy/prt -9/2015</t>
  </si>
  <si>
    <t>CS129 UP Ricoh CLR cpy/prt -8/2015</t>
  </si>
  <si>
    <t>CS129 UP Ricoh CLR cpy/prt -7/2015</t>
  </si>
  <si>
    <t>29-JAN-16 DETAIL</t>
  </si>
  <si>
    <t>30-OCT-15 DETAIL</t>
  </si>
  <si>
    <t>30-SEP-15 DETAIL</t>
  </si>
  <si>
    <t>31-AUG-15 DETAIL</t>
  </si>
  <si>
    <t>31-DEC-15 DETAIL</t>
  </si>
  <si>
    <t>31-MAR-16 DETAIL</t>
  </si>
  <si>
    <t>31-JUL-15 DETAIL</t>
  </si>
  <si>
    <t>27-MAY-16 DETAIL</t>
  </si>
  <si>
    <t>ACCIDENT DAMAGE REPAIR - RIGHT FRON</t>
  </si>
  <si>
    <t>2029801019 DAY WIRELESS SYSTEMS 160</t>
  </si>
  <si>
    <t>2029801020 DAY WIRELESS SYSTEMS 160</t>
  </si>
  <si>
    <t>2175020527 HARDWARE SALES</t>
  </si>
  <si>
    <t>1866122342 LEGEND DATA SYSTEMS</t>
  </si>
  <si>
    <t>Telecom charges Jun 2016</t>
  </si>
  <si>
    <t>Telecom charges May 2016</t>
  </si>
  <si>
    <t>Telecom charges Jan 2016</t>
  </si>
  <si>
    <t>1921663766 SPECIAL T SIGNS AND GRAP</t>
  </si>
  <si>
    <t>24174E REPLACE FUEL PUMP MODULE ASS</t>
  </si>
  <si>
    <t>V988002 WHEEL LOCK REFURBISH</t>
  </si>
  <si>
    <t>PM VEHICLE MINOR  24147E PARKING D</t>
  </si>
  <si>
    <t>15069E REPLACE REAR BRAKES VEHICLE</t>
  </si>
  <si>
    <t>REAR BRAKES FOR 15069E - 2003 CHEV</t>
  </si>
  <si>
    <t>PM VEHICLE MAJOR  24174E PARKING  D</t>
  </si>
  <si>
    <t>PM VEHICLE MINOR  24174E PARKING  D</t>
  </si>
  <si>
    <t>PM VEHICLE MAJOR  15069E PARKING  D</t>
  </si>
  <si>
    <t>PM VEHICLE MAJOR  24160E PRKING  D</t>
  </si>
  <si>
    <t>20293E REPLACE WATERPUMP  D</t>
  </si>
  <si>
    <t>16513E REPLACE 2 REAR TIRES  D</t>
  </si>
  <si>
    <t>PM VEHICLE MINOR  20293E PARKING  D</t>
  </si>
  <si>
    <t>32G PARKING LOT LINE PAINTING</t>
  </si>
  <si>
    <t>REPLACE ROLLING BLIND ON ACCESS DOO</t>
  </si>
  <si>
    <t>REPLACE  SEAT IN LICENSE 16513E  D</t>
  </si>
  <si>
    <t>PM VEHICLE MINOR  B26 PARKING KUBOT</t>
  </si>
  <si>
    <t>20293E ENGINE OVERHEATS INVESTIGATE</t>
  </si>
  <si>
    <t>PM VEHICLE MAJOR  KUBOTA PARKING  D</t>
  </si>
  <si>
    <t xml:space="preserve">15069E REPLACE REAR BRAKES VEHICLE </t>
  </si>
  <si>
    <t xml:space="preserve">REAR BRAKES FOR 15069E - 2003 CHEV </t>
  </si>
  <si>
    <t>CA WORK - CS 011, 130, 131 RENOVATI</t>
  </si>
  <si>
    <t>BA WORK - CS 011, 130, 131 RENOVATI</t>
  </si>
  <si>
    <t>V1010032 KEY REQUEST</t>
  </si>
  <si>
    <t>DA WORK - CS 011, 130, 131 RENOVATI</t>
  </si>
  <si>
    <t>V1006424 PROX REQUEST</t>
  </si>
  <si>
    <t>INSTALL APPLIANCES IN CS KITCHEN</t>
  </si>
  <si>
    <t>V992061 KEY AND PROX REQUEST</t>
  </si>
  <si>
    <t>2015 EXPLORER FENDER REPAIR  25109E</t>
  </si>
  <si>
    <t>V974662 PROX REQUEST GREEN COATS</t>
  </si>
  <si>
    <t>Flex Implementation: Enforcement Ap</t>
  </si>
  <si>
    <t>Microsoft SQL Server Std 2012</t>
  </si>
  <si>
    <t>2062742100 WESTEK MARKETING</t>
  </si>
  <si>
    <t>Comp Tax 3,000.00 @ 8.7%</t>
  </si>
  <si>
    <t>2030805728 ACT*CITY-BELLINGHAM</t>
  </si>
  <si>
    <t>2203682626 VZWRLSS*MY VZ VB P</t>
  </si>
  <si>
    <t>2192640550 AT&amp;T*BILL PAYMENT</t>
  </si>
  <si>
    <t>2028384629 DYNAMETRIC</t>
  </si>
  <si>
    <t>2198685094 VZWRLSS*MY VZ VB P</t>
  </si>
  <si>
    <t>Expenses moved frm FY15</t>
  </si>
  <si>
    <t>Telecom charges Apr 2016</t>
  </si>
  <si>
    <t>Telecom charges Mar 2016</t>
  </si>
  <si>
    <t>Telecom charges Feb 2016</t>
  </si>
  <si>
    <t>Telecom charges Dec 2015</t>
  </si>
  <si>
    <t>Telecom charges Nov 2015</t>
  </si>
  <si>
    <t>Telecom charges Oct 2015</t>
  </si>
  <si>
    <t>Telecom charges Sep 2015</t>
  </si>
  <si>
    <t>Telecom charges Aug 2015</t>
  </si>
  <si>
    <t>Telecom charges Jul 2015</t>
  </si>
  <si>
    <t>5740 Verizon Wireless Service Corp</t>
  </si>
  <si>
    <t>2198685091 VZWRLSS*MY VZ VB P</t>
  </si>
  <si>
    <t>1900827449 OREGON CORRECTIONS ENTER</t>
  </si>
  <si>
    <t>Comp Tax 1,582.00 @ 8.7%</t>
  </si>
  <si>
    <t>2087407549 AMAZON MKTPLACE PMTS</t>
  </si>
  <si>
    <t>1841726721 KEENEYS OFFICE SUPPLY, I</t>
  </si>
  <si>
    <t>2097813314 OFFICE DEPOT #1078</t>
  </si>
  <si>
    <t>2005219904 UNIVERSAL BOOT</t>
  </si>
  <si>
    <t>1959985000 GRAPHICS TICKETS SYSTEMS</t>
  </si>
  <si>
    <t>1976024191 OFFICE DEPOT #1078</t>
  </si>
  <si>
    <t>1862066897 AMAZON.COM</t>
  </si>
  <si>
    <t>Comp Tax 1,212.10 @ 8.7%</t>
  </si>
  <si>
    <t>2035080193 GRAPHICS TICKETS SYSTEMS</t>
  </si>
  <si>
    <t>2045753870 SAFETY SIGNS INC</t>
  </si>
  <si>
    <t>1823316032 DIGITALPAYMENTTE</t>
  </si>
  <si>
    <t>2010467393 OFFICE DEPOT #1078</t>
  </si>
  <si>
    <t>1955218406 GRAPHICS TICKETS SYSTEMS</t>
  </si>
  <si>
    <t>Comp Tax 1,151.52 @ 8.7%</t>
  </si>
  <si>
    <t>1875562432 SCHILLER IMAGING GROUP</t>
  </si>
  <si>
    <t>1805243412 OFFICE DEPOT #1078</t>
  </si>
  <si>
    <t>DENNIS MILLER, CS 138</t>
  </si>
  <si>
    <t>2049484172 AMAZON MKTPLACE PMTS</t>
  </si>
  <si>
    <t>19646589 OFFICE DEPOT #1078</t>
  </si>
  <si>
    <t>2035080194 OFFICE DEPOT #1078</t>
  </si>
  <si>
    <t>Comp Tax 1,425.97 @ 8.7%</t>
  </si>
  <si>
    <t>1928886645 HP *HP HOME STORE</t>
  </si>
  <si>
    <t>1831105711 HARDWARE SALES</t>
  </si>
  <si>
    <t>V1004460 KEY AND PROX REQUEST</t>
  </si>
  <si>
    <t>1976024192 GOVCNCTN</t>
  </si>
  <si>
    <t>1911992302 OFFICE DEPOT #1078</t>
  </si>
  <si>
    <t>1900830450 GALLS</t>
  </si>
  <si>
    <t>1925211949 GALLS</t>
  </si>
  <si>
    <t>1920111926 LOWES #01631</t>
  </si>
  <si>
    <t>1873939483 IN *ERGOMETRICS INC.</t>
  </si>
  <si>
    <t>1867630149 BROWNELLS INC</t>
  </si>
  <si>
    <t>1863420198 ELZETTA DESIGN LLC</t>
  </si>
  <si>
    <t>1838697938 CARROT TOP INDUSTRIES IN</t>
  </si>
  <si>
    <t>1838697939 AMAZON MKTPLACE PMTS</t>
  </si>
  <si>
    <t>1850360543 VIKING TACTICS</t>
  </si>
  <si>
    <t>1853577928 TI *TASER INTL</t>
  </si>
  <si>
    <t>Comp Tax 2,581.58 @ 8.7%</t>
  </si>
  <si>
    <t>1857431984 OFFICE DEPOT #1078</t>
  </si>
  <si>
    <t>1848914099 CUSTOMDEFENSIVEPRDCTS</t>
  </si>
  <si>
    <t>Comp Tax 1,569.39 @ 8.7%</t>
  </si>
  <si>
    <t>1848914098 L A POLICE GEAR INC</t>
  </si>
  <si>
    <t>1853577930 APPROVED GAS MASKS</t>
  </si>
  <si>
    <t>1825107403 GALLS</t>
  </si>
  <si>
    <t>2106151663 BELLINGHAM HERALD ADVE</t>
  </si>
  <si>
    <t>Northwest Assessment Services PLLC</t>
  </si>
  <si>
    <t>2100815656 WHATCOM OCCUPATIONAL HEA</t>
  </si>
  <si>
    <t>2030805718 BILL R EKEMO</t>
  </si>
  <si>
    <t>FY 15 Fin Stmt Audit Charge</t>
  </si>
  <si>
    <t>2232149858 QUANTICO TACTICAL SPLY L</t>
  </si>
  <si>
    <t>2233075120 SAN DIEGO POLICE EQUIPME</t>
  </si>
  <si>
    <t>2259525862 OREGON CORRECTIONS ENTER</t>
  </si>
  <si>
    <t>2261765290 OREGON CORRECTIONS ENTER</t>
  </si>
  <si>
    <t>2256310575 TI *TASER INTL</t>
  </si>
  <si>
    <t>2250828415 BOSTEC INC</t>
  </si>
  <si>
    <t>2247460284 OREGON CORRECTIONS ENTER</t>
  </si>
  <si>
    <t>2255690295 AED SUPERSTORE</t>
  </si>
  <si>
    <t>2227351258 CARROT TOP INDUSTRIES IN</t>
  </si>
  <si>
    <t>2241401162 YEAGERS SPORTING GOODS</t>
  </si>
  <si>
    <t>Comp Tax 2,949.48 @ 8.7%</t>
  </si>
  <si>
    <t>2249392698 ALASKA AIR</t>
  </si>
  <si>
    <t>2252580108 ALASKA AIR</t>
  </si>
  <si>
    <t>2250239076 ALASKA AIR</t>
  </si>
  <si>
    <t>2250239120 TALARIS CONFERENCE CENTE</t>
  </si>
  <si>
    <t>Trinkaus, Jill Suzanne.</t>
  </si>
  <si>
    <t>Reverse J0022051, prepaid WTA exp</t>
  </si>
  <si>
    <t>August 16 Sales Tax</t>
  </si>
  <si>
    <t>July 16 Sales Tax</t>
  </si>
  <si>
    <t>2230565356 GALLS HQ</t>
  </si>
  <si>
    <t>2235697497 GALLS HQ</t>
  </si>
  <si>
    <t>2218953836 PROSTOCK ATHLETIC SUPPLY</t>
  </si>
  <si>
    <t>2218376892 AMAZON MKTPLACE PMTS</t>
  </si>
  <si>
    <t>2237545471 ALPS INC</t>
  </si>
  <si>
    <t>2219749956 BLACKBURN OFFICE EQP</t>
  </si>
  <si>
    <t>Aug 2016 V/MC/D Bankcard Fees</t>
  </si>
  <si>
    <t>Jul 2016 V/MC/D Bankcard Fees</t>
  </si>
  <si>
    <t>T2 Systems Can Exp from 5620</t>
  </si>
  <si>
    <t>Colossus Incorporated</t>
  </si>
  <si>
    <t>From FODPS</t>
  </si>
  <si>
    <t>Expense moved from FY16</t>
  </si>
  <si>
    <t>Central ADM Computing Chrg - 4qtr F</t>
  </si>
  <si>
    <t>2248052461 T2 SYSTEMS</t>
  </si>
  <si>
    <t>2250828417 WAPRO</t>
  </si>
  <si>
    <t>2235697496 IACLEA</t>
  </si>
  <si>
    <t>2225106644 LEAGUE OF AMERICAN WHEEL</t>
  </si>
  <si>
    <t>2210473563 GRAPHICS TICKETS SYSTEMS</t>
  </si>
  <si>
    <t>2259525884 IN *SIGNS PLUS</t>
  </si>
  <si>
    <t>2226582166 SPECIAL T SIGNS AND GRAP</t>
  </si>
  <si>
    <t>JUL 2016 Self-serve Copier Expenses</t>
  </si>
  <si>
    <t>CS129 UP Ricoh CLR cpy/prt -9/2016</t>
  </si>
  <si>
    <t>CS129 UP Ricoh CLR cpy/prt -8/2016</t>
  </si>
  <si>
    <t>CS129 UP Ricoh CLR cpy/prt -7/2016</t>
  </si>
  <si>
    <t>30-SEP-16 DETAIL</t>
  </si>
  <si>
    <t>2210050507 HARDWARE SALES</t>
  </si>
  <si>
    <t>SURPLUS PREP  20527E  D</t>
  </si>
  <si>
    <t>Telecom charges Sep 2016</t>
  </si>
  <si>
    <t>Telecom charges Aug 2016</t>
  </si>
  <si>
    <t>Telecom charges Jul 2016</t>
  </si>
  <si>
    <t>24160E  REPLACE BATTERY  D</t>
  </si>
  <si>
    <t xml:space="preserve">PM VEHICLE MINOR  24174E  PARKING  </t>
  </si>
  <si>
    <t>15069E  REPLACE PURGE VALVE AND OXY</t>
  </si>
  <si>
    <t>15069E  REPLACE REAR WINDOW  D</t>
  </si>
  <si>
    <t>20293E PURCHASE AND PROGRAM NEW IGN</t>
  </si>
  <si>
    <t>16513E  REPLACE SERPENTINE BELT  D</t>
  </si>
  <si>
    <t>PLACE LOGO ON SIDE OF STUDENT SHUTT</t>
  </si>
  <si>
    <t>HA WORK - CS 011, 130, 131 RENOVATI</t>
  </si>
  <si>
    <t>FB WORK - CS 011, 130, 131 RENOVATI</t>
  </si>
  <si>
    <t>IC WORK - CS 011, 130, 131 RENOVATI</t>
  </si>
  <si>
    <t>FELLOWS POWERSHRED 480 REPAIR</t>
  </si>
  <si>
    <t>ZE TELECOM BILLING - CS 011, 130, 1</t>
  </si>
  <si>
    <t>CE WORK - CS 011, 130, 131 RENOVATI</t>
  </si>
  <si>
    <t>CC WORK - CS 011, 130, 131 RENOVATI</t>
  </si>
  <si>
    <t>2235697498 AT&amp;T*BILL PAYMENT</t>
  </si>
  <si>
    <t>2219749891 VZWRLSS*MY VZ VB P</t>
  </si>
  <si>
    <t>EAS Qtrly Network Chrg - 1st qtr FY</t>
  </si>
  <si>
    <t>2253984732 VZWRLSS*MY VZ VB P</t>
  </si>
  <si>
    <t>2252580109 TMOBILE POSTPAID WEB</t>
  </si>
  <si>
    <t>2227960308 TMOBILE POSTPAID WEB</t>
  </si>
  <si>
    <t>2216485116 TMOBILE*POSTPAID TEL</t>
  </si>
  <si>
    <t>2253984730 VZWRLSS*MY VZ VB P</t>
  </si>
  <si>
    <t>2237545472 LAMINATE.COM</t>
  </si>
  <si>
    <t xml:space="preserve">PA-13240/Rev 10836560-budget </t>
  </si>
  <si>
    <t>2247460319 LEGEND DATA SYSTEMS</t>
  </si>
  <si>
    <t>Account</t>
  </si>
  <si>
    <t>C</t>
  </si>
  <si>
    <t>Fund</t>
  </si>
  <si>
    <t>Org</t>
  </si>
  <si>
    <t>Program</t>
  </si>
  <si>
    <t>Activity</t>
  </si>
  <si>
    <t>Locn</t>
  </si>
  <si>
    <t>Trans Date</t>
  </si>
  <si>
    <t>Doc Number</t>
  </si>
  <si>
    <t>Doc Ref No.</t>
  </si>
  <si>
    <t>Trans Type</t>
  </si>
  <si>
    <t>Tran Description</t>
  </si>
  <si>
    <t>Trans. Activity &gt;$100</t>
  </si>
  <si>
    <t>Orgn</t>
  </si>
  <si>
    <t>Location</t>
  </si>
  <si>
    <t>Doc Ref No</t>
  </si>
  <si>
    <t>Trans Activity &gt; $100</t>
  </si>
  <si>
    <t>E111</t>
  </si>
  <si>
    <t>1</t>
  </si>
  <si>
    <t>14185</t>
  </si>
  <si>
    <t>5620</t>
  </si>
  <si>
    <t>094OMS</t>
  </si>
  <si>
    <t/>
  </si>
  <si>
    <t>D014472</t>
  </si>
  <si>
    <t>PORD</t>
  </si>
  <si>
    <t>Bay Trophies &amp; Engraving Inc</t>
  </si>
  <si>
    <t>43000</t>
  </si>
  <si>
    <t>5740</t>
  </si>
  <si>
    <t>850PKE</t>
  </si>
  <si>
    <t>D003141</t>
  </si>
  <si>
    <t>Slide Lock Tool Co Inc</t>
  </si>
  <si>
    <t>850PKC</t>
  </si>
  <si>
    <t>D019598</t>
  </si>
  <si>
    <t>Empire Uniform Co</t>
  </si>
  <si>
    <t>E230</t>
  </si>
  <si>
    <t>D014483</t>
  </si>
  <si>
    <t>E161</t>
  </si>
  <si>
    <t>D014482</t>
  </si>
  <si>
    <t>E404</t>
  </si>
  <si>
    <t>D014489</t>
  </si>
  <si>
    <t>LC Action Police Supply Co</t>
  </si>
  <si>
    <t>E257</t>
  </si>
  <si>
    <t>D014488</t>
  </si>
  <si>
    <t>Brodskys</t>
  </si>
  <si>
    <t>D019605</t>
  </si>
  <si>
    <t>MITI Manufacturing</t>
  </si>
  <si>
    <t>850LOS</t>
  </si>
  <si>
    <t>D014493</t>
  </si>
  <si>
    <t>D013110</t>
  </si>
  <si>
    <t>D014491</t>
  </si>
  <si>
    <t>F014498</t>
  </si>
  <si>
    <t>D019603</t>
  </si>
  <si>
    <t>Zumar Industries</t>
  </si>
  <si>
    <t>E407</t>
  </si>
  <si>
    <t>32040</t>
  </si>
  <si>
    <t>5610</t>
  </si>
  <si>
    <t>D014484</t>
  </si>
  <si>
    <t>Northwest Computer Supplies Unlimited Inc</t>
  </si>
  <si>
    <t>E192</t>
  </si>
  <si>
    <t>850TPP</t>
  </si>
  <si>
    <t>D019547</t>
  </si>
  <si>
    <t>WA State Ridesharing Organization</t>
  </si>
  <si>
    <t>D014490</t>
  </si>
  <si>
    <t>Chief Supply Co</t>
  </si>
  <si>
    <t>D001855</t>
  </si>
  <si>
    <t>D019107</t>
  </si>
  <si>
    <t>31040</t>
  </si>
  <si>
    <t>D019103</t>
  </si>
  <si>
    <t>D019545</t>
  </si>
  <si>
    <t>Watershed Inc</t>
  </si>
  <si>
    <t>F014473</t>
  </si>
  <si>
    <t>E408</t>
  </si>
  <si>
    <t>E405</t>
  </si>
  <si>
    <t>F019118</t>
  </si>
  <si>
    <t>E162</t>
  </si>
  <si>
    <t>D014486</t>
  </si>
  <si>
    <t>Oregon Fire Equipment Co Ltd</t>
  </si>
  <si>
    <t>D019581</t>
  </si>
  <si>
    <t>D019565</t>
  </si>
  <si>
    <t>D019109</t>
  </si>
  <si>
    <t>D019579</t>
  </si>
  <si>
    <t>Special T Striping&amp;Sign Co Inc</t>
  </si>
  <si>
    <t>E247</t>
  </si>
  <si>
    <t>D019111</t>
  </si>
  <si>
    <t>E193</t>
  </si>
  <si>
    <t>D019543</t>
  </si>
  <si>
    <t>{USE W00540710 CareerTrack</t>
  </si>
  <si>
    <t>E402</t>
  </si>
  <si>
    <t>D019113</t>
  </si>
  <si>
    <t>E258</t>
  </si>
  <si>
    <t>D019116</t>
  </si>
  <si>
    <t>D019544</t>
  </si>
  <si>
    <t>F019112</t>
  </si>
  <si>
    <t>The Creative Office</t>
  </si>
  <si>
    <t>D019584</t>
  </si>
  <si>
    <t>E163</t>
  </si>
  <si>
    <t>D019585</t>
  </si>
  <si>
    <t>Cardinal Tracking Inc</t>
  </si>
  <si>
    <t>D019586</t>
  </si>
  <si>
    <t>Graphic Art Productions Inc</t>
  </si>
  <si>
    <t>D013018</t>
  </si>
  <si>
    <t>E414</t>
  </si>
  <si>
    <t>F001130</t>
  </si>
  <si>
    <t>Smokey Point Sales&amp;Service</t>
  </si>
  <si>
    <t>F019123</t>
  </si>
  <si>
    <t>Gateway Co Inc</t>
  </si>
  <si>
    <t>D019104</t>
  </si>
  <si>
    <t>D013111</t>
  </si>
  <si>
    <t>D019115</t>
  </si>
  <si>
    <t>Protective Apparel Corporation of America</t>
  </si>
  <si>
    <t>F019129</t>
  </si>
  <si>
    <t>Public Safety Equipment Inc</t>
  </si>
  <si>
    <t>F019128</t>
  </si>
  <si>
    <t>D019127</t>
  </si>
  <si>
    <t>D014499</t>
  </si>
  <si>
    <t>E112</t>
  </si>
  <si>
    <t>F019135</t>
  </si>
  <si>
    <t>National Public Safety Information Bureau</t>
  </si>
  <si>
    <t>D024098</t>
  </si>
  <si>
    <t>F024095</t>
  </si>
  <si>
    <t>D013104</t>
  </si>
  <si>
    <t>D019142</t>
  </si>
  <si>
    <t>F019141</t>
  </si>
  <si>
    <t>F024097</t>
  </si>
  <si>
    <t>D019553</t>
  </si>
  <si>
    <t>D019145</t>
  </si>
  <si>
    <t>D019139</t>
  </si>
  <si>
    <t>Galls Inc</t>
  </si>
  <si>
    <t>D019146</t>
  </si>
  <si>
    <t>F019150</t>
  </si>
  <si>
    <t>Fisher Scientific Company LLC</t>
  </si>
  <si>
    <t>D019148</t>
  </si>
  <si>
    <t>D019577</t>
  </si>
  <si>
    <t>D019583</t>
  </si>
  <si>
    <t>D019144</t>
  </si>
  <si>
    <t>D019143</t>
  </si>
  <si>
    <t>D019151</t>
  </si>
  <si>
    <t>D019152</t>
  </si>
  <si>
    <t>D019573</t>
  </si>
  <si>
    <t>Fox International</t>
  </si>
  <si>
    <t>D019562</t>
  </si>
  <si>
    <t>D025864</t>
  </si>
  <si>
    <t>D025867</t>
  </si>
  <si>
    <t>Eddie Bauer</t>
  </si>
  <si>
    <t>D019828</t>
  </si>
  <si>
    <t>Seton Identification Products</t>
  </si>
  <si>
    <t>D025866</t>
  </si>
  <si>
    <t>D019578</t>
  </si>
  <si>
    <t>D025877</t>
  </si>
  <si>
    <t>D024114</t>
  </si>
  <si>
    <t>D019582</t>
  </si>
  <si>
    <t>D025865</t>
  </si>
  <si>
    <t>D019126</t>
  </si>
  <si>
    <t>Emblem Enterprises Inc</t>
  </si>
  <si>
    <t>D013074</t>
  </si>
  <si>
    <t>Sanderson Safety Supply Co</t>
  </si>
  <si>
    <t>E114</t>
  </si>
  <si>
    <t>D019574</t>
  </si>
  <si>
    <t>D025871</t>
  </si>
  <si>
    <t>Kulshan Cycles</t>
  </si>
  <si>
    <t>D019557</t>
  </si>
  <si>
    <t>K&amp;K Jump Start/Chargers Inc</t>
  </si>
  <si>
    <t>D025878</t>
  </si>
  <si>
    <t>D019576</t>
  </si>
  <si>
    <t>D013097</t>
  </si>
  <si>
    <t>D028294</t>
  </si>
  <si>
    <t>D025888</t>
  </si>
  <si>
    <t>E160</t>
  </si>
  <si>
    <t>D028292</t>
  </si>
  <si>
    <t>F025894</t>
  </si>
  <si>
    <t>Justice Systems Press</t>
  </si>
  <si>
    <t>F028555</t>
  </si>
  <si>
    <t>Block&amp;Company Inc</t>
  </si>
  <si>
    <t>D028282</t>
  </si>
  <si>
    <t>Good Guys Inc</t>
  </si>
  <si>
    <t>E130</t>
  </si>
  <si>
    <t>N171000F</t>
  </si>
  <si>
    <t>D025901</t>
  </si>
  <si>
    <t>D025882</t>
  </si>
  <si>
    <t>D025876</t>
  </si>
  <si>
    <t>D025889</t>
  </si>
  <si>
    <t>D029857</t>
  </si>
  <si>
    <t>D025881</t>
  </si>
  <si>
    <t>D028570</t>
  </si>
  <si>
    <t>E054</t>
  </si>
  <si>
    <t>F166589</t>
  </si>
  <si>
    <t>Rich and Associates Inc</t>
  </si>
  <si>
    <t>D029864</t>
  </si>
  <si>
    <t>D019552</t>
  </si>
  <si>
    <t>D019556</t>
  </si>
  <si>
    <t>D028291</t>
  </si>
  <si>
    <t>D019558</t>
  </si>
  <si>
    <t>F029866</t>
  </si>
  <si>
    <t>Sperry West Inc</t>
  </si>
  <si>
    <t>D028285</t>
  </si>
  <si>
    <t>D028280</t>
  </si>
  <si>
    <t>D019571</t>
  </si>
  <si>
    <t>D025900</t>
  </si>
  <si>
    <t>E263</t>
  </si>
  <si>
    <t>D028561</t>
  </si>
  <si>
    <t>D028560</t>
  </si>
  <si>
    <t>D028563</t>
  </si>
  <si>
    <t>D019567</t>
  </si>
  <si>
    <t>Peachtree Business Forms</t>
  </si>
  <si>
    <t>D019568</t>
  </si>
  <si>
    <t>D025870</t>
  </si>
  <si>
    <t>Americans for Effective Law Enforcement Inc</t>
  </si>
  <si>
    <t>D019575</t>
  </si>
  <si>
    <t>D029875</t>
  </si>
  <si>
    <t>D019561</t>
  </si>
  <si>
    <t>D029863</t>
  </si>
  <si>
    <t>D025902</t>
  </si>
  <si>
    <t>E403</t>
  </si>
  <si>
    <t>F029883</t>
  </si>
  <si>
    <t>Micro Warehouse Inc</t>
  </si>
  <si>
    <t>D029887</t>
  </si>
  <si>
    <t>D029891</t>
  </si>
  <si>
    <t>D029882</t>
  </si>
  <si>
    <t>D019594</t>
  </si>
  <si>
    <t>Campus Parking Management Associates</t>
  </si>
  <si>
    <t>E053</t>
  </si>
  <si>
    <t>D033500</t>
  </si>
  <si>
    <t>Orthopaedic Surgery Associates</t>
  </si>
  <si>
    <t>E261</t>
  </si>
  <si>
    <t>D029893</t>
  </si>
  <si>
    <t>Seattle Times Inc</t>
  </si>
  <si>
    <t>D033502</t>
  </si>
  <si>
    <t>Radio Shack</t>
  </si>
  <si>
    <t>E164</t>
  </si>
  <si>
    <t>D028289</t>
  </si>
  <si>
    <t>D029874</t>
  </si>
  <si>
    <t>E121</t>
  </si>
  <si>
    <t>D028278</t>
  </si>
  <si>
    <t>D033838</t>
  </si>
  <si>
    <t>Olsen Auto Body And Collision Inc</t>
  </si>
  <si>
    <t>D028290</t>
  </si>
  <si>
    <t>E120</t>
  </si>
  <si>
    <t>D019595</t>
  </si>
  <si>
    <t>F033507</t>
  </si>
  <si>
    <t>AT&amp;T Inc</t>
  </si>
  <si>
    <t>D033843</t>
  </si>
  <si>
    <t>D028281</t>
  </si>
  <si>
    <t>D033505</t>
  </si>
  <si>
    <t>D033503</t>
  </si>
  <si>
    <t>D033508</t>
  </si>
  <si>
    <t>D029890</t>
  </si>
  <si>
    <t>E240</t>
  </si>
  <si>
    <t>D033509</t>
  </si>
  <si>
    <t>E191</t>
  </si>
  <si>
    <t>43001</t>
  </si>
  <si>
    <t>850REP</t>
  </si>
  <si>
    <t>F033512</t>
  </si>
  <si>
    <t>E210</t>
  </si>
  <si>
    <t>D033862</t>
  </si>
  <si>
    <t>D033849</t>
  </si>
  <si>
    <t>D028562</t>
  </si>
  <si>
    <t>D028566</t>
  </si>
  <si>
    <t>D033513</t>
  </si>
  <si>
    <t>D033510</t>
  </si>
  <si>
    <t>D033504</t>
  </si>
  <si>
    <t>D028287</t>
  </si>
  <si>
    <t>D033522</t>
  </si>
  <si>
    <t>Smith David</t>
  </si>
  <si>
    <t>D035445</t>
  </si>
  <si>
    <t>D033840</t>
  </si>
  <si>
    <t>D033839</t>
  </si>
  <si>
    <t>D033850</t>
  </si>
  <si>
    <t>D033856</t>
  </si>
  <si>
    <t>D033526</t>
  </si>
  <si>
    <t>In The Line Of Duty</t>
  </si>
  <si>
    <t>D033519</t>
  </si>
  <si>
    <t>D033528</t>
  </si>
  <si>
    <t>D033506</t>
  </si>
  <si>
    <t>D033851</t>
  </si>
  <si>
    <t>D033511</t>
  </si>
  <si>
    <t>D033531</t>
  </si>
  <si>
    <t>D033847</t>
  </si>
  <si>
    <t>F033536</t>
  </si>
  <si>
    <t>D035446</t>
  </si>
  <si>
    <t>Schucks Auto Supply</t>
  </si>
  <si>
    <t>D035173</t>
  </si>
  <si>
    <t>D035155</t>
  </si>
  <si>
    <t>D033854</t>
  </si>
  <si>
    <t>D035149</t>
  </si>
  <si>
    <t>D035157</t>
  </si>
  <si>
    <t>D033845</t>
  </si>
  <si>
    <t>D033859</t>
  </si>
  <si>
    <t>D035154</t>
  </si>
  <si>
    <t>F038118</t>
  </si>
  <si>
    <t>EHS International Inc</t>
  </si>
  <si>
    <t>D033546</t>
  </si>
  <si>
    <t>D033545</t>
  </si>
  <si>
    <t>D033543</t>
  </si>
  <si>
    <t>D033544</t>
  </si>
  <si>
    <t>D033524</t>
  </si>
  <si>
    <t>D033547</t>
  </si>
  <si>
    <t>D033548</t>
  </si>
  <si>
    <t>D033863</t>
  </si>
  <si>
    <t>E190</t>
  </si>
  <si>
    <t>D038152</t>
  </si>
  <si>
    <t>D033866</t>
  </si>
  <si>
    <t>D033540</t>
  </si>
  <si>
    <t>RL Polk&amp;Co</t>
  </si>
  <si>
    <t>D035174</t>
  </si>
  <si>
    <t>D033858</t>
  </si>
  <si>
    <t>D033868</t>
  </si>
  <si>
    <t>F038135</t>
  </si>
  <si>
    <t>D033527</t>
  </si>
  <si>
    <t>D038153</t>
  </si>
  <si>
    <t>D035178</t>
  </si>
  <si>
    <t>D035150</t>
  </si>
  <si>
    <t>D038160</t>
  </si>
  <si>
    <t>D035160</t>
  </si>
  <si>
    <t>McLoughlin &amp; Eardley Group Inc</t>
  </si>
  <si>
    <t>D038164</t>
  </si>
  <si>
    <t>D038167</t>
  </si>
  <si>
    <t>D033537</t>
  </si>
  <si>
    <t>D033873</t>
  </si>
  <si>
    <t>D033855</t>
  </si>
  <si>
    <t>D038168</t>
  </si>
  <si>
    <t>F038159</t>
  </si>
  <si>
    <t>D038169</t>
  </si>
  <si>
    <t>Atlas Business Solutions Inc</t>
  </si>
  <si>
    <t>D033853</t>
  </si>
  <si>
    <t>D038174</t>
  </si>
  <si>
    <t>D038163</t>
  </si>
  <si>
    <t>D038177</t>
  </si>
  <si>
    <t>F038521</t>
  </si>
  <si>
    <t>D038162</t>
  </si>
  <si>
    <t>F038176</t>
  </si>
  <si>
    <t>D038186</t>
  </si>
  <si>
    <t>D038189</t>
  </si>
  <si>
    <t>Hortons Towing&amp;Automotive Repair Inc</t>
  </si>
  <si>
    <t>D038191</t>
  </si>
  <si>
    <t>Quest Diagnostics</t>
  </si>
  <si>
    <t>D038190</t>
  </si>
  <si>
    <t>D038251</t>
  </si>
  <si>
    <t>D038179</t>
  </si>
  <si>
    <t>PR Electronics Inc</t>
  </si>
  <si>
    <t>D035153</t>
  </si>
  <si>
    <t>D038175</t>
  </si>
  <si>
    <t>D035159</t>
  </si>
  <si>
    <t>D035168</t>
  </si>
  <si>
    <t>D035164</t>
  </si>
  <si>
    <t>D038192</t>
  </si>
  <si>
    <t>Aramark Work Apparel And Uniform Services</t>
  </si>
  <si>
    <t>D033870</t>
  </si>
  <si>
    <t>D049242</t>
  </si>
  <si>
    <t>D049241</t>
  </si>
  <si>
    <t>D049245</t>
  </si>
  <si>
    <t>D049244</t>
  </si>
  <si>
    <t>F033880</t>
  </si>
  <si>
    <t>D049240</t>
  </si>
  <si>
    <t>D049246</t>
  </si>
  <si>
    <t>D049247</t>
  </si>
  <si>
    <t>D035158</t>
  </si>
  <si>
    <t>F049234</t>
  </si>
  <si>
    <t>D033877</t>
  </si>
  <si>
    <t>D035177</t>
  </si>
  <si>
    <t>D035172</t>
  </si>
  <si>
    <t>N171000G</t>
  </si>
  <si>
    <t>D049258</t>
  </si>
  <si>
    <t>D049263</t>
  </si>
  <si>
    <t>F049266</t>
  </si>
  <si>
    <t>MPH Industries Inc</t>
  </si>
  <si>
    <t>D049265</t>
  </si>
  <si>
    <t>D035176</t>
  </si>
  <si>
    <t>D035175</t>
  </si>
  <si>
    <t>JJ MacKay Canada Ltd</t>
  </si>
  <si>
    <t>D035167</t>
  </si>
  <si>
    <t>D035161</t>
  </si>
  <si>
    <t>D046185</t>
  </si>
  <si>
    <t>D035166</t>
  </si>
  <si>
    <t>E194</t>
  </si>
  <si>
    <t>D049273</t>
  </si>
  <si>
    <t>D049275</t>
  </si>
  <si>
    <t>D046188</t>
  </si>
  <si>
    <t>F049276A</t>
  </si>
  <si>
    <t>Kiefer General Contractors Inc</t>
  </si>
  <si>
    <t>F049276</t>
  </si>
  <si>
    <t>D046196</t>
  </si>
  <si>
    <t>D046193</t>
  </si>
  <si>
    <t>D049279</t>
  </si>
  <si>
    <t>D045978</t>
  </si>
  <si>
    <t>D046195</t>
  </si>
  <si>
    <t>D046201</t>
  </si>
  <si>
    <t>D046200</t>
  </si>
  <si>
    <t>D046199</t>
  </si>
  <si>
    <t>D046190</t>
  </si>
  <si>
    <t>F033884</t>
  </si>
  <si>
    <t>Compaq Computer Corp</t>
  </si>
  <si>
    <t>D046198</t>
  </si>
  <si>
    <t>D046197</t>
  </si>
  <si>
    <t>D033881</t>
  </si>
  <si>
    <t>D049281</t>
  </si>
  <si>
    <t>D046321</t>
  </si>
  <si>
    <t>D046319</t>
  </si>
  <si>
    <t>F033891</t>
  </si>
  <si>
    <t>D046317</t>
  </si>
  <si>
    <t>D033889</t>
  </si>
  <si>
    <t>D046322</t>
  </si>
  <si>
    <t>D046320</t>
  </si>
  <si>
    <t>D045979</t>
  </si>
  <si>
    <t>D050650</t>
  </si>
  <si>
    <t>D046326</t>
  </si>
  <si>
    <t>KDL Hardware Supply Inc</t>
  </si>
  <si>
    <t>D046333</t>
  </si>
  <si>
    <t>Wiztronics Incorporated</t>
  </si>
  <si>
    <t>D046331</t>
  </si>
  <si>
    <t>D046329</t>
  </si>
  <si>
    <t>E494</t>
  </si>
  <si>
    <t>F052221</t>
  </si>
  <si>
    <t>N033883</t>
  </si>
  <si>
    <t>F033893</t>
  </si>
  <si>
    <t>Software Services</t>
  </si>
  <si>
    <t>D046318</t>
  </si>
  <si>
    <t>D050652</t>
  </si>
  <si>
    <t>D050651</t>
  </si>
  <si>
    <t>D050655</t>
  </si>
  <si>
    <t>D050690</t>
  </si>
  <si>
    <t>Arrow Lock Service</t>
  </si>
  <si>
    <t>D050654</t>
  </si>
  <si>
    <t>Municipal Supply Sales Co</t>
  </si>
  <si>
    <t>D048552</t>
  </si>
  <si>
    <t>D046338</t>
  </si>
  <si>
    <t>D046339</t>
  </si>
  <si>
    <t>D052390</t>
  </si>
  <si>
    <t>Kinkos Copies Inc</t>
  </si>
  <si>
    <t>D048555</t>
  </si>
  <si>
    <t>Pocket Press Inc</t>
  </si>
  <si>
    <t>F048557</t>
  </si>
  <si>
    <t>F052393</t>
  </si>
  <si>
    <t>D046325</t>
  </si>
  <si>
    <t>D048561</t>
  </si>
  <si>
    <t>Bayside Pathology Inc</t>
  </si>
  <si>
    <t>D046340</t>
  </si>
  <si>
    <t>D048563</t>
  </si>
  <si>
    <t>D048562</t>
  </si>
  <si>
    <t>D048565</t>
  </si>
  <si>
    <t>D050656</t>
  </si>
  <si>
    <t>D050673</t>
  </si>
  <si>
    <t>D048570</t>
  </si>
  <si>
    <t>D050675</t>
  </si>
  <si>
    <t>D050678</t>
  </si>
  <si>
    <t>D048572</t>
  </si>
  <si>
    <t>Sirchie Fingerprint Labs Inc</t>
  </si>
  <si>
    <t>D050681</t>
  </si>
  <si>
    <t>F052396</t>
  </si>
  <si>
    <t>D038283</t>
  </si>
  <si>
    <t>D050658</t>
  </si>
  <si>
    <t>D050668</t>
  </si>
  <si>
    <t>D050672</t>
  </si>
  <si>
    <t>Signs Plus</t>
  </si>
  <si>
    <t>D050659</t>
  </si>
  <si>
    <t>F052397</t>
  </si>
  <si>
    <t>D048581</t>
  </si>
  <si>
    <t>D048579</t>
  </si>
  <si>
    <t>D054728</t>
  </si>
  <si>
    <t>D050665</t>
  </si>
  <si>
    <t>E241</t>
  </si>
  <si>
    <t>D048577</t>
  </si>
  <si>
    <t>D054726</t>
  </si>
  <si>
    <t>D050679</t>
  </si>
  <si>
    <t>D052392</t>
  </si>
  <si>
    <t>D050680</t>
  </si>
  <si>
    <t>D054734</t>
  </si>
  <si>
    <t>D054735</t>
  </si>
  <si>
    <t>D050663</t>
  </si>
  <si>
    <t>F054732</t>
  </si>
  <si>
    <t>Washington Architectural Hardware Co Inc</t>
  </si>
  <si>
    <t>D050683</t>
  </si>
  <si>
    <t>PKGPAY</t>
  </si>
  <si>
    <t>D050661</t>
  </si>
  <si>
    <t>D050666</t>
  </si>
  <si>
    <t>D046191</t>
  </si>
  <si>
    <t>F053391</t>
  </si>
  <si>
    <t>E150</t>
  </si>
  <si>
    <t>N053390</t>
  </si>
  <si>
    <t>D054741</t>
  </si>
  <si>
    <t>Best Lock Corp</t>
  </si>
  <si>
    <t>D048578</t>
  </si>
  <si>
    <t>D054738</t>
  </si>
  <si>
    <t>F053388</t>
  </si>
  <si>
    <t>D054747</t>
  </si>
  <si>
    <t>D054744</t>
  </si>
  <si>
    <t>F053396</t>
  </si>
  <si>
    <t>Borden Decal Company</t>
  </si>
  <si>
    <t>F033512A</t>
  </si>
  <si>
    <t>D050676</t>
  </si>
  <si>
    <t>D050671</t>
  </si>
  <si>
    <t>D048564</t>
  </si>
  <si>
    <t>E265</t>
  </si>
  <si>
    <t>D058728</t>
  </si>
  <si>
    <t>WW Grainger Inc</t>
  </si>
  <si>
    <t>D054754</t>
  </si>
  <si>
    <t>D050688</t>
  </si>
  <si>
    <t>F058735</t>
  </si>
  <si>
    <t>D050670</t>
  </si>
  <si>
    <t>D053395</t>
  </si>
  <si>
    <t>The Bellingham Herald</t>
  </si>
  <si>
    <t>E255</t>
  </si>
  <si>
    <t>D058731</t>
  </si>
  <si>
    <t>Hardware Sales Inc</t>
  </si>
  <si>
    <t>D058747</t>
  </si>
  <si>
    <t>F058750</t>
  </si>
  <si>
    <t>D058751</t>
  </si>
  <si>
    <t>D058749</t>
  </si>
  <si>
    <t>058754</t>
  </si>
  <si>
    <t>D058754</t>
  </si>
  <si>
    <t>D058753</t>
  </si>
  <si>
    <t>N171000H</t>
  </si>
  <si>
    <t>D058752</t>
  </si>
  <si>
    <t>F053396A</t>
  </si>
  <si>
    <t>D050677</t>
  </si>
  <si>
    <t>N033883A</t>
  </si>
  <si>
    <t>E213</t>
  </si>
  <si>
    <t>D050594</t>
  </si>
  <si>
    <t>D058779</t>
  </si>
  <si>
    <t>D060916</t>
  </si>
  <si>
    <t>D058780</t>
  </si>
  <si>
    <t>F038287</t>
  </si>
  <si>
    <t>IKON Office Solutions</t>
  </si>
  <si>
    <t>F064800</t>
  </si>
  <si>
    <t>F064799</t>
  </si>
  <si>
    <t>F064797</t>
  </si>
  <si>
    <t>D050684</t>
  </si>
  <si>
    <t>F064802</t>
  </si>
  <si>
    <t>F064803</t>
  </si>
  <si>
    <t>D060919</t>
  </si>
  <si>
    <t>D060933</t>
  </si>
  <si>
    <t>Bellingham Lock&amp;Safe Inc</t>
  </si>
  <si>
    <t>D060924</t>
  </si>
  <si>
    <t>D060926</t>
  </si>
  <si>
    <t>D058762</t>
  </si>
  <si>
    <t>D060931</t>
  </si>
  <si>
    <t>Amjay Screenprinting Inc</t>
  </si>
  <si>
    <t>D060930</t>
  </si>
  <si>
    <t>D050685</t>
  </si>
  <si>
    <t>D060939</t>
  </si>
  <si>
    <t>F067416</t>
  </si>
  <si>
    <t>D060943</t>
  </si>
  <si>
    <t>Polk Directories</t>
  </si>
  <si>
    <t>F064807</t>
  </si>
  <si>
    <t>D060942</t>
  </si>
  <si>
    <t>F065014</t>
  </si>
  <si>
    <t>D050686</t>
  </si>
  <si>
    <t>D060946</t>
  </si>
  <si>
    <t>D060947</t>
  </si>
  <si>
    <t>D060945</t>
  </si>
  <si>
    <t>D060944</t>
  </si>
  <si>
    <t>D060949</t>
  </si>
  <si>
    <t>Builders Hardware&amp;Supply Co Inc</t>
  </si>
  <si>
    <t>D060950</t>
  </si>
  <si>
    <t>D060935</t>
  </si>
  <si>
    <t>14676</t>
  </si>
  <si>
    <t>011EQP</t>
  </si>
  <si>
    <t>F064811</t>
  </si>
  <si>
    <t>43005</t>
  </si>
  <si>
    <t>F064808</t>
  </si>
  <si>
    <t>D067755</t>
  </si>
  <si>
    <t>D060951</t>
  </si>
  <si>
    <t>Builders Alliance LLC</t>
  </si>
  <si>
    <t>D060951A</t>
  </si>
  <si>
    <t>D060963</t>
  </si>
  <si>
    <t>D060955</t>
  </si>
  <si>
    <t>Kinderprint Company Incorporated</t>
  </si>
  <si>
    <t>D064810</t>
  </si>
  <si>
    <t>D064812</t>
  </si>
  <si>
    <t>D067766</t>
  </si>
  <si>
    <t>D064813</t>
  </si>
  <si>
    <t>F068454</t>
  </si>
  <si>
    <t>D054744A</t>
  </si>
  <si>
    <t>F067773</t>
  </si>
  <si>
    <t>D067772</t>
  </si>
  <si>
    <t>F031129</t>
  </si>
  <si>
    <t>Bud Clary Chevrolet</t>
  </si>
  <si>
    <t>E157</t>
  </si>
  <si>
    <t>F064713</t>
  </si>
  <si>
    <t>F067774</t>
  </si>
  <si>
    <t>F064714</t>
  </si>
  <si>
    <t>E242</t>
  </si>
  <si>
    <t>F060964</t>
  </si>
  <si>
    <t>F068458</t>
  </si>
  <si>
    <t>D067778</t>
  </si>
  <si>
    <t>Prezant Associates Inc</t>
  </si>
  <si>
    <t>F064715</t>
  </si>
  <si>
    <t>D064814</t>
  </si>
  <si>
    <t>D067779</t>
  </si>
  <si>
    <t>N171000I</t>
  </si>
  <si>
    <t>N17100I</t>
  </si>
  <si>
    <t>F074669</t>
  </si>
  <si>
    <t>F074670</t>
  </si>
  <si>
    <t>E057</t>
  </si>
  <si>
    <t>43007</t>
  </si>
  <si>
    <t>850GAR</t>
  </si>
  <si>
    <t>N064720</t>
  </si>
  <si>
    <t>F076204</t>
  </si>
  <si>
    <t>D076205</t>
  </si>
  <si>
    <t>D076206</t>
  </si>
  <si>
    <t>Hillstrom Cabinets</t>
  </si>
  <si>
    <t>D074674</t>
  </si>
  <si>
    <t>D076208</t>
  </si>
  <si>
    <t>F076207</t>
  </si>
  <si>
    <t>D076185</t>
  </si>
  <si>
    <t>F079750</t>
  </si>
  <si>
    <t>D067791</t>
  </si>
  <si>
    <t>D074671</t>
  </si>
  <si>
    <t>D074680</t>
  </si>
  <si>
    <t>WA State University</t>
  </si>
  <si>
    <t>D074681</t>
  </si>
  <si>
    <t>F082543</t>
  </si>
  <si>
    <t>BFAVP</t>
  </si>
  <si>
    <t>F074684</t>
  </si>
  <si>
    <t>F082546</t>
  </si>
  <si>
    <t>F074688</t>
  </si>
  <si>
    <t>F082222</t>
  </si>
  <si>
    <t>Cameron Group Corp</t>
  </si>
  <si>
    <t>D076214</t>
  </si>
  <si>
    <t>F074694</t>
  </si>
  <si>
    <t>F076212</t>
  </si>
  <si>
    <t>14288</t>
  </si>
  <si>
    <t>N084876</t>
  </si>
  <si>
    <t>F076217</t>
  </si>
  <si>
    <t>F040999</t>
  </si>
  <si>
    <t>F076219</t>
  </si>
  <si>
    <t>F064719</t>
  </si>
  <si>
    <t>F074697</t>
  </si>
  <si>
    <t>F068487</t>
  </si>
  <si>
    <t>N088665</t>
  </si>
  <si>
    <t>F076223</t>
  </si>
  <si>
    <t>Speedy Sign Center Inc</t>
  </si>
  <si>
    <t>F076224</t>
  </si>
  <si>
    <t>Sabodoin Mfg Inc</t>
  </si>
  <si>
    <t>N171000J</t>
  </si>
  <si>
    <t>43003</t>
  </si>
  <si>
    <t>D076227</t>
  </si>
  <si>
    <t>F076228</t>
  </si>
  <si>
    <t>N171000K</t>
  </si>
  <si>
    <t>F076252</t>
  </si>
  <si>
    <t>F076301</t>
  </si>
  <si>
    <t>F076255</t>
  </si>
  <si>
    <t>Gateway Controls Inc</t>
  </si>
  <si>
    <t>E051</t>
  </si>
  <si>
    <t>N076067A</t>
  </si>
  <si>
    <t>Peterson Sullivan LLP</t>
  </si>
  <si>
    <t>F076230</t>
  </si>
  <si>
    <t>F076233</t>
  </si>
  <si>
    <t>CDW Government Inc</t>
  </si>
  <si>
    <t>F076260</t>
  </si>
  <si>
    <t>E260</t>
  </si>
  <si>
    <t>N088665A</t>
  </si>
  <si>
    <t>D076231</t>
  </si>
  <si>
    <t>D076266</t>
  </si>
  <si>
    <t>D076265</t>
  </si>
  <si>
    <t>Pro Spec</t>
  </si>
  <si>
    <t>E216</t>
  </si>
  <si>
    <t>N076270</t>
  </si>
  <si>
    <t>F076271</t>
  </si>
  <si>
    <t>F076235</t>
  </si>
  <si>
    <t>D076280</t>
  </si>
  <si>
    <t>F076281</t>
  </si>
  <si>
    <t>D076283</t>
  </si>
  <si>
    <t>F076284</t>
  </si>
  <si>
    <t>F076232</t>
  </si>
  <si>
    <t>F076239</t>
  </si>
  <si>
    <t>F076293</t>
  </si>
  <si>
    <t>D076289</t>
  </si>
  <si>
    <t>D076287</t>
  </si>
  <si>
    <t>F076294</t>
  </si>
  <si>
    <t>F076244</t>
  </si>
  <si>
    <t>Skagit Transit</t>
  </si>
  <si>
    <t>D076300</t>
  </si>
  <si>
    <t>F076311</t>
  </si>
  <si>
    <t>F076305</t>
  </si>
  <si>
    <t>F076320</t>
  </si>
  <si>
    <t>D076309</t>
  </si>
  <si>
    <t>F076321</t>
  </si>
  <si>
    <t>F076322</t>
  </si>
  <si>
    <t>D099768</t>
  </si>
  <si>
    <t>D099768A</t>
  </si>
  <si>
    <t>Daily Journal Of Commerce Inc</t>
  </si>
  <si>
    <t>094VIS</t>
  </si>
  <si>
    <t>P093423</t>
  </si>
  <si>
    <t>F076318</t>
  </si>
  <si>
    <t>D076313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</si>
</sst>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5" fontId="0" fillId="0" borderId="0" xfId="0" applyNumberFormat="1"/>
    <xf numFmtId="4" fontId="0" fillId="0" borderId="0" xfId="0" applyNumberFormat="1"/>
    <xf numFmtId="43" fontId="0" fillId="0" borderId="0" xfId="1" applyFont="1"/>
    <xf numFmtId="0" fontId="19" fillId="0" borderId="11" xfId="0" applyFont="1" applyFill="1" applyBorder="1" applyAlignment="1" applyProtection="1">
      <alignment vertical="center" wrapText="1"/>
    </xf>
    <xf numFmtId="4" fontId="19" fillId="0" borderId="11" xfId="0" applyNumberFormat="1" applyFont="1" applyFill="1" applyBorder="1" applyAlignment="1" applyProtection="1">
      <alignment horizontal="right" vertical="center" wrapText="1"/>
    </xf>
    <xf numFmtId="0" fontId="18" fillId="33" borderId="10" xfId="0" applyFont="1" applyFill="1" applyBorder="1" applyAlignment="1" applyProtection="1">
      <alignment horizontal="left" vertical="top"/>
    </xf>
    <xf numFmtId="164" fontId="19" fillId="0" borderId="1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0" fillId="33" borderId="10" xfId="0" applyFont="1" applyFill="1" applyBorder="1" applyAlignment="1" applyProtection="1">
      <alignment horizontal="left" vertical="top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35"/>
  <sheetViews>
    <sheetView tabSelected="1" workbookViewId="0">
      <pane ySplit="1" topLeftCell="A2" activePane="bottomLeft" state="frozen"/>
      <selection pane="bottomLeft"/>
    </sheetView>
  </sheetViews>
  <sheetFormatPr defaultColWidth="43.7109375" defaultRowHeight="15" x14ac:dyDescent="0.25"/>
  <cols>
    <col min="1" max="1" width="8.140625" bestFit="1" customWidth="1"/>
    <col min="2" max="2" width="3.140625" customWidth="1"/>
    <col min="3" max="3" width="6" bestFit="1" customWidth="1"/>
    <col min="4" max="4" width="5.28515625" bestFit="1" customWidth="1"/>
    <col min="5" max="5" width="8.42578125" bestFit="1" customWidth="1"/>
    <col min="6" max="6" width="8" bestFit="1" customWidth="1"/>
    <col min="7" max="7" width="8.42578125" bestFit="1" customWidth="1"/>
    <col min="8" max="8" width="12.5703125" style="8" customWidth="1"/>
    <col min="9" max="9" width="12" bestFit="1" customWidth="1"/>
    <col min="10" max="10" width="10.7109375" bestFit="1" customWidth="1"/>
    <col min="11" max="11" width="10.42578125" bestFit="1" customWidth="1"/>
    <col min="12" max="12" width="41.42578125" bestFit="1" customWidth="1"/>
    <col min="13" max="13" width="19" bestFit="1" customWidth="1"/>
  </cols>
  <sheetData>
    <row r="1" spans="1:13" ht="29.25" customHeight="1" x14ac:dyDescent="0.25">
      <c r="A1" s="9" t="s">
        <v>3168</v>
      </c>
      <c r="B1" s="6" t="s">
        <v>3169</v>
      </c>
      <c r="C1" s="6" t="s">
        <v>3170</v>
      </c>
      <c r="D1" s="6" t="s">
        <v>3181</v>
      </c>
      <c r="E1" s="6" t="s">
        <v>3172</v>
      </c>
      <c r="F1" s="6" t="s">
        <v>3173</v>
      </c>
      <c r="G1" s="6" t="s">
        <v>3182</v>
      </c>
      <c r="H1" s="6" t="s">
        <v>3175</v>
      </c>
      <c r="I1" s="6" t="s">
        <v>3176</v>
      </c>
      <c r="J1" s="6" t="s">
        <v>3183</v>
      </c>
      <c r="K1" s="6" t="s">
        <v>3178</v>
      </c>
      <c r="L1" s="6" t="s">
        <v>3179</v>
      </c>
      <c r="M1" s="6" t="s">
        <v>3184</v>
      </c>
    </row>
    <row r="2" spans="1:13" x14ac:dyDescent="0.25">
      <c r="A2" s="4" t="s">
        <v>3185</v>
      </c>
      <c r="B2" s="4" t="s">
        <v>3186</v>
      </c>
      <c r="C2" s="4" t="s">
        <v>3187</v>
      </c>
      <c r="D2" s="4" t="s">
        <v>3188</v>
      </c>
      <c r="E2" s="4" t="s">
        <v>3189</v>
      </c>
      <c r="F2" s="4" t="s">
        <v>3190</v>
      </c>
      <c r="G2" s="4" t="s">
        <v>3190</v>
      </c>
      <c r="H2" s="7">
        <v>36528.403414351902</v>
      </c>
      <c r="I2" s="4" t="s">
        <v>3191</v>
      </c>
      <c r="J2" s="4" t="s">
        <v>3190</v>
      </c>
      <c r="K2" s="4" t="s">
        <v>3192</v>
      </c>
      <c r="L2" s="4" t="s">
        <v>3193</v>
      </c>
      <c r="M2" s="5">
        <v>432.28</v>
      </c>
    </row>
    <row r="3" spans="1:13" x14ac:dyDescent="0.25">
      <c r="A3" s="4" t="s">
        <v>3185</v>
      </c>
      <c r="B3" s="4" t="s">
        <v>3186</v>
      </c>
      <c r="C3" s="4" t="s">
        <v>3194</v>
      </c>
      <c r="D3" s="4" t="s">
        <v>3195</v>
      </c>
      <c r="E3" s="4" t="s">
        <v>3196</v>
      </c>
      <c r="F3" s="4" t="s">
        <v>3190</v>
      </c>
      <c r="G3" s="4" t="s">
        <v>3190</v>
      </c>
      <c r="H3" s="7">
        <v>36528.495416666701</v>
      </c>
      <c r="I3" s="4" t="s">
        <v>3197</v>
      </c>
      <c r="J3" s="4" t="s">
        <v>3190</v>
      </c>
      <c r="K3" s="4" t="s">
        <v>3192</v>
      </c>
      <c r="L3" s="4" t="s">
        <v>3198</v>
      </c>
      <c r="M3" s="5">
        <v>161.54</v>
      </c>
    </row>
    <row r="4" spans="1:13" x14ac:dyDescent="0.25">
      <c r="A4" s="4" t="s">
        <v>3185</v>
      </c>
      <c r="B4" s="4" t="s">
        <v>3186</v>
      </c>
      <c r="C4" s="4" t="s">
        <v>3194</v>
      </c>
      <c r="D4" s="4" t="s">
        <v>3195</v>
      </c>
      <c r="E4" s="4" t="s">
        <v>3199</v>
      </c>
      <c r="F4" s="4" t="s">
        <v>3190</v>
      </c>
      <c r="G4" s="4" t="s">
        <v>3190</v>
      </c>
      <c r="H4" s="7">
        <v>36531.422291666699</v>
      </c>
      <c r="I4" s="4" t="s">
        <v>3200</v>
      </c>
      <c r="J4" s="4" t="s">
        <v>3190</v>
      </c>
      <c r="K4" s="4" t="s">
        <v>3192</v>
      </c>
      <c r="L4" s="4" t="s">
        <v>3201</v>
      </c>
      <c r="M4" s="5">
        <v>214.05</v>
      </c>
    </row>
    <row r="5" spans="1:13" x14ac:dyDescent="0.25">
      <c r="A5" s="4" t="s">
        <v>3202</v>
      </c>
      <c r="B5" s="4" t="s">
        <v>3186</v>
      </c>
      <c r="C5" s="4" t="s">
        <v>3187</v>
      </c>
      <c r="D5" s="4" t="s">
        <v>3188</v>
      </c>
      <c r="E5" s="4" t="s">
        <v>3189</v>
      </c>
      <c r="F5" s="4" t="s">
        <v>3190</v>
      </c>
      <c r="G5" s="4" t="s">
        <v>3190</v>
      </c>
      <c r="H5" s="7">
        <v>36532.413807870398</v>
      </c>
      <c r="I5" s="4" t="s">
        <v>3203</v>
      </c>
      <c r="J5" s="4" t="s">
        <v>3190</v>
      </c>
      <c r="K5" s="4" t="s">
        <v>3192</v>
      </c>
      <c r="L5" s="4" t="s">
        <v>552</v>
      </c>
      <c r="M5" s="5">
        <v>102.41</v>
      </c>
    </row>
    <row r="6" spans="1:13" x14ac:dyDescent="0.25">
      <c r="A6" s="4" t="s">
        <v>3204</v>
      </c>
      <c r="B6" s="4" t="s">
        <v>3186</v>
      </c>
      <c r="C6" s="4" t="s">
        <v>3187</v>
      </c>
      <c r="D6" s="4" t="s">
        <v>3188</v>
      </c>
      <c r="E6" s="4" t="s">
        <v>3189</v>
      </c>
      <c r="F6" s="4" t="s">
        <v>3190</v>
      </c>
      <c r="G6" s="4" t="s">
        <v>3190</v>
      </c>
      <c r="H6" s="7">
        <v>36532.484560185199</v>
      </c>
      <c r="I6" s="4" t="s">
        <v>3205</v>
      </c>
      <c r="J6" s="4" t="s">
        <v>3190</v>
      </c>
      <c r="K6" s="4" t="s">
        <v>3192</v>
      </c>
      <c r="L6" s="4" t="s">
        <v>887</v>
      </c>
      <c r="M6" s="5">
        <v>129.36000000000001</v>
      </c>
    </row>
    <row r="7" spans="1:13" x14ac:dyDescent="0.25">
      <c r="A7" s="4" t="s">
        <v>3206</v>
      </c>
      <c r="B7" s="4" t="s">
        <v>3186</v>
      </c>
      <c r="C7" s="4" t="s">
        <v>3187</v>
      </c>
      <c r="D7" s="4" t="s">
        <v>3188</v>
      </c>
      <c r="E7" s="4" t="s">
        <v>3189</v>
      </c>
      <c r="F7" s="4" t="s">
        <v>3190</v>
      </c>
      <c r="G7" s="4" t="s">
        <v>3190</v>
      </c>
      <c r="H7" s="7">
        <v>36535.511620370402</v>
      </c>
      <c r="I7" s="4" t="s">
        <v>3207</v>
      </c>
      <c r="J7" s="4" t="s">
        <v>3190</v>
      </c>
      <c r="K7" s="4" t="s">
        <v>3192</v>
      </c>
      <c r="L7" s="4" t="s">
        <v>3208</v>
      </c>
      <c r="M7" s="5">
        <v>166.85</v>
      </c>
    </row>
    <row r="8" spans="1:13" x14ac:dyDescent="0.25">
      <c r="A8" s="4" t="s">
        <v>3209</v>
      </c>
      <c r="B8" s="4" t="s">
        <v>3186</v>
      </c>
      <c r="C8" s="4" t="s">
        <v>3187</v>
      </c>
      <c r="D8" s="4" t="s">
        <v>3188</v>
      </c>
      <c r="E8" s="4" t="s">
        <v>3189</v>
      </c>
      <c r="F8" s="4" t="s">
        <v>3190</v>
      </c>
      <c r="G8" s="4" t="s">
        <v>3190</v>
      </c>
      <c r="H8" s="7">
        <v>36535.537557870397</v>
      </c>
      <c r="I8" s="4" t="s">
        <v>3210</v>
      </c>
      <c r="J8" s="4" t="s">
        <v>3190</v>
      </c>
      <c r="K8" s="4" t="s">
        <v>3192</v>
      </c>
      <c r="L8" s="4" t="s">
        <v>3211</v>
      </c>
      <c r="M8" s="5">
        <v>651.84</v>
      </c>
    </row>
    <row r="9" spans="1:13" x14ac:dyDescent="0.25">
      <c r="A9" s="4" t="s">
        <v>3185</v>
      </c>
      <c r="B9" s="4" t="s">
        <v>3186</v>
      </c>
      <c r="C9" s="4" t="s">
        <v>3194</v>
      </c>
      <c r="D9" s="4" t="s">
        <v>3195</v>
      </c>
      <c r="E9" s="4" t="s">
        <v>3196</v>
      </c>
      <c r="F9" s="4" t="s">
        <v>3190</v>
      </c>
      <c r="G9" s="4" t="s">
        <v>3190</v>
      </c>
      <c r="H9" s="7">
        <v>36543.609699074099</v>
      </c>
      <c r="I9" s="4" t="s">
        <v>3212</v>
      </c>
      <c r="J9" s="4" t="s">
        <v>3190</v>
      </c>
      <c r="K9" s="4" t="s">
        <v>3192</v>
      </c>
      <c r="L9" s="4" t="s">
        <v>3213</v>
      </c>
      <c r="M9" s="5">
        <v>1024.0999999999999</v>
      </c>
    </row>
    <row r="10" spans="1:13" x14ac:dyDescent="0.25">
      <c r="A10" s="4" t="s">
        <v>3209</v>
      </c>
      <c r="B10" s="4" t="s">
        <v>3186</v>
      </c>
      <c r="C10" s="4" t="s">
        <v>3194</v>
      </c>
      <c r="D10" s="4" t="s">
        <v>3195</v>
      </c>
      <c r="E10" s="4" t="s">
        <v>3214</v>
      </c>
      <c r="F10" s="4" t="s">
        <v>3190</v>
      </c>
      <c r="G10" s="4" t="s">
        <v>3190</v>
      </c>
      <c r="H10" s="7">
        <v>36544.5617361111</v>
      </c>
      <c r="I10" s="4" t="s">
        <v>3215</v>
      </c>
      <c r="J10" s="4" t="s">
        <v>3190</v>
      </c>
      <c r="K10" s="4" t="s">
        <v>3192</v>
      </c>
      <c r="L10" s="4" t="s">
        <v>1498</v>
      </c>
      <c r="M10" s="5">
        <v>247.95</v>
      </c>
    </row>
    <row r="11" spans="1:13" x14ac:dyDescent="0.25">
      <c r="A11" s="4" t="s">
        <v>3209</v>
      </c>
      <c r="B11" s="4" t="s">
        <v>3186</v>
      </c>
      <c r="C11" s="4" t="s">
        <v>3187</v>
      </c>
      <c r="D11" s="4" t="s">
        <v>3188</v>
      </c>
      <c r="E11" s="4" t="s">
        <v>3189</v>
      </c>
      <c r="F11" s="4" t="s">
        <v>3190</v>
      </c>
      <c r="G11" s="4" t="s">
        <v>3190</v>
      </c>
      <c r="H11" s="7">
        <v>36544.5633564815</v>
      </c>
      <c r="I11" s="4" t="s">
        <v>3216</v>
      </c>
      <c r="J11" s="4" t="s">
        <v>3190</v>
      </c>
      <c r="K11" s="4" t="s">
        <v>3192</v>
      </c>
      <c r="L11" s="4" t="s">
        <v>3211</v>
      </c>
      <c r="M11" s="5">
        <v>229.27</v>
      </c>
    </row>
    <row r="12" spans="1:13" x14ac:dyDescent="0.25">
      <c r="A12" s="4" t="s">
        <v>3209</v>
      </c>
      <c r="B12" s="4" t="s">
        <v>3186</v>
      </c>
      <c r="C12" s="4" t="s">
        <v>3187</v>
      </c>
      <c r="D12" s="4" t="s">
        <v>3188</v>
      </c>
      <c r="E12" s="4" t="s">
        <v>3189</v>
      </c>
      <c r="F12" s="4" t="s">
        <v>3190</v>
      </c>
      <c r="G12" s="4" t="s">
        <v>3190</v>
      </c>
      <c r="H12" s="7">
        <v>36544.570682870399</v>
      </c>
      <c r="I12" s="4" t="s">
        <v>3217</v>
      </c>
      <c r="J12" s="4" t="s">
        <v>3190</v>
      </c>
      <c r="K12" s="4" t="s">
        <v>3192</v>
      </c>
      <c r="L12" s="4" t="s">
        <v>3208</v>
      </c>
      <c r="M12" s="5">
        <v>300.47000000000003</v>
      </c>
    </row>
    <row r="13" spans="1:13" x14ac:dyDescent="0.25">
      <c r="A13" s="4" t="s">
        <v>3206</v>
      </c>
      <c r="B13" s="4" t="s">
        <v>3186</v>
      </c>
      <c r="C13" s="4" t="s">
        <v>3187</v>
      </c>
      <c r="D13" s="4" t="s">
        <v>3188</v>
      </c>
      <c r="E13" s="4" t="s">
        <v>3189</v>
      </c>
      <c r="F13" s="4" t="s">
        <v>3190</v>
      </c>
      <c r="G13" s="4" t="s">
        <v>3190</v>
      </c>
      <c r="H13" s="7">
        <v>36549</v>
      </c>
      <c r="I13" s="4" t="s">
        <v>3218</v>
      </c>
      <c r="J13" s="4" t="s">
        <v>3190</v>
      </c>
      <c r="K13" s="4" t="s">
        <v>3192</v>
      </c>
      <c r="L13" s="4" t="s">
        <v>1208</v>
      </c>
      <c r="M13" s="5">
        <v>564.87</v>
      </c>
    </row>
    <row r="14" spans="1:13" x14ac:dyDescent="0.25">
      <c r="A14" s="4" t="s">
        <v>3185</v>
      </c>
      <c r="B14" s="4" t="s">
        <v>3186</v>
      </c>
      <c r="C14" s="4" t="s">
        <v>3194</v>
      </c>
      <c r="D14" s="4" t="s">
        <v>3195</v>
      </c>
      <c r="E14" s="4" t="s">
        <v>3196</v>
      </c>
      <c r="F14" s="4" t="s">
        <v>3190</v>
      </c>
      <c r="G14" s="4" t="s">
        <v>3190</v>
      </c>
      <c r="H14" s="7">
        <v>36549.492372685199</v>
      </c>
      <c r="I14" s="4" t="s">
        <v>3219</v>
      </c>
      <c r="J14" s="4" t="s">
        <v>3190</v>
      </c>
      <c r="K14" s="4" t="s">
        <v>3192</v>
      </c>
      <c r="L14" s="4" t="s">
        <v>3220</v>
      </c>
      <c r="M14" s="5">
        <v>816.2</v>
      </c>
    </row>
    <row r="15" spans="1:13" x14ac:dyDescent="0.25">
      <c r="A15" s="4" t="s">
        <v>3221</v>
      </c>
      <c r="B15" s="4" t="s">
        <v>3186</v>
      </c>
      <c r="C15" s="4" t="s">
        <v>3222</v>
      </c>
      <c r="D15" s="4" t="s">
        <v>3223</v>
      </c>
      <c r="E15" s="4" t="s">
        <v>3214</v>
      </c>
      <c r="F15" s="4" t="s">
        <v>3190</v>
      </c>
      <c r="G15" s="4" t="s">
        <v>3190</v>
      </c>
      <c r="H15" s="7">
        <v>36551.477835648097</v>
      </c>
      <c r="I15" s="4" t="s">
        <v>3224</v>
      </c>
      <c r="J15" s="4" t="s">
        <v>3190</v>
      </c>
      <c r="K15" s="4" t="s">
        <v>3192</v>
      </c>
      <c r="L15" s="4" t="s">
        <v>3225</v>
      </c>
      <c r="M15" s="5">
        <v>227.23</v>
      </c>
    </row>
    <row r="16" spans="1:13" x14ac:dyDescent="0.25">
      <c r="A16" s="4" t="s">
        <v>3226</v>
      </c>
      <c r="B16" s="4" t="s">
        <v>3186</v>
      </c>
      <c r="C16" s="4" t="s">
        <v>3194</v>
      </c>
      <c r="D16" s="4" t="s">
        <v>3195</v>
      </c>
      <c r="E16" s="4" t="s">
        <v>3227</v>
      </c>
      <c r="F16" s="4" t="s">
        <v>3190</v>
      </c>
      <c r="G16" s="4" t="s">
        <v>3190</v>
      </c>
      <c r="H16" s="7">
        <v>36557.538263888899</v>
      </c>
      <c r="I16" s="4" t="s">
        <v>3228</v>
      </c>
      <c r="J16" s="4" t="s">
        <v>3190</v>
      </c>
      <c r="K16" s="4" t="s">
        <v>3192</v>
      </c>
      <c r="L16" s="4" t="s">
        <v>3229</v>
      </c>
      <c r="M16" s="5">
        <v>162</v>
      </c>
    </row>
    <row r="17" spans="1:13" x14ac:dyDescent="0.25">
      <c r="A17" s="4" t="s">
        <v>3185</v>
      </c>
      <c r="B17" s="4" t="s">
        <v>3186</v>
      </c>
      <c r="C17" s="4" t="s">
        <v>3187</v>
      </c>
      <c r="D17" s="4" t="s">
        <v>3188</v>
      </c>
      <c r="E17" s="4" t="s">
        <v>3189</v>
      </c>
      <c r="F17" s="4" t="s">
        <v>3190</v>
      </c>
      <c r="G17" s="4" t="s">
        <v>3190</v>
      </c>
      <c r="H17" s="7">
        <v>36560.527013888903</v>
      </c>
      <c r="I17" s="4" t="s">
        <v>3230</v>
      </c>
      <c r="J17" s="4" t="s">
        <v>3190</v>
      </c>
      <c r="K17" s="4" t="s">
        <v>3192</v>
      </c>
      <c r="L17" s="4" t="s">
        <v>3231</v>
      </c>
      <c r="M17" s="5">
        <v>517.79</v>
      </c>
    </row>
    <row r="18" spans="1:13" x14ac:dyDescent="0.25">
      <c r="A18" s="4" t="s">
        <v>3185</v>
      </c>
      <c r="B18" s="4" t="s">
        <v>3186</v>
      </c>
      <c r="C18" s="4" t="s">
        <v>3194</v>
      </c>
      <c r="D18" s="4" t="s">
        <v>3195</v>
      </c>
      <c r="E18" s="4" t="s">
        <v>3214</v>
      </c>
      <c r="F18" s="4" t="s">
        <v>3190</v>
      </c>
      <c r="G18" s="4" t="s">
        <v>3190</v>
      </c>
      <c r="H18" s="7">
        <v>36560.562523148103</v>
      </c>
      <c r="I18" s="4" t="s">
        <v>3232</v>
      </c>
      <c r="J18" s="4" t="s">
        <v>3190</v>
      </c>
      <c r="K18" s="4" t="s">
        <v>3192</v>
      </c>
      <c r="L18" s="4" t="s">
        <v>840</v>
      </c>
      <c r="M18" s="5">
        <v>757.46</v>
      </c>
    </row>
    <row r="19" spans="1:13" x14ac:dyDescent="0.25">
      <c r="A19" s="4" t="s">
        <v>3206</v>
      </c>
      <c r="B19" s="4" t="s">
        <v>3186</v>
      </c>
      <c r="C19" s="4" t="s">
        <v>3187</v>
      </c>
      <c r="D19" s="4" t="s">
        <v>3188</v>
      </c>
      <c r="E19" s="4" t="s">
        <v>3189</v>
      </c>
      <c r="F19" s="4" t="s">
        <v>3190</v>
      </c>
      <c r="G19" s="4" t="s">
        <v>3190</v>
      </c>
      <c r="H19" s="7">
        <v>36563.5457060185</v>
      </c>
      <c r="I19" s="4" t="s">
        <v>3233</v>
      </c>
      <c r="J19" s="4" t="s">
        <v>3190</v>
      </c>
      <c r="K19" s="4" t="s">
        <v>3192</v>
      </c>
      <c r="L19" s="4" t="s">
        <v>3208</v>
      </c>
      <c r="M19" s="5">
        <v>160.04</v>
      </c>
    </row>
    <row r="20" spans="1:13" x14ac:dyDescent="0.25">
      <c r="A20" s="4" t="s">
        <v>3206</v>
      </c>
      <c r="B20" s="4" t="s">
        <v>3186</v>
      </c>
      <c r="C20" s="4" t="s">
        <v>3234</v>
      </c>
      <c r="D20" s="4" t="s">
        <v>3188</v>
      </c>
      <c r="E20" s="4" t="s">
        <v>3189</v>
      </c>
      <c r="F20" s="4" t="s">
        <v>3190</v>
      </c>
      <c r="G20" s="4" t="s">
        <v>3190</v>
      </c>
      <c r="H20" s="7">
        <v>36564.5253703704</v>
      </c>
      <c r="I20" s="4" t="s">
        <v>3235</v>
      </c>
      <c r="J20" s="4" t="s">
        <v>3190</v>
      </c>
      <c r="K20" s="4" t="s">
        <v>3192</v>
      </c>
      <c r="L20" s="4" t="s">
        <v>3225</v>
      </c>
      <c r="M20" s="5">
        <v>686.24</v>
      </c>
    </row>
    <row r="21" spans="1:13" x14ac:dyDescent="0.25">
      <c r="A21" s="4" t="s">
        <v>3209</v>
      </c>
      <c r="B21" s="4" t="s">
        <v>3186</v>
      </c>
      <c r="C21" s="4" t="s">
        <v>3194</v>
      </c>
      <c r="D21" s="4" t="s">
        <v>3195</v>
      </c>
      <c r="E21" s="4" t="s">
        <v>3196</v>
      </c>
      <c r="F21" s="4" t="s">
        <v>3190</v>
      </c>
      <c r="G21" s="4" t="s">
        <v>3190</v>
      </c>
      <c r="H21" s="7">
        <v>36565.561516203699</v>
      </c>
      <c r="I21" s="4" t="s">
        <v>3236</v>
      </c>
      <c r="J21" s="4" t="s">
        <v>3190</v>
      </c>
      <c r="K21" s="4" t="s">
        <v>3192</v>
      </c>
      <c r="L21" s="4" t="s">
        <v>3237</v>
      </c>
      <c r="M21" s="5">
        <v>201.77</v>
      </c>
    </row>
    <row r="22" spans="1:13" x14ac:dyDescent="0.25">
      <c r="A22" s="4" t="s">
        <v>3206</v>
      </c>
      <c r="B22" s="4" t="s">
        <v>3186</v>
      </c>
      <c r="C22" s="4" t="s">
        <v>3187</v>
      </c>
      <c r="D22" s="4" t="s">
        <v>3188</v>
      </c>
      <c r="E22" s="4" t="s">
        <v>3189</v>
      </c>
      <c r="F22" s="4" t="s">
        <v>3190</v>
      </c>
      <c r="G22" s="4" t="s">
        <v>3190</v>
      </c>
      <c r="H22" s="7">
        <v>36572</v>
      </c>
      <c r="I22" s="4" t="s">
        <v>3238</v>
      </c>
      <c r="J22" s="4" t="s">
        <v>3190</v>
      </c>
      <c r="K22" s="4" t="s">
        <v>3192</v>
      </c>
      <c r="L22" s="4" t="s">
        <v>1688</v>
      </c>
      <c r="M22" s="5">
        <v>230.75</v>
      </c>
    </row>
    <row r="23" spans="1:13" x14ac:dyDescent="0.25">
      <c r="A23" s="4" t="s">
        <v>3239</v>
      </c>
      <c r="B23" s="4" t="s">
        <v>3186</v>
      </c>
      <c r="C23" s="4" t="s">
        <v>3187</v>
      </c>
      <c r="D23" s="4" t="s">
        <v>3188</v>
      </c>
      <c r="E23" s="4" t="s">
        <v>3189</v>
      </c>
      <c r="F23" s="4" t="s">
        <v>3190</v>
      </c>
      <c r="G23" s="4" t="s">
        <v>3190</v>
      </c>
      <c r="H23" s="7">
        <v>36572</v>
      </c>
      <c r="I23" s="4" t="s">
        <v>3238</v>
      </c>
      <c r="J23" s="4" t="s">
        <v>3190</v>
      </c>
      <c r="K23" s="4" t="s">
        <v>3192</v>
      </c>
      <c r="L23" s="4" t="s">
        <v>1688</v>
      </c>
      <c r="M23" s="5">
        <v>4036.44</v>
      </c>
    </row>
    <row r="24" spans="1:13" x14ac:dyDescent="0.25">
      <c r="A24" s="4" t="s">
        <v>3240</v>
      </c>
      <c r="B24" s="4" t="s">
        <v>3186</v>
      </c>
      <c r="C24" s="4" t="s">
        <v>3187</v>
      </c>
      <c r="D24" s="4" t="s">
        <v>3188</v>
      </c>
      <c r="E24" s="4" t="s">
        <v>3189</v>
      </c>
      <c r="F24" s="4" t="s">
        <v>3190</v>
      </c>
      <c r="G24" s="4" t="s">
        <v>3190</v>
      </c>
      <c r="H24" s="7">
        <v>36572</v>
      </c>
      <c r="I24" s="4" t="s">
        <v>3241</v>
      </c>
      <c r="J24" s="4" t="s">
        <v>3190</v>
      </c>
      <c r="K24" s="4" t="s">
        <v>3192</v>
      </c>
      <c r="L24" s="4" t="s">
        <v>220</v>
      </c>
      <c r="M24" s="5">
        <v>534.34</v>
      </c>
    </row>
    <row r="25" spans="1:13" x14ac:dyDescent="0.25">
      <c r="A25" s="4" t="s">
        <v>3242</v>
      </c>
      <c r="B25" s="4" t="s">
        <v>3186</v>
      </c>
      <c r="C25" s="4" t="s">
        <v>3187</v>
      </c>
      <c r="D25" s="4" t="s">
        <v>3188</v>
      </c>
      <c r="E25" s="4" t="s">
        <v>3189</v>
      </c>
      <c r="F25" s="4" t="s">
        <v>3190</v>
      </c>
      <c r="G25" s="4" t="s">
        <v>3190</v>
      </c>
      <c r="H25" s="7">
        <v>36572.578182870398</v>
      </c>
      <c r="I25" s="4" t="s">
        <v>3243</v>
      </c>
      <c r="J25" s="4" t="s">
        <v>3190</v>
      </c>
      <c r="K25" s="4" t="s">
        <v>3192</v>
      </c>
      <c r="L25" s="4" t="s">
        <v>3244</v>
      </c>
      <c r="M25" s="5">
        <v>137.03</v>
      </c>
    </row>
    <row r="26" spans="1:13" x14ac:dyDescent="0.25">
      <c r="A26" s="4" t="s">
        <v>3185</v>
      </c>
      <c r="B26" s="4" t="s">
        <v>3186</v>
      </c>
      <c r="C26" s="4" t="s">
        <v>3194</v>
      </c>
      <c r="D26" s="4" t="s">
        <v>3195</v>
      </c>
      <c r="E26" s="4" t="s">
        <v>3196</v>
      </c>
      <c r="F26" s="4" t="s">
        <v>3190</v>
      </c>
      <c r="G26" s="4" t="s">
        <v>3190</v>
      </c>
      <c r="H26" s="7">
        <v>36574.645659722199</v>
      </c>
      <c r="I26" s="4" t="s">
        <v>3245</v>
      </c>
      <c r="J26" s="4" t="s">
        <v>3190</v>
      </c>
      <c r="K26" s="4" t="s">
        <v>3192</v>
      </c>
      <c r="L26" s="4" t="s">
        <v>3220</v>
      </c>
      <c r="M26" s="5">
        <v>507.13</v>
      </c>
    </row>
    <row r="27" spans="1:13" x14ac:dyDescent="0.25">
      <c r="A27" s="4" t="s">
        <v>3185</v>
      </c>
      <c r="B27" s="4" t="s">
        <v>3186</v>
      </c>
      <c r="C27" s="4" t="s">
        <v>3194</v>
      </c>
      <c r="D27" s="4" t="s">
        <v>3195</v>
      </c>
      <c r="E27" s="4" t="s">
        <v>3196</v>
      </c>
      <c r="F27" s="4" t="s">
        <v>3190</v>
      </c>
      <c r="G27" s="4" t="s">
        <v>3190</v>
      </c>
      <c r="H27" s="7">
        <v>36574.671284722201</v>
      </c>
      <c r="I27" s="4" t="s">
        <v>3246</v>
      </c>
      <c r="J27" s="4" t="s">
        <v>3190</v>
      </c>
      <c r="K27" s="4" t="s">
        <v>3192</v>
      </c>
      <c r="L27" s="4" t="s">
        <v>3220</v>
      </c>
      <c r="M27" s="5">
        <v>708.01</v>
      </c>
    </row>
    <row r="28" spans="1:13" x14ac:dyDescent="0.25">
      <c r="A28" s="4" t="s">
        <v>3185</v>
      </c>
      <c r="B28" s="4" t="s">
        <v>3186</v>
      </c>
      <c r="C28" s="4" t="s">
        <v>3187</v>
      </c>
      <c r="D28" s="4" t="s">
        <v>3188</v>
      </c>
      <c r="E28" s="4" t="s">
        <v>3189</v>
      </c>
      <c r="F28" s="4" t="s">
        <v>3190</v>
      </c>
      <c r="G28" s="4" t="s">
        <v>3190</v>
      </c>
      <c r="H28" s="7">
        <v>36578.557465277801</v>
      </c>
      <c r="I28" s="4" t="s">
        <v>3247</v>
      </c>
      <c r="J28" s="4" t="s">
        <v>3190</v>
      </c>
      <c r="K28" s="4" t="s">
        <v>3192</v>
      </c>
      <c r="L28" s="4" t="s">
        <v>1498</v>
      </c>
      <c r="M28" s="5">
        <v>102.81</v>
      </c>
    </row>
    <row r="29" spans="1:13" x14ac:dyDescent="0.25">
      <c r="A29" s="4" t="s">
        <v>3185</v>
      </c>
      <c r="B29" s="4" t="s">
        <v>3186</v>
      </c>
      <c r="C29" s="4" t="s">
        <v>3194</v>
      </c>
      <c r="D29" s="4" t="s">
        <v>3195</v>
      </c>
      <c r="E29" s="4" t="s">
        <v>3196</v>
      </c>
      <c r="F29" s="4" t="s">
        <v>3190</v>
      </c>
      <c r="G29" s="4" t="s">
        <v>3190</v>
      </c>
      <c r="H29" s="7">
        <v>36580.519328703696</v>
      </c>
      <c r="I29" s="4" t="s">
        <v>3248</v>
      </c>
      <c r="J29" s="4" t="s">
        <v>3190</v>
      </c>
      <c r="K29" s="4" t="s">
        <v>3192</v>
      </c>
      <c r="L29" s="4" t="s">
        <v>3249</v>
      </c>
      <c r="M29" s="5">
        <v>188.83</v>
      </c>
    </row>
    <row r="30" spans="1:13" x14ac:dyDescent="0.25">
      <c r="A30" s="4" t="s">
        <v>3250</v>
      </c>
      <c r="B30" s="4" t="s">
        <v>3186</v>
      </c>
      <c r="C30" s="4" t="s">
        <v>3187</v>
      </c>
      <c r="D30" s="4" t="s">
        <v>3188</v>
      </c>
      <c r="E30" s="4" t="s">
        <v>3189</v>
      </c>
      <c r="F30" s="4" t="s">
        <v>3190</v>
      </c>
      <c r="G30" s="4" t="s">
        <v>3190</v>
      </c>
      <c r="H30" s="7">
        <v>36584.599293981497</v>
      </c>
      <c r="I30" s="4" t="s">
        <v>3251</v>
      </c>
      <c r="J30" s="4" t="s">
        <v>3190</v>
      </c>
      <c r="K30" s="4" t="s">
        <v>3192</v>
      </c>
      <c r="L30" s="4" t="s">
        <v>280</v>
      </c>
      <c r="M30" s="5">
        <v>512.74</v>
      </c>
    </row>
    <row r="31" spans="1:13" x14ac:dyDescent="0.25">
      <c r="A31" s="4" t="s">
        <v>3252</v>
      </c>
      <c r="B31" s="4" t="s">
        <v>3186</v>
      </c>
      <c r="C31" s="4" t="s">
        <v>3194</v>
      </c>
      <c r="D31" s="4" t="s">
        <v>3195</v>
      </c>
      <c r="E31" s="4" t="s">
        <v>3214</v>
      </c>
      <c r="F31" s="4" t="s">
        <v>3190</v>
      </c>
      <c r="G31" s="4" t="s">
        <v>3190</v>
      </c>
      <c r="H31" s="7">
        <v>36585.3573958333</v>
      </c>
      <c r="I31" s="4" t="s">
        <v>3253</v>
      </c>
      <c r="J31" s="4" t="s">
        <v>3190</v>
      </c>
      <c r="K31" s="4" t="s">
        <v>3192</v>
      </c>
      <c r="L31" s="4" t="s">
        <v>3254</v>
      </c>
      <c r="M31" s="5">
        <v>175</v>
      </c>
    </row>
    <row r="32" spans="1:13" x14ac:dyDescent="0.25">
      <c r="A32" s="4" t="s">
        <v>3255</v>
      </c>
      <c r="B32" s="4" t="s">
        <v>3186</v>
      </c>
      <c r="C32" s="4" t="s">
        <v>3194</v>
      </c>
      <c r="D32" s="4" t="s">
        <v>3195</v>
      </c>
      <c r="E32" s="4" t="s">
        <v>3214</v>
      </c>
      <c r="F32" s="4" t="s">
        <v>3190</v>
      </c>
      <c r="G32" s="4" t="s">
        <v>3190</v>
      </c>
      <c r="H32" s="7">
        <v>36600.538506944402</v>
      </c>
      <c r="I32" s="4" t="s">
        <v>3256</v>
      </c>
      <c r="J32" s="4" t="s">
        <v>3190</v>
      </c>
      <c r="K32" s="4" t="s">
        <v>3192</v>
      </c>
      <c r="L32" s="4" t="s">
        <v>3225</v>
      </c>
      <c r="M32" s="5">
        <v>377.65</v>
      </c>
    </row>
    <row r="33" spans="1:13" x14ac:dyDescent="0.25">
      <c r="A33" s="4" t="s">
        <v>3257</v>
      </c>
      <c r="B33" s="4" t="s">
        <v>3186</v>
      </c>
      <c r="C33" s="4" t="s">
        <v>3187</v>
      </c>
      <c r="D33" s="4" t="s">
        <v>3188</v>
      </c>
      <c r="E33" s="4" t="s">
        <v>3189</v>
      </c>
      <c r="F33" s="4" t="s">
        <v>3190</v>
      </c>
      <c r="G33" s="4" t="s">
        <v>3190</v>
      </c>
      <c r="H33" s="7">
        <v>36600.598379629599</v>
      </c>
      <c r="I33" s="4" t="s">
        <v>3258</v>
      </c>
      <c r="J33" s="4" t="s">
        <v>3190</v>
      </c>
      <c r="K33" s="4" t="s">
        <v>3192</v>
      </c>
      <c r="L33" s="4" t="s">
        <v>458</v>
      </c>
      <c r="M33" s="5">
        <v>801.7</v>
      </c>
    </row>
    <row r="34" spans="1:13" x14ac:dyDescent="0.25">
      <c r="A34" s="4" t="s">
        <v>3209</v>
      </c>
      <c r="B34" s="4" t="s">
        <v>3186</v>
      </c>
      <c r="C34" s="4" t="s">
        <v>3194</v>
      </c>
      <c r="D34" s="4" t="s">
        <v>3195</v>
      </c>
      <c r="E34" s="4" t="s">
        <v>3214</v>
      </c>
      <c r="F34" s="4" t="s">
        <v>3190</v>
      </c>
      <c r="G34" s="4" t="s">
        <v>3190</v>
      </c>
      <c r="H34" s="7">
        <v>36600.6571064815</v>
      </c>
      <c r="I34" s="4" t="s">
        <v>3259</v>
      </c>
      <c r="J34" s="4" t="s">
        <v>3190</v>
      </c>
      <c r="K34" s="4" t="s">
        <v>3192</v>
      </c>
      <c r="L34" s="4" t="s">
        <v>3201</v>
      </c>
      <c r="M34" s="5">
        <v>588.19000000000005</v>
      </c>
    </row>
    <row r="35" spans="1:13" x14ac:dyDescent="0.25">
      <c r="A35" s="4" t="s">
        <v>3240</v>
      </c>
      <c r="B35" s="4" t="s">
        <v>3186</v>
      </c>
      <c r="C35" s="4" t="s">
        <v>3187</v>
      </c>
      <c r="D35" s="4" t="s">
        <v>3188</v>
      </c>
      <c r="E35" s="4" t="s">
        <v>3189</v>
      </c>
      <c r="F35" s="4" t="s">
        <v>3190</v>
      </c>
      <c r="G35" s="4" t="s">
        <v>3190</v>
      </c>
      <c r="H35" s="7">
        <v>36605</v>
      </c>
      <c r="I35" s="4" t="s">
        <v>3260</v>
      </c>
      <c r="J35" s="4" t="s">
        <v>3190</v>
      </c>
      <c r="K35" s="4" t="s">
        <v>3192</v>
      </c>
      <c r="L35" s="4" t="s">
        <v>3261</v>
      </c>
      <c r="M35" s="5">
        <v>218.66</v>
      </c>
    </row>
    <row r="36" spans="1:13" x14ac:dyDescent="0.25">
      <c r="A36" s="4" t="s">
        <v>3206</v>
      </c>
      <c r="B36" s="4" t="s">
        <v>3186</v>
      </c>
      <c r="C36" s="4" t="s">
        <v>3194</v>
      </c>
      <c r="D36" s="4" t="s">
        <v>3195</v>
      </c>
      <c r="E36" s="4" t="s">
        <v>3196</v>
      </c>
      <c r="F36" s="4" t="s">
        <v>3190</v>
      </c>
      <c r="G36" s="4" t="s">
        <v>3190</v>
      </c>
      <c r="H36" s="7">
        <v>36612.528935185197</v>
      </c>
      <c r="I36" s="4" t="s">
        <v>3262</v>
      </c>
      <c r="J36" s="4" t="s">
        <v>3190</v>
      </c>
      <c r="K36" s="4" t="s">
        <v>3192</v>
      </c>
      <c r="L36" s="4" t="s">
        <v>1208</v>
      </c>
      <c r="M36" s="5">
        <v>207.17</v>
      </c>
    </row>
    <row r="37" spans="1:13" x14ac:dyDescent="0.25">
      <c r="A37" s="4" t="s">
        <v>3263</v>
      </c>
      <c r="B37" s="4" t="s">
        <v>3186</v>
      </c>
      <c r="C37" s="4" t="s">
        <v>3194</v>
      </c>
      <c r="D37" s="4" t="s">
        <v>3195</v>
      </c>
      <c r="E37" s="4" t="s">
        <v>3196</v>
      </c>
      <c r="F37" s="4" t="s">
        <v>3190</v>
      </c>
      <c r="G37" s="4" t="s">
        <v>3190</v>
      </c>
      <c r="H37" s="7">
        <v>36612.529548611099</v>
      </c>
      <c r="I37" s="4" t="s">
        <v>3264</v>
      </c>
      <c r="J37" s="4" t="s">
        <v>3190</v>
      </c>
      <c r="K37" s="4" t="s">
        <v>3192</v>
      </c>
      <c r="L37" s="4" t="s">
        <v>3265</v>
      </c>
      <c r="M37" s="5">
        <v>487.17</v>
      </c>
    </row>
    <row r="38" spans="1:13" x14ac:dyDescent="0.25">
      <c r="A38" s="4" t="s">
        <v>3185</v>
      </c>
      <c r="B38" s="4" t="s">
        <v>3186</v>
      </c>
      <c r="C38" s="4" t="s">
        <v>3194</v>
      </c>
      <c r="D38" s="4" t="s">
        <v>3195</v>
      </c>
      <c r="E38" s="4" t="s">
        <v>3196</v>
      </c>
      <c r="F38" s="4" t="s">
        <v>3190</v>
      </c>
      <c r="G38" s="4" t="s">
        <v>3190</v>
      </c>
      <c r="H38" s="7">
        <v>36613.5855787037</v>
      </c>
      <c r="I38" s="4" t="s">
        <v>3266</v>
      </c>
      <c r="J38" s="4" t="s">
        <v>3190</v>
      </c>
      <c r="K38" s="4" t="s">
        <v>3192</v>
      </c>
      <c r="L38" s="4" t="s">
        <v>3267</v>
      </c>
      <c r="M38" s="5">
        <v>753.87</v>
      </c>
    </row>
    <row r="39" spans="1:13" x14ac:dyDescent="0.25">
      <c r="A39" s="4" t="s">
        <v>3185</v>
      </c>
      <c r="B39" s="4" t="s">
        <v>3186</v>
      </c>
      <c r="C39" s="4" t="s">
        <v>3194</v>
      </c>
      <c r="D39" s="4" t="s">
        <v>3195</v>
      </c>
      <c r="E39" s="4" t="s">
        <v>3196</v>
      </c>
      <c r="F39" s="4" t="s">
        <v>3190</v>
      </c>
      <c r="G39" s="4" t="s">
        <v>3190</v>
      </c>
      <c r="H39" s="7">
        <v>36613.5870138889</v>
      </c>
      <c r="I39" s="4" t="s">
        <v>3268</v>
      </c>
      <c r="J39" s="4" t="s">
        <v>3190</v>
      </c>
      <c r="K39" s="4" t="s">
        <v>3192</v>
      </c>
      <c r="L39" s="4" t="s">
        <v>3267</v>
      </c>
      <c r="M39" s="5">
        <v>753.87</v>
      </c>
    </row>
    <row r="40" spans="1:13" x14ac:dyDescent="0.25">
      <c r="A40" s="4" t="s">
        <v>3269</v>
      </c>
      <c r="B40" s="4" t="s">
        <v>3186</v>
      </c>
      <c r="C40" s="4" t="s">
        <v>3194</v>
      </c>
      <c r="D40" s="4" t="s">
        <v>3195</v>
      </c>
      <c r="E40" s="4" t="s">
        <v>3196</v>
      </c>
      <c r="F40" s="4" t="s">
        <v>3190</v>
      </c>
      <c r="G40" s="4" t="s">
        <v>3190</v>
      </c>
      <c r="H40" s="7">
        <v>36614</v>
      </c>
      <c r="I40" s="4" t="s">
        <v>3270</v>
      </c>
      <c r="J40" s="4" t="s">
        <v>3190</v>
      </c>
      <c r="K40" s="4" t="s">
        <v>3192</v>
      </c>
      <c r="L40" s="4" t="s">
        <v>3271</v>
      </c>
      <c r="M40" s="5">
        <v>17042.580000000002</v>
      </c>
    </row>
    <row r="41" spans="1:13" x14ac:dyDescent="0.25">
      <c r="A41" s="4" t="s">
        <v>3221</v>
      </c>
      <c r="B41" s="4" t="s">
        <v>3186</v>
      </c>
      <c r="C41" s="4" t="s">
        <v>3194</v>
      </c>
      <c r="D41" s="4" t="s">
        <v>3195</v>
      </c>
      <c r="E41" s="4" t="s">
        <v>3196</v>
      </c>
      <c r="F41" s="4" t="s">
        <v>3190</v>
      </c>
      <c r="G41" s="4" t="s">
        <v>3190</v>
      </c>
      <c r="H41" s="7">
        <v>36616</v>
      </c>
      <c r="I41" s="4" t="s">
        <v>3272</v>
      </c>
      <c r="J41" s="4" t="s">
        <v>3190</v>
      </c>
      <c r="K41" s="4" t="s">
        <v>3192</v>
      </c>
      <c r="L41" s="4" t="s">
        <v>3273</v>
      </c>
      <c r="M41" s="5">
        <v>1591.05</v>
      </c>
    </row>
    <row r="42" spans="1:13" x14ac:dyDescent="0.25">
      <c r="A42" s="4" t="s">
        <v>3206</v>
      </c>
      <c r="B42" s="4" t="s">
        <v>3186</v>
      </c>
      <c r="C42" s="4" t="s">
        <v>3187</v>
      </c>
      <c r="D42" s="4" t="s">
        <v>3188</v>
      </c>
      <c r="E42" s="4" t="s">
        <v>3189</v>
      </c>
      <c r="F42" s="4" t="s">
        <v>3190</v>
      </c>
      <c r="G42" s="4" t="s">
        <v>3190</v>
      </c>
      <c r="H42" s="7">
        <v>36620.5176041667</v>
      </c>
      <c r="I42" s="4" t="s">
        <v>3274</v>
      </c>
      <c r="J42" s="4" t="s">
        <v>3190</v>
      </c>
      <c r="K42" s="4" t="s">
        <v>3192</v>
      </c>
      <c r="L42" s="4" t="s">
        <v>3225</v>
      </c>
      <c r="M42" s="5">
        <v>686.24</v>
      </c>
    </row>
    <row r="43" spans="1:13" x14ac:dyDescent="0.25">
      <c r="A43" s="4" t="s">
        <v>3185</v>
      </c>
      <c r="B43" s="4" t="s">
        <v>3186</v>
      </c>
      <c r="C43" s="4" t="s">
        <v>3187</v>
      </c>
      <c r="D43" s="4" t="s">
        <v>3188</v>
      </c>
      <c r="E43" s="4" t="s">
        <v>3189</v>
      </c>
      <c r="F43" s="4" t="s">
        <v>3190</v>
      </c>
      <c r="G43" s="4" t="s">
        <v>3190</v>
      </c>
      <c r="H43" s="7">
        <v>36620.518668981502</v>
      </c>
      <c r="I43" s="4" t="s">
        <v>3275</v>
      </c>
      <c r="J43" s="4" t="s">
        <v>3190</v>
      </c>
      <c r="K43" s="4" t="s">
        <v>3192</v>
      </c>
      <c r="L43" s="4" t="s">
        <v>1920</v>
      </c>
      <c r="M43" s="5">
        <v>285.54000000000002</v>
      </c>
    </row>
    <row r="44" spans="1:13" x14ac:dyDescent="0.25">
      <c r="A44" s="4" t="s">
        <v>3206</v>
      </c>
      <c r="B44" s="4" t="s">
        <v>3186</v>
      </c>
      <c r="C44" s="4" t="s">
        <v>3187</v>
      </c>
      <c r="D44" s="4" t="s">
        <v>3188</v>
      </c>
      <c r="E44" s="4" t="s">
        <v>3189</v>
      </c>
      <c r="F44" s="4" t="s">
        <v>3190</v>
      </c>
      <c r="G44" s="4" t="s">
        <v>3190</v>
      </c>
      <c r="H44" s="7">
        <v>36621.683958333299</v>
      </c>
      <c r="I44" s="4" t="s">
        <v>3276</v>
      </c>
      <c r="J44" s="4" t="s">
        <v>3190</v>
      </c>
      <c r="K44" s="4" t="s">
        <v>3192</v>
      </c>
      <c r="L44" s="4" t="s">
        <v>3277</v>
      </c>
      <c r="M44" s="5">
        <v>215.8</v>
      </c>
    </row>
    <row r="45" spans="1:13" x14ac:dyDescent="0.25">
      <c r="A45" s="4" t="s">
        <v>3206</v>
      </c>
      <c r="B45" s="4" t="s">
        <v>3186</v>
      </c>
      <c r="C45" s="4" t="s">
        <v>3187</v>
      </c>
      <c r="D45" s="4" t="s">
        <v>3188</v>
      </c>
      <c r="E45" s="4" t="s">
        <v>3189</v>
      </c>
      <c r="F45" s="4" t="s">
        <v>3190</v>
      </c>
      <c r="G45" s="4" t="s">
        <v>3190</v>
      </c>
      <c r="H45" s="7">
        <v>36622</v>
      </c>
      <c r="I45" s="4" t="s">
        <v>3278</v>
      </c>
      <c r="J45" s="4" t="s">
        <v>3190</v>
      </c>
      <c r="K45" s="4" t="s">
        <v>3192</v>
      </c>
      <c r="L45" s="4" t="s">
        <v>3279</v>
      </c>
      <c r="M45" s="5">
        <v>461.93</v>
      </c>
    </row>
    <row r="46" spans="1:13" x14ac:dyDescent="0.25">
      <c r="A46" s="4" t="s">
        <v>3255</v>
      </c>
      <c r="B46" s="4" t="s">
        <v>3186</v>
      </c>
      <c r="C46" s="4" t="s">
        <v>3194</v>
      </c>
      <c r="D46" s="4" t="s">
        <v>3195</v>
      </c>
      <c r="E46" s="4" t="s">
        <v>3214</v>
      </c>
      <c r="F46" s="4" t="s">
        <v>3190</v>
      </c>
      <c r="G46" s="4" t="s">
        <v>3190</v>
      </c>
      <c r="H46" s="7">
        <v>36622</v>
      </c>
      <c r="I46" s="4" t="s">
        <v>3280</v>
      </c>
      <c r="J46" s="4" t="s">
        <v>3190</v>
      </c>
      <c r="K46" s="4" t="s">
        <v>3192</v>
      </c>
      <c r="L46" s="4" t="s">
        <v>3225</v>
      </c>
      <c r="M46" s="5">
        <v>237.05</v>
      </c>
    </row>
    <row r="47" spans="1:13" x14ac:dyDescent="0.25">
      <c r="A47" s="4" t="s">
        <v>3239</v>
      </c>
      <c r="B47" s="4" t="s">
        <v>3186</v>
      </c>
      <c r="C47" s="4" t="s">
        <v>3187</v>
      </c>
      <c r="D47" s="4" t="s">
        <v>3188</v>
      </c>
      <c r="E47" s="4" t="s">
        <v>3189</v>
      </c>
      <c r="F47" s="4" t="s">
        <v>3190</v>
      </c>
      <c r="G47" s="4" t="s">
        <v>3190</v>
      </c>
      <c r="H47" s="7">
        <v>36623.503692129598</v>
      </c>
      <c r="I47" s="4" t="s">
        <v>3281</v>
      </c>
      <c r="J47" s="4" t="s">
        <v>3190</v>
      </c>
      <c r="K47" s="4" t="s">
        <v>3192</v>
      </c>
      <c r="L47" s="4" t="s">
        <v>3225</v>
      </c>
      <c r="M47" s="5">
        <v>625.78</v>
      </c>
    </row>
    <row r="48" spans="1:13" x14ac:dyDescent="0.25">
      <c r="A48" s="4" t="s">
        <v>3185</v>
      </c>
      <c r="B48" s="4" t="s">
        <v>3186</v>
      </c>
      <c r="C48" s="4" t="s">
        <v>3234</v>
      </c>
      <c r="D48" s="4" t="s">
        <v>3188</v>
      </c>
      <c r="E48" s="4" t="s">
        <v>3189</v>
      </c>
      <c r="F48" s="4" t="s">
        <v>3190</v>
      </c>
      <c r="G48" s="4" t="s">
        <v>3190</v>
      </c>
      <c r="H48" s="7">
        <v>36633.671030092599</v>
      </c>
      <c r="I48" s="4" t="s">
        <v>3282</v>
      </c>
      <c r="J48" s="4" t="s">
        <v>3190</v>
      </c>
      <c r="K48" s="4" t="s">
        <v>3192</v>
      </c>
      <c r="L48" s="4" t="s">
        <v>1498</v>
      </c>
      <c r="M48" s="5">
        <v>347.2</v>
      </c>
    </row>
    <row r="49" spans="1:13" x14ac:dyDescent="0.25">
      <c r="A49" s="4" t="s">
        <v>3283</v>
      </c>
      <c r="B49" s="4" t="s">
        <v>3186</v>
      </c>
      <c r="C49" s="4" t="s">
        <v>3187</v>
      </c>
      <c r="D49" s="4" t="s">
        <v>3188</v>
      </c>
      <c r="E49" s="4" t="s">
        <v>3189</v>
      </c>
      <c r="F49" s="4" t="s">
        <v>3190</v>
      </c>
      <c r="G49" s="4" t="s">
        <v>3190</v>
      </c>
      <c r="H49" s="7">
        <v>36636</v>
      </c>
      <c r="I49" s="4" t="s">
        <v>3284</v>
      </c>
      <c r="J49" s="4" t="s">
        <v>3190</v>
      </c>
      <c r="K49" s="4" t="s">
        <v>3192</v>
      </c>
      <c r="L49" s="4" t="s">
        <v>3285</v>
      </c>
      <c r="M49" s="5">
        <v>106.82</v>
      </c>
    </row>
    <row r="50" spans="1:13" x14ac:dyDescent="0.25">
      <c r="A50" s="4" t="s">
        <v>3185</v>
      </c>
      <c r="B50" s="4" t="s">
        <v>3186</v>
      </c>
      <c r="C50" s="4" t="s">
        <v>3194</v>
      </c>
      <c r="D50" s="4" t="s">
        <v>3195</v>
      </c>
      <c r="E50" s="4" t="s">
        <v>3214</v>
      </c>
      <c r="F50" s="4" t="s">
        <v>3190</v>
      </c>
      <c r="G50" s="4" t="s">
        <v>3190</v>
      </c>
      <c r="H50" s="7">
        <v>36651.651562500003</v>
      </c>
      <c r="I50" s="4" t="s">
        <v>3286</v>
      </c>
      <c r="J50" s="4" t="s">
        <v>3190</v>
      </c>
      <c r="K50" s="4" t="s">
        <v>3192</v>
      </c>
      <c r="L50" s="4" t="s">
        <v>3193</v>
      </c>
      <c r="M50" s="5">
        <v>175.34</v>
      </c>
    </row>
    <row r="51" spans="1:13" x14ac:dyDescent="0.25">
      <c r="A51" s="4" t="s">
        <v>3185</v>
      </c>
      <c r="B51" s="4" t="s">
        <v>3186</v>
      </c>
      <c r="C51" s="4" t="s">
        <v>3194</v>
      </c>
      <c r="D51" s="4" t="s">
        <v>3195</v>
      </c>
      <c r="E51" s="4" t="s">
        <v>3214</v>
      </c>
      <c r="F51" s="4" t="s">
        <v>3190</v>
      </c>
      <c r="G51" s="4" t="s">
        <v>3190</v>
      </c>
      <c r="H51" s="7">
        <v>36654</v>
      </c>
      <c r="I51" s="4" t="s">
        <v>3287</v>
      </c>
      <c r="J51" s="4" t="s">
        <v>3190</v>
      </c>
      <c r="K51" s="4" t="s">
        <v>3192</v>
      </c>
      <c r="L51" s="4" t="s">
        <v>840</v>
      </c>
      <c r="M51" s="5">
        <v>12741.37</v>
      </c>
    </row>
    <row r="52" spans="1:13" x14ac:dyDescent="0.25">
      <c r="A52" s="4" t="s">
        <v>3206</v>
      </c>
      <c r="B52" s="4" t="s">
        <v>3186</v>
      </c>
      <c r="C52" s="4" t="s">
        <v>3187</v>
      </c>
      <c r="D52" s="4" t="s">
        <v>3188</v>
      </c>
      <c r="E52" s="4" t="s">
        <v>3189</v>
      </c>
      <c r="F52" s="4" t="s">
        <v>3190</v>
      </c>
      <c r="G52" s="4" t="s">
        <v>3190</v>
      </c>
      <c r="H52" s="7">
        <v>36655.5851736111</v>
      </c>
      <c r="I52" s="4" t="s">
        <v>3288</v>
      </c>
      <c r="J52" s="4" t="s">
        <v>3190</v>
      </c>
      <c r="K52" s="4" t="s">
        <v>3192</v>
      </c>
      <c r="L52" s="4" t="s">
        <v>3211</v>
      </c>
      <c r="M52" s="5">
        <v>191.38</v>
      </c>
    </row>
    <row r="53" spans="1:13" x14ac:dyDescent="0.25">
      <c r="A53" s="4" t="s">
        <v>3255</v>
      </c>
      <c r="B53" s="4" t="s">
        <v>3186</v>
      </c>
      <c r="C53" s="4" t="s">
        <v>3194</v>
      </c>
      <c r="D53" s="4" t="s">
        <v>3195</v>
      </c>
      <c r="E53" s="4" t="s">
        <v>3214</v>
      </c>
      <c r="F53" s="4" t="s">
        <v>3190</v>
      </c>
      <c r="G53" s="4" t="s">
        <v>3190</v>
      </c>
      <c r="H53" s="7">
        <v>36655.616863425901</v>
      </c>
      <c r="I53" s="4" t="s">
        <v>3289</v>
      </c>
      <c r="J53" s="4" t="s">
        <v>3190</v>
      </c>
      <c r="K53" s="4" t="s">
        <v>3192</v>
      </c>
      <c r="L53" s="4" t="s">
        <v>3225</v>
      </c>
      <c r="M53" s="5">
        <v>463.87</v>
      </c>
    </row>
    <row r="54" spans="1:13" x14ac:dyDescent="0.25">
      <c r="A54" s="4" t="s">
        <v>3240</v>
      </c>
      <c r="B54" s="4" t="s">
        <v>3186</v>
      </c>
      <c r="C54" s="4" t="s">
        <v>3187</v>
      </c>
      <c r="D54" s="4" t="s">
        <v>3188</v>
      </c>
      <c r="E54" s="4" t="s">
        <v>3189</v>
      </c>
      <c r="F54" s="4" t="s">
        <v>3190</v>
      </c>
      <c r="G54" s="4" t="s">
        <v>3190</v>
      </c>
      <c r="H54" s="7">
        <v>36656</v>
      </c>
      <c r="I54" s="4" t="s">
        <v>3290</v>
      </c>
      <c r="J54" s="4" t="s">
        <v>3190</v>
      </c>
      <c r="K54" s="4" t="s">
        <v>3192</v>
      </c>
      <c r="L54" s="4" t="s">
        <v>220</v>
      </c>
      <c r="M54" s="5">
        <v>790.47</v>
      </c>
    </row>
    <row r="55" spans="1:13" x14ac:dyDescent="0.25">
      <c r="A55" s="4" t="s">
        <v>3240</v>
      </c>
      <c r="B55" s="4" t="s">
        <v>3186</v>
      </c>
      <c r="C55" s="4" t="s">
        <v>3194</v>
      </c>
      <c r="D55" s="4" t="s">
        <v>3195</v>
      </c>
      <c r="E55" s="4" t="s">
        <v>3214</v>
      </c>
      <c r="F55" s="4" t="s">
        <v>3190</v>
      </c>
      <c r="G55" s="4" t="s">
        <v>3190</v>
      </c>
      <c r="H55" s="7">
        <v>36656</v>
      </c>
      <c r="I55" s="4" t="s">
        <v>3291</v>
      </c>
      <c r="J55" s="4" t="s">
        <v>3190</v>
      </c>
      <c r="K55" s="4" t="s">
        <v>3192</v>
      </c>
      <c r="L55" s="4" t="s">
        <v>220</v>
      </c>
      <c r="M55" s="5">
        <v>377.08</v>
      </c>
    </row>
    <row r="56" spans="1:13" x14ac:dyDescent="0.25">
      <c r="A56" s="4" t="s">
        <v>3185</v>
      </c>
      <c r="B56" s="4" t="s">
        <v>3186</v>
      </c>
      <c r="C56" s="4" t="s">
        <v>3194</v>
      </c>
      <c r="D56" s="4" t="s">
        <v>3195</v>
      </c>
      <c r="E56" s="4" t="s">
        <v>3196</v>
      </c>
      <c r="F56" s="4" t="s">
        <v>3190</v>
      </c>
      <c r="G56" s="4" t="s">
        <v>3190</v>
      </c>
      <c r="H56" s="7">
        <v>36662.572106481501</v>
      </c>
      <c r="I56" s="4" t="s">
        <v>3292</v>
      </c>
      <c r="J56" s="4" t="s">
        <v>3190</v>
      </c>
      <c r="K56" s="4" t="s">
        <v>3192</v>
      </c>
      <c r="L56" s="4" t="s">
        <v>3213</v>
      </c>
      <c r="M56" s="5">
        <v>935.97</v>
      </c>
    </row>
    <row r="57" spans="1:13" x14ac:dyDescent="0.25">
      <c r="A57" s="4" t="s">
        <v>3206</v>
      </c>
      <c r="B57" s="4" t="s">
        <v>3186</v>
      </c>
      <c r="C57" s="4" t="s">
        <v>3187</v>
      </c>
      <c r="D57" s="4" t="s">
        <v>3188</v>
      </c>
      <c r="E57" s="4" t="s">
        <v>3189</v>
      </c>
      <c r="F57" s="4" t="s">
        <v>3190</v>
      </c>
      <c r="G57" s="4" t="s">
        <v>3190</v>
      </c>
      <c r="H57" s="7">
        <v>36662.582696759302</v>
      </c>
      <c r="I57" s="4" t="s">
        <v>3293</v>
      </c>
      <c r="J57" s="4" t="s">
        <v>3190</v>
      </c>
      <c r="K57" s="4" t="s">
        <v>3192</v>
      </c>
      <c r="L57" s="4" t="s">
        <v>3208</v>
      </c>
      <c r="M57" s="5">
        <v>135.27000000000001</v>
      </c>
    </row>
    <row r="58" spans="1:13" x14ac:dyDescent="0.25">
      <c r="A58" s="4" t="s">
        <v>3209</v>
      </c>
      <c r="B58" s="4" t="s">
        <v>3186</v>
      </c>
      <c r="C58" s="4" t="s">
        <v>3187</v>
      </c>
      <c r="D58" s="4" t="s">
        <v>3188</v>
      </c>
      <c r="E58" s="4" t="s">
        <v>3189</v>
      </c>
      <c r="F58" s="4" t="s">
        <v>3190</v>
      </c>
      <c r="G58" s="4" t="s">
        <v>3190</v>
      </c>
      <c r="H58" s="7">
        <v>36662.634247685201</v>
      </c>
      <c r="I58" s="4" t="s">
        <v>3294</v>
      </c>
      <c r="J58" s="4" t="s">
        <v>3190</v>
      </c>
      <c r="K58" s="4" t="s">
        <v>3192</v>
      </c>
      <c r="L58" s="4" t="s">
        <v>3295</v>
      </c>
      <c r="M58" s="5">
        <v>150.15</v>
      </c>
    </row>
    <row r="59" spans="1:13" x14ac:dyDescent="0.25">
      <c r="A59" s="4" t="s">
        <v>3206</v>
      </c>
      <c r="B59" s="4" t="s">
        <v>3186</v>
      </c>
      <c r="C59" s="4" t="s">
        <v>3187</v>
      </c>
      <c r="D59" s="4" t="s">
        <v>3188</v>
      </c>
      <c r="E59" s="4" t="s">
        <v>3189</v>
      </c>
      <c r="F59" s="4" t="s">
        <v>3190</v>
      </c>
      <c r="G59" s="4" t="s">
        <v>3190</v>
      </c>
      <c r="H59" s="7">
        <v>36663.6382407407</v>
      </c>
      <c r="I59" s="4" t="s">
        <v>3296</v>
      </c>
      <c r="J59" s="4" t="s">
        <v>3190</v>
      </c>
      <c r="K59" s="4" t="s">
        <v>3192</v>
      </c>
      <c r="L59" s="4" t="s">
        <v>3295</v>
      </c>
      <c r="M59" s="5">
        <v>370.65</v>
      </c>
    </row>
    <row r="60" spans="1:13" x14ac:dyDescent="0.25">
      <c r="A60" s="4" t="s">
        <v>3206</v>
      </c>
      <c r="B60" s="4" t="s">
        <v>3186</v>
      </c>
      <c r="C60" s="4" t="s">
        <v>3222</v>
      </c>
      <c r="D60" s="4" t="s">
        <v>3223</v>
      </c>
      <c r="E60" s="4" t="s">
        <v>3214</v>
      </c>
      <c r="F60" s="4" t="s">
        <v>3190</v>
      </c>
      <c r="G60" s="4" t="s">
        <v>3190</v>
      </c>
      <c r="H60" s="7">
        <v>36664</v>
      </c>
      <c r="I60" s="4" t="s">
        <v>3297</v>
      </c>
      <c r="J60" s="4" t="s">
        <v>3190</v>
      </c>
      <c r="K60" s="4" t="s">
        <v>3192</v>
      </c>
      <c r="L60" s="4" t="s">
        <v>3298</v>
      </c>
      <c r="M60" s="5">
        <v>782.28</v>
      </c>
    </row>
    <row r="61" spans="1:13" x14ac:dyDescent="0.25">
      <c r="A61" s="4" t="s">
        <v>3206</v>
      </c>
      <c r="B61" s="4" t="s">
        <v>3186</v>
      </c>
      <c r="C61" s="4" t="s">
        <v>3187</v>
      </c>
      <c r="D61" s="4" t="s">
        <v>3188</v>
      </c>
      <c r="E61" s="4" t="s">
        <v>3189</v>
      </c>
      <c r="F61" s="4" t="s">
        <v>3190</v>
      </c>
      <c r="G61" s="4" t="s">
        <v>3190</v>
      </c>
      <c r="H61" s="7">
        <v>36664.581817129598</v>
      </c>
      <c r="I61" s="4" t="s">
        <v>3299</v>
      </c>
      <c r="J61" s="4" t="s">
        <v>3190</v>
      </c>
      <c r="K61" s="4" t="s">
        <v>3192</v>
      </c>
      <c r="L61" s="4" t="s">
        <v>3208</v>
      </c>
      <c r="M61" s="5">
        <v>135.27000000000001</v>
      </c>
    </row>
    <row r="62" spans="1:13" x14ac:dyDescent="0.25">
      <c r="A62" s="4" t="s">
        <v>3185</v>
      </c>
      <c r="B62" s="4" t="s">
        <v>3186</v>
      </c>
      <c r="C62" s="4" t="s">
        <v>3194</v>
      </c>
      <c r="D62" s="4" t="s">
        <v>3195</v>
      </c>
      <c r="E62" s="4" t="s">
        <v>3196</v>
      </c>
      <c r="F62" s="4" t="s">
        <v>3190</v>
      </c>
      <c r="G62" s="4" t="s">
        <v>3190</v>
      </c>
      <c r="H62" s="7">
        <v>36664.596030092602</v>
      </c>
      <c r="I62" s="4" t="s">
        <v>3300</v>
      </c>
      <c r="J62" s="4" t="s">
        <v>3190</v>
      </c>
      <c r="K62" s="4" t="s">
        <v>3192</v>
      </c>
      <c r="L62" s="4" t="s">
        <v>3208</v>
      </c>
      <c r="M62" s="5">
        <v>202.42</v>
      </c>
    </row>
    <row r="63" spans="1:13" x14ac:dyDescent="0.25">
      <c r="A63" s="4" t="s">
        <v>3185</v>
      </c>
      <c r="B63" s="4" t="s">
        <v>3186</v>
      </c>
      <c r="C63" s="4" t="s">
        <v>3194</v>
      </c>
      <c r="D63" s="4" t="s">
        <v>3195</v>
      </c>
      <c r="E63" s="4" t="s">
        <v>3196</v>
      </c>
      <c r="F63" s="4" t="s">
        <v>3190</v>
      </c>
      <c r="G63" s="4" t="s">
        <v>3190</v>
      </c>
      <c r="H63" s="7">
        <v>36664.597696759301</v>
      </c>
      <c r="I63" s="4" t="s">
        <v>3301</v>
      </c>
      <c r="J63" s="4" t="s">
        <v>3190</v>
      </c>
      <c r="K63" s="4" t="s">
        <v>3192</v>
      </c>
      <c r="L63" s="4" t="s">
        <v>3220</v>
      </c>
      <c r="M63" s="5">
        <v>856.51</v>
      </c>
    </row>
    <row r="64" spans="1:13" x14ac:dyDescent="0.25">
      <c r="A64" s="4" t="s">
        <v>3185</v>
      </c>
      <c r="B64" s="4" t="s">
        <v>3186</v>
      </c>
      <c r="C64" s="4" t="s">
        <v>3194</v>
      </c>
      <c r="D64" s="4" t="s">
        <v>3195</v>
      </c>
      <c r="E64" s="4" t="s">
        <v>3214</v>
      </c>
      <c r="F64" s="4" t="s">
        <v>3190</v>
      </c>
      <c r="G64" s="4" t="s">
        <v>3190</v>
      </c>
      <c r="H64" s="7">
        <v>36664.687824074099</v>
      </c>
      <c r="I64" s="4" t="s">
        <v>3302</v>
      </c>
      <c r="J64" s="4" t="s">
        <v>3190</v>
      </c>
      <c r="K64" s="4" t="s">
        <v>3192</v>
      </c>
      <c r="L64" s="4" t="s">
        <v>3225</v>
      </c>
      <c r="M64" s="5">
        <v>728.22</v>
      </c>
    </row>
    <row r="65" spans="1:13" x14ac:dyDescent="0.25">
      <c r="A65" s="4" t="s">
        <v>3209</v>
      </c>
      <c r="B65" s="4" t="s">
        <v>3186</v>
      </c>
      <c r="C65" s="4" t="s">
        <v>3187</v>
      </c>
      <c r="D65" s="4" t="s">
        <v>3188</v>
      </c>
      <c r="E65" s="4" t="s">
        <v>3189</v>
      </c>
      <c r="F65" s="4" t="s">
        <v>3190</v>
      </c>
      <c r="G65" s="4" t="s">
        <v>3190</v>
      </c>
      <c r="H65" s="7">
        <v>36665.511354166701</v>
      </c>
      <c r="I65" s="4" t="s">
        <v>3303</v>
      </c>
      <c r="J65" s="4" t="s">
        <v>3190</v>
      </c>
      <c r="K65" s="4" t="s">
        <v>3192</v>
      </c>
      <c r="L65" s="4" t="s">
        <v>3237</v>
      </c>
      <c r="M65" s="5">
        <v>210.01</v>
      </c>
    </row>
    <row r="66" spans="1:13" x14ac:dyDescent="0.25">
      <c r="A66" s="4" t="s">
        <v>3206</v>
      </c>
      <c r="B66" s="4" t="s">
        <v>3186</v>
      </c>
      <c r="C66" s="4" t="s">
        <v>3187</v>
      </c>
      <c r="D66" s="4" t="s">
        <v>3188</v>
      </c>
      <c r="E66" s="4" t="s">
        <v>3189</v>
      </c>
      <c r="F66" s="4" t="s">
        <v>3190</v>
      </c>
      <c r="G66" s="4" t="s">
        <v>3190</v>
      </c>
      <c r="H66" s="7">
        <v>36668.563865740703</v>
      </c>
      <c r="I66" s="4" t="s">
        <v>3304</v>
      </c>
      <c r="J66" s="4" t="s">
        <v>3190</v>
      </c>
      <c r="K66" s="4" t="s">
        <v>3192</v>
      </c>
      <c r="L66" s="4" t="s">
        <v>3208</v>
      </c>
      <c r="M66" s="5">
        <v>160.04</v>
      </c>
    </row>
    <row r="67" spans="1:13" x14ac:dyDescent="0.25">
      <c r="A67" s="4" t="s">
        <v>3206</v>
      </c>
      <c r="B67" s="4" t="s">
        <v>3186</v>
      </c>
      <c r="C67" s="4" t="s">
        <v>3187</v>
      </c>
      <c r="D67" s="4" t="s">
        <v>3188</v>
      </c>
      <c r="E67" s="4" t="s">
        <v>3189</v>
      </c>
      <c r="F67" s="4" t="s">
        <v>3190</v>
      </c>
      <c r="G67" s="4" t="s">
        <v>3190</v>
      </c>
      <c r="H67" s="7">
        <v>36668.5988657407</v>
      </c>
      <c r="I67" s="4" t="s">
        <v>3305</v>
      </c>
      <c r="J67" s="4" t="s">
        <v>3190</v>
      </c>
      <c r="K67" s="4" t="s">
        <v>3192</v>
      </c>
      <c r="L67" s="4" t="s">
        <v>3295</v>
      </c>
      <c r="M67" s="5">
        <v>390.64</v>
      </c>
    </row>
    <row r="68" spans="1:13" x14ac:dyDescent="0.25">
      <c r="A68" s="4" t="s">
        <v>3185</v>
      </c>
      <c r="B68" s="4" t="s">
        <v>3186</v>
      </c>
      <c r="C68" s="4" t="s">
        <v>3194</v>
      </c>
      <c r="D68" s="4" t="s">
        <v>3195</v>
      </c>
      <c r="E68" s="4" t="s">
        <v>3196</v>
      </c>
      <c r="F68" s="4" t="s">
        <v>3190</v>
      </c>
      <c r="G68" s="4" t="s">
        <v>3190</v>
      </c>
      <c r="H68" s="7">
        <v>36668.6006597222</v>
      </c>
      <c r="I68" s="4" t="s">
        <v>3306</v>
      </c>
      <c r="J68" s="4" t="s">
        <v>3190</v>
      </c>
      <c r="K68" s="4" t="s">
        <v>3192</v>
      </c>
      <c r="L68" s="4" t="s">
        <v>3307</v>
      </c>
      <c r="M68" s="5">
        <v>423.41</v>
      </c>
    </row>
    <row r="69" spans="1:13" x14ac:dyDescent="0.25">
      <c r="A69" s="4" t="s">
        <v>3185</v>
      </c>
      <c r="B69" s="4" t="s">
        <v>3186</v>
      </c>
      <c r="C69" s="4" t="s">
        <v>3194</v>
      </c>
      <c r="D69" s="4" t="s">
        <v>3195</v>
      </c>
      <c r="E69" s="4" t="s">
        <v>3196</v>
      </c>
      <c r="F69" s="4" t="s">
        <v>3190</v>
      </c>
      <c r="G69" s="4" t="s">
        <v>3190</v>
      </c>
      <c r="H69" s="7">
        <v>36669.553900462997</v>
      </c>
      <c r="I69" s="4" t="s">
        <v>3308</v>
      </c>
      <c r="J69" s="4" t="s">
        <v>3190</v>
      </c>
      <c r="K69" s="4" t="s">
        <v>3192</v>
      </c>
      <c r="L69" s="4" t="s">
        <v>3220</v>
      </c>
      <c r="M69" s="5">
        <v>491.21</v>
      </c>
    </row>
    <row r="70" spans="1:13" x14ac:dyDescent="0.25">
      <c r="A70" s="4" t="s">
        <v>3250</v>
      </c>
      <c r="B70" s="4" t="s">
        <v>3186</v>
      </c>
      <c r="C70" s="4" t="s">
        <v>3187</v>
      </c>
      <c r="D70" s="4" t="s">
        <v>3188</v>
      </c>
      <c r="E70" s="4" t="s">
        <v>3189</v>
      </c>
      <c r="F70" s="4" t="s">
        <v>3190</v>
      </c>
      <c r="G70" s="4" t="s">
        <v>3190</v>
      </c>
      <c r="H70" s="7">
        <v>36670.566435185203</v>
      </c>
      <c r="I70" s="4" t="s">
        <v>3309</v>
      </c>
      <c r="J70" s="4" t="s">
        <v>3190</v>
      </c>
      <c r="K70" s="4" t="s">
        <v>3192</v>
      </c>
      <c r="L70" s="4" t="s">
        <v>3295</v>
      </c>
      <c r="M70" s="5">
        <v>281.52999999999997</v>
      </c>
    </row>
    <row r="71" spans="1:13" x14ac:dyDescent="0.25">
      <c r="A71" s="4" t="s">
        <v>3209</v>
      </c>
      <c r="B71" s="4" t="s">
        <v>3186</v>
      </c>
      <c r="C71" s="4" t="s">
        <v>3187</v>
      </c>
      <c r="D71" s="4" t="s">
        <v>3188</v>
      </c>
      <c r="E71" s="4" t="s">
        <v>3189</v>
      </c>
      <c r="F71" s="4" t="s">
        <v>3190</v>
      </c>
      <c r="G71" s="4" t="s">
        <v>3190</v>
      </c>
      <c r="H71" s="7">
        <v>36677.5389236111</v>
      </c>
      <c r="I71" s="4" t="s">
        <v>3310</v>
      </c>
      <c r="J71" s="4" t="s">
        <v>3190</v>
      </c>
      <c r="K71" s="4" t="s">
        <v>3192</v>
      </c>
      <c r="L71" s="4" t="s">
        <v>3311</v>
      </c>
      <c r="M71" s="5">
        <v>300.69</v>
      </c>
    </row>
    <row r="72" spans="1:13" x14ac:dyDescent="0.25">
      <c r="A72" s="4" t="s">
        <v>3185</v>
      </c>
      <c r="B72" s="4" t="s">
        <v>3186</v>
      </c>
      <c r="C72" s="4" t="s">
        <v>3194</v>
      </c>
      <c r="D72" s="4" t="s">
        <v>3195</v>
      </c>
      <c r="E72" s="4" t="s">
        <v>3196</v>
      </c>
      <c r="F72" s="4" t="s">
        <v>3190</v>
      </c>
      <c r="G72" s="4" t="s">
        <v>3190</v>
      </c>
      <c r="H72" s="7">
        <v>36679.638877314799</v>
      </c>
      <c r="I72" s="4" t="s">
        <v>3312</v>
      </c>
      <c r="J72" s="4" t="s">
        <v>3190</v>
      </c>
      <c r="K72" s="4" t="s">
        <v>3192</v>
      </c>
      <c r="L72" s="4" t="s">
        <v>3313</v>
      </c>
      <c r="M72" s="5">
        <v>145.66999999999999</v>
      </c>
    </row>
    <row r="73" spans="1:13" x14ac:dyDescent="0.25">
      <c r="A73" s="4" t="s">
        <v>3255</v>
      </c>
      <c r="B73" s="4" t="s">
        <v>3186</v>
      </c>
      <c r="C73" s="4" t="s">
        <v>3194</v>
      </c>
      <c r="D73" s="4" t="s">
        <v>3195</v>
      </c>
      <c r="E73" s="4" t="s">
        <v>3214</v>
      </c>
      <c r="F73" s="4" t="s">
        <v>3190</v>
      </c>
      <c r="G73" s="4" t="s">
        <v>3190</v>
      </c>
      <c r="H73" s="7">
        <v>36682.542534722197</v>
      </c>
      <c r="I73" s="4" t="s">
        <v>3314</v>
      </c>
      <c r="J73" s="4" t="s">
        <v>3190</v>
      </c>
      <c r="K73" s="4" t="s">
        <v>3192</v>
      </c>
      <c r="L73" s="4" t="s">
        <v>3225</v>
      </c>
      <c r="M73" s="5">
        <v>323.38</v>
      </c>
    </row>
    <row r="74" spans="1:13" x14ac:dyDescent="0.25">
      <c r="A74" s="4" t="s">
        <v>3185</v>
      </c>
      <c r="B74" s="4" t="s">
        <v>3186</v>
      </c>
      <c r="C74" s="4" t="s">
        <v>3194</v>
      </c>
      <c r="D74" s="4" t="s">
        <v>3195</v>
      </c>
      <c r="E74" s="4" t="s">
        <v>3196</v>
      </c>
      <c r="F74" s="4" t="s">
        <v>3190</v>
      </c>
      <c r="G74" s="4" t="s">
        <v>3190</v>
      </c>
      <c r="H74" s="7">
        <v>36697.564328703702</v>
      </c>
      <c r="I74" s="4" t="s">
        <v>3315</v>
      </c>
      <c r="J74" s="4" t="s">
        <v>3190</v>
      </c>
      <c r="K74" s="4" t="s">
        <v>3192</v>
      </c>
      <c r="L74" s="4" t="s">
        <v>3220</v>
      </c>
      <c r="M74" s="5">
        <v>866.86</v>
      </c>
    </row>
    <row r="75" spans="1:13" x14ac:dyDescent="0.25">
      <c r="A75" s="4" t="s">
        <v>3206</v>
      </c>
      <c r="B75" s="4" t="s">
        <v>3186</v>
      </c>
      <c r="C75" s="4" t="s">
        <v>3187</v>
      </c>
      <c r="D75" s="4" t="s">
        <v>3188</v>
      </c>
      <c r="E75" s="4" t="s">
        <v>3189</v>
      </c>
      <c r="F75" s="4" t="s">
        <v>3190</v>
      </c>
      <c r="G75" s="4" t="s">
        <v>3190</v>
      </c>
      <c r="H75" s="7">
        <v>36699.647905092599</v>
      </c>
      <c r="I75" s="4" t="s">
        <v>3316</v>
      </c>
      <c r="J75" s="4" t="s">
        <v>3190</v>
      </c>
      <c r="K75" s="4" t="s">
        <v>3192</v>
      </c>
      <c r="L75" s="4" t="s">
        <v>3208</v>
      </c>
      <c r="M75" s="5">
        <v>269.63</v>
      </c>
    </row>
    <row r="76" spans="1:13" x14ac:dyDescent="0.25">
      <c r="A76" s="4" t="s">
        <v>3209</v>
      </c>
      <c r="B76" s="4" t="s">
        <v>3186</v>
      </c>
      <c r="C76" s="4" t="s">
        <v>3194</v>
      </c>
      <c r="D76" s="4" t="s">
        <v>3195</v>
      </c>
      <c r="E76" s="4" t="s">
        <v>3199</v>
      </c>
      <c r="F76" s="4" t="s">
        <v>3190</v>
      </c>
      <c r="G76" s="4" t="s">
        <v>3190</v>
      </c>
      <c r="H76" s="7">
        <v>36699.650983796302</v>
      </c>
      <c r="I76" s="4" t="s">
        <v>3317</v>
      </c>
      <c r="J76" s="4" t="s">
        <v>3190</v>
      </c>
      <c r="K76" s="4" t="s">
        <v>3192</v>
      </c>
      <c r="L76" s="4" t="s">
        <v>280</v>
      </c>
      <c r="M76" s="5">
        <v>145.34</v>
      </c>
    </row>
    <row r="77" spans="1:13" x14ac:dyDescent="0.25">
      <c r="A77" s="4" t="s">
        <v>3209</v>
      </c>
      <c r="B77" s="4" t="s">
        <v>3186</v>
      </c>
      <c r="C77" s="4" t="s">
        <v>3194</v>
      </c>
      <c r="D77" s="4" t="s">
        <v>3195</v>
      </c>
      <c r="E77" s="4" t="s">
        <v>3214</v>
      </c>
      <c r="F77" s="4" t="s">
        <v>3190</v>
      </c>
      <c r="G77" s="4" t="s">
        <v>3190</v>
      </c>
      <c r="H77" s="7">
        <v>36699.650983796302</v>
      </c>
      <c r="I77" s="4" t="s">
        <v>3317</v>
      </c>
      <c r="J77" s="4" t="s">
        <v>3190</v>
      </c>
      <c r="K77" s="4" t="s">
        <v>3192</v>
      </c>
      <c r="L77" s="4" t="s">
        <v>280</v>
      </c>
      <c r="M77" s="5">
        <v>265.70999999999998</v>
      </c>
    </row>
    <row r="78" spans="1:13" x14ac:dyDescent="0.25">
      <c r="A78" s="4" t="s">
        <v>3185</v>
      </c>
      <c r="B78" s="4" t="s">
        <v>3186</v>
      </c>
      <c r="C78" s="4" t="s">
        <v>3194</v>
      </c>
      <c r="D78" s="4" t="s">
        <v>3195</v>
      </c>
      <c r="E78" s="4" t="s">
        <v>3196</v>
      </c>
      <c r="F78" s="4" t="s">
        <v>3190</v>
      </c>
      <c r="G78" s="4" t="s">
        <v>3190</v>
      </c>
      <c r="H78" s="7">
        <v>36699.669780092598</v>
      </c>
      <c r="I78" s="4" t="s">
        <v>3318</v>
      </c>
      <c r="J78" s="4" t="s">
        <v>3190</v>
      </c>
      <c r="K78" s="4" t="s">
        <v>3192</v>
      </c>
      <c r="L78" s="4" t="s">
        <v>3249</v>
      </c>
      <c r="M78" s="5">
        <v>582.1</v>
      </c>
    </row>
    <row r="79" spans="1:13" x14ac:dyDescent="0.25">
      <c r="A79" s="4" t="s">
        <v>3206</v>
      </c>
      <c r="B79" s="4" t="s">
        <v>3186</v>
      </c>
      <c r="C79" s="4" t="s">
        <v>3187</v>
      </c>
      <c r="D79" s="4" t="s">
        <v>3188</v>
      </c>
      <c r="E79" s="4" t="s">
        <v>3189</v>
      </c>
      <c r="F79" s="4" t="s">
        <v>3190</v>
      </c>
      <c r="G79" s="4" t="s">
        <v>3190</v>
      </c>
      <c r="H79" s="7">
        <v>36703.578587962998</v>
      </c>
      <c r="I79" s="4" t="s">
        <v>3319</v>
      </c>
      <c r="J79" s="4" t="s">
        <v>3190</v>
      </c>
      <c r="K79" s="4" t="s">
        <v>3192</v>
      </c>
      <c r="L79" s="4" t="s">
        <v>3244</v>
      </c>
      <c r="M79" s="5">
        <v>231.42</v>
      </c>
    </row>
    <row r="80" spans="1:13" x14ac:dyDescent="0.25">
      <c r="A80" s="4" t="s">
        <v>3209</v>
      </c>
      <c r="B80" s="4" t="s">
        <v>3186</v>
      </c>
      <c r="C80" s="4" t="s">
        <v>3187</v>
      </c>
      <c r="D80" s="4" t="s">
        <v>3188</v>
      </c>
      <c r="E80" s="4" t="s">
        <v>3189</v>
      </c>
      <c r="F80" s="4" t="s">
        <v>3190</v>
      </c>
      <c r="G80" s="4" t="s">
        <v>3190</v>
      </c>
      <c r="H80" s="7">
        <v>36703.584745370397</v>
      </c>
      <c r="I80" s="4" t="s">
        <v>3320</v>
      </c>
      <c r="J80" s="4" t="s">
        <v>3190</v>
      </c>
      <c r="K80" s="4" t="s">
        <v>3192</v>
      </c>
      <c r="L80" s="4" t="s">
        <v>3321</v>
      </c>
      <c r="M80" s="5">
        <v>115.89</v>
      </c>
    </row>
    <row r="81" spans="1:13" x14ac:dyDescent="0.25">
      <c r="A81" s="4" t="s">
        <v>3185</v>
      </c>
      <c r="B81" s="4" t="s">
        <v>3186</v>
      </c>
      <c r="C81" s="4" t="s">
        <v>3187</v>
      </c>
      <c r="D81" s="4" t="s">
        <v>3188</v>
      </c>
      <c r="E81" s="4" t="s">
        <v>3189</v>
      </c>
      <c r="F81" s="4" t="s">
        <v>3190</v>
      </c>
      <c r="G81" s="4" t="s">
        <v>3190</v>
      </c>
      <c r="H81" s="7">
        <v>36703.589641203696</v>
      </c>
      <c r="I81" s="4" t="s">
        <v>3322</v>
      </c>
      <c r="J81" s="4" t="s">
        <v>3190</v>
      </c>
      <c r="K81" s="4" t="s">
        <v>3192</v>
      </c>
      <c r="L81" s="4" t="s">
        <v>3323</v>
      </c>
      <c r="M81" s="5">
        <v>1015.58</v>
      </c>
    </row>
    <row r="82" spans="1:13" x14ac:dyDescent="0.25">
      <c r="A82" s="4" t="s">
        <v>3324</v>
      </c>
      <c r="B82" s="4" t="s">
        <v>3186</v>
      </c>
      <c r="C82" s="4" t="s">
        <v>3194</v>
      </c>
      <c r="D82" s="4" t="s">
        <v>3195</v>
      </c>
      <c r="E82" s="4" t="s">
        <v>3196</v>
      </c>
      <c r="F82" s="4" t="s">
        <v>3190</v>
      </c>
      <c r="G82" s="4" t="s">
        <v>3190</v>
      </c>
      <c r="H82" s="7">
        <v>36703.592025462996</v>
      </c>
      <c r="I82" s="4" t="s">
        <v>3325</v>
      </c>
      <c r="J82" s="4" t="s">
        <v>3190</v>
      </c>
      <c r="K82" s="4" t="s">
        <v>3192</v>
      </c>
      <c r="L82" s="4" t="s">
        <v>3267</v>
      </c>
      <c r="M82" s="5">
        <v>873.84</v>
      </c>
    </row>
    <row r="83" spans="1:13" x14ac:dyDescent="0.25">
      <c r="A83" s="4" t="s">
        <v>3206</v>
      </c>
      <c r="B83" s="4" t="s">
        <v>3186</v>
      </c>
      <c r="C83" s="4" t="s">
        <v>3187</v>
      </c>
      <c r="D83" s="4" t="s">
        <v>3188</v>
      </c>
      <c r="E83" s="4" t="s">
        <v>3189</v>
      </c>
      <c r="F83" s="4" t="s">
        <v>3190</v>
      </c>
      <c r="G83" s="4" t="s">
        <v>3190</v>
      </c>
      <c r="H83" s="7">
        <v>36703.658784722204</v>
      </c>
      <c r="I83" s="4" t="s">
        <v>3326</v>
      </c>
      <c r="J83" s="4" t="s">
        <v>3190</v>
      </c>
      <c r="K83" s="4" t="s">
        <v>3192</v>
      </c>
      <c r="L83" s="4" t="s">
        <v>3327</v>
      </c>
      <c r="M83" s="5">
        <v>560</v>
      </c>
    </row>
    <row r="84" spans="1:13" x14ac:dyDescent="0.25">
      <c r="A84" s="4" t="s">
        <v>3185</v>
      </c>
      <c r="B84" s="4" t="s">
        <v>3186</v>
      </c>
      <c r="C84" s="4" t="s">
        <v>3194</v>
      </c>
      <c r="D84" s="4" t="s">
        <v>3195</v>
      </c>
      <c r="E84" s="4" t="s">
        <v>3196</v>
      </c>
      <c r="F84" s="4" t="s">
        <v>3190</v>
      </c>
      <c r="G84" s="4" t="s">
        <v>3190</v>
      </c>
      <c r="H84" s="7">
        <v>36704.480335648201</v>
      </c>
      <c r="I84" s="4" t="s">
        <v>3328</v>
      </c>
      <c r="J84" s="4" t="s">
        <v>3190</v>
      </c>
      <c r="K84" s="4" t="s">
        <v>3192</v>
      </c>
      <c r="L84" s="4" t="s">
        <v>3329</v>
      </c>
      <c r="M84" s="5">
        <v>171.07</v>
      </c>
    </row>
    <row r="85" spans="1:13" x14ac:dyDescent="0.25">
      <c r="A85" s="4" t="s">
        <v>3206</v>
      </c>
      <c r="B85" s="4" t="s">
        <v>3186</v>
      </c>
      <c r="C85" s="4" t="s">
        <v>3187</v>
      </c>
      <c r="D85" s="4" t="s">
        <v>3188</v>
      </c>
      <c r="E85" s="4" t="s">
        <v>3189</v>
      </c>
      <c r="F85" s="4" t="s">
        <v>3190</v>
      </c>
      <c r="G85" s="4" t="s">
        <v>3190</v>
      </c>
      <c r="H85" s="7">
        <v>36704.575567129599</v>
      </c>
      <c r="I85" s="4" t="s">
        <v>3330</v>
      </c>
      <c r="J85" s="4" t="s">
        <v>3190</v>
      </c>
      <c r="K85" s="4" t="s">
        <v>3192</v>
      </c>
      <c r="L85" s="4" t="s">
        <v>3277</v>
      </c>
      <c r="M85" s="5">
        <v>451.6</v>
      </c>
    </row>
    <row r="86" spans="1:13" x14ac:dyDescent="0.25">
      <c r="A86" s="4" t="s">
        <v>3185</v>
      </c>
      <c r="B86" s="4" t="s">
        <v>3186</v>
      </c>
      <c r="C86" s="4" t="s">
        <v>3194</v>
      </c>
      <c r="D86" s="4" t="s">
        <v>3195</v>
      </c>
      <c r="E86" s="4" t="s">
        <v>3196</v>
      </c>
      <c r="F86" s="4" t="s">
        <v>3190</v>
      </c>
      <c r="G86" s="4" t="s">
        <v>3190</v>
      </c>
      <c r="H86" s="7">
        <v>36707.522511574098</v>
      </c>
      <c r="I86" s="4" t="s">
        <v>3331</v>
      </c>
      <c r="J86" s="4" t="s">
        <v>3190</v>
      </c>
      <c r="K86" s="4" t="s">
        <v>3192</v>
      </c>
      <c r="L86" s="4" t="s">
        <v>3220</v>
      </c>
      <c r="M86" s="5">
        <v>837.66</v>
      </c>
    </row>
    <row r="87" spans="1:13" x14ac:dyDescent="0.25">
      <c r="A87" s="4" t="s">
        <v>3209</v>
      </c>
      <c r="B87" s="4" t="s">
        <v>3186</v>
      </c>
      <c r="C87" s="4" t="s">
        <v>3187</v>
      </c>
      <c r="D87" s="4" t="s">
        <v>3188</v>
      </c>
      <c r="E87" s="4" t="s">
        <v>3189</v>
      </c>
      <c r="F87" s="4" t="s">
        <v>3190</v>
      </c>
      <c r="G87" s="4" t="s">
        <v>3190</v>
      </c>
      <c r="H87" s="7">
        <v>36707.999988425901</v>
      </c>
      <c r="I87" s="4" t="s">
        <v>3332</v>
      </c>
      <c r="J87" s="4" t="s">
        <v>3190</v>
      </c>
      <c r="K87" s="4" t="s">
        <v>3192</v>
      </c>
      <c r="L87" s="4" t="s">
        <v>1498</v>
      </c>
      <c r="M87" s="5">
        <v>117.89</v>
      </c>
    </row>
    <row r="88" spans="1:13" x14ac:dyDescent="0.25">
      <c r="A88" s="4" t="s">
        <v>3185</v>
      </c>
      <c r="B88" s="4" t="s">
        <v>3186</v>
      </c>
      <c r="C88" s="4" t="s">
        <v>3194</v>
      </c>
      <c r="D88" s="4" t="s">
        <v>3195</v>
      </c>
      <c r="E88" s="4" t="s">
        <v>3196</v>
      </c>
      <c r="F88" s="4" t="s">
        <v>3190</v>
      </c>
      <c r="G88" s="4" t="s">
        <v>3190</v>
      </c>
      <c r="H88" s="7">
        <v>36725.528391203698</v>
      </c>
      <c r="I88" s="4" t="s">
        <v>3333</v>
      </c>
      <c r="J88" s="4" t="s">
        <v>3190</v>
      </c>
      <c r="K88" s="4" t="s">
        <v>3192</v>
      </c>
      <c r="L88" s="4" t="s">
        <v>3220</v>
      </c>
      <c r="M88" s="5">
        <v>867.2</v>
      </c>
    </row>
    <row r="89" spans="1:13" x14ac:dyDescent="0.25">
      <c r="A89" s="4" t="s">
        <v>3185</v>
      </c>
      <c r="B89" s="4" t="s">
        <v>3186</v>
      </c>
      <c r="C89" s="4" t="s">
        <v>3187</v>
      </c>
      <c r="D89" s="4" t="s">
        <v>3188</v>
      </c>
      <c r="E89" s="4" t="s">
        <v>3189</v>
      </c>
      <c r="F89" s="4" t="s">
        <v>3190</v>
      </c>
      <c r="G89" s="4" t="s">
        <v>3190</v>
      </c>
      <c r="H89" s="7">
        <v>36725.544212963003</v>
      </c>
      <c r="I89" s="4" t="s">
        <v>3334</v>
      </c>
      <c r="J89" s="4" t="s">
        <v>3190</v>
      </c>
      <c r="K89" s="4" t="s">
        <v>3192</v>
      </c>
      <c r="L89" s="4" t="s">
        <v>280</v>
      </c>
      <c r="M89" s="5">
        <v>240.35</v>
      </c>
    </row>
    <row r="90" spans="1:13" x14ac:dyDescent="0.25">
      <c r="A90" s="4" t="s">
        <v>3335</v>
      </c>
      <c r="B90" s="4" t="s">
        <v>3186</v>
      </c>
      <c r="C90" s="4" t="s">
        <v>3194</v>
      </c>
      <c r="D90" s="4" t="s">
        <v>3195</v>
      </c>
      <c r="E90" s="4" t="s">
        <v>3196</v>
      </c>
      <c r="F90" s="4" t="s">
        <v>3190</v>
      </c>
      <c r="G90" s="4" t="s">
        <v>3190</v>
      </c>
      <c r="H90" s="7">
        <v>36727.5559953704</v>
      </c>
      <c r="I90" s="4" t="s">
        <v>3336</v>
      </c>
      <c r="J90" s="4" t="s">
        <v>3190</v>
      </c>
      <c r="K90" s="4" t="s">
        <v>3192</v>
      </c>
      <c r="L90" s="4" t="s">
        <v>3220</v>
      </c>
      <c r="M90" s="5">
        <v>440.15</v>
      </c>
    </row>
    <row r="91" spans="1:13" x14ac:dyDescent="0.25">
      <c r="A91" s="4" t="s">
        <v>3283</v>
      </c>
      <c r="B91" s="4" t="s">
        <v>3186</v>
      </c>
      <c r="C91" s="4" t="s">
        <v>3187</v>
      </c>
      <c r="D91" s="4" t="s">
        <v>3188</v>
      </c>
      <c r="E91" s="4" t="s">
        <v>3189</v>
      </c>
      <c r="F91" s="4" t="s">
        <v>3190</v>
      </c>
      <c r="G91" s="4" t="s">
        <v>3190</v>
      </c>
      <c r="H91" s="7">
        <v>36732</v>
      </c>
      <c r="I91" s="4" t="s">
        <v>3337</v>
      </c>
      <c r="J91" s="4" t="s">
        <v>3190</v>
      </c>
      <c r="K91" s="4" t="s">
        <v>3192</v>
      </c>
      <c r="L91" s="4" t="s">
        <v>3338</v>
      </c>
      <c r="M91" s="5">
        <v>276.8</v>
      </c>
    </row>
    <row r="92" spans="1:13" x14ac:dyDescent="0.25">
      <c r="A92" s="4" t="s">
        <v>3185</v>
      </c>
      <c r="B92" s="4" t="s">
        <v>3186</v>
      </c>
      <c r="C92" s="4" t="s">
        <v>3194</v>
      </c>
      <c r="D92" s="4" t="s">
        <v>3195</v>
      </c>
      <c r="E92" s="4" t="s">
        <v>3214</v>
      </c>
      <c r="F92" s="4" t="s">
        <v>3190</v>
      </c>
      <c r="G92" s="4" t="s">
        <v>3190</v>
      </c>
      <c r="H92" s="7">
        <v>36732</v>
      </c>
      <c r="I92" s="4" t="s">
        <v>3339</v>
      </c>
      <c r="J92" s="4" t="s">
        <v>3190</v>
      </c>
      <c r="K92" s="4" t="s">
        <v>3192</v>
      </c>
      <c r="L92" s="4" t="s">
        <v>3340</v>
      </c>
      <c r="M92" s="5">
        <v>125.06</v>
      </c>
    </row>
    <row r="93" spans="1:13" x14ac:dyDescent="0.25">
      <c r="A93" s="4" t="s">
        <v>3185</v>
      </c>
      <c r="B93" s="4" t="s">
        <v>3186</v>
      </c>
      <c r="C93" s="4" t="s">
        <v>3194</v>
      </c>
      <c r="D93" s="4" t="s">
        <v>3195</v>
      </c>
      <c r="E93" s="4" t="s">
        <v>3196</v>
      </c>
      <c r="F93" s="4" t="s">
        <v>3190</v>
      </c>
      <c r="G93" s="4" t="s">
        <v>3190</v>
      </c>
      <c r="H93" s="7">
        <v>36735.582835648202</v>
      </c>
      <c r="I93" s="4" t="s">
        <v>3341</v>
      </c>
      <c r="J93" s="4" t="s">
        <v>3190</v>
      </c>
      <c r="K93" s="4" t="s">
        <v>3192</v>
      </c>
      <c r="L93" s="4" t="s">
        <v>3342</v>
      </c>
      <c r="M93" s="5">
        <v>302.10000000000002</v>
      </c>
    </row>
    <row r="94" spans="1:13" x14ac:dyDescent="0.25">
      <c r="A94" s="4" t="s">
        <v>3343</v>
      </c>
      <c r="B94" s="4" t="s">
        <v>3186</v>
      </c>
      <c r="C94" s="4" t="s">
        <v>3187</v>
      </c>
      <c r="D94" s="4" t="s">
        <v>3188</v>
      </c>
      <c r="E94" s="4" t="s">
        <v>3189</v>
      </c>
      <c r="F94" s="4" t="s">
        <v>3190</v>
      </c>
      <c r="G94" s="4" t="s">
        <v>3190</v>
      </c>
      <c r="H94" s="7">
        <v>36735.619351851798</v>
      </c>
      <c r="I94" s="4" t="s">
        <v>3344</v>
      </c>
      <c r="J94" s="4" t="s">
        <v>3190</v>
      </c>
      <c r="K94" s="4" t="s">
        <v>3192</v>
      </c>
      <c r="L94" s="4" t="s">
        <v>78</v>
      </c>
      <c r="M94" s="5">
        <v>4440</v>
      </c>
    </row>
    <row r="95" spans="1:13" x14ac:dyDescent="0.25">
      <c r="A95" s="4" t="s">
        <v>3209</v>
      </c>
      <c r="B95" s="4" t="s">
        <v>3186</v>
      </c>
      <c r="C95" s="4" t="s">
        <v>3187</v>
      </c>
      <c r="D95" s="4" t="s">
        <v>3188</v>
      </c>
      <c r="E95" s="4" t="s">
        <v>3189</v>
      </c>
      <c r="F95" s="4" t="s">
        <v>3190</v>
      </c>
      <c r="G95" s="4" t="s">
        <v>3190</v>
      </c>
      <c r="H95" s="7">
        <v>36741.523090277798</v>
      </c>
      <c r="I95" s="4" t="s">
        <v>3345</v>
      </c>
      <c r="J95" s="4" t="s">
        <v>3190</v>
      </c>
      <c r="K95" s="4" t="s">
        <v>3192</v>
      </c>
      <c r="L95" s="4" t="s">
        <v>3295</v>
      </c>
      <c r="M95" s="5">
        <v>151.24</v>
      </c>
    </row>
    <row r="96" spans="1:13" x14ac:dyDescent="0.25">
      <c r="A96" s="4" t="s">
        <v>3209</v>
      </c>
      <c r="B96" s="4" t="s">
        <v>3186</v>
      </c>
      <c r="C96" s="4" t="s">
        <v>3187</v>
      </c>
      <c r="D96" s="4" t="s">
        <v>3188</v>
      </c>
      <c r="E96" s="4" t="s">
        <v>3189</v>
      </c>
      <c r="F96" s="4" t="s">
        <v>3190</v>
      </c>
      <c r="G96" s="4" t="s">
        <v>3190</v>
      </c>
      <c r="H96" s="7">
        <v>36745.647951388899</v>
      </c>
      <c r="I96" s="4" t="s">
        <v>3346</v>
      </c>
      <c r="J96" s="4" t="s">
        <v>3190</v>
      </c>
      <c r="K96" s="4" t="s">
        <v>3192</v>
      </c>
      <c r="L96" s="4" t="s">
        <v>3211</v>
      </c>
      <c r="M96" s="5">
        <v>661.16</v>
      </c>
    </row>
    <row r="97" spans="1:13" x14ac:dyDescent="0.25">
      <c r="A97" s="4" t="s">
        <v>3209</v>
      </c>
      <c r="B97" s="4" t="s">
        <v>3186</v>
      </c>
      <c r="C97" s="4" t="s">
        <v>3187</v>
      </c>
      <c r="D97" s="4" t="s">
        <v>3188</v>
      </c>
      <c r="E97" s="4" t="s">
        <v>3189</v>
      </c>
      <c r="F97" s="4" t="s">
        <v>3190</v>
      </c>
      <c r="G97" s="4" t="s">
        <v>3190</v>
      </c>
      <c r="H97" s="7">
        <v>36748.547395833302</v>
      </c>
      <c r="I97" s="4" t="s">
        <v>3347</v>
      </c>
      <c r="J97" s="4" t="s">
        <v>3190</v>
      </c>
      <c r="K97" s="4" t="s">
        <v>3192</v>
      </c>
      <c r="L97" s="4" t="s">
        <v>280</v>
      </c>
      <c r="M97" s="5">
        <v>221.07</v>
      </c>
    </row>
    <row r="98" spans="1:13" x14ac:dyDescent="0.25">
      <c r="A98" s="4" t="s">
        <v>3209</v>
      </c>
      <c r="B98" s="4" t="s">
        <v>3186</v>
      </c>
      <c r="C98" s="4" t="s">
        <v>3187</v>
      </c>
      <c r="D98" s="4" t="s">
        <v>3188</v>
      </c>
      <c r="E98" s="4" t="s">
        <v>3189</v>
      </c>
      <c r="F98" s="4" t="s">
        <v>3190</v>
      </c>
      <c r="G98" s="4" t="s">
        <v>3190</v>
      </c>
      <c r="H98" s="7">
        <v>36748.555659722202</v>
      </c>
      <c r="I98" s="4" t="s">
        <v>3348</v>
      </c>
      <c r="J98" s="4" t="s">
        <v>3190</v>
      </c>
      <c r="K98" s="4" t="s">
        <v>3192</v>
      </c>
      <c r="L98" s="4" t="s">
        <v>280</v>
      </c>
      <c r="M98" s="5">
        <v>148.96</v>
      </c>
    </row>
    <row r="99" spans="1:13" x14ac:dyDescent="0.25">
      <c r="A99" s="4" t="s">
        <v>3209</v>
      </c>
      <c r="B99" s="4" t="s">
        <v>3186</v>
      </c>
      <c r="C99" s="4" t="s">
        <v>3187</v>
      </c>
      <c r="D99" s="4" t="s">
        <v>3188</v>
      </c>
      <c r="E99" s="4" t="s">
        <v>3189</v>
      </c>
      <c r="F99" s="4" t="s">
        <v>3190</v>
      </c>
      <c r="G99" s="4" t="s">
        <v>3190</v>
      </c>
      <c r="H99" s="7">
        <v>36748.557870370401</v>
      </c>
      <c r="I99" s="4" t="s">
        <v>3349</v>
      </c>
      <c r="J99" s="4" t="s">
        <v>3190</v>
      </c>
      <c r="K99" s="4" t="s">
        <v>3192</v>
      </c>
      <c r="L99" s="4" t="s">
        <v>280</v>
      </c>
      <c r="M99" s="5">
        <v>302.49</v>
      </c>
    </row>
    <row r="100" spans="1:13" x14ac:dyDescent="0.25">
      <c r="A100" s="4" t="s">
        <v>3209</v>
      </c>
      <c r="B100" s="4" t="s">
        <v>3186</v>
      </c>
      <c r="C100" s="4" t="s">
        <v>3187</v>
      </c>
      <c r="D100" s="4" t="s">
        <v>3188</v>
      </c>
      <c r="E100" s="4" t="s">
        <v>3189</v>
      </c>
      <c r="F100" s="4" t="s">
        <v>3190</v>
      </c>
      <c r="G100" s="4" t="s">
        <v>3190</v>
      </c>
      <c r="H100" s="7">
        <v>36748.5602083333</v>
      </c>
      <c r="I100" s="4" t="s">
        <v>3350</v>
      </c>
      <c r="J100" s="4" t="s">
        <v>3190</v>
      </c>
      <c r="K100" s="4" t="s">
        <v>3192</v>
      </c>
      <c r="L100" s="4" t="s">
        <v>280</v>
      </c>
      <c r="M100" s="5">
        <v>112.12</v>
      </c>
    </row>
    <row r="101" spans="1:13" x14ac:dyDescent="0.25">
      <c r="A101" s="4" t="s">
        <v>3185</v>
      </c>
      <c r="B101" s="4" t="s">
        <v>3186</v>
      </c>
      <c r="C101" s="4" t="s">
        <v>3194</v>
      </c>
      <c r="D101" s="4" t="s">
        <v>3195</v>
      </c>
      <c r="E101" s="4" t="s">
        <v>3214</v>
      </c>
      <c r="F101" s="4" t="s">
        <v>3190</v>
      </c>
      <c r="G101" s="4" t="s">
        <v>3190</v>
      </c>
      <c r="H101" s="7">
        <v>36748.578495370399</v>
      </c>
      <c r="I101" s="4" t="s">
        <v>3351</v>
      </c>
      <c r="J101" s="4" t="s">
        <v>3190</v>
      </c>
      <c r="K101" s="4" t="s">
        <v>3192</v>
      </c>
      <c r="L101" s="4" t="s">
        <v>840</v>
      </c>
      <c r="M101" s="5">
        <v>232.61</v>
      </c>
    </row>
    <row r="102" spans="1:13" x14ac:dyDescent="0.25">
      <c r="A102" s="4" t="s">
        <v>3352</v>
      </c>
      <c r="B102" s="4" t="s">
        <v>3186</v>
      </c>
      <c r="C102" s="4" t="s">
        <v>3194</v>
      </c>
      <c r="D102" s="4" t="s">
        <v>3195</v>
      </c>
      <c r="E102" s="4" t="s">
        <v>3214</v>
      </c>
      <c r="F102" s="4" t="s">
        <v>3190</v>
      </c>
      <c r="G102" s="4" t="s">
        <v>3190</v>
      </c>
      <c r="H102" s="7">
        <v>36754</v>
      </c>
      <c r="I102" s="4" t="s">
        <v>3353</v>
      </c>
      <c r="J102" s="4" t="s">
        <v>3190</v>
      </c>
      <c r="K102" s="4" t="s">
        <v>3192</v>
      </c>
      <c r="L102" s="4" t="s">
        <v>3354</v>
      </c>
      <c r="M102" s="5">
        <v>15755.9</v>
      </c>
    </row>
    <row r="103" spans="1:13" x14ac:dyDescent="0.25">
      <c r="A103" s="4" t="s">
        <v>3209</v>
      </c>
      <c r="B103" s="4" t="s">
        <v>3186</v>
      </c>
      <c r="C103" s="4" t="s">
        <v>3187</v>
      </c>
      <c r="D103" s="4" t="s">
        <v>3188</v>
      </c>
      <c r="E103" s="4" t="s">
        <v>3189</v>
      </c>
      <c r="F103" s="4" t="s">
        <v>3190</v>
      </c>
      <c r="G103" s="4" t="s">
        <v>3190</v>
      </c>
      <c r="H103" s="7">
        <v>36755.520115740699</v>
      </c>
      <c r="I103" s="4" t="s">
        <v>3355</v>
      </c>
      <c r="J103" s="4" t="s">
        <v>3190</v>
      </c>
      <c r="K103" s="4" t="s">
        <v>3192</v>
      </c>
      <c r="L103" s="4" t="s">
        <v>3295</v>
      </c>
      <c r="M103" s="5">
        <v>115.43</v>
      </c>
    </row>
    <row r="104" spans="1:13" x14ac:dyDescent="0.25">
      <c r="A104" s="4" t="s">
        <v>3335</v>
      </c>
      <c r="B104" s="4" t="s">
        <v>3186</v>
      </c>
      <c r="C104" s="4" t="s">
        <v>3194</v>
      </c>
      <c r="D104" s="4" t="s">
        <v>3195</v>
      </c>
      <c r="E104" s="4" t="s">
        <v>3214</v>
      </c>
      <c r="F104" s="4" t="s">
        <v>3190</v>
      </c>
      <c r="G104" s="4" t="s">
        <v>3190</v>
      </c>
      <c r="H104" s="7">
        <v>36767.517002314802</v>
      </c>
      <c r="I104" s="4" t="s">
        <v>3356</v>
      </c>
      <c r="J104" s="4" t="s">
        <v>3190</v>
      </c>
      <c r="K104" s="4" t="s">
        <v>3192</v>
      </c>
      <c r="L104" s="4" t="s">
        <v>3220</v>
      </c>
      <c r="M104" s="5">
        <v>681.27</v>
      </c>
    </row>
    <row r="105" spans="1:13" x14ac:dyDescent="0.25">
      <c r="A105" s="4" t="s">
        <v>3343</v>
      </c>
      <c r="B105" s="4" t="s">
        <v>3186</v>
      </c>
      <c r="C105" s="4" t="s">
        <v>3194</v>
      </c>
      <c r="D105" s="4" t="s">
        <v>3195</v>
      </c>
      <c r="E105" s="4" t="s">
        <v>3196</v>
      </c>
      <c r="F105" s="4" t="s">
        <v>3190</v>
      </c>
      <c r="G105" s="4" t="s">
        <v>3190</v>
      </c>
      <c r="H105" s="7">
        <v>36767.521157407398</v>
      </c>
      <c r="I105" s="4" t="s">
        <v>3357</v>
      </c>
      <c r="J105" s="4" t="s">
        <v>3190</v>
      </c>
      <c r="K105" s="4" t="s">
        <v>3192</v>
      </c>
      <c r="L105" s="4" t="s">
        <v>1208</v>
      </c>
      <c r="M105" s="5">
        <v>156.46</v>
      </c>
    </row>
    <row r="106" spans="1:13" x14ac:dyDescent="0.25">
      <c r="A106" s="4" t="s">
        <v>3335</v>
      </c>
      <c r="B106" s="4" t="s">
        <v>3186</v>
      </c>
      <c r="C106" s="4" t="s">
        <v>3194</v>
      </c>
      <c r="D106" s="4" t="s">
        <v>3195</v>
      </c>
      <c r="E106" s="4" t="s">
        <v>3214</v>
      </c>
      <c r="F106" s="4" t="s">
        <v>3190</v>
      </c>
      <c r="G106" s="4" t="s">
        <v>3190</v>
      </c>
      <c r="H106" s="7">
        <v>36767.545671296299</v>
      </c>
      <c r="I106" s="4" t="s">
        <v>3358</v>
      </c>
      <c r="J106" s="4" t="s">
        <v>3190</v>
      </c>
      <c r="K106" s="4" t="s">
        <v>3192</v>
      </c>
      <c r="L106" s="4" t="s">
        <v>3220</v>
      </c>
      <c r="M106" s="5">
        <v>130.08000000000001</v>
      </c>
    </row>
    <row r="107" spans="1:13" x14ac:dyDescent="0.25">
      <c r="A107" s="4" t="s">
        <v>3335</v>
      </c>
      <c r="B107" s="4" t="s">
        <v>3186</v>
      </c>
      <c r="C107" s="4" t="s">
        <v>3194</v>
      </c>
      <c r="D107" s="4" t="s">
        <v>3195</v>
      </c>
      <c r="E107" s="4" t="s">
        <v>3214</v>
      </c>
      <c r="F107" s="4" t="s">
        <v>3190</v>
      </c>
      <c r="G107" s="4" t="s">
        <v>3190</v>
      </c>
      <c r="H107" s="7">
        <v>36767.550289351901</v>
      </c>
      <c r="I107" s="4" t="s">
        <v>3359</v>
      </c>
      <c r="J107" s="4" t="s">
        <v>3190</v>
      </c>
      <c r="K107" s="4" t="s">
        <v>3192</v>
      </c>
      <c r="L107" s="4" t="s">
        <v>3220</v>
      </c>
      <c r="M107" s="5">
        <v>843.89</v>
      </c>
    </row>
    <row r="108" spans="1:13" x14ac:dyDescent="0.25">
      <c r="A108" s="4" t="s">
        <v>3206</v>
      </c>
      <c r="B108" s="4" t="s">
        <v>3186</v>
      </c>
      <c r="C108" s="4" t="s">
        <v>3187</v>
      </c>
      <c r="D108" s="4" t="s">
        <v>3188</v>
      </c>
      <c r="E108" s="4" t="s">
        <v>3189</v>
      </c>
      <c r="F108" s="4" t="s">
        <v>3190</v>
      </c>
      <c r="G108" s="4" t="s">
        <v>3190</v>
      </c>
      <c r="H108" s="7">
        <v>36768</v>
      </c>
      <c r="I108" s="4" t="s">
        <v>3360</v>
      </c>
      <c r="J108" s="4" t="s">
        <v>3190</v>
      </c>
      <c r="K108" s="4" t="s">
        <v>3192</v>
      </c>
      <c r="L108" s="4" t="s">
        <v>3361</v>
      </c>
      <c r="M108" s="5">
        <v>7368.85</v>
      </c>
    </row>
    <row r="109" spans="1:13" x14ac:dyDescent="0.25">
      <c r="A109" s="4" t="s">
        <v>3335</v>
      </c>
      <c r="B109" s="4" t="s">
        <v>3186</v>
      </c>
      <c r="C109" s="4" t="s">
        <v>3194</v>
      </c>
      <c r="D109" s="4" t="s">
        <v>3195</v>
      </c>
      <c r="E109" s="4" t="s">
        <v>3214</v>
      </c>
      <c r="F109" s="4" t="s">
        <v>3190</v>
      </c>
      <c r="G109" s="4" t="s">
        <v>3190</v>
      </c>
      <c r="H109" s="7">
        <v>36768.465543981503</v>
      </c>
      <c r="I109" s="4" t="s">
        <v>3362</v>
      </c>
      <c r="J109" s="4" t="s">
        <v>3190</v>
      </c>
      <c r="K109" s="4" t="s">
        <v>3192</v>
      </c>
      <c r="L109" s="4" t="s">
        <v>3220</v>
      </c>
      <c r="M109" s="5">
        <v>413.76</v>
      </c>
    </row>
    <row r="110" spans="1:13" x14ac:dyDescent="0.25">
      <c r="A110" s="4" t="s">
        <v>3185</v>
      </c>
      <c r="B110" s="4" t="s">
        <v>3186</v>
      </c>
      <c r="C110" s="4" t="s">
        <v>3194</v>
      </c>
      <c r="D110" s="4" t="s">
        <v>3195</v>
      </c>
      <c r="E110" s="4" t="s">
        <v>3196</v>
      </c>
      <c r="F110" s="4" t="s">
        <v>3190</v>
      </c>
      <c r="G110" s="4" t="s">
        <v>3190</v>
      </c>
      <c r="H110" s="7">
        <v>36776.541597222204</v>
      </c>
      <c r="I110" s="4" t="s">
        <v>3363</v>
      </c>
      <c r="J110" s="4" t="s">
        <v>3190</v>
      </c>
      <c r="K110" s="4" t="s">
        <v>3192</v>
      </c>
      <c r="L110" s="4" t="s">
        <v>1208</v>
      </c>
      <c r="M110" s="5">
        <v>775.07</v>
      </c>
    </row>
    <row r="111" spans="1:13" x14ac:dyDescent="0.25">
      <c r="A111" s="4" t="s">
        <v>3185</v>
      </c>
      <c r="B111" s="4" t="s">
        <v>3186</v>
      </c>
      <c r="C111" s="4" t="s">
        <v>3194</v>
      </c>
      <c r="D111" s="4" t="s">
        <v>3195</v>
      </c>
      <c r="E111" s="4" t="s">
        <v>3196</v>
      </c>
      <c r="F111" s="4" t="s">
        <v>3190</v>
      </c>
      <c r="G111" s="4" t="s">
        <v>3190</v>
      </c>
      <c r="H111" s="7">
        <v>36777.538078703699</v>
      </c>
      <c r="I111" s="4" t="s">
        <v>3364</v>
      </c>
      <c r="J111" s="4" t="s">
        <v>3190</v>
      </c>
      <c r="K111" s="4" t="s">
        <v>3192</v>
      </c>
      <c r="L111" s="4" t="s">
        <v>3220</v>
      </c>
      <c r="M111" s="5">
        <v>238.48</v>
      </c>
    </row>
    <row r="112" spans="1:13" x14ac:dyDescent="0.25">
      <c r="A112" s="4" t="s">
        <v>3209</v>
      </c>
      <c r="B112" s="4" t="s">
        <v>3186</v>
      </c>
      <c r="C112" s="4" t="s">
        <v>3187</v>
      </c>
      <c r="D112" s="4" t="s">
        <v>3188</v>
      </c>
      <c r="E112" s="4" t="s">
        <v>3189</v>
      </c>
      <c r="F112" s="4" t="s">
        <v>3190</v>
      </c>
      <c r="G112" s="4" t="s">
        <v>3190</v>
      </c>
      <c r="H112" s="7">
        <v>36783.5218171296</v>
      </c>
      <c r="I112" s="4" t="s">
        <v>3365</v>
      </c>
      <c r="J112" s="4" t="s">
        <v>3190</v>
      </c>
      <c r="K112" s="4" t="s">
        <v>3192</v>
      </c>
      <c r="L112" s="4" t="s">
        <v>3211</v>
      </c>
      <c r="M112" s="5">
        <v>356.34</v>
      </c>
    </row>
    <row r="113" spans="1:13" x14ac:dyDescent="0.25">
      <c r="A113" s="4" t="s">
        <v>3366</v>
      </c>
      <c r="B113" s="4" t="s">
        <v>3186</v>
      </c>
      <c r="C113" s="4" t="s">
        <v>3194</v>
      </c>
      <c r="D113" s="4" t="s">
        <v>3195</v>
      </c>
      <c r="E113" s="4" t="s">
        <v>3214</v>
      </c>
      <c r="F113" s="4" t="s">
        <v>3190</v>
      </c>
      <c r="G113" s="4" t="s">
        <v>3190</v>
      </c>
      <c r="H113" s="7">
        <v>36784.628171296303</v>
      </c>
      <c r="I113" s="4" t="s">
        <v>3367</v>
      </c>
      <c r="J113" s="4" t="s">
        <v>3190</v>
      </c>
      <c r="K113" s="4" t="s">
        <v>3192</v>
      </c>
      <c r="L113" s="4" t="s">
        <v>985</v>
      </c>
      <c r="M113" s="5">
        <v>380</v>
      </c>
    </row>
    <row r="114" spans="1:13" x14ac:dyDescent="0.25">
      <c r="A114" s="4" t="s">
        <v>3209</v>
      </c>
      <c r="B114" s="4" t="s">
        <v>3186</v>
      </c>
      <c r="C114" s="4" t="s">
        <v>3194</v>
      </c>
      <c r="D114" s="4" t="s">
        <v>3195</v>
      </c>
      <c r="E114" s="4" t="s">
        <v>3214</v>
      </c>
      <c r="F114" s="4" t="s">
        <v>3190</v>
      </c>
      <c r="G114" s="4" t="s">
        <v>3190</v>
      </c>
      <c r="H114" s="7">
        <v>36787.488206018497</v>
      </c>
      <c r="I114" s="4" t="s">
        <v>3368</v>
      </c>
      <c r="J114" s="4" t="s">
        <v>3190</v>
      </c>
      <c r="K114" s="4" t="s">
        <v>3192</v>
      </c>
      <c r="L114" s="4" t="s">
        <v>280</v>
      </c>
      <c r="M114" s="5">
        <v>304.73</v>
      </c>
    </row>
    <row r="115" spans="1:13" x14ac:dyDescent="0.25">
      <c r="A115" s="4" t="s">
        <v>3185</v>
      </c>
      <c r="B115" s="4" t="s">
        <v>3186</v>
      </c>
      <c r="C115" s="4" t="s">
        <v>3194</v>
      </c>
      <c r="D115" s="4" t="s">
        <v>3195</v>
      </c>
      <c r="E115" s="4" t="s">
        <v>3196</v>
      </c>
      <c r="F115" s="4" t="s">
        <v>3190</v>
      </c>
      <c r="G115" s="4" t="s">
        <v>3190</v>
      </c>
      <c r="H115" s="7">
        <v>36787.539444444403</v>
      </c>
      <c r="I115" s="4" t="s">
        <v>3369</v>
      </c>
      <c r="J115" s="4" t="s">
        <v>3190</v>
      </c>
      <c r="K115" s="4" t="s">
        <v>3192</v>
      </c>
      <c r="L115" s="4" t="s">
        <v>3313</v>
      </c>
      <c r="M115" s="5">
        <v>130.84</v>
      </c>
    </row>
    <row r="116" spans="1:13" x14ac:dyDescent="0.25">
      <c r="A116" s="4" t="s">
        <v>3185</v>
      </c>
      <c r="B116" s="4" t="s">
        <v>3186</v>
      </c>
      <c r="C116" s="4" t="s">
        <v>3194</v>
      </c>
      <c r="D116" s="4" t="s">
        <v>3195</v>
      </c>
      <c r="E116" s="4" t="s">
        <v>3214</v>
      </c>
      <c r="F116" s="4" t="s">
        <v>3190</v>
      </c>
      <c r="G116" s="4" t="s">
        <v>3190</v>
      </c>
      <c r="H116" s="7">
        <v>36790.542905092603</v>
      </c>
      <c r="I116" s="4" t="s">
        <v>3370</v>
      </c>
      <c r="J116" s="4" t="s">
        <v>3190</v>
      </c>
      <c r="K116" s="4" t="s">
        <v>3192</v>
      </c>
      <c r="L116" s="4" t="s">
        <v>3371</v>
      </c>
      <c r="M116" s="5">
        <v>209.33</v>
      </c>
    </row>
    <row r="117" spans="1:13" x14ac:dyDescent="0.25">
      <c r="A117" s="4" t="s">
        <v>3185</v>
      </c>
      <c r="B117" s="4" t="s">
        <v>3186</v>
      </c>
      <c r="C117" s="4" t="s">
        <v>3194</v>
      </c>
      <c r="D117" s="4" t="s">
        <v>3195</v>
      </c>
      <c r="E117" s="4" t="s">
        <v>3214</v>
      </c>
      <c r="F117" s="4" t="s">
        <v>3190</v>
      </c>
      <c r="G117" s="4" t="s">
        <v>3190</v>
      </c>
      <c r="H117" s="7">
        <v>36790.544537037</v>
      </c>
      <c r="I117" s="4" t="s">
        <v>3372</v>
      </c>
      <c r="J117" s="4" t="s">
        <v>3190</v>
      </c>
      <c r="K117" s="4" t="s">
        <v>3192</v>
      </c>
      <c r="L117" s="4" t="s">
        <v>3220</v>
      </c>
      <c r="M117" s="5">
        <v>776.14</v>
      </c>
    </row>
    <row r="118" spans="1:13" x14ac:dyDescent="0.25">
      <c r="A118" s="4" t="s">
        <v>3252</v>
      </c>
      <c r="B118" s="4" t="s">
        <v>3186</v>
      </c>
      <c r="C118" s="4" t="s">
        <v>3187</v>
      </c>
      <c r="D118" s="4" t="s">
        <v>3188</v>
      </c>
      <c r="E118" s="4" t="s">
        <v>3189</v>
      </c>
      <c r="F118" s="4" t="s">
        <v>3190</v>
      </c>
      <c r="G118" s="4" t="s">
        <v>3190</v>
      </c>
      <c r="H118" s="7">
        <v>36795.457870370403</v>
      </c>
      <c r="I118" s="4" t="s">
        <v>3373</v>
      </c>
      <c r="J118" s="4" t="s">
        <v>3190</v>
      </c>
      <c r="K118" s="4" t="s">
        <v>3192</v>
      </c>
      <c r="L118" s="4" t="s">
        <v>3374</v>
      </c>
      <c r="M118" s="5">
        <v>597</v>
      </c>
    </row>
    <row r="119" spans="1:13" x14ac:dyDescent="0.25">
      <c r="A119" s="4" t="s">
        <v>3185</v>
      </c>
      <c r="B119" s="4" t="s">
        <v>3186</v>
      </c>
      <c r="C119" s="4" t="s">
        <v>3194</v>
      </c>
      <c r="D119" s="4" t="s">
        <v>3195</v>
      </c>
      <c r="E119" s="4" t="s">
        <v>3214</v>
      </c>
      <c r="F119" s="4" t="s">
        <v>3190</v>
      </c>
      <c r="G119" s="4" t="s">
        <v>3190</v>
      </c>
      <c r="H119" s="7">
        <v>36796.518842592603</v>
      </c>
      <c r="I119" s="4" t="s">
        <v>3375</v>
      </c>
      <c r="J119" s="4" t="s">
        <v>3190</v>
      </c>
      <c r="K119" s="4" t="s">
        <v>3192</v>
      </c>
      <c r="L119" s="4" t="s">
        <v>3220</v>
      </c>
      <c r="M119" s="5">
        <v>679.72</v>
      </c>
    </row>
    <row r="120" spans="1:13" x14ac:dyDescent="0.25">
      <c r="A120" s="4" t="s">
        <v>3206</v>
      </c>
      <c r="B120" s="4" t="s">
        <v>3186</v>
      </c>
      <c r="C120" s="4" t="s">
        <v>3187</v>
      </c>
      <c r="D120" s="4" t="s">
        <v>3188</v>
      </c>
      <c r="E120" s="4" t="s">
        <v>3189</v>
      </c>
      <c r="F120" s="4" t="s">
        <v>3190</v>
      </c>
      <c r="G120" s="4" t="s">
        <v>3190</v>
      </c>
      <c r="H120" s="7">
        <v>36801.644884259302</v>
      </c>
      <c r="I120" s="4" t="s">
        <v>3376</v>
      </c>
      <c r="J120" s="4" t="s">
        <v>3190</v>
      </c>
      <c r="K120" s="4" t="s">
        <v>3192</v>
      </c>
      <c r="L120" s="4" t="s">
        <v>3208</v>
      </c>
      <c r="M120" s="5">
        <v>108.19</v>
      </c>
    </row>
    <row r="121" spans="1:13" x14ac:dyDescent="0.25">
      <c r="A121" s="4" t="s">
        <v>3242</v>
      </c>
      <c r="B121" s="4" t="s">
        <v>3186</v>
      </c>
      <c r="C121" s="4" t="s">
        <v>3194</v>
      </c>
      <c r="D121" s="4" t="s">
        <v>3195</v>
      </c>
      <c r="E121" s="4" t="s">
        <v>3196</v>
      </c>
      <c r="F121" s="4" t="s">
        <v>3190</v>
      </c>
      <c r="G121" s="4" t="s">
        <v>3190</v>
      </c>
      <c r="H121" s="7">
        <v>36804.579305555599</v>
      </c>
      <c r="I121" s="4" t="s">
        <v>3377</v>
      </c>
      <c r="J121" s="4" t="s">
        <v>3190</v>
      </c>
      <c r="K121" s="4" t="s">
        <v>3192</v>
      </c>
      <c r="L121" s="4" t="s">
        <v>106</v>
      </c>
      <c r="M121" s="5">
        <v>810.64</v>
      </c>
    </row>
    <row r="122" spans="1:13" x14ac:dyDescent="0.25">
      <c r="A122" s="4" t="s">
        <v>3209</v>
      </c>
      <c r="B122" s="4" t="s">
        <v>3186</v>
      </c>
      <c r="C122" s="4" t="s">
        <v>3187</v>
      </c>
      <c r="D122" s="4" t="s">
        <v>3188</v>
      </c>
      <c r="E122" s="4" t="s">
        <v>3189</v>
      </c>
      <c r="F122" s="4" t="s">
        <v>3190</v>
      </c>
      <c r="G122" s="4" t="s">
        <v>3190</v>
      </c>
      <c r="H122" s="7">
        <v>36811.5600694444</v>
      </c>
      <c r="I122" s="4" t="s">
        <v>3378</v>
      </c>
      <c r="J122" s="4" t="s">
        <v>3190</v>
      </c>
      <c r="K122" s="4" t="s">
        <v>3192</v>
      </c>
      <c r="L122" s="4" t="s">
        <v>3211</v>
      </c>
      <c r="M122" s="5">
        <v>117.76</v>
      </c>
    </row>
    <row r="123" spans="1:13" x14ac:dyDescent="0.25">
      <c r="A123" s="4" t="s">
        <v>3209</v>
      </c>
      <c r="B123" s="4" t="s">
        <v>3186</v>
      </c>
      <c r="C123" s="4" t="s">
        <v>3187</v>
      </c>
      <c r="D123" s="4" t="s">
        <v>3188</v>
      </c>
      <c r="E123" s="4" t="s">
        <v>3189</v>
      </c>
      <c r="F123" s="4" t="s">
        <v>3190</v>
      </c>
      <c r="G123" s="4" t="s">
        <v>3190</v>
      </c>
      <c r="H123" s="7">
        <v>36815.614097222198</v>
      </c>
      <c r="I123" s="4" t="s">
        <v>3379</v>
      </c>
      <c r="J123" s="4" t="s">
        <v>3190</v>
      </c>
      <c r="K123" s="4" t="s">
        <v>3192</v>
      </c>
      <c r="L123" s="4" t="s">
        <v>2559</v>
      </c>
      <c r="M123" s="5">
        <v>473.79</v>
      </c>
    </row>
    <row r="124" spans="1:13" x14ac:dyDescent="0.25">
      <c r="A124" s="4" t="s">
        <v>3380</v>
      </c>
      <c r="B124" s="4" t="s">
        <v>3186</v>
      </c>
      <c r="C124" s="4" t="s">
        <v>3234</v>
      </c>
      <c r="D124" s="4" t="s">
        <v>3188</v>
      </c>
      <c r="E124" s="4" t="s">
        <v>3189</v>
      </c>
      <c r="F124" s="4" t="s">
        <v>3190</v>
      </c>
      <c r="G124" s="4" t="s">
        <v>3190</v>
      </c>
      <c r="H124" s="7">
        <v>36816</v>
      </c>
      <c r="I124" s="4" t="s">
        <v>3381</v>
      </c>
      <c r="J124" s="4" t="s">
        <v>3190</v>
      </c>
      <c r="K124" s="4" t="s">
        <v>3192</v>
      </c>
      <c r="L124" s="4" t="s">
        <v>3382</v>
      </c>
      <c r="M124" s="5">
        <v>331.3</v>
      </c>
    </row>
    <row r="125" spans="1:13" x14ac:dyDescent="0.25">
      <c r="A125" s="4" t="s">
        <v>3209</v>
      </c>
      <c r="B125" s="4" t="s">
        <v>3186</v>
      </c>
      <c r="C125" s="4" t="s">
        <v>3187</v>
      </c>
      <c r="D125" s="4" t="s">
        <v>3188</v>
      </c>
      <c r="E125" s="4" t="s">
        <v>3189</v>
      </c>
      <c r="F125" s="4" t="s">
        <v>3190</v>
      </c>
      <c r="G125" s="4" t="s">
        <v>3190</v>
      </c>
      <c r="H125" s="7">
        <v>36817.577997685199</v>
      </c>
      <c r="I125" s="4" t="s">
        <v>3383</v>
      </c>
      <c r="J125" s="4" t="s">
        <v>3190</v>
      </c>
      <c r="K125" s="4" t="s">
        <v>3192</v>
      </c>
      <c r="L125" s="4" t="s">
        <v>3277</v>
      </c>
      <c r="M125" s="5">
        <v>291.25</v>
      </c>
    </row>
    <row r="126" spans="1:13" x14ac:dyDescent="0.25">
      <c r="A126" s="4" t="s">
        <v>3209</v>
      </c>
      <c r="B126" s="4" t="s">
        <v>3186</v>
      </c>
      <c r="C126" s="4" t="s">
        <v>3187</v>
      </c>
      <c r="D126" s="4" t="s">
        <v>3188</v>
      </c>
      <c r="E126" s="4" t="s">
        <v>3189</v>
      </c>
      <c r="F126" s="4" t="s">
        <v>3190</v>
      </c>
      <c r="G126" s="4" t="s">
        <v>3190</v>
      </c>
      <c r="H126" s="7">
        <v>36823.6023726852</v>
      </c>
      <c r="I126" s="4" t="s">
        <v>3384</v>
      </c>
      <c r="J126" s="4" t="s">
        <v>3190</v>
      </c>
      <c r="K126" s="4" t="s">
        <v>3192</v>
      </c>
      <c r="L126" s="4" t="s">
        <v>3211</v>
      </c>
      <c r="M126" s="5">
        <v>153.49</v>
      </c>
    </row>
    <row r="127" spans="1:13" x14ac:dyDescent="0.25">
      <c r="A127" s="4" t="s">
        <v>3209</v>
      </c>
      <c r="B127" s="4" t="s">
        <v>3186</v>
      </c>
      <c r="C127" s="4" t="s">
        <v>3187</v>
      </c>
      <c r="D127" s="4" t="s">
        <v>3188</v>
      </c>
      <c r="E127" s="4" t="s">
        <v>3189</v>
      </c>
      <c r="F127" s="4" t="s">
        <v>3190</v>
      </c>
      <c r="G127" s="4" t="s">
        <v>3190</v>
      </c>
      <c r="H127" s="7">
        <v>36825.540451388901</v>
      </c>
      <c r="I127" s="4" t="s">
        <v>3385</v>
      </c>
      <c r="J127" s="4" t="s">
        <v>3190</v>
      </c>
      <c r="K127" s="4" t="s">
        <v>3192</v>
      </c>
      <c r="L127" s="4" t="s">
        <v>280</v>
      </c>
      <c r="M127" s="5">
        <v>152.85</v>
      </c>
    </row>
    <row r="128" spans="1:13" x14ac:dyDescent="0.25">
      <c r="A128" s="4" t="s">
        <v>3252</v>
      </c>
      <c r="B128" s="4" t="s">
        <v>3186</v>
      </c>
      <c r="C128" s="4" t="s">
        <v>3194</v>
      </c>
      <c r="D128" s="4" t="s">
        <v>3195</v>
      </c>
      <c r="E128" s="4" t="s">
        <v>3214</v>
      </c>
      <c r="F128" s="4" t="s">
        <v>3190</v>
      </c>
      <c r="G128" s="4" t="s">
        <v>3190</v>
      </c>
      <c r="H128" s="7">
        <v>36829.512129629598</v>
      </c>
      <c r="I128" s="4" t="s">
        <v>3386</v>
      </c>
      <c r="J128" s="4" t="s">
        <v>3190</v>
      </c>
      <c r="K128" s="4" t="s">
        <v>3192</v>
      </c>
      <c r="L128" s="4" t="s">
        <v>3387</v>
      </c>
      <c r="M128" s="5">
        <v>315</v>
      </c>
    </row>
    <row r="129" spans="1:13" x14ac:dyDescent="0.25">
      <c r="A129" s="4" t="s">
        <v>3388</v>
      </c>
      <c r="B129" s="4" t="s">
        <v>3186</v>
      </c>
      <c r="C129" s="4" t="s">
        <v>3187</v>
      </c>
      <c r="D129" s="4" t="s">
        <v>3188</v>
      </c>
      <c r="E129" s="4" t="s">
        <v>3189</v>
      </c>
      <c r="F129" s="4" t="s">
        <v>3190</v>
      </c>
      <c r="G129" s="4" t="s">
        <v>3190</v>
      </c>
      <c r="H129" s="7">
        <v>36837.567893518499</v>
      </c>
      <c r="I129" s="4" t="s">
        <v>3389</v>
      </c>
      <c r="J129" s="4" t="s">
        <v>3190</v>
      </c>
      <c r="K129" s="4" t="s">
        <v>3192</v>
      </c>
      <c r="L129" s="4" t="s">
        <v>3390</v>
      </c>
      <c r="M129" s="5">
        <v>136</v>
      </c>
    </row>
    <row r="130" spans="1:13" x14ac:dyDescent="0.25">
      <c r="A130" s="4" t="s">
        <v>3391</v>
      </c>
      <c r="B130" s="4" t="s">
        <v>3186</v>
      </c>
      <c r="C130" s="4" t="s">
        <v>3187</v>
      </c>
      <c r="D130" s="4" t="s">
        <v>3188</v>
      </c>
      <c r="E130" s="4" t="s">
        <v>3189</v>
      </c>
      <c r="F130" s="4" t="s">
        <v>3190</v>
      </c>
      <c r="G130" s="4" t="s">
        <v>3190</v>
      </c>
      <c r="H130" s="7">
        <v>36837.574768518498</v>
      </c>
      <c r="I130" s="4" t="s">
        <v>3392</v>
      </c>
      <c r="J130" s="4" t="s">
        <v>3190</v>
      </c>
      <c r="K130" s="4" t="s">
        <v>3192</v>
      </c>
      <c r="L130" s="4" t="s">
        <v>3393</v>
      </c>
      <c r="M130" s="5">
        <v>240.4</v>
      </c>
    </row>
    <row r="131" spans="1:13" x14ac:dyDescent="0.25">
      <c r="A131" s="4" t="s">
        <v>3185</v>
      </c>
      <c r="B131" s="4" t="s">
        <v>3186</v>
      </c>
      <c r="C131" s="4" t="s">
        <v>3187</v>
      </c>
      <c r="D131" s="4" t="s">
        <v>3188</v>
      </c>
      <c r="E131" s="4" t="s">
        <v>3189</v>
      </c>
      <c r="F131" s="4" t="s">
        <v>3190</v>
      </c>
      <c r="G131" s="4" t="s">
        <v>3190</v>
      </c>
      <c r="H131" s="7">
        <v>36839.506840277798</v>
      </c>
      <c r="I131" s="4" t="s">
        <v>3394</v>
      </c>
      <c r="J131" s="4" t="s">
        <v>3190</v>
      </c>
      <c r="K131" s="4" t="s">
        <v>3192</v>
      </c>
      <c r="L131" s="4" t="s">
        <v>3395</v>
      </c>
      <c r="M131" s="5">
        <v>107.9</v>
      </c>
    </row>
    <row r="132" spans="1:13" x14ac:dyDescent="0.25">
      <c r="A132" s="4" t="s">
        <v>3396</v>
      </c>
      <c r="B132" s="4" t="s">
        <v>3186</v>
      </c>
      <c r="C132" s="4" t="s">
        <v>3194</v>
      </c>
      <c r="D132" s="4" t="s">
        <v>3195</v>
      </c>
      <c r="E132" s="4" t="s">
        <v>3196</v>
      </c>
      <c r="F132" s="4" t="s">
        <v>3190</v>
      </c>
      <c r="G132" s="4" t="s">
        <v>3190</v>
      </c>
      <c r="H132" s="7">
        <v>36839.626770833303</v>
      </c>
      <c r="I132" s="4" t="s">
        <v>3397</v>
      </c>
      <c r="J132" s="4" t="s">
        <v>3190</v>
      </c>
      <c r="K132" s="4" t="s">
        <v>3192</v>
      </c>
      <c r="L132" s="4" t="s">
        <v>106</v>
      </c>
      <c r="M132" s="5">
        <v>656.12</v>
      </c>
    </row>
    <row r="133" spans="1:13" x14ac:dyDescent="0.25">
      <c r="A133" s="4" t="s">
        <v>3206</v>
      </c>
      <c r="B133" s="4" t="s">
        <v>3186</v>
      </c>
      <c r="C133" s="4" t="s">
        <v>3187</v>
      </c>
      <c r="D133" s="4" t="s">
        <v>3188</v>
      </c>
      <c r="E133" s="4" t="s">
        <v>3189</v>
      </c>
      <c r="F133" s="4" t="s">
        <v>3190</v>
      </c>
      <c r="G133" s="4" t="s">
        <v>3190</v>
      </c>
      <c r="H133" s="7">
        <v>36845.526192129597</v>
      </c>
      <c r="I133" s="4" t="s">
        <v>3398</v>
      </c>
      <c r="J133" s="4" t="s">
        <v>3190</v>
      </c>
      <c r="K133" s="4" t="s">
        <v>3192</v>
      </c>
      <c r="L133" s="4" t="s">
        <v>3277</v>
      </c>
      <c r="M133" s="5">
        <v>252.78</v>
      </c>
    </row>
    <row r="134" spans="1:13" x14ac:dyDescent="0.25">
      <c r="A134" s="4" t="s">
        <v>3399</v>
      </c>
      <c r="B134" s="4" t="s">
        <v>3186</v>
      </c>
      <c r="C134" s="4" t="s">
        <v>3194</v>
      </c>
      <c r="D134" s="4" t="s">
        <v>3195</v>
      </c>
      <c r="E134" s="4" t="s">
        <v>3214</v>
      </c>
      <c r="F134" s="4" t="s">
        <v>3190</v>
      </c>
      <c r="G134" s="4" t="s">
        <v>3190</v>
      </c>
      <c r="H134" s="7">
        <v>36851.516064814801</v>
      </c>
      <c r="I134" s="4" t="s">
        <v>3400</v>
      </c>
      <c r="J134" s="4" t="s">
        <v>3190</v>
      </c>
      <c r="K134" s="4" t="s">
        <v>3192</v>
      </c>
      <c r="L134" s="4" t="s">
        <v>3220</v>
      </c>
      <c r="M134" s="5">
        <v>722.49</v>
      </c>
    </row>
    <row r="135" spans="1:13" x14ac:dyDescent="0.25">
      <c r="A135" s="4" t="s">
        <v>3202</v>
      </c>
      <c r="B135" s="4" t="s">
        <v>3186</v>
      </c>
      <c r="C135" s="4" t="s">
        <v>3194</v>
      </c>
      <c r="D135" s="4" t="s">
        <v>3195</v>
      </c>
      <c r="E135" s="4" t="s">
        <v>3196</v>
      </c>
      <c r="F135" s="4" t="s">
        <v>3190</v>
      </c>
      <c r="G135" s="4" t="s">
        <v>3190</v>
      </c>
      <c r="H135" s="7">
        <v>36851.521249999998</v>
      </c>
      <c r="I135" s="4" t="s">
        <v>3401</v>
      </c>
      <c r="J135" s="4" t="s">
        <v>3190</v>
      </c>
      <c r="K135" s="4" t="s">
        <v>3192</v>
      </c>
      <c r="L135" s="4" t="s">
        <v>3402</v>
      </c>
      <c r="M135" s="5">
        <v>998.72</v>
      </c>
    </row>
    <row r="136" spans="1:13" x14ac:dyDescent="0.25">
      <c r="A136" s="4" t="s">
        <v>3242</v>
      </c>
      <c r="B136" s="4" t="s">
        <v>3186</v>
      </c>
      <c r="C136" s="4" t="s">
        <v>3194</v>
      </c>
      <c r="D136" s="4" t="s">
        <v>3195</v>
      </c>
      <c r="E136" s="4" t="s">
        <v>3196</v>
      </c>
      <c r="F136" s="4" t="s">
        <v>3190</v>
      </c>
      <c r="G136" s="4" t="s">
        <v>3190</v>
      </c>
      <c r="H136" s="7">
        <v>36857.508182870399</v>
      </c>
      <c r="I136" s="4" t="s">
        <v>3403</v>
      </c>
      <c r="J136" s="4" t="s">
        <v>3190</v>
      </c>
      <c r="K136" s="4" t="s">
        <v>3192</v>
      </c>
      <c r="L136" s="4" t="s">
        <v>106</v>
      </c>
      <c r="M136" s="5">
        <v>733.03</v>
      </c>
    </row>
    <row r="137" spans="1:13" x14ac:dyDescent="0.25">
      <c r="A137" s="4" t="s">
        <v>3404</v>
      </c>
      <c r="B137" s="4" t="s">
        <v>3186</v>
      </c>
      <c r="C137" s="4" t="s">
        <v>3194</v>
      </c>
      <c r="D137" s="4" t="s">
        <v>3195</v>
      </c>
      <c r="E137" s="4" t="s">
        <v>3214</v>
      </c>
      <c r="F137" s="4" t="s">
        <v>3190</v>
      </c>
      <c r="G137" s="4" t="s">
        <v>3190</v>
      </c>
      <c r="H137" s="7">
        <v>36857.585497685199</v>
      </c>
      <c r="I137" s="4" t="s">
        <v>3405</v>
      </c>
      <c r="J137" s="4" t="s">
        <v>3190</v>
      </c>
      <c r="K137" s="4" t="s">
        <v>3192</v>
      </c>
      <c r="L137" s="4" t="s">
        <v>840</v>
      </c>
      <c r="M137" s="5">
        <v>4585.75</v>
      </c>
    </row>
    <row r="138" spans="1:13" x14ac:dyDescent="0.25">
      <c r="A138" s="4" t="s">
        <v>3206</v>
      </c>
      <c r="B138" s="4" t="s">
        <v>3186</v>
      </c>
      <c r="C138" s="4" t="s">
        <v>3187</v>
      </c>
      <c r="D138" s="4" t="s">
        <v>3188</v>
      </c>
      <c r="E138" s="4" t="s">
        <v>3189</v>
      </c>
      <c r="F138" s="4" t="s">
        <v>3190</v>
      </c>
      <c r="G138" s="4" t="s">
        <v>3190</v>
      </c>
      <c r="H138" s="7">
        <v>36857.6331712963</v>
      </c>
      <c r="I138" s="4" t="s">
        <v>3406</v>
      </c>
      <c r="J138" s="4" t="s">
        <v>3190</v>
      </c>
      <c r="K138" s="4" t="s">
        <v>3192</v>
      </c>
      <c r="L138" s="4" t="s">
        <v>3407</v>
      </c>
      <c r="M138" s="5">
        <v>431.98</v>
      </c>
    </row>
    <row r="139" spans="1:13" x14ac:dyDescent="0.25">
      <c r="A139" s="4" t="s">
        <v>3185</v>
      </c>
      <c r="B139" s="4" t="s">
        <v>3186</v>
      </c>
      <c r="C139" s="4" t="s">
        <v>3194</v>
      </c>
      <c r="D139" s="4" t="s">
        <v>3195</v>
      </c>
      <c r="E139" s="4" t="s">
        <v>3196</v>
      </c>
      <c r="F139" s="4" t="s">
        <v>3190</v>
      </c>
      <c r="G139" s="4" t="s">
        <v>3190</v>
      </c>
      <c r="H139" s="7">
        <v>36858.613530092603</v>
      </c>
      <c r="I139" s="4" t="s">
        <v>3408</v>
      </c>
      <c r="J139" s="4" t="s">
        <v>3190</v>
      </c>
      <c r="K139" s="4" t="s">
        <v>3192</v>
      </c>
      <c r="L139" s="4" t="s">
        <v>1208</v>
      </c>
      <c r="M139" s="5">
        <v>125.16</v>
      </c>
    </row>
    <row r="140" spans="1:13" x14ac:dyDescent="0.25">
      <c r="A140" s="4" t="s">
        <v>3396</v>
      </c>
      <c r="B140" s="4" t="s">
        <v>3186</v>
      </c>
      <c r="C140" s="4" t="s">
        <v>3194</v>
      </c>
      <c r="D140" s="4" t="s">
        <v>3195</v>
      </c>
      <c r="E140" s="4" t="s">
        <v>3214</v>
      </c>
      <c r="F140" s="4" t="s">
        <v>3190</v>
      </c>
      <c r="G140" s="4" t="s">
        <v>3190</v>
      </c>
      <c r="H140" s="7">
        <v>36858.657928240696</v>
      </c>
      <c r="I140" s="4" t="s">
        <v>3409</v>
      </c>
      <c r="J140" s="4" t="s">
        <v>3190</v>
      </c>
      <c r="K140" s="4" t="s">
        <v>3192</v>
      </c>
      <c r="L140" s="4" t="s">
        <v>3220</v>
      </c>
      <c r="M140" s="5">
        <v>651.44000000000005</v>
      </c>
    </row>
    <row r="141" spans="1:13" x14ac:dyDescent="0.25">
      <c r="A141" s="4" t="s">
        <v>3206</v>
      </c>
      <c r="B141" s="4" t="s">
        <v>3186</v>
      </c>
      <c r="C141" s="4" t="s">
        <v>3187</v>
      </c>
      <c r="D141" s="4" t="s">
        <v>3188</v>
      </c>
      <c r="E141" s="4" t="s">
        <v>3189</v>
      </c>
      <c r="F141" s="4" t="s">
        <v>3190</v>
      </c>
      <c r="G141" s="4" t="s">
        <v>3190</v>
      </c>
      <c r="H141" s="7">
        <v>36859.521840277797</v>
      </c>
      <c r="I141" s="4" t="s">
        <v>3410</v>
      </c>
      <c r="J141" s="4" t="s">
        <v>3190</v>
      </c>
      <c r="K141" s="4" t="s">
        <v>3192</v>
      </c>
      <c r="L141" s="4" t="s">
        <v>1498</v>
      </c>
      <c r="M141" s="5">
        <v>118.57</v>
      </c>
    </row>
    <row r="142" spans="1:13" x14ac:dyDescent="0.25">
      <c r="A142" s="4" t="s">
        <v>3185</v>
      </c>
      <c r="B142" s="4" t="s">
        <v>3186</v>
      </c>
      <c r="C142" s="4" t="s">
        <v>3234</v>
      </c>
      <c r="D142" s="4" t="s">
        <v>3188</v>
      </c>
      <c r="E142" s="4" t="s">
        <v>3189</v>
      </c>
      <c r="F142" s="4" t="s">
        <v>3190</v>
      </c>
      <c r="G142" s="4" t="s">
        <v>3190</v>
      </c>
      <c r="H142" s="7">
        <v>36859.546805555598</v>
      </c>
      <c r="I142" s="4" t="s">
        <v>3411</v>
      </c>
      <c r="J142" s="4" t="s">
        <v>3190</v>
      </c>
      <c r="K142" s="4" t="s">
        <v>3192</v>
      </c>
      <c r="L142" s="4" t="s">
        <v>1498</v>
      </c>
      <c r="M142" s="5">
        <v>315.20999999999998</v>
      </c>
    </row>
    <row r="143" spans="1:13" x14ac:dyDescent="0.25">
      <c r="A143" s="4" t="s">
        <v>3343</v>
      </c>
      <c r="B143" s="4" t="s">
        <v>3186</v>
      </c>
      <c r="C143" s="4" t="s">
        <v>3187</v>
      </c>
      <c r="D143" s="4" t="s">
        <v>3188</v>
      </c>
      <c r="E143" s="4" t="s">
        <v>3189</v>
      </c>
      <c r="F143" s="4" t="s">
        <v>3190</v>
      </c>
      <c r="G143" s="4" t="s">
        <v>3190</v>
      </c>
      <c r="H143" s="7">
        <v>36859.549340277801</v>
      </c>
      <c r="I143" s="4" t="s">
        <v>3412</v>
      </c>
      <c r="J143" s="4" t="s">
        <v>3190</v>
      </c>
      <c r="K143" s="4" t="s">
        <v>3192</v>
      </c>
      <c r="L143" s="4" t="s">
        <v>887</v>
      </c>
      <c r="M143" s="5">
        <v>105.2</v>
      </c>
    </row>
    <row r="144" spans="1:13" x14ac:dyDescent="0.25">
      <c r="A144" s="4" t="s">
        <v>3209</v>
      </c>
      <c r="B144" s="4" t="s">
        <v>3186</v>
      </c>
      <c r="C144" s="4" t="s">
        <v>3187</v>
      </c>
      <c r="D144" s="4" t="s">
        <v>3188</v>
      </c>
      <c r="E144" s="4" t="s">
        <v>3189</v>
      </c>
      <c r="F144" s="4" t="s">
        <v>3190</v>
      </c>
      <c r="G144" s="4" t="s">
        <v>3190</v>
      </c>
      <c r="H144" s="7">
        <v>36859.551539351902</v>
      </c>
      <c r="I144" s="4" t="s">
        <v>3413</v>
      </c>
      <c r="J144" s="4" t="s">
        <v>3190</v>
      </c>
      <c r="K144" s="4" t="s">
        <v>3192</v>
      </c>
      <c r="L144" s="4" t="s">
        <v>280</v>
      </c>
      <c r="M144" s="5">
        <v>161.74</v>
      </c>
    </row>
    <row r="145" spans="1:13" x14ac:dyDescent="0.25">
      <c r="A145" s="4" t="s">
        <v>3414</v>
      </c>
      <c r="B145" s="4" t="s">
        <v>3186</v>
      </c>
      <c r="C145" s="4" t="s">
        <v>3187</v>
      </c>
      <c r="D145" s="4" t="s">
        <v>3188</v>
      </c>
      <c r="E145" s="4" t="s">
        <v>3189</v>
      </c>
      <c r="F145" s="4" t="s">
        <v>3190</v>
      </c>
      <c r="G145" s="4" t="s">
        <v>3190</v>
      </c>
      <c r="H145" s="7">
        <v>36859.5540162037</v>
      </c>
      <c r="I145" s="4" t="s">
        <v>3415</v>
      </c>
      <c r="J145" s="4" t="s">
        <v>3190</v>
      </c>
      <c r="K145" s="4" t="s">
        <v>3192</v>
      </c>
      <c r="L145" s="4" t="s">
        <v>266</v>
      </c>
      <c r="M145" s="5">
        <v>104.78</v>
      </c>
    </row>
    <row r="146" spans="1:13" x14ac:dyDescent="0.25">
      <c r="A146" s="4" t="s">
        <v>3416</v>
      </c>
      <c r="B146" s="4" t="s">
        <v>3186</v>
      </c>
      <c r="C146" s="4" t="s">
        <v>3417</v>
      </c>
      <c r="D146" s="4" t="s">
        <v>3195</v>
      </c>
      <c r="E146" s="4" t="s">
        <v>3418</v>
      </c>
      <c r="F146" s="4" t="s">
        <v>3190</v>
      </c>
      <c r="G146" s="4" t="s">
        <v>3190</v>
      </c>
      <c r="H146" s="7">
        <v>36860.674131944397</v>
      </c>
      <c r="I146" s="4" t="s">
        <v>3419</v>
      </c>
      <c r="J146" s="4" t="s">
        <v>3190</v>
      </c>
      <c r="K146" s="4" t="s">
        <v>3192</v>
      </c>
      <c r="L146" s="4" t="s">
        <v>229</v>
      </c>
      <c r="M146" s="5">
        <v>2895</v>
      </c>
    </row>
    <row r="147" spans="1:13" x14ac:dyDescent="0.25">
      <c r="A147" s="4" t="s">
        <v>3380</v>
      </c>
      <c r="B147" s="4" t="s">
        <v>3186</v>
      </c>
      <c r="C147" s="4" t="s">
        <v>3417</v>
      </c>
      <c r="D147" s="4" t="s">
        <v>3195</v>
      </c>
      <c r="E147" s="4" t="s">
        <v>3418</v>
      </c>
      <c r="F147" s="4" t="s">
        <v>3190</v>
      </c>
      <c r="G147" s="4" t="s">
        <v>3190</v>
      </c>
      <c r="H147" s="7">
        <v>36860.674131944397</v>
      </c>
      <c r="I147" s="4" t="s">
        <v>3419</v>
      </c>
      <c r="J147" s="4" t="s">
        <v>3190</v>
      </c>
      <c r="K147" s="4" t="s">
        <v>3192</v>
      </c>
      <c r="L147" s="4" t="s">
        <v>229</v>
      </c>
      <c r="M147" s="5">
        <v>39637.379999999997</v>
      </c>
    </row>
    <row r="148" spans="1:13" x14ac:dyDescent="0.25">
      <c r="A148" s="4" t="s">
        <v>3420</v>
      </c>
      <c r="B148" s="4" t="s">
        <v>3186</v>
      </c>
      <c r="C148" s="4" t="s">
        <v>3417</v>
      </c>
      <c r="D148" s="4" t="s">
        <v>3195</v>
      </c>
      <c r="E148" s="4" t="s">
        <v>3418</v>
      </c>
      <c r="F148" s="4" t="s">
        <v>3190</v>
      </c>
      <c r="G148" s="4" t="s">
        <v>3190</v>
      </c>
      <c r="H148" s="7">
        <v>36860.674131944397</v>
      </c>
      <c r="I148" s="4" t="s">
        <v>3419</v>
      </c>
      <c r="J148" s="4" t="s">
        <v>3190</v>
      </c>
      <c r="K148" s="4" t="s">
        <v>3192</v>
      </c>
      <c r="L148" s="4" t="s">
        <v>229</v>
      </c>
      <c r="M148" s="5">
        <v>11652.12</v>
      </c>
    </row>
    <row r="149" spans="1:13" x14ac:dyDescent="0.25">
      <c r="A149" s="4" t="s">
        <v>3185</v>
      </c>
      <c r="B149" s="4" t="s">
        <v>3186</v>
      </c>
      <c r="C149" s="4" t="s">
        <v>3194</v>
      </c>
      <c r="D149" s="4" t="s">
        <v>3195</v>
      </c>
      <c r="E149" s="4" t="s">
        <v>3196</v>
      </c>
      <c r="F149" s="4" t="s">
        <v>3190</v>
      </c>
      <c r="G149" s="4" t="s">
        <v>3190</v>
      </c>
      <c r="H149" s="7">
        <v>36867.512048611097</v>
      </c>
      <c r="I149" s="4" t="s">
        <v>3421</v>
      </c>
      <c r="J149" s="4" t="s">
        <v>3190</v>
      </c>
      <c r="K149" s="4" t="s">
        <v>3192</v>
      </c>
      <c r="L149" s="4" t="s">
        <v>3265</v>
      </c>
      <c r="M149" s="5">
        <v>164.36</v>
      </c>
    </row>
    <row r="150" spans="1:13" x14ac:dyDescent="0.25">
      <c r="A150" s="4" t="s">
        <v>3242</v>
      </c>
      <c r="B150" s="4" t="s">
        <v>3186</v>
      </c>
      <c r="C150" s="4" t="s">
        <v>3194</v>
      </c>
      <c r="D150" s="4" t="s">
        <v>3195</v>
      </c>
      <c r="E150" s="4" t="s">
        <v>3196</v>
      </c>
      <c r="F150" s="4" t="s">
        <v>3190</v>
      </c>
      <c r="G150" s="4" t="s">
        <v>3190</v>
      </c>
      <c r="H150" s="7">
        <v>36867.545509259297</v>
      </c>
      <c r="I150" s="4" t="s">
        <v>3422</v>
      </c>
      <c r="J150" s="4" t="s">
        <v>3190</v>
      </c>
      <c r="K150" s="4" t="s">
        <v>3192</v>
      </c>
      <c r="L150" s="4" t="s">
        <v>106</v>
      </c>
      <c r="M150" s="5">
        <v>733.03</v>
      </c>
    </row>
    <row r="151" spans="1:13" x14ac:dyDescent="0.25">
      <c r="A151" s="4" t="s">
        <v>3366</v>
      </c>
      <c r="B151" s="4" t="s">
        <v>3186</v>
      </c>
      <c r="C151" s="4" t="s">
        <v>3194</v>
      </c>
      <c r="D151" s="4" t="s">
        <v>3195</v>
      </c>
      <c r="E151" s="4" t="s">
        <v>3214</v>
      </c>
      <c r="F151" s="4" t="s">
        <v>3190</v>
      </c>
      <c r="G151" s="4" t="s">
        <v>3190</v>
      </c>
      <c r="H151" s="7">
        <v>36868.621979166703</v>
      </c>
      <c r="I151" s="4" t="s">
        <v>3423</v>
      </c>
      <c r="J151" s="4" t="s">
        <v>3190</v>
      </c>
      <c r="K151" s="4" t="s">
        <v>3192</v>
      </c>
      <c r="L151" s="4" t="s">
        <v>985</v>
      </c>
      <c r="M151" s="5">
        <v>157.34</v>
      </c>
    </row>
    <row r="152" spans="1:13" x14ac:dyDescent="0.25">
      <c r="A152" s="4" t="s">
        <v>3366</v>
      </c>
      <c r="B152" s="4" t="s">
        <v>3186</v>
      </c>
      <c r="C152" s="4" t="s">
        <v>3194</v>
      </c>
      <c r="D152" s="4" t="s">
        <v>3195</v>
      </c>
      <c r="E152" s="4" t="s">
        <v>3214</v>
      </c>
      <c r="F152" s="4" t="s">
        <v>3190</v>
      </c>
      <c r="G152" s="4" t="s">
        <v>3190</v>
      </c>
      <c r="H152" s="7">
        <v>36868.6230671296</v>
      </c>
      <c r="I152" s="4" t="s">
        <v>3424</v>
      </c>
      <c r="J152" s="4" t="s">
        <v>3190</v>
      </c>
      <c r="K152" s="4" t="s">
        <v>3192</v>
      </c>
      <c r="L152" s="4" t="s">
        <v>985</v>
      </c>
      <c r="M152" s="5">
        <v>204</v>
      </c>
    </row>
    <row r="153" spans="1:13" x14ac:dyDescent="0.25">
      <c r="A153" s="4" t="s">
        <v>3366</v>
      </c>
      <c r="B153" s="4" t="s">
        <v>3186</v>
      </c>
      <c r="C153" s="4" t="s">
        <v>3187</v>
      </c>
      <c r="D153" s="4" t="s">
        <v>3188</v>
      </c>
      <c r="E153" s="4" t="s">
        <v>3189</v>
      </c>
      <c r="F153" s="4" t="s">
        <v>3190</v>
      </c>
      <c r="G153" s="4" t="s">
        <v>3190</v>
      </c>
      <c r="H153" s="7">
        <v>36868.6230671296</v>
      </c>
      <c r="I153" s="4" t="s">
        <v>3424</v>
      </c>
      <c r="J153" s="4" t="s">
        <v>3190</v>
      </c>
      <c r="K153" s="4" t="s">
        <v>3192</v>
      </c>
      <c r="L153" s="4" t="s">
        <v>985</v>
      </c>
      <c r="M153" s="5">
        <v>203</v>
      </c>
    </row>
    <row r="154" spans="1:13" x14ac:dyDescent="0.25">
      <c r="A154" s="4" t="s">
        <v>3221</v>
      </c>
      <c r="B154" s="4" t="s">
        <v>3186</v>
      </c>
      <c r="C154" s="4" t="s">
        <v>3222</v>
      </c>
      <c r="D154" s="4" t="s">
        <v>3223</v>
      </c>
      <c r="E154" s="4" t="s">
        <v>3214</v>
      </c>
      <c r="F154" s="4" t="s">
        <v>3190</v>
      </c>
      <c r="G154" s="4" t="s">
        <v>3190</v>
      </c>
      <c r="H154" s="7">
        <v>36872.572013888901</v>
      </c>
      <c r="I154" s="4" t="s">
        <v>3425</v>
      </c>
      <c r="J154" s="4" t="s">
        <v>3190</v>
      </c>
      <c r="K154" s="4" t="s">
        <v>3192</v>
      </c>
      <c r="L154" s="4" t="s">
        <v>3225</v>
      </c>
      <c r="M154" s="5">
        <v>227.56</v>
      </c>
    </row>
    <row r="155" spans="1:13" x14ac:dyDescent="0.25">
      <c r="A155" s="4" t="s">
        <v>3283</v>
      </c>
      <c r="B155" s="4" t="s">
        <v>3186</v>
      </c>
      <c r="C155" s="4" t="s">
        <v>3187</v>
      </c>
      <c r="D155" s="4" t="s">
        <v>3188</v>
      </c>
      <c r="E155" s="4" t="s">
        <v>3189</v>
      </c>
      <c r="F155" s="4" t="s">
        <v>3190</v>
      </c>
      <c r="G155" s="4" t="s">
        <v>3190</v>
      </c>
      <c r="H155" s="7">
        <v>36872.595671296302</v>
      </c>
      <c r="I155" s="4" t="s">
        <v>3426</v>
      </c>
      <c r="J155" s="4" t="s">
        <v>3190</v>
      </c>
      <c r="K155" s="4" t="s">
        <v>3192</v>
      </c>
      <c r="L155" s="4" t="s">
        <v>3338</v>
      </c>
      <c r="M155" s="5">
        <v>274.57</v>
      </c>
    </row>
    <row r="156" spans="1:13" x14ac:dyDescent="0.25">
      <c r="A156" s="4" t="s">
        <v>3206</v>
      </c>
      <c r="B156" s="4" t="s">
        <v>3186</v>
      </c>
      <c r="C156" s="4" t="s">
        <v>3187</v>
      </c>
      <c r="D156" s="4" t="s">
        <v>3188</v>
      </c>
      <c r="E156" s="4" t="s">
        <v>3189</v>
      </c>
      <c r="F156" s="4" t="s">
        <v>3190</v>
      </c>
      <c r="G156" s="4" t="s">
        <v>3190</v>
      </c>
      <c r="H156" s="7">
        <v>36872.597997685203</v>
      </c>
      <c r="I156" s="4" t="s">
        <v>3427</v>
      </c>
      <c r="J156" s="4" t="s">
        <v>3190</v>
      </c>
      <c r="K156" s="4" t="s">
        <v>3192</v>
      </c>
      <c r="L156" s="4" t="s">
        <v>3327</v>
      </c>
      <c r="M156" s="5">
        <v>399.23</v>
      </c>
    </row>
    <row r="157" spans="1:13" x14ac:dyDescent="0.25">
      <c r="A157" s="4" t="s">
        <v>3185</v>
      </c>
      <c r="B157" s="4" t="s">
        <v>3186</v>
      </c>
      <c r="C157" s="4" t="s">
        <v>3194</v>
      </c>
      <c r="D157" s="4" t="s">
        <v>3195</v>
      </c>
      <c r="E157" s="4" t="s">
        <v>3196</v>
      </c>
      <c r="F157" s="4" t="s">
        <v>3190</v>
      </c>
      <c r="G157" s="4" t="s">
        <v>3190</v>
      </c>
      <c r="H157" s="7">
        <v>36880.385763888902</v>
      </c>
      <c r="I157" s="4" t="s">
        <v>3428</v>
      </c>
      <c r="J157" s="4" t="s">
        <v>3190</v>
      </c>
      <c r="K157" s="4" t="s">
        <v>3192</v>
      </c>
      <c r="L157" s="4" t="s">
        <v>3267</v>
      </c>
      <c r="M157" s="5">
        <v>1646.5</v>
      </c>
    </row>
    <row r="158" spans="1:13" x14ac:dyDescent="0.25">
      <c r="A158" s="4" t="s">
        <v>3388</v>
      </c>
      <c r="B158" s="4" t="s">
        <v>3186</v>
      </c>
      <c r="C158" s="4" t="s">
        <v>3187</v>
      </c>
      <c r="D158" s="4" t="s">
        <v>3188</v>
      </c>
      <c r="E158" s="4" t="s">
        <v>3189</v>
      </c>
      <c r="F158" s="4" t="s">
        <v>3190</v>
      </c>
      <c r="G158" s="4" t="s">
        <v>3190</v>
      </c>
      <c r="H158" s="7">
        <v>36880.441886574103</v>
      </c>
      <c r="I158" s="4" t="s">
        <v>3429</v>
      </c>
      <c r="J158" s="4" t="s">
        <v>3190</v>
      </c>
      <c r="K158" s="4" t="s">
        <v>3192</v>
      </c>
      <c r="L158" s="4" t="s">
        <v>3430</v>
      </c>
      <c r="M158" s="5">
        <v>298.64999999999998</v>
      </c>
    </row>
    <row r="159" spans="1:13" x14ac:dyDescent="0.25">
      <c r="A159" s="4" t="s">
        <v>3185</v>
      </c>
      <c r="B159" s="4" t="s">
        <v>3186</v>
      </c>
      <c r="C159" s="4" t="s">
        <v>3194</v>
      </c>
      <c r="D159" s="4" t="s">
        <v>3195</v>
      </c>
      <c r="E159" s="4" t="s">
        <v>3214</v>
      </c>
      <c r="F159" s="4" t="s">
        <v>3190</v>
      </c>
      <c r="G159" s="4" t="s">
        <v>3190</v>
      </c>
      <c r="H159" s="7">
        <v>36895.5994444444</v>
      </c>
      <c r="I159" s="4" t="s">
        <v>3431</v>
      </c>
      <c r="J159" s="4" t="s">
        <v>3190</v>
      </c>
      <c r="K159" s="4" t="s">
        <v>3192</v>
      </c>
      <c r="L159" s="4" t="s">
        <v>840</v>
      </c>
      <c r="M159" s="5">
        <v>205.01</v>
      </c>
    </row>
    <row r="160" spans="1:13" x14ac:dyDescent="0.25">
      <c r="A160" s="4" t="s">
        <v>3399</v>
      </c>
      <c r="B160" s="4" t="s">
        <v>3186</v>
      </c>
      <c r="C160" s="4" t="s">
        <v>3194</v>
      </c>
      <c r="D160" s="4" t="s">
        <v>3195</v>
      </c>
      <c r="E160" s="4" t="s">
        <v>3196</v>
      </c>
      <c r="F160" s="4" t="s">
        <v>3190</v>
      </c>
      <c r="G160" s="4" t="s">
        <v>3190</v>
      </c>
      <c r="H160" s="7">
        <v>36900.525590277801</v>
      </c>
      <c r="I160" s="4" t="s">
        <v>3432</v>
      </c>
      <c r="J160" s="4" t="s">
        <v>3190</v>
      </c>
      <c r="K160" s="4" t="s">
        <v>3192</v>
      </c>
      <c r="L160" s="4" t="s">
        <v>3220</v>
      </c>
      <c r="M160" s="5">
        <v>559.20000000000005</v>
      </c>
    </row>
    <row r="161" spans="1:13" x14ac:dyDescent="0.25">
      <c r="A161" s="4" t="s">
        <v>3242</v>
      </c>
      <c r="B161" s="4" t="s">
        <v>3186</v>
      </c>
      <c r="C161" s="4" t="s">
        <v>3194</v>
      </c>
      <c r="D161" s="4" t="s">
        <v>3195</v>
      </c>
      <c r="E161" s="4" t="s">
        <v>3196</v>
      </c>
      <c r="F161" s="4" t="s">
        <v>3190</v>
      </c>
      <c r="G161" s="4" t="s">
        <v>3190</v>
      </c>
      <c r="H161" s="7">
        <v>36900.621620370403</v>
      </c>
      <c r="I161" s="4" t="s">
        <v>3433</v>
      </c>
      <c r="J161" s="4" t="s">
        <v>3190</v>
      </c>
      <c r="K161" s="4" t="s">
        <v>3192</v>
      </c>
      <c r="L161" s="4" t="s">
        <v>3265</v>
      </c>
      <c r="M161" s="5">
        <v>501.5</v>
      </c>
    </row>
    <row r="162" spans="1:13" x14ac:dyDescent="0.25">
      <c r="A162" s="4" t="s">
        <v>3399</v>
      </c>
      <c r="B162" s="4" t="s">
        <v>3186</v>
      </c>
      <c r="C162" s="4" t="s">
        <v>3194</v>
      </c>
      <c r="D162" s="4" t="s">
        <v>3195</v>
      </c>
      <c r="E162" s="4" t="s">
        <v>3196</v>
      </c>
      <c r="F162" s="4" t="s">
        <v>3190</v>
      </c>
      <c r="G162" s="4" t="s">
        <v>3190</v>
      </c>
      <c r="H162" s="7">
        <v>36901.623807870397</v>
      </c>
      <c r="I162" s="4" t="s">
        <v>3434</v>
      </c>
      <c r="J162" s="4" t="s">
        <v>3190</v>
      </c>
      <c r="K162" s="4" t="s">
        <v>3192</v>
      </c>
      <c r="L162" s="4" t="s">
        <v>3220</v>
      </c>
      <c r="M162" s="5">
        <v>415.2</v>
      </c>
    </row>
    <row r="163" spans="1:13" x14ac:dyDescent="0.25">
      <c r="A163" s="4" t="s">
        <v>3242</v>
      </c>
      <c r="B163" s="4" t="s">
        <v>3186</v>
      </c>
      <c r="C163" s="4" t="s">
        <v>3194</v>
      </c>
      <c r="D163" s="4" t="s">
        <v>3195</v>
      </c>
      <c r="E163" s="4" t="s">
        <v>3196</v>
      </c>
      <c r="F163" s="4" t="s">
        <v>3190</v>
      </c>
      <c r="G163" s="4" t="s">
        <v>3190</v>
      </c>
      <c r="H163" s="7">
        <v>36901.626041666699</v>
      </c>
      <c r="I163" s="4" t="s">
        <v>3435</v>
      </c>
      <c r="J163" s="4" t="s">
        <v>3190</v>
      </c>
      <c r="K163" s="4" t="s">
        <v>3192</v>
      </c>
      <c r="L163" s="4" t="s">
        <v>106</v>
      </c>
      <c r="M163" s="5">
        <v>811.17</v>
      </c>
    </row>
    <row r="164" spans="1:13" x14ac:dyDescent="0.25">
      <c r="A164" s="4" t="s">
        <v>3185</v>
      </c>
      <c r="B164" s="4" t="s">
        <v>3186</v>
      </c>
      <c r="C164" s="4" t="s">
        <v>3187</v>
      </c>
      <c r="D164" s="4" t="s">
        <v>3188</v>
      </c>
      <c r="E164" s="4" t="s">
        <v>3189</v>
      </c>
      <c r="F164" s="4" t="s">
        <v>3190</v>
      </c>
      <c r="G164" s="4" t="s">
        <v>3190</v>
      </c>
      <c r="H164" s="7">
        <v>36916.604212963</v>
      </c>
      <c r="I164" s="4" t="s">
        <v>3436</v>
      </c>
      <c r="J164" s="4" t="s">
        <v>3190</v>
      </c>
      <c r="K164" s="4" t="s">
        <v>3192</v>
      </c>
      <c r="L164" s="4" t="s">
        <v>3437</v>
      </c>
      <c r="M164" s="5">
        <v>134.88</v>
      </c>
    </row>
    <row r="165" spans="1:13" x14ac:dyDescent="0.25">
      <c r="A165" s="4" t="s">
        <v>3209</v>
      </c>
      <c r="B165" s="4" t="s">
        <v>3186</v>
      </c>
      <c r="C165" s="4" t="s">
        <v>3187</v>
      </c>
      <c r="D165" s="4" t="s">
        <v>3188</v>
      </c>
      <c r="E165" s="4" t="s">
        <v>3189</v>
      </c>
      <c r="F165" s="4" t="s">
        <v>3190</v>
      </c>
      <c r="G165" s="4" t="s">
        <v>3190</v>
      </c>
      <c r="H165" s="7">
        <v>36916.604930555601</v>
      </c>
      <c r="I165" s="4" t="s">
        <v>3438</v>
      </c>
      <c r="J165" s="4" t="s">
        <v>3190</v>
      </c>
      <c r="K165" s="4" t="s">
        <v>3192</v>
      </c>
      <c r="L165" s="4" t="s">
        <v>3211</v>
      </c>
      <c r="M165" s="5">
        <v>151.09</v>
      </c>
    </row>
    <row r="166" spans="1:13" x14ac:dyDescent="0.25">
      <c r="A166" s="4" t="s">
        <v>3388</v>
      </c>
      <c r="B166" s="4" t="s">
        <v>3186</v>
      </c>
      <c r="C166" s="4" t="s">
        <v>3187</v>
      </c>
      <c r="D166" s="4" t="s">
        <v>3188</v>
      </c>
      <c r="E166" s="4" t="s">
        <v>3189</v>
      </c>
      <c r="F166" s="4" t="s">
        <v>3190</v>
      </c>
      <c r="G166" s="4" t="s">
        <v>3190</v>
      </c>
      <c r="H166" s="7">
        <v>36916.605787036999</v>
      </c>
      <c r="I166" s="4" t="s">
        <v>3439</v>
      </c>
      <c r="J166" s="4" t="s">
        <v>3190</v>
      </c>
      <c r="K166" s="4" t="s">
        <v>3192</v>
      </c>
      <c r="L166" s="4" t="s">
        <v>4</v>
      </c>
      <c r="M166" s="5">
        <v>125</v>
      </c>
    </row>
    <row r="167" spans="1:13" x14ac:dyDescent="0.25">
      <c r="A167" s="4" t="s">
        <v>3209</v>
      </c>
      <c r="B167" s="4" t="s">
        <v>3186</v>
      </c>
      <c r="C167" s="4" t="s">
        <v>3187</v>
      </c>
      <c r="D167" s="4" t="s">
        <v>3188</v>
      </c>
      <c r="E167" s="4" t="s">
        <v>3189</v>
      </c>
      <c r="F167" s="4" t="s">
        <v>3190</v>
      </c>
      <c r="G167" s="4" t="s">
        <v>3190</v>
      </c>
      <c r="H167" s="7">
        <v>36917.401423611103</v>
      </c>
      <c r="I167" s="4" t="s">
        <v>3440</v>
      </c>
      <c r="J167" s="4" t="s">
        <v>3190</v>
      </c>
      <c r="K167" s="4" t="s">
        <v>3192</v>
      </c>
      <c r="L167" s="4" t="s">
        <v>3211</v>
      </c>
      <c r="M167" s="5">
        <v>175.01</v>
      </c>
    </row>
    <row r="168" spans="1:13" x14ac:dyDescent="0.25">
      <c r="A168" s="4" t="s">
        <v>3209</v>
      </c>
      <c r="B168" s="4" t="s">
        <v>3186</v>
      </c>
      <c r="C168" s="4" t="s">
        <v>3187</v>
      </c>
      <c r="D168" s="4" t="s">
        <v>3188</v>
      </c>
      <c r="E168" s="4" t="s">
        <v>3189</v>
      </c>
      <c r="F168" s="4" t="s">
        <v>3190</v>
      </c>
      <c r="G168" s="4" t="s">
        <v>3190</v>
      </c>
      <c r="H168" s="7">
        <v>36917.403703703698</v>
      </c>
      <c r="I168" s="4" t="s">
        <v>3441</v>
      </c>
      <c r="J168" s="4" t="s">
        <v>3190</v>
      </c>
      <c r="K168" s="4" t="s">
        <v>3192</v>
      </c>
      <c r="L168" s="4" t="s">
        <v>280</v>
      </c>
      <c r="M168" s="5">
        <v>275.79000000000002</v>
      </c>
    </row>
    <row r="169" spans="1:13" x14ac:dyDescent="0.25">
      <c r="A169" s="4" t="s">
        <v>3209</v>
      </c>
      <c r="B169" s="4" t="s">
        <v>3186</v>
      </c>
      <c r="C169" s="4" t="s">
        <v>3194</v>
      </c>
      <c r="D169" s="4" t="s">
        <v>3195</v>
      </c>
      <c r="E169" s="4" t="s">
        <v>3196</v>
      </c>
      <c r="F169" s="4" t="s">
        <v>3190</v>
      </c>
      <c r="G169" s="4" t="s">
        <v>3190</v>
      </c>
      <c r="H169" s="7">
        <v>36917.403703703698</v>
      </c>
      <c r="I169" s="4" t="s">
        <v>3441</v>
      </c>
      <c r="J169" s="4" t="s">
        <v>3190</v>
      </c>
      <c r="K169" s="4" t="s">
        <v>3192</v>
      </c>
      <c r="L169" s="4" t="s">
        <v>280</v>
      </c>
      <c r="M169" s="5">
        <v>275.79000000000002</v>
      </c>
    </row>
    <row r="170" spans="1:13" x14ac:dyDescent="0.25">
      <c r="A170" s="4" t="s">
        <v>3209</v>
      </c>
      <c r="B170" s="4" t="s">
        <v>3186</v>
      </c>
      <c r="C170" s="4" t="s">
        <v>3194</v>
      </c>
      <c r="D170" s="4" t="s">
        <v>3195</v>
      </c>
      <c r="E170" s="4" t="s">
        <v>3196</v>
      </c>
      <c r="F170" s="4" t="s">
        <v>3190</v>
      </c>
      <c r="G170" s="4" t="s">
        <v>3190</v>
      </c>
      <c r="H170" s="7">
        <v>36917.405243055597</v>
      </c>
      <c r="I170" s="4" t="s">
        <v>3442</v>
      </c>
      <c r="J170" s="4" t="s">
        <v>3190</v>
      </c>
      <c r="K170" s="4" t="s">
        <v>3192</v>
      </c>
      <c r="L170" s="4" t="s">
        <v>3321</v>
      </c>
      <c r="M170" s="5">
        <v>484.73</v>
      </c>
    </row>
    <row r="171" spans="1:13" x14ac:dyDescent="0.25">
      <c r="A171" s="4" t="s">
        <v>3388</v>
      </c>
      <c r="B171" s="4" t="s">
        <v>3186</v>
      </c>
      <c r="C171" s="4" t="s">
        <v>3187</v>
      </c>
      <c r="D171" s="4" t="s">
        <v>3188</v>
      </c>
      <c r="E171" s="4" t="s">
        <v>3189</v>
      </c>
      <c r="F171" s="4" t="s">
        <v>3190</v>
      </c>
      <c r="G171" s="4" t="s">
        <v>3190</v>
      </c>
      <c r="H171" s="7">
        <v>36917.479722222197</v>
      </c>
      <c r="I171" s="4" t="s">
        <v>3443</v>
      </c>
      <c r="J171" s="4" t="s">
        <v>3190</v>
      </c>
      <c r="K171" s="4" t="s">
        <v>3192</v>
      </c>
      <c r="L171" s="4" t="s">
        <v>4</v>
      </c>
      <c r="M171" s="5">
        <v>125</v>
      </c>
    </row>
    <row r="172" spans="1:13" x14ac:dyDescent="0.25">
      <c r="A172" s="4" t="s">
        <v>3209</v>
      </c>
      <c r="B172" s="4" t="s">
        <v>3186</v>
      </c>
      <c r="C172" s="4" t="s">
        <v>3194</v>
      </c>
      <c r="D172" s="4" t="s">
        <v>3195</v>
      </c>
      <c r="E172" s="4" t="s">
        <v>3196</v>
      </c>
      <c r="F172" s="4" t="s">
        <v>3190</v>
      </c>
      <c r="G172" s="4" t="s">
        <v>3190</v>
      </c>
      <c r="H172" s="7">
        <v>36927.464571759301</v>
      </c>
      <c r="I172" s="4" t="s">
        <v>3444</v>
      </c>
      <c r="J172" s="4" t="s">
        <v>3190</v>
      </c>
      <c r="K172" s="4" t="s">
        <v>3192</v>
      </c>
      <c r="L172" s="4" t="s">
        <v>3211</v>
      </c>
      <c r="M172" s="5">
        <v>600.6</v>
      </c>
    </row>
    <row r="173" spans="1:13" x14ac:dyDescent="0.25">
      <c r="A173" s="4" t="s">
        <v>3240</v>
      </c>
      <c r="B173" s="4" t="s">
        <v>3186</v>
      </c>
      <c r="C173" s="4" t="s">
        <v>3187</v>
      </c>
      <c r="D173" s="4" t="s">
        <v>3188</v>
      </c>
      <c r="E173" s="4" t="s">
        <v>3189</v>
      </c>
      <c r="F173" s="4" t="s">
        <v>3190</v>
      </c>
      <c r="G173" s="4" t="s">
        <v>3190</v>
      </c>
      <c r="H173" s="7">
        <v>36930.414178240702</v>
      </c>
      <c r="I173" s="4" t="s">
        <v>3445</v>
      </c>
      <c r="J173" s="4" t="s">
        <v>3190</v>
      </c>
      <c r="K173" s="4" t="s">
        <v>3192</v>
      </c>
      <c r="L173" s="4" t="s">
        <v>220</v>
      </c>
      <c r="M173" s="5">
        <v>392.82</v>
      </c>
    </row>
    <row r="174" spans="1:13" x14ac:dyDescent="0.25">
      <c r="A174" s="4" t="s">
        <v>3185</v>
      </c>
      <c r="B174" s="4" t="s">
        <v>3186</v>
      </c>
      <c r="C174" s="4" t="s">
        <v>3194</v>
      </c>
      <c r="D174" s="4" t="s">
        <v>3195</v>
      </c>
      <c r="E174" s="4" t="s">
        <v>3196</v>
      </c>
      <c r="F174" s="4" t="s">
        <v>3190</v>
      </c>
      <c r="G174" s="4" t="s">
        <v>3190</v>
      </c>
      <c r="H174" s="7">
        <v>36935.560243055603</v>
      </c>
      <c r="I174" s="4" t="s">
        <v>3446</v>
      </c>
      <c r="J174" s="4" t="s">
        <v>3190</v>
      </c>
      <c r="K174" s="4" t="s">
        <v>3192</v>
      </c>
      <c r="L174" s="4" t="s">
        <v>3447</v>
      </c>
      <c r="M174" s="5">
        <v>111.09</v>
      </c>
    </row>
    <row r="175" spans="1:13" x14ac:dyDescent="0.25">
      <c r="A175" s="4" t="s">
        <v>3399</v>
      </c>
      <c r="B175" s="4" t="s">
        <v>3186</v>
      </c>
      <c r="C175" s="4" t="s">
        <v>3194</v>
      </c>
      <c r="D175" s="4" t="s">
        <v>3195</v>
      </c>
      <c r="E175" s="4" t="s">
        <v>3214</v>
      </c>
      <c r="F175" s="4" t="s">
        <v>3190</v>
      </c>
      <c r="G175" s="4" t="s">
        <v>3190</v>
      </c>
      <c r="H175" s="7">
        <v>36943.432893518497</v>
      </c>
      <c r="I175" s="4" t="s">
        <v>3448</v>
      </c>
      <c r="J175" s="4" t="s">
        <v>3190</v>
      </c>
      <c r="K175" s="4" t="s">
        <v>3192</v>
      </c>
      <c r="L175" s="4" t="s">
        <v>3220</v>
      </c>
      <c r="M175" s="5">
        <v>456.85</v>
      </c>
    </row>
    <row r="176" spans="1:13" x14ac:dyDescent="0.25">
      <c r="A176" s="4" t="s">
        <v>3399</v>
      </c>
      <c r="B176" s="4" t="s">
        <v>3186</v>
      </c>
      <c r="C176" s="4" t="s">
        <v>3194</v>
      </c>
      <c r="D176" s="4" t="s">
        <v>3195</v>
      </c>
      <c r="E176" s="4" t="s">
        <v>3214</v>
      </c>
      <c r="F176" s="4" t="s">
        <v>3190</v>
      </c>
      <c r="G176" s="4" t="s">
        <v>3190</v>
      </c>
      <c r="H176" s="7">
        <v>36943.433969907397</v>
      </c>
      <c r="I176" s="4" t="s">
        <v>3449</v>
      </c>
      <c r="J176" s="4" t="s">
        <v>3190</v>
      </c>
      <c r="K176" s="4" t="s">
        <v>3192</v>
      </c>
      <c r="L176" s="4" t="s">
        <v>3220</v>
      </c>
      <c r="M176" s="5">
        <v>239.34</v>
      </c>
    </row>
    <row r="177" spans="1:13" x14ac:dyDescent="0.25">
      <c r="A177" s="4" t="s">
        <v>3399</v>
      </c>
      <c r="B177" s="4" t="s">
        <v>3186</v>
      </c>
      <c r="C177" s="4" t="s">
        <v>3194</v>
      </c>
      <c r="D177" s="4" t="s">
        <v>3195</v>
      </c>
      <c r="E177" s="4" t="s">
        <v>3214</v>
      </c>
      <c r="F177" s="4" t="s">
        <v>3190</v>
      </c>
      <c r="G177" s="4" t="s">
        <v>3190</v>
      </c>
      <c r="H177" s="7">
        <v>36943.435173611098</v>
      </c>
      <c r="I177" s="4" t="s">
        <v>3450</v>
      </c>
      <c r="J177" s="4" t="s">
        <v>3190</v>
      </c>
      <c r="K177" s="4" t="s">
        <v>3192</v>
      </c>
      <c r="L177" s="4" t="s">
        <v>3220</v>
      </c>
      <c r="M177" s="5">
        <v>361.3</v>
      </c>
    </row>
    <row r="178" spans="1:13" x14ac:dyDescent="0.25">
      <c r="A178" s="4" t="s">
        <v>3399</v>
      </c>
      <c r="B178" s="4" t="s">
        <v>3186</v>
      </c>
      <c r="C178" s="4" t="s">
        <v>3194</v>
      </c>
      <c r="D178" s="4" t="s">
        <v>3195</v>
      </c>
      <c r="E178" s="4" t="s">
        <v>3214</v>
      </c>
      <c r="F178" s="4" t="s">
        <v>3190</v>
      </c>
      <c r="G178" s="4" t="s">
        <v>3190</v>
      </c>
      <c r="H178" s="7">
        <v>36943.435891203699</v>
      </c>
      <c r="I178" s="4" t="s">
        <v>3451</v>
      </c>
      <c r="J178" s="4" t="s">
        <v>3190</v>
      </c>
      <c r="K178" s="4" t="s">
        <v>3192</v>
      </c>
      <c r="L178" s="4" t="s">
        <v>3220</v>
      </c>
      <c r="M178" s="5">
        <v>698.1</v>
      </c>
    </row>
    <row r="179" spans="1:13" x14ac:dyDescent="0.25">
      <c r="A179" s="4" t="s">
        <v>3239</v>
      </c>
      <c r="B179" s="4" t="s">
        <v>3186</v>
      </c>
      <c r="C179" s="4" t="s">
        <v>3194</v>
      </c>
      <c r="D179" s="4" t="s">
        <v>3195</v>
      </c>
      <c r="E179" s="4" t="s">
        <v>3196</v>
      </c>
      <c r="F179" s="4" t="s">
        <v>3190</v>
      </c>
      <c r="G179" s="4" t="s">
        <v>3190</v>
      </c>
      <c r="H179" s="7">
        <v>36944.392187500001</v>
      </c>
      <c r="I179" s="4" t="s">
        <v>3452</v>
      </c>
      <c r="J179" s="4" t="s">
        <v>3190</v>
      </c>
      <c r="K179" s="4" t="s">
        <v>3192</v>
      </c>
      <c r="L179" s="4" t="s">
        <v>3342</v>
      </c>
      <c r="M179" s="5">
        <v>323.67</v>
      </c>
    </row>
    <row r="180" spans="1:13" x14ac:dyDescent="0.25">
      <c r="A180" s="4" t="s">
        <v>3185</v>
      </c>
      <c r="B180" s="4" t="s">
        <v>3186</v>
      </c>
      <c r="C180" s="4" t="s">
        <v>3194</v>
      </c>
      <c r="D180" s="4" t="s">
        <v>3195</v>
      </c>
      <c r="E180" s="4" t="s">
        <v>3196</v>
      </c>
      <c r="F180" s="4" t="s">
        <v>3190</v>
      </c>
      <c r="G180" s="4" t="s">
        <v>3190</v>
      </c>
      <c r="H180" s="7">
        <v>36949.427222222199</v>
      </c>
      <c r="I180" s="4" t="s">
        <v>3453</v>
      </c>
      <c r="J180" s="4" t="s">
        <v>3190</v>
      </c>
      <c r="K180" s="4" t="s">
        <v>3192</v>
      </c>
      <c r="L180" s="4" t="s">
        <v>3267</v>
      </c>
      <c r="M180" s="5">
        <v>820.04</v>
      </c>
    </row>
    <row r="181" spans="1:13" x14ac:dyDescent="0.25">
      <c r="A181" s="4" t="s">
        <v>3242</v>
      </c>
      <c r="B181" s="4" t="s">
        <v>3186</v>
      </c>
      <c r="C181" s="4" t="s">
        <v>3194</v>
      </c>
      <c r="D181" s="4" t="s">
        <v>3195</v>
      </c>
      <c r="E181" s="4" t="s">
        <v>3196</v>
      </c>
      <c r="F181" s="4" t="s">
        <v>3190</v>
      </c>
      <c r="G181" s="4" t="s">
        <v>3190</v>
      </c>
      <c r="H181" s="7">
        <v>36949.6077083333</v>
      </c>
      <c r="I181" s="4" t="s">
        <v>3454</v>
      </c>
      <c r="J181" s="4" t="s">
        <v>3190</v>
      </c>
      <c r="K181" s="4" t="s">
        <v>3192</v>
      </c>
      <c r="L181" s="4" t="s">
        <v>106</v>
      </c>
      <c r="M181" s="5">
        <v>921.21</v>
      </c>
    </row>
    <row r="182" spans="1:13" x14ac:dyDescent="0.25">
      <c r="A182" s="4" t="s">
        <v>3399</v>
      </c>
      <c r="B182" s="4" t="s">
        <v>3186</v>
      </c>
      <c r="C182" s="4" t="s">
        <v>3194</v>
      </c>
      <c r="D182" s="4" t="s">
        <v>3195</v>
      </c>
      <c r="E182" s="4" t="s">
        <v>3196</v>
      </c>
      <c r="F182" s="4" t="s">
        <v>3190</v>
      </c>
      <c r="G182" s="4" t="s">
        <v>3190</v>
      </c>
      <c r="H182" s="7">
        <v>36949.609097222201</v>
      </c>
      <c r="I182" s="4" t="s">
        <v>3455</v>
      </c>
      <c r="J182" s="4" t="s">
        <v>3190</v>
      </c>
      <c r="K182" s="4" t="s">
        <v>3192</v>
      </c>
      <c r="L182" s="4" t="s">
        <v>106</v>
      </c>
      <c r="M182" s="5">
        <v>287.47000000000003</v>
      </c>
    </row>
    <row r="183" spans="1:13" x14ac:dyDescent="0.25">
      <c r="A183" s="4" t="s">
        <v>3352</v>
      </c>
      <c r="B183" s="4" t="s">
        <v>3186</v>
      </c>
      <c r="C183" s="4" t="s">
        <v>3194</v>
      </c>
      <c r="D183" s="4" t="s">
        <v>3195</v>
      </c>
      <c r="E183" s="4" t="s">
        <v>3214</v>
      </c>
      <c r="F183" s="4" t="s">
        <v>3190</v>
      </c>
      <c r="G183" s="4" t="s">
        <v>3190</v>
      </c>
      <c r="H183" s="7">
        <v>36950.658831018503</v>
      </c>
      <c r="I183" s="4" t="s">
        <v>3456</v>
      </c>
      <c r="J183" s="4" t="s">
        <v>3190</v>
      </c>
      <c r="K183" s="4" t="s">
        <v>3192</v>
      </c>
      <c r="L183" s="4" t="s">
        <v>3457</v>
      </c>
      <c r="M183" s="5">
        <v>7264</v>
      </c>
    </row>
    <row r="184" spans="1:13" x14ac:dyDescent="0.25">
      <c r="A184" s="4" t="s">
        <v>3209</v>
      </c>
      <c r="B184" s="4" t="s">
        <v>3186</v>
      </c>
      <c r="C184" s="4" t="s">
        <v>3187</v>
      </c>
      <c r="D184" s="4" t="s">
        <v>3188</v>
      </c>
      <c r="E184" s="4" t="s">
        <v>3189</v>
      </c>
      <c r="F184" s="4" t="s">
        <v>3190</v>
      </c>
      <c r="G184" s="4" t="s">
        <v>3190</v>
      </c>
      <c r="H184" s="7">
        <v>36951.432407407403</v>
      </c>
      <c r="I184" s="4" t="s">
        <v>3458</v>
      </c>
      <c r="J184" s="4" t="s">
        <v>3190</v>
      </c>
      <c r="K184" s="4" t="s">
        <v>3192</v>
      </c>
      <c r="L184" s="4" t="s">
        <v>3211</v>
      </c>
      <c r="M184" s="5">
        <v>202.17</v>
      </c>
    </row>
    <row r="185" spans="1:13" x14ac:dyDescent="0.25">
      <c r="A185" s="4" t="s">
        <v>3209</v>
      </c>
      <c r="B185" s="4" t="s">
        <v>3186</v>
      </c>
      <c r="C185" s="4" t="s">
        <v>3187</v>
      </c>
      <c r="D185" s="4" t="s">
        <v>3188</v>
      </c>
      <c r="E185" s="4" t="s">
        <v>3189</v>
      </c>
      <c r="F185" s="4" t="s">
        <v>3190</v>
      </c>
      <c r="G185" s="4" t="s">
        <v>3190</v>
      </c>
      <c r="H185" s="7">
        <v>36951.434050925898</v>
      </c>
      <c r="I185" s="4" t="s">
        <v>3459</v>
      </c>
      <c r="J185" s="4" t="s">
        <v>3190</v>
      </c>
      <c r="K185" s="4" t="s">
        <v>3192</v>
      </c>
      <c r="L185" s="4" t="s">
        <v>3211</v>
      </c>
      <c r="M185" s="5">
        <v>439.67</v>
      </c>
    </row>
    <row r="186" spans="1:13" x14ac:dyDescent="0.25">
      <c r="A186" s="4" t="s">
        <v>3209</v>
      </c>
      <c r="B186" s="4" t="s">
        <v>3186</v>
      </c>
      <c r="C186" s="4" t="s">
        <v>3187</v>
      </c>
      <c r="D186" s="4" t="s">
        <v>3188</v>
      </c>
      <c r="E186" s="4" t="s">
        <v>3189</v>
      </c>
      <c r="F186" s="4" t="s">
        <v>3190</v>
      </c>
      <c r="G186" s="4" t="s">
        <v>3190</v>
      </c>
      <c r="H186" s="7">
        <v>36951.435335648202</v>
      </c>
      <c r="I186" s="4" t="s">
        <v>3460</v>
      </c>
      <c r="J186" s="4" t="s">
        <v>3190</v>
      </c>
      <c r="K186" s="4" t="s">
        <v>3192</v>
      </c>
      <c r="L186" s="4" t="s">
        <v>3211</v>
      </c>
      <c r="M186" s="5">
        <v>449.67</v>
      </c>
    </row>
    <row r="187" spans="1:13" x14ac:dyDescent="0.25">
      <c r="A187" s="4" t="s">
        <v>3206</v>
      </c>
      <c r="B187" s="4" t="s">
        <v>3186</v>
      </c>
      <c r="C187" s="4" t="s">
        <v>3187</v>
      </c>
      <c r="D187" s="4" t="s">
        <v>3188</v>
      </c>
      <c r="E187" s="4" t="s">
        <v>3189</v>
      </c>
      <c r="F187" s="4" t="s">
        <v>3190</v>
      </c>
      <c r="G187" s="4" t="s">
        <v>3190</v>
      </c>
      <c r="H187" s="7">
        <v>36951.436712962997</v>
      </c>
      <c r="I187" s="4" t="s">
        <v>3461</v>
      </c>
      <c r="J187" s="4" t="s">
        <v>3190</v>
      </c>
      <c r="K187" s="4" t="s">
        <v>3192</v>
      </c>
      <c r="L187" s="4" t="s">
        <v>3277</v>
      </c>
      <c r="M187" s="5">
        <v>290.83999999999997</v>
      </c>
    </row>
    <row r="188" spans="1:13" x14ac:dyDescent="0.25">
      <c r="A188" s="4" t="s">
        <v>3209</v>
      </c>
      <c r="B188" s="4" t="s">
        <v>3186</v>
      </c>
      <c r="C188" s="4" t="s">
        <v>3187</v>
      </c>
      <c r="D188" s="4" t="s">
        <v>3188</v>
      </c>
      <c r="E188" s="4" t="s">
        <v>3189</v>
      </c>
      <c r="F188" s="4" t="s">
        <v>3190</v>
      </c>
      <c r="G188" s="4" t="s">
        <v>3190</v>
      </c>
      <c r="H188" s="7">
        <v>36951.439363425903</v>
      </c>
      <c r="I188" s="4" t="s">
        <v>3462</v>
      </c>
      <c r="J188" s="4" t="s">
        <v>3190</v>
      </c>
      <c r="K188" s="4" t="s">
        <v>3192</v>
      </c>
      <c r="L188" s="4" t="s">
        <v>3211</v>
      </c>
      <c r="M188" s="5">
        <v>239.27</v>
      </c>
    </row>
    <row r="189" spans="1:13" x14ac:dyDescent="0.25">
      <c r="A189" s="4" t="s">
        <v>3209</v>
      </c>
      <c r="B189" s="4" t="s">
        <v>3186</v>
      </c>
      <c r="C189" s="4" t="s">
        <v>3187</v>
      </c>
      <c r="D189" s="4" t="s">
        <v>3188</v>
      </c>
      <c r="E189" s="4" t="s">
        <v>3189</v>
      </c>
      <c r="F189" s="4" t="s">
        <v>3190</v>
      </c>
      <c r="G189" s="4" t="s">
        <v>3190</v>
      </c>
      <c r="H189" s="7">
        <v>36951.442048611098</v>
      </c>
      <c r="I189" s="4" t="s">
        <v>3463</v>
      </c>
      <c r="J189" s="4" t="s">
        <v>3190</v>
      </c>
      <c r="K189" s="4" t="s">
        <v>3192</v>
      </c>
      <c r="L189" s="4" t="s">
        <v>3211</v>
      </c>
      <c r="M189" s="5">
        <v>315.77999999999997</v>
      </c>
    </row>
    <row r="190" spans="1:13" x14ac:dyDescent="0.25">
      <c r="A190" s="4" t="s">
        <v>3206</v>
      </c>
      <c r="B190" s="4" t="s">
        <v>3186</v>
      </c>
      <c r="C190" s="4" t="s">
        <v>3187</v>
      </c>
      <c r="D190" s="4" t="s">
        <v>3188</v>
      </c>
      <c r="E190" s="4" t="s">
        <v>3189</v>
      </c>
      <c r="F190" s="4" t="s">
        <v>3190</v>
      </c>
      <c r="G190" s="4" t="s">
        <v>3190</v>
      </c>
      <c r="H190" s="7">
        <v>36951.451527777797</v>
      </c>
      <c r="I190" s="4" t="s">
        <v>3464</v>
      </c>
      <c r="J190" s="4" t="s">
        <v>3190</v>
      </c>
      <c r="K190" s="4" t="s">
        <v>3192</v>
      </c>
      <c r="L190" s="4" t="s">
        <v>3208</v>
      </c>
      <c r="M190" s="5">
        <v>156.04</v>
      </c>
    </row>
    <row r="191" spans="1:13" x14ac:dyDescent="0.25">
      <c r="A191" s="4" t="s">
        <v>3209</v>
      </c>
      <c r="B191" s="4" t="s">
        <v>3186</v>
      </c>
      <c r="C191" s="4" t="s">
        <v>3194</v>
      </c>
      <c r="D191" s="4" t="s">
        <v>3195</v>
      </c>
      <c r="E191" s="4" t="s">
        <v>3196</v>
      </c>
      <c r="F191" s="4" t="s">
        <v>3190</v>
      </c>
      <c r="G191" s="4" t="s">
        <v>3190</v>
      </c>
      <c r="H191" s="7">
        <v>36951.460914351897</v>
      </c>
      <c r="I191" s="4" t="s">
        <v>3465</v>
      </c>
      <c r="J191" s="4" t="s">
        <v>3190</v>
      </c>
      <c r="K191" s="4" t="s">
        <v>3192</v>
      </c>
      <c r="L191" s="4" t="s">
        <v>3237</v>
      </c>
      <c r="M191" s="5">
        <v>257.88</v>
      </c>
    </row>
    <row r="192" spans="1:13" x14ac:dyDescent="0.25">
      <c r="A192" s="4" t="s">
        <v>3466</v>
      </c>
      <c r="B192" s="4" t="s">
        <v>3186</v>
      </c>
      <c r="C192" s="4" t="s">
        <v>3187</v>
      </c>
      <c r="D192" s="4" t="s">
        <v>3188</v>
      </c>
      <c r="E192" s="4" t="s">
        <v>3189</v>
      </c>
      <c r="F192" s="4" t="s">
        <v>3190</v>
      </c>
      <c r="G192" s="4" t="s">
        <v>3190</v>
      </c>
      <c r="H192" s="7">
        <v>36952.515856481499</v>
      </c>
      <c r="I192" s="4" t="s">
        <v>3467</v>
      </c>
      <c r="J192" s="4" t="s">
        <v>3190</v>
      </c>
      <c r="K192" s="4" t="s">
        <v>3192</v>
      </c>
      <c r="L192" s="4" t="s">
        <v>3437</v>
      </c>
      <c r="M192" s="5">
        <v>210</v>
      </c>
    </row>
    <row r="193" spans="1:13" x14ac:dyDescent="0.25">
      <c r="A193" s="4" t="s">
        <v>3466</v>
      </c>
      <c r="B193" s="4" t="s">
        <v>3186</v>
      </c>
      <c r="C193" s="4" t="s">
        <v>3194</v>
      </c>
      <c r="D193" s="4" t="s">
        <v>3195</v>
      </c>
      <c r="E193" s="4" t="s">
        <v>3227</v>
      </c>
      <c r="F193" s="4" t="s">
        <v>3190</v>
      </c>
      <c r="G193" s="4" t="s">
        <v>3190</v>
      </c>
      <c r="H193" s="7">
        <v>36956.400532407402</v>
      </c>
      <c r="I193" s="4" t="s">
        <v>3468</v>
      </c>
      <c r="J193" s="4" t="s">
        <v>3190</v>
      </c>
      <c r="K193" s="4" t="s">
        <v>3192</v>
      </c>
      <c r="L193" s="4" t="s">
        <v>3254</v>
      </c>
      <c r="M193" s="5">
        <v>114</v>
      </c>
    </row>
    <row r="194" spans="1:13" x14ac:dyDescent="0.25">
      <c r="A194" s="4" t="s">
        <v>3466</v>
      </c>
      <c r="B194" s="4" t="s">
        <v>3186</v>
      </c>
      <c r="C194" s="4" t="s">
        <v>3194</v>
      </c>
      <c r="D194" s="4" t="s">
        <v>3195</v>
      </c>
      <c r="E194" s="4" t="s">
        <v>3214</v>
      </c>
      <c r="F194" s="4" t="s">
        <v>3190</v>
      </c>
      <c r="G194" s="4" t="s">
        <v>3190</v>
      </c>
      <c r="H194" s="7">
        <v>36956.400532407402</v>
      </c>
      <c r="I194" s="4" t="s">
        <v>3468</v>
      </c>
      <c r="J194" s="4" t="s">
        <v>3190</v>
      </c>
      <c r="K194" s="4" t="s">
        <v>3192</v>
      </c>
      <c r="L194" s="4" t="s">
        <v>3254</v>
      </c>
      <c r="M194" s="5">
        <v>570</v>
      </c>
    </row>
    <row r="195" spans="1:13" x14ac:dyDescent="0.25">
      <c r="A195" s="4" t="s">
        <v>3466</v>
      </c>
      <c r="B195" s="4" t="s">
        <v>3186</v>
      </c>
      <c r="C195" s="4" t="s">
        <v>3194</v>
      </c>
      <c r="D195" s="4" t="s">
        <v>3195</v>
      </c>
      <c r="E195" s="4" t="s">
        <v>3196</v>
      </c>
      <c r="F195" s="4" t="s">
        <v>3190</v>
      </c>
      <c r="G195" s="4" t="s">
        <v>3190</v>
      </c>
      <c r="H195" s="7">
        <v>36956.400532407402</v>
      </c>
      <c r="I195" s="4" t="s">
        <v>3468</v>
      </c>
      <c r="J195" s="4" t="s">
        <v>3190</v>
      </c>
      <c r="K195" s="4" t="s">
        <v>3192</v>
      </c>
      <c r="L195" s="4" t="s">
        <v>3254</v>
      </c>
      <c r="M195" s="5">
        <v>228</v>
      </c>
    </row>
    <row r="196" spans="1:13" x14ac:dyDescent="0.25">
      <c r="A196" s="4" t="s">
        <v>3283</v>
      </c>
      <c r="B196" s="4" t="s">
        <v>3186</v>
      </c>
      <c r="C196" s="4" t="s">
        <v>3187</v>
      </c>
      <c r="D196" s="4" t="s">
        <v>3188</v>
      </c>
      <c r="E196" s="4" t="s">
        <v>3189</v>
      </c>
      <c r="F196" s="4" t="s">
        <v>3190</v>
      </c>
      <c r="G196" s="4" t="s">
        <v>3190</v>
      </c>
      <c r="H196" s="7">
        <v>36957.453773148103</v>
      </c>
      <c r="I196" s="4" t="s">
        <v>3469</v>
      </c>
      <c r="J196" s="4" t="s">
        <v>3190</v>
      </c>
      <c r="K196" s="4" t="s">
        <v>3192</v>
      </c>
      <c r="L196" s="4" t="s">
        <v>3470</v>
      </c>
      <c r="M196" s="5">
        <v>196.33</v>
      </c>
    </row>
    <row r="197" spans="1:13" x14ac:dyDescent="0.25">
      <c r="A197" s="4" t="s">
        <v>3399</v>
      </c>
      <c r="B197" s="4" t="s">
        <v>3186</v>
      </c>
      <c r="C197" s="4" t="s">
        <v>3194</v>
      </c>
      <c r="D197" s="4" t="s">
        <v>3195</v>
      </c>
      <c r="E197" s="4" t="s">
        <v>3214</v>
      </c>
      <c r="F197" s="4" t="s">
        <v>3190</v>
      </c>
      <c r="G197" s="4" t="s">
        <v>3190</v>
      </c>
      <c r="H197" s="7">
        <v>36962.559999999998</v>
      </c>
      <c r="I197" s="4" t="s">
        <v>3471</v>
      </c>
      <c r="J197" s="4" t="s">
        <v>3190</v>
      </c>
      <c r="K197" s="4" t="s">
        <v>3192</v>
      </c>
      <c r="L197" s="4" t="s">
        <v>3220</v>
      </c>
      <c r="M197" s="5">
        <v>362.38</v>
      </c>
    </row>
    <row r="198" spans="1:13" x14ac:dyDescent="0.25">
      <c r="A198" s="4" t="s">
        <v>3399</v>
      </c>
      <c r="B198" s="4" t="s">
        <v>3186</v>
      </c>
      <c r="C198" s="4" t="s">
        <v>3194</v>
      </c>
      <c r="D198" s="4" t="s">
        <v>3195</v>
      </c>
      <c r="E198" s="4" t="s">
        <v>3196</v>
      </c>
      <c r="F198" s="4" t="s">
        <v>3190</v>
      </c>
      <c r="G198" s="4" t="s">
        <v>3190</v>
      </c>
      <c r="H198" s="7">
        <v>36963.464050925897</v>
      </c>
      <c r="I198" s="4" t="s">
        <v>3472</v>
      </c>
      <c r="J198" s="4" t="s">
        <v>3190</v>
      </c>
      <c r="K198" s="4" t="s">
        <v>3192</v>
      </c>
      <c r="L198" s="4" t="s">
        <v>3220</v>
      </c>
      <c r="M198" s="5">
        <v>211.38</v>
      </c>
    </row>
    <row r="199" spans="1:13" x14ac:dyDescent="0.25">
      <c r="A199" s="4" t="s">
        <v>3226</v>
      </c>
      <c r="B199" s="4" t="s">
        <v>3186</v>
      </c>
      <c r="C199" s="4" t="s">
        <v>3194</v>
      </c>
      <c r="D199" s="4" t="s">
        <v>3195</v>
      </c>
      <c r="E199" s="4" t="s">
        <v>3214</v>
      </c>
      <c r="F199" s="4" t="s">
        <v>3190</v>
      </c>
      <c r="G199" s="4" t="s">
        <v>3190</v>
      </c>
      <c r="H199" s="7">
        <v>36963.4766550926</v>
      </c>
      <c r="I199" s="4" t="s">
        <v>3473</v>
      </c>
      <c r="J199" s="4" t="s">
        <v>3190</v>
      </c>
      <c r="K199" s="4" t="s">
        <v>3192</v>
      </c>
      <c r="L199" s="4" t="s">
        <v>1047</v>
      </c>
      <c r="M199" s="5">
        <v>495</v>
      </c>
    </row>
    <row r="200" spans="1:13" x14ac:dyDescent="0.25">
      <c r="A200" s="4" t="s">
        <v>3352</v>
      </c>
      <c r="B200" s="4" t="s">
        <v>3186</v>
      </c>
      <c r="C200" s="4" t="s">
        <v>3194</v>
      </c>
      <c r="D200" s="4" t="s">
        <v>3195</v>
      </c>
      <c r="E200" s="4" t="s">
        <v>3214</v>
      </c>
      <c r="F200" s="4" t="s">
        <v>3190</v>
      </c>
      <c r="G200" s="4" t="s">
        <v>3190</v>
      </c>
      <c r="H200" s="7">
        <v>36965.358981481499</v>
      </c>
      <c r="I200" s="4" t="s">
        <v>3474</v>
      </c>
      <c r="J200" s="4" t="s">
        <v>3190</v>
      </c>
      <c r="K200" s="4" t="s">
        <v>3192</v>
      </c>
      <c r="L200" s="4" t="s">
        <v>222</v>
      </c>
      <c r="M200" s="5">
        <v>25000</v>
      </c>
    </row>
    <row r="201" spans="1:13" x14ac:dyDescent="0.25">
      <c r="A201" s="4" t="s">
        <v>3185</v>
      </c>
      <c r="B201" s="4" t="s">
        <v>3186</v>
      </c>
      <c r="C201" s="4" t="s">
        <v>3234</v>
      </c>
      <c r="D201" s="4" t="s">
        <v>3188</v>
      </c>
      <c r="E201" s="4" t="s">
        <v>3189</v>
      </c>
      <c r="F201" s="4" t="s">
        <v>3190</v>
      </c>
      <c r="G201" s="4" t="s">
        <v>3190</v>
      </c>
      <c r="H201" s="7">
        <v>36965.462754629603</v>
      </c>
      <c r="I201" s="4" t="s">
        <v>3475</v>
      </c>
      <c r="J201" s="4" t="s">
        <v>3190</v>
      </c>
      <c r="K201" s="4" t="s">
        <v>3192</v>
      </c>
      <c r="L201" s="4" t="s">
        <v>3225</v>
      </c>
      <c r="M201" s="5">
        <v>305.5</v>
      </c>
    </row>
    <row r="202" spans="1:13" x14ac:dyDescent="0.25">
      <c r="A202" s="4" t="s">
        <v>3209</v>
      </c>
      <c r="B202" s="4" t="s">
        <v>3186</v>
      </c>
      <c r="C202" s="4" t="s">
        <v>3194</v>
      </c>
      <c r="D202" s="4" t="s">
        <v>3195</v>
      </c>
      <c r="E202" s="4" t="s">
        <v>3196</v>
      </c>
      <c r="F202" s="4" t="s">
        <v>3190</v>
      </c>
      <c r="G202" s="4" t="s">
        <v>3190</v>
      </c>
      <c r="H202" s="7">
        <v>36965.585509259297</v>
      </c>
      <c r="I202" s="4" t="s">
        <v>3476</v>
      </c>
      <c r="J202" s="4" t="s">
        <v>3190</v>
      </c>
      <c r="K202" s="4" t="s">
        <v>3192</v>
      </c>
      <c r="L202" s="4" t="s">
        <v>3211</v>
      </c>
      <c r="M202" s="5">
        <v>182.14</v>
      </c>
    </row>
    <row r="203" spans="1:13" x14ac:dyDescent="0.25">
      <c r="A203" s="4" t="s">
        <v>3399</v>
      </c>
      <c r="B203" s="4" t="s">
        <v>3186</v>
      </c>
      <c r="C203" s="4" t="s">
        <v>3194</v>
      </c>
      <c r="D203" s="4" t="s">
        <v>3195</v>
      </c>
      <c r="E203" s="4" t="s">
        <v>3214</v>
      </c>
      <c r="F203" s="4" t="s">
        <v>3190</v>
      </c>
      <c r="G203" s="4" t="s">
        <v>3190</v>
      </c>
      <c r="H203" s="7">
        <v>36976.474571759303</v>
      </c>
      <c r="I203" s="4" t="s">
        <v>3477</v>
      </c>
      <c r="J203" s="4" t="s">
        <v>3190</v>
      </c>
      <c r="K203" s="4" t="s">
        <v>3192</v>
      </c>
      <c r="L203" s="4" t="s">
        <v>3220</v>
      </c>
      <c r="M203" s="5">
        <v>546.5</v>
      </c>
    </row>
    <row r="204" spans="1:13" x14ac:dyDescent="0.25">
      <c r="A204" s="4" t="s">
        <v>3242</v>
      </c>
      <c r="B204" s="4" t="s">
        <v>3186</v>
      </c>
      <c r="C204" s="4" t="s">
        <v>3194</v>
      </c>
      <c r="D204" s="4" t="s">
        <v>3195</v>
      </c>
      <c r="E204" s="4" t="s">
        <v>3196</v>
      </c>
      <c r="F204" s="4" t="s">
        <v>3190</v>
      </c>
      <c r="G204" s="4" t="s">
        <v>3190</v>
      </c>
      <c r="H204" s="7">
        <v>36976.476342592599</v>
      </c>
      <c r="I204" s="4" t="s">
        <v>3478</v>
      </c>
      <c r="J204" s="4" t="s">
        <v>3190</v>
      </c>
      <c r="K204" s="4" t="s">
        <v>3192</v>
      </c>
      <c r="L204" s="4" t="s">
        <v>3307</v>
      </c>
      <c r="M204" s="5">
        <v>141.24</v>
      </c>
    </row>
    <row r="205" spans="1:13" x14ac:dyDescent="0.25">
      <c r="A205" s="4" t="s">
        <v>3209</v>
      </c>
      <c r="B205" s="4" t="s">
        <v>3186</v>
      </c>
      <c r="C205" s="4" t="s">
        <v>3194</v>
      </c>
      <c r="D205" s="4" t="s">
        <v>3195</v>
      </c>
      <c r="E205" s="4" t="s">
        <v>3196</v>
      </c>
      <c r="F205" s="4" t="s">
        <v>3190</v>
      </c>
      <c r="G205" s="4" t="s">
        <v>3190</v>
      </c>
      <c r="H205" s="7">
        <v>36984.525543981501</v>
      </c>
      <c r="I205" s="4" t="s">
        <v>3479</v>
      </c>
      <c r="J205" s="4" t="s">
        <v>3190</v>
      </c>
      <c r="K205" s="4" t="s">
        <v>3192</v>
      </c>
      <c r="L205" s="4" t="s">
        <v>3211</v>
      </c>
      <c r="M205" s="5">
        <v>180.39</v>
      </c>
    </row>
    <row r="206" spans="1:13" x14ac:dyDescent="0.25">
      <c r="A206" s="4" t="s">
        <v>3242</v>
      </c>
      <c r="B206" s="4" t="s">
        <v>3186</v>
      </c>
      <c r="C206" s="4" t="s">
        <v>3194</v>
      </c>
      <c r="D206" s="4" t="s">
        <v>3195</v>
      </c>
      <c r="E206" s="4" t="s">
        <v>3196</v>
      </c>
      <c r="F206" s="4" t="s">
        <v>3190</v>
      </c>
      <c r="G206" s="4" t="s">
        <v>3190</v>
      </c>
      <c r="H206" s="7">
        <v>36985.533969907403</v>
      </c>
      <c r="I206" s="4" t="s">
        <v>3480</v>
      </c>
      <c r="J206" s="4" t="s">
        <v>3190</v>
      </c>
      <c r="K206" s="4" t="s">
        <v>3192</v>
      </c>
      <c r="L206" s="4" t="s">
        <v>3481</v>
      </c>
      <c r="M206" s="5">
        <v>739.85</v>
      </c>
    </row>
    <row r="207" spans="1:13" x14ac:dyDescent="0.25">
      <c r="A207" s="4" t="s">
        <v>3185</v>
      </c>
      <c r="B207" s="4" t="s">
        <v>3186</v>
      </c>
      <c r="C207" s="4" t="s">
        <v>3234</v>
      </c>
      <c r="D207" s="4" t="s">
        <v>3188</v>
      </c>
      <c r="E207" s="4" t="s">
        <v>3189</v>
      </c>
      <c r="F207" s="4" t="s">
        <v>3190</v>
      </c>
      <c r="G207" s="4" t="s">
        <v>3190</v>
      </c>
      <c r="H207" s="7">
        <v>36992.4854513889</v>
      </c>
      <c r="I207" s="4" t="s">
        <v>3482</v>
      </c>
      <c r="J207" s="4" t="s">
        <v>3190</v>
      </c>
      <c r="K207" s="4" t="s">
        <v>3192</v>
      </c>
      <c r="L207" s="4" t="s">
        <v>3208</v>
      </c>
      <c r="M207" s="5">
        <v>193.03</v>
      </c>
    </row>
    <row r="208" spans="1:13" x14ac:dyDescent="0.25">
      <c r="A208" s="4" t="s">
        <v>3209</v>
      </c>
      <c r="B208" s="4" t="s">
        <v>3186</v>
      </c>
      <c r="C208" s="4" t="s">
        <v>3187</v>
      </c>
      <c r="D208" s="4" t="s">
        <v>3188</v>
      </c>
      <c r="E208" s="4" t="s">
        <v>3189</v>
      </c>
      <c r="F208" s="4" t="s">
        <v>3190</v>
      </c>
      <c r="G208" s="4" t="s">
        <v>3190</v>
      </c>
      <c r="H208" s="7">
        <v>36992.498009259303</v>
      </c>
      <c r="I208" s="4" t="s">
        <v>3483</v>
      </c>
      <c r="J208" s="4" t="s">
        <v>3190</v>
      </c>
      <c r="K208" s="4" t="s">
        <v>3192</v>
      </c>
      <c r="L208" s="4" t="s">
        <v>1498</v>
      </c>
      <c r="M208" s="5">
        <v>190.07</v>
      </c>
    </row>
    <row r="209" spans="1:13" x14ac:dyDescent="0.25">
      <c r="A209" s="4" t="s">
        <v>3209</v>
      </c>
      <c r="B209" s="4" t="s">
        <v>3186</v>
      </c>
      <c r="C209" s="4" t="s">
        <v>3187</v>
      </c>
      <c r="D209" s="4" t="s">
        <v>3188</v>
      </c>
      <c r="E209" s="4" t="s">
        <v>3189</v>
      </c>
      <c r="F209" s="4" t="s">
        <v>3190</v>
      </c>
      <c r="G209" s="4" t="s">
        <v>3190</v>
      </c>
      <c r="H209" s="7">
        <v>36992.499363425901</v>
      </c>
      <c r="I209" s="4" t="s">
        <v>3484</v>
      </c>
      <c r="J209" s="4" t="s">
        <v>3190</v>
      </c>
      <c r="K209" s="4" t="s">
        <v>3192</v>
      </c>
      <c r="L209" s="4" t="s">
        <v>1498</v>
      </c>
      <c r="M209" s="5">
        <v>122.84</v>
      </c>
    </row>
    <row r="210" spans="1:13" x14ac:dyDescent="0.25">
      <c r="A210" s="4" t="s">
        <v>3252</v>
      </c>
      <c r="B210" s="4" t="s">
        <v>3186</v>
      </c>
      <c r="C210" s="4" t="s">
        <v>3194</v>
      </c>
      <c r="D210" s="4" t="s">
        <v>3195</v>
      </c>
      <c r="E210" s="4" t="s">
        <v>3214</v>
      </c>
      <c r="F210" s="4" t="s">
        <v>3190</v>
      </c>
      <c r="G210" s="4" t="s">
        <v>3190</v>
      </c>
      <c r="H210" s="7">
        <v>36998.703553240703</v>
      </c>
      <c r="I210" s="4" t="s">
        <v>3485</v>
      </c>
      <c r="J210" s="4" t="s">
        <v>3190</v>
      </c>
      <c r="K210" s="4" t="s">
        <v>3192</v>
      </c>
      <c r="L210" s="4" t="s">
        <v>1047</v>
      </c>
      <c r="M210" s="5">
        <v>1110</v>
      </c>
    </row>
    <row r="211" spans="1:13" x14ac:dyDescent="0.25">
      <c r="A211" s="4" t="s">
        <v>3242</v>
      </c>
      <c r="B211" s="4" t="s">
        <v>3186</v>
      </c>
      <c r="C211" s="4" t="s">
        <v>3194</v>
      </c>
      <c r="D211" s="4" t="s">
        <v>3195</v>
      </c>
      <c r="E211" s="4" t="s">
        <v>3196</v>
      </c>
      <c r="F211" s="4" t="s">
        <v>3190</v>
      </c>
      <c r="G211" s="4" t="s">
        <v>3190</v>
      </c>
      <c r="H211" s="7">
        <v>37001.413784722201</v>
      </c>
      <c r="I211" s="4" t="s">
        <v>3486</v>
      </c>
      <c r="J211" s="4" t="s">
        <v>3190</v>
      </c>
      <c r="K211" s="4" t="s">
        <v>3192</v>
      </c>
      <c r="L211" s="4" t="s">
        <v>1208</v>
      </c>
      <c r="M211" s="5">
        <v>195.77</v>
      </c>
    </row>
    <row r="212" spans="1:13" x14ac:dyDescent="0.25">
      <c r="A212" s="4" t="s">
        <v>3185</v>
      </c>
      <c r="B212" s="4" t="s">
        <v>3186</v>
      </c>
      <c r="C212" s="4" t="s">
        <v>3187</v>
      </c>
      <c r="D212" s="4" t="s">
        <v>3188</v>
      </c>
      <c r="E212" s="4" t="s">
        <v>3189</v>
      </c>
      <c r="F212" s="4" t="s">
        <v>3190</v>
      </c>
      <c r="G212" s="4" t="s">
        <v>3190</v>
      </c>
      <c r="H212" s="7">
        <v>37001.421342592599</v>
      </c>
      <c r="I212" s="4" t="s">
        <v>3487</v>
      </c>
      <c r="J212" s="4" t="s">
        <v>3190</v>
      </c>
      <c r="K212" s="4" t="s">
        <v>3192</v>
      </c>
      <c r="L212" s="4" t="s">
        <v>3244</v>
      </c>
      <c r="M212" s="5">
        <v>229.11</v>
      </c>
    </row>
    <row r="213" spans="1:13" x14ac:dyDescent="0.25">
      <c r="A213" s="4" t="s">
        <v>3240</v>
      </c>
      <c r="B213" s="4" t="s">
        <v>3186</v>
      </c>
      <c r="C213" s="4" t="s">
        <v>3187</v>
      </c>
      <c r="D213" s="4" t="s">
        <v>3188</v>
      </c>
      <c r="E213" s="4" t="s">
        <v>3189</v>
      </c>
      <c r="F213" s="4" t="s">
        <v>3190</v>
      </c>
      <c r="G213" s="4" t="s">
        <v>3190</v>
      </c>
      <c r="H213" s="7">
        <v>37004.519710648201</v>
      </c>
      <c r="I213" s="4" t="s">
        <v>3488</v>
      </c>
      <c r="J213" s="4" t="s">
        <v>3190</v>
      </c>
      <c r="K213" s="4" t="s">
        <v>3192</v>
      </c>
      <c r="L213" s="4" t="s">
        <v>3261</v>
      </c>
      <c r="M213" s="5">
        <v>297.55</v>
      </c>
    </row>
    <row r="214" spans="1:13" x14ac:dyDescent="0.25">
      <c r="A214" s="4" t="s">
        <v>3380</v>
      </c>
      <c r="B214" s="4" t="s">
        <v>3186</v>
      </c>
      <c r="C214" s="4" t="s">
        <v>3234</v>
      </c>
      <c r="D214" s="4" t="s">
        <v>3188</v>
      </c>
      <c r="E214" s="4" t="s">
        <v>3189</v>
      </c>
      <c r="F214" s="4" t="s">
        <v>3190</v>
      </c>
      <c r="G214" s="4" t="s">
        <v>3190</v>
      </c>
      <c r="H214" s="7">
        <v>37004.533935185202</v>
      </c>
      <c r="I214" s="4" t="s">
        <v>3489</v>
      </c>
      <c r="J214" s="4" t="s">
        <v>3190</v>
      </c>
      <c r="K214" s="4" t="s">
        <v>3192</v>
      </c>
      <c r="L214" s="4" t="s">
        <v>3490</v>
      </c>
      <c r="M214" s="5">
        <v>431.6</v>
      </c>
    </row>
    <row r="215" spans="1:13" x14ac:dyDescent="0.25">
      <c r="A215" s="4" t="s">
        <v>3283</v>
      </c>
      <c r="B215" s="4" t="s">
        <v>3186</v>
      </c>
      <c r="C215" s="4" t="s">
        <v>3194</v>
      </c>
      <c r="D215" s="4" t="s">
        <v>3195</v>
      </c>
      <c r="E215" s="4" t="s">
        <v>3196</v>
      </c>
      <c r="F215" s="4" t="s">
        <v>3190</v>
      </c>
      <c r="G215" s="4" t="s">
        <v>3190</v>
      </c>
      <c r="H215" s="7">
        <v>37004.560034722199</v>
      </c>
      <c r="I215" s="4" t="s">
        <v>3491</v>
      </c>
      <c r="J215" s="4" t="s">
        <v>3190</v>
      </c>
      <c r="K215" s="4" t="s">
        <v>3192</v>
      </c>
      <c r="L215" s="4" t="s">
        <v>3198</v>
      </c>
      <c r="M215" s="5">
        <v>169.19</v>
      </c>
    </row>
    <row r="216" spans="1:13" x14ac:dyDescent="0.25">
      <c r="A216" s="4" t="s">
        <v>3185</v>
      </c>
      <c r="B216" s="4" t="s">
        <v>3186</v>
      </c>
      <c r="C216" s="4" t="s">
        <v>3187</v>
      </c>
      <c r="D216" s="4" t="s">
        <v>3188</v>
      </c>
      <c r="E216" s="4" t="s">
        <v>3189</v>
      </c>
      <c r="F216" s="4" t="s">
        <v>3190</v>
      </c>
      <c r="G216" s="4" t="s">
        <v>3190</v>
      </c>
      <c r="H216" s="7">
        <v>37005.522141203699</v>
      </c>
      <c r="I216" s="4" t="s">
        <v>3492</v>
      </c>
      <c r="J216" s="4" t="s">
        <v>3190</v>
      </c>
      <c r="K216" s="4" t="s">
        <v>3192</v>
      </c>
      <c r="L216" s="4" t="s">
        <v>3211</v>
      </c>
      <c r="M216" s="5">
        <v>123.27</v>
      </c>
    </row>
    <row r="217" spans="1:13" x14ac:dyDescent="0.25">
      <c r="A217" s="4" t="s">
        <v>3209</v>
      </c>
      <c r="B217" s="4" t="s">
        <v>3186</v>
      </c>
      <c r="C217" s="4" t="s">
        <v>3187</v>
      </c>
      <c r="D217" s="4" t="s">
        <v>3188</v>
      </c>
      <c r="E217" s="4" t="s">
        <v>3189</v>
      </c>
      <c r="F217" s="4" t="s">
        <v>3190</v>
      </c>
      <c r="G217" s="4" t="s">
        <v>3190</v>
      </c>
      <c r="H217" s="7">
        <v>37008.560949074097</v>
      </c>
      <c r="I217" s="4" t="s">
        <v>3493</v>
      </c>
      <c r="J217" s="4" t="s">
        <v>3190</v>
      </c>
      <c r="K217" s="4" t="s">
        <v>3192</v>
      </c>
      <c r="L217" s="4" t="s">
        <v>3295</v>
      </c>
      <c r="M217" s="5">
        <v>426.57</v>
      </c>
    </row>
    <row r="218" spans="1:13" x14ac:dyDescent="0.25">
      <c r="A218" s="4" t="s">
        <v>3255</v>
      </c>
      <c r="B218" s="4" t="s">
        <v>3186</v>
      </c>
      <c r="C218" s="4" t="s">
        <v>3194</v>
      </c>
      <c r="D218" s="4" t="s">
        <v>3195</v>
      </c>
      <c r="E218" s="4" t="s">
        <v>3196</v>
      </c>
      <c r="F218" s="4" t="s">
        <v>3190</v>
      </c>
      <c r="G218" s="4" t="s">
        <v>3190</v>
      </c>
      <c r="H218" s="7">
        <v>37008.637106481503</v>
      </c>
      <c r="I218" s="4" t="s">
        <v>3494</v>
      </c>
      <c r="J218" s="4" t="s">
        <v>3190</v>
      </c>
      <c r="K218" s="4" t="s">
        <v>3192</v>
      </c>
      <c r="L218" s="4" t="s">
        <v>3225</v>
      </c>
      <c r="M218" s="5">
        <v>111.35</v>
      </c>
    </row>
    <row r="219" spans="1:13" x14ac:dyDescent="0.25">
      <c r="A219" s="4" t="s">
        <v>3404</v>
      </c>
      <c r="B219" s="4" t="s">
        <v>3186</v>
      </c>
      <c r="C219" s="4" t="s">
        <v>3194</v>
      </c>
      <c r="D219" s="4" t="s">
        <v>3195</v>
      </c>
      <c r="E219" s="4" t="s">
        <v>3214</v>
      </c>
      <c r="F219" s="4" t="s">
        <v>3190</v>
      </c>
      <c r="G219" s="4" t="s">
        <v>3190</v>
      </c>
      <c r="H219" s="7">
        <v>37011.392881944397</v>
      </c>
      <c r="I219" s="4" t="s">
        <v>3495</v>
      </c>
      <c r="J219" s="4" t="s">
        <v>3190</v>
      </c>
      <c r="K219" s="4" t="s">
        <v>3192</v>
      </c>
      <c r="L219" s="4" t="s">
        <v>840</v>
      </c>
      <c r="M219" s="5">
        <v>20244.12</v>
      </c>
    </row>
    <row r="220" spans="1:13" x14ac:dyDescent="0.25">
      <c r="A220" s="4" t="s">
        <v>3391</v>
      </c>
      <c r="B220" s="4" t="s">
        <v>3186</v>
      </c>
      <c r="C220" s="4" t="s">
        <v>3194</v>
      </c>
      <c r="D220" s="4" t="s">
        <v>3195</v>
      </c>
      <c r="E220" s="4" t="s">
        <v>3214</v>
      </c>
      <c r="F220" s="4" t="s">
        <v>3190</v>
      </c>
      <c r="G220" s="4" t="s">
        <v>3190</v>
      </c>
      <c r="H220" s="7">
        <v>37013.511793981503</v>
      </c>
      <c r="I220" s="4" t="s">
        <v>3496</v>
      </c>
      <c r="J220" s="4" t="s">
        <v>3190</v>
      </c>
      <c r="K220" s="4" t="s">
        <v>3192</v>
      </c>
      <c r="L220" s="4" t="s">
        <v>3393</v>
      </c>
      <c r="M220" s="5">
        <v>264.33999999999997</v>
      </c>
    </row>
    <row r="221" spans="1:13" x14ac:dyDescent="0.25">
      <c r="A221" s="4" t="s">
        <v>3221</v>
      </c>
      <c r="B221" s="4" t="s">
        <v>3186</v>
      </c>
      <c r="C221" s="4" t="s">
        <v>3194</v>
      </c>
      <c r="D221" s="4" t="s">
        <v>3195</v>
      </c>
      <c r="E221" s="4" t="s">
        <v>3214</v>
      </c>
      <c r="F221" s="4" t="s">
        <v>3190</v>
      </c>
      <c r="G221" s="4" t="s">
        <v>3190</v>
      </c>
      <c r="H221" s="7">
        <v>37013.512175925898</v>
      </c>
      <c r="I221" s="4" t="s">
        <v>3497</v>
      </c>
      <c r="J221" s="4" t="s">
        <v>3190</v>
      </c>
      <c r="K221" s="4" t="s">
        <v>3192</v>
      </c>
      <c r="L221" s="4" t="s">
        <v>3273</v>
      </c>
      <c r="M221" s="5">
        <v>3539.12</v>
      </c>
    </row>
    <row r="222" spans="1:13" x14ac:dyDescent="0.25">
      <c r="A222" s="4" t="s">
        <v>3391</v>
      </c>
      <c r="B222" s="4" t="s">
        <v>3186</v>
      </c>
      <c r="C222" s="4" t="s">
        <v>3187</v>
      </c>
      <c r="D222" s="4" t="s">
        <v>3188</v>
      </c>
      <c r="E222" s="4" t="s">
        <v>3189</v>
      </c>
      <c r="F222" s="4" t="s">
        <v>3190</v>
      </c>
      <c r="G222" s="4" t="s">
        <v>3190</v>
      </c>
      <c r="H222" s="7">
        <v>37026.540925925903</v>
      </c>
      <c r="I222" s="4" t="s">
        <v>3498</v>
      </c>
      <c r="J222" s="4" t="s">
        <v>3190</v>
      </c>
      <c r="K222" s="4" t="s">
        <v>3192</v>
      </c>
      <c r="L222" s="4" t="s">
        <v>3393</v>
      </c>
      <c r="M222" s="5">
        <v>207.91</v>
      </c>
    </row>
    <row r="223" spans="1:13" x14ac:dyDescent="0.25">
      <c r="A223" s="4" t="s">
        <v>3414</v>
      </c>
      <c r="B223" s="4" t="s">
        <v>3186</v>
      </c>
      <c r="C223" s="4" t="s">
        <v>3187</v>
      </c>
      <c r="D223" s="4" t="s">
        <v>3188</v>
      </c>
      <c r="E223" s="4" t="s">
        <v>3189</v>
      </c>
      <c r="F223" s="4" t="s">
        <v>3190</v>
      </c>
      <c r="G223" s="4" t="s">
        <v>3190</v>
      </c>
      <c r="H223" s="7">
        <v>37028.551956018498</v>
      </c>
      <c r="I223" s="4" t="s">
        <v>3499</v>
      </c>
      <c r="J223" s="4" t="s">
        <v>3190</v>
      </c>
      <c r="K223" s="4" t="s">
        <v>3192</v>
      </c>
      <c r="L223" s="4" t="s">
        <v>3500</v>
      </c>
      <c r="M223" s="5">
        <v>140.27000000000001</v>
      </c>
    </row>
    <row r="224" spans="1:13" x14ac:dyDescent="0.25">
      <c r="A224" s="4" t="s">
        <v>3388</v>
      </c>
      <c r="B224" s="4" t="s">
        <v>3186</v>
      </c>
      <c r="C224" s="4" t="s">
        <v>3187</v>
      </c>
      <c r="D224" s="4" t="s">
        <v>3188</v>
      </c>
      <c r="E224" s="4" t="s">
        <v>3189</v>
      </c>
      <c r="F224" s="4" t="s">
        <v>3190</v>
      </c>
      <c r="G224" s="4" t="s">
        <v>3190</v>
      </c>
      <c r="H224" s="7">
        <v>37028.690740740698</v>
      </c>
      <c r="I224" s="4" t="s">
        <v>3501</v>
      </c>
      <c r="J224" s="4" t="s">
        <v>3190</v>
      </c>
      <c r="K224" s="4" t="s">
        <v>3192</v>
      </c>
      <c r="L224" s="4" t="s">
        <v>3502</v>
      </c>
      <c r="M224" s="5">
        <v>188.53</v>
      </c>
    </row>
    <row r="225" spans="1:13" x14ac:dyDescent="0.25">
      <c r="A225" s="4" t="s">
        <v>3388</v>
      </c>
      <c r="B225" s="4" t="s">
        <v>3186</v>
      </c>
      <c r="C225" s="4" t="s">
        <v>3187</v>
      </c>
      <c r="D225" s="4" t="s">
        <v>3188</v>
      </c>
      <c r="E225" s="4" t="s">
        <v>3189</v>
      </c>
      <c r="F225" s="4" t="s">
        <v>3190</v>
      </c>
      <c r="G225" s="4" t="s">
        <v>3190</v>
      </c>
      <c r="H225" s="7">
        <v>37028.691747685203</v>
      </c>
      <c r="I225" s="4" t="s">
        <v>3503</v>
      </c>
      <c r="J225" s="4" t="s">
        <v>3190</v>
      </c>
      <c r="K225" s="4" t="s">
        <v>3192</v>
      </c>
      <c r="L225" s="4" t="s">
        <v>1178</v>
      </c>
      <c r="M225" s="5">
        <v>485.4</v>
      </c>
    </row>
    <row r="226" spans="1:13" x14ac:dyDescent="0.25">
      <c r="A226" s="4" t="s">
        <v>3185</v>
      </c>
      <c r="B226" s="4" t="s">
        <v>3186</v>
      </c>
      <c r="C226" s="4" t="s">
        <v>3194</v>
      </c>
      <c r="D226" s="4" t="s">
        <v>3195</v>
      </c>
      <c r="E226" s="4" t="s">
        <v>3196</v>
      </c>
      <c r="F226" s="4" t="s">
        <v>3190</v>
      </c>
      <c r="G226" s="4" t="s">
        <v>3190</v>
      </c>
      <c r="H226" s="7">
        <v>37032.509560185201</v>
      </c>
      <c r="I226" s="4" t="s">
        <v>3504</v>
      </c>
      <c r="J226" s="4" t="s">
        <v>3190</v>
      </c>
      <c r="K226" s="4" t="s">
        <v>3192</v>
      </c>
      <c r="L226" s="4" t="s">
        <v>3447</v>
      </c>
      <c r="M226" s="5">
        <v>111.09</v>
      </c>
    </row>
    <row r="227" spans="1:13" x14ac:dyDescent="0.25">
      <c r="A227" s="4" t="s">
        <v>3263</v>
      </c>
      <c r="B227" s="4" t="s">
        <v>3186</v>
      </c>
      <c r="C227" s="4" t="s">
        <v>3187</v>
      </c>
      <c r="D227" s="4" t="s">
        <v>3188</v>
      </c>
      <c r="E227" s="4" t="s">
        <v>3189</v>
      </c>
      <c r="F227" s="4" t="s">
        <v>3190</v>
      </c>
      <c r="G227" s="4" t="s">
        <v>3190</v>
      </c>
      <c r="H227" s="7">
        <v>37033.573622685202</v>
      </c>
      <c r="I227" s="4" t="s">
        <v>3505</v>
      </c>
      <c r="J227" s="4" t="s">
        <v>3190</v>
      </c>
      <c r="K227" s="4" t="s">
        <v>3192</v>
      </c>
      <c r="L227" s="4" t="s">
        <v>3506</v>
      </c>
      <c r="M227" s="5">
        <v>337.2</v>
      </c>
    </row>
    <row r="228" spans="1:13" x14ac:dyDescent="0.25">
      <c r="A228" s="4" t="s">
        <v>3399</v>
      </c>
      <c r="B228" s="4" t="s">
        <v>3186</v>
      </c>
      <c r="C228" s="4" t="s">
        <v>3194</v>
      </c>
      <c r="D228" s="4" t="s">
        <v>3195</v>
      </c>
      <c r="E228" s="4" t="s">
        <v>3214</v>
      </c>
      <c r="F228" s="4" t="s">
        <v>3190</v>
      </c>
      <c r="G228" s="4" t="s">
        <v>3190</v>
      </c>
      <c r="H228" s="7">
        <v>37034.491481481498</v>
      </c>
      <c r="I228" s="4" t="s">
        <v>3507</v>
      </c>
      <c r="J228" s="4" t="s">
        <v>3190</v>
      </c>
      <c r="K228" s="4" t="s">
        <v>3192</v>
      </c>
      <c r="L228" s="4" t="s">
        <v>3220</v>
      </c>
      <c r="M228" s="5">
        <v>780.93</v>
      </c>
    </row>
    <row r="229" spans="1:13" x14ac:dyDescent="0.25">
      <c r="A229" s="4" t="s">
        <v>3185</v>
      </c>
      <c r="B229" s="4" t="s">
        <v>3186</v>
      </c>
      <c r="C229" s="4" t="s">
        <v>3187</v>
      </c>
      <c r="D229" s="4" t="s">
        <v>3188</v>
      </c>
      <c r="E229" s="4" t="s">
        <v>3189</v>
      </c>
      <c r="F229" s="4" t="s">
        <v>3190</v>
      </c>
      <c r="G229" s="4" t="s">
        <v>3190</v>
      </c>
      <c r="H229" s="7">
        <v>37034.496666666702</v>
      </c>
      <c r="I229" s="4" t="s">
        <v>3508</v>
      </c>
      <c r="J229" s="4" t="s">
        <v>3190</v>
      </c>
      <c r="K229" s="4" t="s">
        <v>3192</v>
      </c>
      <c r="L229" s="4" t="s">
        <v>458</v>
      </c>
      <c r="M229" s="5">
        <v>1003.94</v>
      </c>
    </row>
    <row r="230" spans="1:13" x14ac:dyDescent="0.25">
      <c r="A230" s="4" t="s">
        <v>3185</v>
      </c>
      <c r="B230" s="4" t="s">
        <v>3186</v>
      </c>
      <c r="C230" s="4" t="s">
        <v>3194</v>
      </c>
      <c r="D230" s="4" t="s">
        <v>3195</v>
      </c>
      <c r="E230" s="4" t="s">
        <v>3196</v>
      </c>
      <c r="F230" s="4" t="s">
        <v>3190</v>
      </c>
      <c r="G230" s="4" t="s">
        <v>3190</v>
      </c>
      <c r="H230" s="7">
        <v>37034.570567129602</v>
      </c>
      <c r="I230" s="4" t="s">
        <v>3509</v>
      </c>
      <c r="J230" s="4" t="s">
        <v>3190</v>
      </c>
      <c r="K230" s="4" t="s">
        <v>3192</v>
      </c>
      <c r="L230" s="4" t="s">
        <v>3267</v>
      </c>
      <c r="M230" s="5">
        <v>907.41</v>
      </c>
    </row>
    <row r="231" spans="1:13" x14ac:dyDescent="0.25">
      <c r="A231" s="4" t="s">
        <v>3399</v>
      </c>
      <c r="B231" s="4" t="s">
        <v>3186</v>
      </c>
      <c r="C231" s="4" t="s">
        <v>3194</v>
      </c>
      <c r="D231" s="4" t="s">
        <v>3195</v>
      </c>
      <c r="E231" s="4" t="s">
        <v>3214</v>
      </c>
      <c r="F231" s="4" t="s">
        <v>3190</v>
      </c>
      <c r="G231" s="4" t="s">
        <v>3190</v>
      </c>
      <c r="H231" s="7">
        <v>37035.5159837963</v>
      </c>
      <c r="I231" s="4" t="s">
        <v>3510</v>
      </c>
      <c r="J231" s="4" t="s">
        <v>3190</v>
      </c>
      <c r="K231" s="4" t="s">
        <v>3192</v>
      </c>
      <c r="L231" s="4" t="s">
        <v>3220</v>
      </c>
      <c r="M231" s="5">
        <v>657.78</v>
      </c>
    </row>
    <row r="232" spans="1:13" x14ac:dyDescent="0.25">
      <c r="A232" s="4" t="s">
        <v>3242</v>
      </c>
      <c r="B232" s="4" t="s">
        <v>3186</v>
      </c>
      <c r="C232" s="4" t="s">
        <v>3194</v>
      </c>
      <c r="D232" s="4" t="s">
        <v>3195</v>
      </c>
      <c r="E232" s="4" t="s">
        <v>3196</v>
      </c>
      <c r="F232" s="4" t="s">
        <v>3190</v>
      </c>
      <c r="G232" s="4" t="s">
        <v>3190</v>
      </c>
      <c r="H232" s="7">
        <v>37035.517847222203</v>
      </c>
      <c r="I232" s="4" t="s">
        <v>3511</v>
      </c>
      <c r="J232" s="4" t="s">
        <v>3190</v>
      </c>
      <c r="K232" s="4" t="s">
        <v>3192</v>
      </c>
      <c r="L232" s="4" t="s">
        <v>3249</v>
      </c>
      <c r="M232" s="5">
        <v>176.42</v>
      </c>
    </row>
    <row r="233" spans="1:13" x14ac:dyDescent="0.25">
      <c r="A233" s="4" t="s">
        <v>3209</v>
      </c>
      <c r="B233" s="4" t="s">
        <v>3186</v>
      </c>
      <c r="C233" s="4" t="s">
        <v>3222</v>
      </c>
      <c r="D233" s="4" t="s">
        <v>3223</v>
      </c>
      <c r="E233" s="4" t="s">
        <v>3214</v>
      </c>
      <c r="F233" s="4" t="s">
        <v>3190</v>
      </c>
      <c r="G233" s="4" t="s">
        <v>3190</v>
      </c>
      <c r="H233" s="7">
        <v>37040.512604166703</v>
      </c>
      <c r="I233" s="4" t="s">
        <v>3512</v>
      </c>
      <c r="J233" s="4" t="s">
        <v>3190</v>
      </c>
      <c r="K233" s="4" t="s">
        <v>3192</v>
      </c>
      <c r="L233" s="4" t="s">
        <v>3513</v>
      </c>
      <c r="M233" s="5">
        <v>209.84</v>
      </c>
    </row>
    <row r="234" spans="1:13" x14ac:dyDescent="0.25">
      <c r="A234" s="4" t="s">
        <v>3185</v>
      </c>
      <c r="B234" s="4" t="s">
        <v>3186</v>
      </c>
      <c r="C234" s="4" t="s">
        <v>3194</v>
      </c>
      <c r="D234" s="4" t="s">
        <v>3195</v>
      </c>
      <c r="E234" s="4" t="s">
        <v>3196</v>
      </c>
      <c r="F234" s="4" t="s">
        <v>3190</v>
      </c>
      <c r="G234" s="4" t="s">
        <v>3190</v>
      </c>
      <c r="H234" s="7">
        <v>37047.588078703702</v>
      </c>
      <c r="I234" s="4" t="s">
        <v>3514</v>
      </c>
      <c r="J234" s="4" t="s">
        <v>3190</v>
      </c>
      <c r="K234" s="4" t="s">
        <v>3192</v>
      </c>
      <c r="L234" s="4" t="s">
        <v>3313</v>
      </c>
      <c r="M234" s="5">
        <v>291.33</v>
      </c>
    </row>
    <row r="235" spans="1:13" x14ac:dyDescent="0.25">
      <c r="A235" s="4" t="s">
        <v>3206</v>
      </c>
      <c r="B235" s="4" t="s">
        <v>3186</v>
      </c>
      <c r="C235" s="4" t="s">
        <v>3187</v>
      </c>
      <c r="D235" s="4" t="s">
        <v>3188</v>
      </c>
      <c r="E235" s="4" t="s">
        <v>3189</v>
      </c>
      <c r="F235" s="4" t="s">
        <v>3190</v>
      </c>
      <c r="G235" s="4" t="s">
        <v>3190</v>
      </c>
      <c r="H235" s="7">
        <v>37048.514074074097</v>
      </c>
      <c r="I235" s="4" t="s">
        <v>3515</v>
      </c>
      <c r="J235" s="4" t="s">
        <v>3190</v>
      </c>
      <c r="K235" s="4" t="s">
        <v>3192</v>
      </c>
      <c r="L235" s="4" t="s">
        <v>1671</v>
      </c>
      <c r="M235" s="5">
        <v>101.43</v>
      </c>
    </row>
    <row r="236" spans="1:13" x14ac:dyDescent="0.25">
      <c r="A236" s="4" t="s">
        <v>3185</v>
      </c>
      <c r="B236" s="4" t="s">
        <v>3186</v>
      </c>
      <c r="C236" s="4" t="s">
        <v>3187</v>
      </c>
      <c r="D236" s="4" t="s">
        <v>3188</v>
      </c>
      <c r="E236" s="4" t="s">
        <v>3189</v>
      </c>
      <c r="F236" s="4" t="s">
        <v>3190</v>
      </c>
      <c r="G236" s="4" t="s">
        <v>3190</v>
      </c>
      <c r="H236" s="7">
        <v>37048.515775462998</v>
      </c>
      <c r="I236" s="4" t="s">
        <v>3516</v>
      </c>
      <c r="J236" s="4" t="s">
        <v>3190</v>
      </c>
      <c r="K236" s="4" t="s">
        <v>3192</v>
      </c>
      <c r="L236" s="4" t="s">
        <v>3231</v>
      </c>
      <c r="M236" s="5">
        <v>599.88</v>
      </c>
    </row>
    <row r="237" spans="1:13" x14ac:dyDescent="0.25">
      <c r="A237" s="4" t="s">
        <v>3206</v>
      </c>
      <c r="B237" s="4" t="s">
        <v>3186</v>
      </c>
      <c r="C237" s="4" t="s">
        <v>3187</v>
      </c>
      <c r="D237" s="4" t="s">
        <v>3188</v>
      </c>
      <c r="E237" s="4" t="s">
        <v>3189</v>
      </c>
      <c r="F237" s="4" t="s">
        <v>3190</v>
      </c>
      <c r="G237" s="4" t="s">
        <v>3190</v>
      </c>
      <c r="H237" s="7">
        <v>37053.631585648101</v>
      </c>
      <c r="I237" s="4" t="s">
        <v>3517</v>
      </c>
      <c r="J237" s="4" t="s">
        <v>3190</v>
      </c>
      <c r="K237" s="4" t="s">
        <v>3192</v>
      </c>
      <c r="L237" s="4" t="s">
        <v>3295</v>
      </c>
      <c r="M237" s="5">
        <v>118.68</v>
      </c>
    </row>
    <row r="238" spans="1:13" x14ac:dyDescent="0.25">
      <c r="A238" s="4" t="s">
        <v>3185</v>
      </c>
      <c r="B238" s="4" t="s">
        <v>3186</v>
      </c>
      <c r="C238" s="4" t="s">
        <v>3187</v>
      </c>
      <c r="D238" s="4" t="s">
        <v>3188</v>
      </c>
      <c r="E238" s="4" t="s">
        <v>3189</v>
      </c>
      <c r="F238" s="4" t="s">
        <v>3190</v>
      </c>
      <c r="G238" s="4" t="s">
        <v>3190</v>
      </c>
      <c r="H238" s="7">
        <v>37053.633541666699</v>
      </c>
      <c r="I238" s="4" t="s">
        <v>3518</v>
      </c>
      <c r="J238" s="4" t="s">
        <v>3190</v>
      </c>
      <c r="K238" s="4" t="s">
        <v>3192</v>
      </c>
      <c r="L238" s="4" t="s">
        <v>3295</v>
      </c>
      <c r="M238" s="5">
        <v>173.34</v>
      </c>
    </row>
    <row r="239" spans="1:13" x14ac:dyDescent="0.25">
      <c r="A239" s="4" t="s">
        <v>3221</v>
      </c>
      <c r="B239" s="4" t="s">
        <v>3186</v>
      </c>
      <c r="C239" s="4" t="s">
        <v>3194</v>
      </c>
      <c r="D239" s="4" t="s">
        <v>3195</v>
      </c>
      <c r="E239" s="4" t="s">
        <v>3214</v>
      </c>
      <c r="F239" s="4" t="s">
        <v>3190</v>
      </c>
      <c r="G239" s="4" t="s">
        <v>3190</v>
      </c>
      <c r="H239" s="7">
        <v>37057.6325</v>
      </c>
      <c r="I239" s="4" t="s">
        <v>3519</v>
      </c>
      <c r="J239" s="4" t="s">
        <v>3190</v>
      </c>
      <c r="K239" s="4" t="s">
        <v>3192</v>
      </c>
      <c r="L239" s="4" t="s">
        <v>3273</v>
      </c>
      <c r="M239" s="5">
        <v>3342.74</v>
      </c>
    </row>
    <row r="240" spans="1:13" x14ac:dyDescent="0.25">
      <c r="A240" s="4" t="s">
        <v>3221</v>
      </c>
      <c r="B240" s="4" t="s">
        <v>3186</v>
      </c>
      <c r="C240" s="4" t="s">
        <v>3194</v>
      </c>
      <c r="D240" s="4" t="s">
        <v>3195</v>
      </c>
      <c r="E240" s="4" t="s">
        <v>3214</v>
      </c>
      <c r="F240" s="4" t="s">
        <v>3190</v>
      </c>
      <c r="G240" s="4" t="s">
        <v>3190</v>
      </c>
      <c r="H240" s="7">
        <v>37060.543101851901</v>
      </c>
      <c r="I240" s="4" t="s">
        <v>3520</v>
      </c>
      <c r="J240" s="4" t="s">
        <v>3190</v>
      </c>
      <c r="K240" s="4" t="s">
        <v>3192</v>
      </c>
      <c r="L240" s="4" t="s">
        <v>3225</v>
      </c>
      <c r="M240" s="5">
        <v>126.12</v>
      </c>
    </row>
    <row r="241" spans="1:13" x14ac:dyDescent="0.25">
      <c r="A241" s="4" t="s">
        <v>3206</v>
      </c>
      <c r="B241" s="4" t="s">
        <v>3186</v>
      </c>
      <c r="C241" s="4" t="s">
        <v>3187</v>
      </c>
      <c r="D241" s="4" t="s">
        <v>3188</v>
      </c>
      <c r="E241" s="4" t="s">
        <v>3189</v>
      </c>
      <c r="F241" s="4" t="s">
        <v>3190</v>
      </c>
      <c r="G241" s="4" t="s">
        <v>3190</v>
      </c>
      <c r="H241" s="7">
        <v>37060.565439814804</v>
      </c>
      <c r="I241" s="4" t="s">
        <v>3521</v>
      </c>
      <c r="J241" s="4" t="s">
        <v>3190</v>
      </c>
      <c r="K241" s="4" t="s">
        <v>3192</v>
      </c>
      <c r="L241" s="4" t="s">
        <v>3244</v>
      </c>
      <c r="M241" s="5">
        <v>102.4</v>
      </c>
    </row>
    <row r="242" spans="1:13" x14ac:dyDescent="0.25">
      <c r="A242" s="4" t="s">
        <v>3206</v>
      </c>
      <c r="B242" s="4" t="s">
        <v>3186</v>
      </c>
      <c r="C242" s="4" t="s">
        <v>3187</v>
      </c>
      <c r="D242" s="4" t="s">
        <v>3188</v>
      </c>
      <c r="E242" s="4" t="s">
        <v>3189</v>
      </c>
      <c r="F242" s="4" t="s">
        <v>3190</v>
      </c>
      <c r="G242" s="4" t="s">
        <v>3190</v>
      </c>
      <c r="H242" s="7">
        <v>37060.568217592598</v>
      </c>
      <c r="I242" s="4" t="s">
        <v>3522</v>
      </c>
      <c r="J242" s="4" t="s">
        <v>3190</v>
      </c>
      <c r="K242" s="4" t="s">
        <v>3192</v>
      </c>
      <c r="L242" s="4" t="s">
        <v>3295</v>
      </c>
      <c r="M242" s="5">
        <v>431.59</v>
      </c>
    </row>
    <row r="243" spans="1:13" x14ac:dyDescent="0.25">
      <c r="A243" s="4" t="s">
        <v>3399</v>
      </c>
      <c r="B243" s="4" t="s">
        <v>3186</v>
      </c>
      <c r="C243" s="4" t="s">
        <v>3194</v>
      </c>
      <c r="D243" s="4" t="s">
        <v>3195</v>
      </c>
      <c r="E243" s="4" t="s">
        <v>3214</v>
      </c>
      <c r="F243" s="4" t="s">
        <v>3190</v>
      </c>
      <c r="G243" s="4" t="s">
        <v>3190</v>
      </c>
      <c r="H243" s="7">
        <v>37060.598263888904</v>
      </c>
      <c r="I243" s="4" t="s">
        <v>3523</v>
      </c>
      <c r="J243" s="4" t="s">
        <v>3190</v>
      </c>
      <c r="K243" s="4" t="s">
        <v>3192</v>
      </c>
      <c r="L243" s="4" t="s">
        <v>3220</v>
      </c>
      <c r="M243" s="5">
        <v>865.07</v>
      </c>
    </row>
    <row r="244" spans="1:13" x14ac:dyDescent="0.25">
      <c r="A244" s="4" t="s">
        <v>3420</v>
      </c>
      <c r="B244" s="4" t="s">
        <v>3186</v>
      </c>
      <c r="C244" s="4" t="s">
        <v>3187</v>
      </c>
      <c r="D244" s="4" t="s">
        <v>3188</v>
      </c>
      <c r="E244" s="4" t="s">
        <v>3189</v>
      </c>
      <c r="F244" s="4" t="s">
        <v>3190</v>
      </c>
      <c r="G244" s="4" t="s">
        <v>3190</v>
      </c>
      <c r="H244" s="7">
        <v>37060.644895833299</v>
      </c>
      <c r="I244" s="4" t="s">
        <v>3524</v>
      </c>
      <c r="J244" s="4" t="s">
        <v>3190</v>
      </c>
      <c r="K244" s="4" t="s">
        <v>3192</v>
      </c>
      <c r="L244" s="4" t="s">
        <v>226</v>
      </c>
      <c r="M244" s="5">
        <v>1915</v>
      </c>
    </row>
    <row r="245" spans="1:13" x14ac:dyDescent="0.25">
      <c r="A245" s="4" t="s">
        <v>3420</v>
      </c>
      <c r="B245" s="4" t="s">
        <v>3186</v>
      </c>
      <c r="C245" s="4" t="s">
        <v>3194</v>
      </c>
      <c r="D245" s="4" t="s">
        <v>3195</v>
      </c>
      <c r="E245" s="4" t="s">
        <v>3196</v>
      </c>
      <c r="F245" s="4" t="s">
        <v>3190</v>
      </c>
      <c r="G245" s="4" t="s">
        <v>3190</v>
      </c>
      <c r="H245" s="7">
        <v>37060.644895833299</v>
      </c>
      <c r="I245" s="4" t="s">
        <v>3524</v>
      </c>
      <c r="J245" s="4" t="s">
        <v>3190</v>
      </c>
      <c r="K245" s="4" t="s">
        <v>3192</v>
      </c>
      <c r="L245" s="4" t="s">
        <v>226</v>
      </c>
      <c r="M245" s="5">
        <v>685</v>
      </c>
    </row>
    <row r="246" spans="1:13" x14ac:dyDescent="0.25">
      <c r="A246" s="4" t="s">
        <v>3185</v>
      </c>
      <c r="B246" s="4" t="s">
        <v>3186</v>
      </c>
      <c r="C246" s="4" t="s">
        <v>3194</v>
      </c>
      <c r="D246" s="4" t="s">
        <v>3195</v>
      </c>
      <c r="E246" s="4" t="s">
        <v>3214</v>
      </c>
      <c r="F246" s="4" t="s">
        <v>3190</v>
      </c>
      <c r="G246" s="4" t="s">
        <v>3190</v>
      </c>
      <c r="H246" s="7">
        <v>37067.563564814802</v>
      </c>
      <c r="I246" s="4" t="s">
        <v>3525</v>
      </c>
      <c r="J246" s="4" t="s">
        <v>3190</v>
      </c>
      <c r="K246" s="4" t="s">
        <v>3192</v>
      </c>
      <c r="L246" s="4" t="s">
        <v>280</v>
      </c>
      <c r="M246" s="5">
        <v>470.4</v>
      </c>
    </row>
    <row r="247" spans="1:13" x14ac:dyDescent="0.25">
      <c r="A247" s="4" t="s">
        <v>3242</v>
      </c>
      <c r="B247" s="4" t="s">
        <v>3186</v>
      </c>
      <c r="C247" s="4" t="s">
        <v>3194</v>
      </c>
      <c r="D247" s="4" t="s">
        <v>3195</v>
      </c>
      <c r="E247" s="4" t="s">
        <v>3196</v>
      </c>
      <c r="F247" s="4" t="s">
        <v>3190</v>
      </c>
      <c r="G247" s="4" t="s">
        <v>3190</v>
      </c>
      <c r="H247" s="7">
        <v>37069.519803240699</v>
      </c>
      <c r="I247" s="4" t="s">
        <v>3526</v>
      </c>
      <c r="J247" s="4" t="s">
        <v>3190</v>
      </c>
      <c r="K247" s="4" t="s">
        <v>3192</v>
      </c>
      <c r="L247" s="4" t="s">
        <v>106</v>
      </c>
      <c r="M247" s="5">
        <v>728.3</v>
      </c>
    </row>
    <row r="248" spans="1:13" x14ac:dyDescent="0.25">
      <c r="A248" s="4" t="s">
        <v>3242</v>
      </c>
      <c r="B248" s="4" t="s">
        <v>3186</v>
      </c>
      <c r="C248" s="4" t="s">
        <v>3194</v>
      </c>
      <c r="D248" s="4" t="s">
        <v>3195</v>
      </c>
      <c r="E248" s="4" t="s">
        <v>3196</v>
      </c>
      <c r="F248" s="4" t="s">
        <v>3190</v>
      </c>
      <c r="G248" s="4" t="s">
        <v>3190</v>
      </c>
      <c r="H248" s="7">
        <v>37069.591111111098</v>
      </c>
      <c r="I248" s="4" t="s">
        <v>3527</v>
      </c>
      <c r="J248" s="4" t="s">
        <v>3190</v>
      </c>
      <c r="K248" s="4" t="s">
        <v>3192</v>
      </c>
      <c r="L248" s="4" t="s">
        <v>3249</v>
      </c>
      <c r="M248" s="5">
        <v>149.97999999999999</v>
      </c>
    </row>
    <row r="249" spans="1:13" x14ac:dyDescent="0.25">
      <c r="A249" s="4" t="s">
        <v>3343</v>
      </c>
      <c r="B249" s="4" t="s">
        <v>3186</v>
      </c>
      <c r="C249" s="4" t="s">
        <v>3187</v>
      </c>
      <c r="D249" s="4" t="s">
        <v>3188</v>
      </c>
      <c r="E249" s="4" t="s">
        <v>3189</v>
      </c>
      <c r="F249" s="4" t="s">
        <v>3190</v>
      </c>
      <c r="G249" s="4" t="s">
        <v>3190</v>
      </c>
      <c r="H249" s="7">
        <v>37078.999988425901</v>
      </c>
      <c r="I249" s="4" t="s">
        <v>3528</v>
      </c>
      <c r="J249" s="4" t="s">
        <v>3190</v>
      </c>
      <c r="K249" s="4" t="s">
        <v>3192</v>
      </c>
      <c r="L249" s="4" t="s">
        <v>78</v>
      </c>
      <c r="M249" s="5">
        <v>5000</v>
      </c>
    </row>
    <row r="250" spans="1:13" x14ac:dyDescent="0.25">
      <c r="A250" s="4" t="s">
        <v>3283</v>
      </c>
      <c r="B250" s="4" t="s">
        <v>3186</v>
      </c>
      <c r="C250" s="4" t="s">
        <v>3187</v>
      </c>
      <c r="D250" s="4" t="s">
        <v>3188</v>
      </c>
      <c r="E250" s="4" t="s">
        <v>3189</v>
      </c>
      <c r="F250" s="4" t="s">
        <v>3190</v>
      </c>
      <c r="G250" s="4" t="s">
        <v>3190</v>
      </c>
      <c r="H250" s="7">
        <v>37082.588113425903</v>
      </c>
      <c r="I250" s="4" t="s">
        <v>3529</v>
      </c>
      <c r="J250" s="4" t="s">
        <v>3190</v>
      </c>
      <c r="K250" s="4" t="s">
        <v>3192</v>
      </c>
      <c r="L250" s="4" t="s">
        <v>1078</v>
      </c>
      <c r="M250" s="5">
        <v>253.8</v>
      </c>
    </row>
    <row r="251" spans="1:13" x14ac:dyDescent="0.25">
      <c r="A251" s="4" t="s">
        <v>3209</v>
      </c>
      <c r="B251" s="4" t="s">
        <v>3186</v>
      </c>
      <c r="C251" s="4" t="s">
        <v>3187</v>
      </c>
      <c r="D251" s="4" t="s">
        <v>3188</v>
      </c>
      <c r="E251" s="4" t="s">
        <v>3189</v>
      </c>
      <c r="F251" s="4" t="s">
        <v>3190</v>
      </c>
      <c r="G251" s="4" t="s">
        <v>3190</v>
      </c>
      <c r="H251" s="7">
        <v>37098.519317129598</v>
      </c>
      <c r="I251" s="4" t="s">
        <v>3530</v>
      </c>
      <c r="J251" s="4" t="s">
        <v>3190</v>
      </c>
      <c r="K251" s="4" t="s">
        <v>3192</v>
      </c>
      <c r="L251" s="4" t="s">
        <v>3211</v>
      </c>
      <c r="M251" s="5">
        <v>182.8</v>
      </c>
    </row>
    <row r="252" spans="1:13" x14ac:dyDescent="0.25">
      <c r="A252" s="4" t="s">
        <v>3239</v>
      </c>
      <c r="B252" s="4" t="s">
        <v>3186</v>
      </c>
      <c r="C252" s="4" t="s">
        <v>3187</v>
      </c>
      <c r="D252" s="4" t="s">
        <v>3188</v>
      </c>
      <c r="E252" s="4" t="s">
        <v>3189</v>
      </c>
      <c r="F252" s="4" t="s">
        <v>3190</v>
      </c>
      <c r="G252" s="4" t="s">
        <v>3190</v>
      </c>
      <c r="H252" s="7">
        <v>37098.654502314799</v>
      </c>
      <c r="I252" s="4" t="s">
        <v>3531</v>
      </c>
      <c r="J252" s="4" t="s">
        <v>3190</v>
      </c>
      <c r="K252" s="4" t="s">
        <v>3192</v>
      </c>
      <c r="L252" s="4" t="s">
        <v>3532</v>
      </c>
      <c r="M252" s="5">
        <v>3105.15</v>
      </c>
    </row>
    <row r="253" spans="1:13" x14ac:dyDescent="0.25">
      <c r="A253" s="4" t="s">
        <v>3388</v>
      </c>
      <c r="B253" s="4" t="s">
        <v>3186</v>
      </c>
      <c r="C253" s="4" t="s">
        <v>3187</v>
      </c>
      <c r="D253" s="4" t="s">
        <v>3188</v>
      </c>
      <c r="E253" s="4" t="s">
        <v>3189</v>
      </c>
      <c r="F253" s="4" t="s">
        <v>3190</v>
      </c>
      <c r="G253" s="4" t="s">
        <v>3190</v>
      </c>
      <c r="H253" s="7">
        <v>37099.451354166697</v>
      </c>
      <c r="I253" s="4" t="s">
        <v>3533</v>
      </c>
      <c r="J253" s="4" t="s">
        <v>3190</v>
      </c>
      <c r="K253" s="4" t="s">
        <v>3192</v>
      </c>
      <c r="L253" s="4" t="s">
        <v>1</v>
      </c>
      <c r="M253" s="5">
        <v>500</v>
      </c>
    </row>
    <row r="254" spans="1:13" x14ac:dyDescent="0.25">
      <c r="A254" s="4" t="s">
        <v>3185</v>
      </c>
      <c r="B254" s="4" t="s">
        <v>3186</v>
      </c>
      <c r="C254" s="4" t="s">
        <v>3194</v>
      </c>
      <c r="D254" s="4" t="s">
        <v>3195</v>
      </c>
      <c r="E254" s="4" t="s">
        <v>3214</v>
      </c>
      <c r="F254" s="4" t="s">
        <v>3190</v>
      </c>
      <c r="G254" s="4" t="s">
        <v>3190</v>
      </c>
      <c r="H254" s="7">
        <v>37099.496631944399</v>
      </c>
      <c r="I254" s="4" t="s">
        <v>3534</v>
      </c>
      <c r="J254" s="4" t="s">
        <v>3190</v>
      </c>
      <c r="K254" s="4" t="s">
        <v>3192</v>
      </c>
      <c r="L254" s="4" t="s">
        <v>3220</v>
      </c>
      <c r="M254" s="5">
        <v>330.87</v>
      </c>
    </row>
    <row r="255" spans="1:13" x14ac:dyDescent="0.25">
      <c r="A255" s="4" t="s">
        <v>3242</v>
      </c>
      <c r="B255" s="4" t="s">
        <v>3186</v>
      </c>
      <c r="C255" s="4" t="s">
        <v>3194</v>
      </c>
      <c r="D255" s="4" t="s">
        <v>3195</v>
      </c>
      <c r="E255" s="4" t="s">
        <v>3214</v>
      </c>
      <c r="F255" s="4" t="s">
        <v>3190</v>
      </c>
      <c r="G255" s="4" t="s">
        <v>3190</v>
      </c>
      <c r="H255" s="7">
        <v>37103.595393518503</v>
      </c>
      <c r="I255" s="4" t="s">
        <v>3535</v>
      </c>
      <c r="J255" s="4" t="s">
        <v>3190</v>
      </c>
      <c r="K255" s="4" t="s">
        <v>3192</v>
      </c>
      <c r="L255" s="4" t="s">
        <v>3536</v>
      </c>
      <c r="M255" s="5">
        <v>583.74</v>
      </c>
    </row>
    <row r="256" spans="1:13" x14ac:dyDescent="0.25">
      <c r="A256" s="4" t="s">
        <v>3399</v>
      </c>
      <c r="B256" s="4" t="s">
        <v>3186</v>
      </c>
      <c r="C256" s="4" t="s">
        <v>3194</v>
      </c>
      <c r="D256" s="4" t="s">
        <v>3195</v>
      </c>
      <c r="E256" s="4" t="s">
        <v>3214</v>
      </c>
      <c r="F256" s="4" t="s">
        <v>3190</v>
      </c>
      <c r="G256" s="4" t="s">
        <v>3190</v>
      </c>
      <c r="H256" s="7">
        <v>37103.604907407404</v>
      </c>
      <c r="I256" s="4" t="s">
        <v>3537</v>
      </c>
      <c r="J256" s="4" t="s">
        <v>3190</v>
      </c>
      <c r="K256" s="4" t="s">
        <v>3192</v>
      </c>
      <c r="L256" s="4" t="s">
        <v>3220</v>
      </c>
      <c r="M256" s="5">
        <v>713.28</v>
      </c>
    </row>
    <row r="257" spans="1:13" x14ac:dyDescent="0.25">
      <c r="A257" s="4" t="s">
        <v>3242</v>
      </c>
      <c r="B257" s="4" t="s">
        <v>3186</v>
      </c>
      <c r="C257" s="4" t="s">
        <v>3194</v>
      </c>
      <c r="D257" s="4" t="s">
        <v>3195</v>
      </c>
      <c r="E257" s="4" t="s">
        <v>3214</v>
      </c>
      <c r="F257" s="4" t="s">
        <v>3190</v>
      </c>
      <c r="G257" s="4" t="s">
        <v>3190</v>
      </c>
      <c r="H257" s="7">
        <v>37103.606863425899</v>
      </c>
      <c r="I257" s="4" t="s">
        <v>3538</v>
      </c>
      <c r="J257" s="4" t="s">
        <v>3190</v>
      </c>
      <c r="K257" s="4" t="s">
        <v>3192</v>
      </c>
      <c r="L257" s="4" t="s">
        <v>106</v>
      </c>
      <c r="M257" s="5">
        <v>733.03</v>
      </c>
    </row>
    <row r="258" spans="1:13" x14ac:dyDescent="0.25">
      <c r="A258" s="4" t="s">
        <v>3399</v>
      </c>
      <c r="B258" s="4" t="s">
        <v>3186</v>
      </c>
      <c r="C258" s="4" t="s">
        <v>3194</v>
      </c>
      <c r="D258" s="4" t="s">
        <v>3195</v>
      </c>
      <c r="E258" s="4" t="s">
        <v>3214</v>
      </c>
      <c r="F258" s="4" t="s">
        <v>3190</v>
      </c>
      <c r="G258" s="4" t="s">
        <v>3190</v>
      </c>
      <c r="H258" s="7">
        <v>37103.609039351897</v>
      </c>
      <c r="I258" s="4" t="s">
        <v>3539</v>
      </c>
      <c r="J258" s="4" t="s">
        <v>3190</v>
      </c>
      <c r="K258" s="4" t="s">
        <v>3192</v>
      </c>
      <c r="L258" s="4" t="s">
        <v>3220</v>
      </c>
      <c r="M258" s="5">
        <v>552.70000000000005</v>
      </c>
    </row>
    <row r="259" spans="1:13" x14ac:dyDescent="0.25">
      <c r="A259" s="4" t="s">
        <v>3185</v>
      </c>
      <c r="B259" s="4" t="s">
        <v>3186</v>
      </c>
      <c r="C259" s="4" t="s">
        <v>3194</v>
      </c>
      <c r="D259" s="4" t="s">
        <v>3195</v>
      </c>
      <c r="E259" s="4" t="s">
        <v>3196</v>
      </c>
      <c r="F259" s="4" t="s">
        <v>3190</v>
      </c>
      <c r="G259" s="4" t="s">
        <v>3190</v>
      </c>
      <c r="H259" s="7">
        <v>37103.620775463001</v>
      </c>
      <c r="I259" s="4" t="s">
        <v>3540</v>
      </c>
      <c r="J259" s="4" t="s">
        <v>3190</v>
      </c>
      <c r="K259" s="4" t="s">
        <v>3192</v>
      </c>
      <c r="L259" s="4" t="s">
        <v>3249</v>
      </c>
      <c r="M259" s="5">
        <v>248.17</v>
      </c>
    </row>
    <row r="260" spans="1:13" x14ac:dyDescent="0.25">
      <c r="A260" s="4" t="s">
        <v>3541</v>
      </c>
      <c r="B260" s="4" t="s">
        <v>3186</v>
      </c>
      <c r="C260" s="4" t="s">
        <v>3187</v>
      </c>
      <c r="D260" s="4" t="s">
        <v>3188</v>
      </c>
      <c r="E260" s="4" t="s">
        <v>3189</v>
      </c>
      <c r="F260" s="4" t="s">
        <v>3190</v>
      </c>
      <c r="G260" s="4" t="s">
        <v>3190</v>
      </c>
      <c r="H260" s="7">
        <v>37111.373437499999</v>
      </c>
      <c r="I260" s="4" t="s">
        <v>3542</v>
      </c>
      <c r="J260" s="4" t="s">
        <v>3190</v>
      </c>
      <c r="K260" s="4" t="s">
        <v>3192</v>
      </c>
      <c r="L260" s="4" t="s">
        <v>179</v>
      </c>
      <c r="M260" s="5">
        <v>449.73</v>
      </c>
    </row>
    <row r="261" spans="1:13" x14ac:dyDescent="0.25">
      <c r="A261" s="4" t="s">
        <v>3209</v>
      </c>
      <c r="B261" s="4" t="s">
        <v>3186</v>
      </c>
      <c r="C261" s="4" t="s">
        <v>3187</v>
      </c>
      <c r="D261" s="4" t="s">
        <v>3188</v>
      </c>
      <c r="E261" s="4" t="s">
        <v>3189</v>
      </c>
      <c r="F261" s="4" t="s">
        <v>3190</v>
      </c>
      <c r="G261" s="4" t="s">
        <v>3190</v>
      </c>
      <c r="H261" s="7">
        <v>37118.476793981499</v>
      </c>
      <c r="I261" s="4" t="s">
        <v>3543</v>
      </c>
      <c r="J261" s="4" t="s">
        <v>3190</v>
      </c>
      <c r="K261" s="4" t="s">
        <v>3192</v>
      </c>
      <c r="L261" s="4" t="s">
        <v>3211</v>
      </c>
      <c r="M261" s="5">
        <v>511.13</v>
      </c>
    </row>
    <row r="262" spans="1:13" x14ac:dyDescent="0.25">
      <c r="A262" s="4" t="s">
        <v>3242</v>
      </c>
      <c r="B262" s="4" t="s">
        <v>3186</v>
      </c>
      <c r="C262" s="4" t="s">
        <v>3194</v>
      </c>
      <c r="D262" s="4" t="s">
        <v>3195</v>
      </c>
      <c r="E262" s="4" t="s">
        <v>3196</v>
      </c>
      <c r="F262" s="4" t="s">
        <v>3190</v>
      </c>
      <c r="G262" s="4" t="s">
        <v>3190</v>
      </c>
      <c r="H262" s="7">
        <v>37118.654953703699</v>
      </c>
      <c r="I262" s="4" t="s">
        <v>3544</v>
      </c>
      <c r="J262" s="4" t="s">
        <v>3190</v>
      </c>
      <c r="K262" s="4" t="s">
        <v>3192</v>
      </c>
      <c r="L262" s="4" t="s">
        <v>3402</v>
      </c>
      <c r="M262" s="5">
        <v>896.16</v>
      </c>
    </row>
    <row r="263" spans="1:13" x14ac:dyDescent="0.25">
      <c r="A263" s="4" t="s">
        <v>3399</v>
      </c>
      <c r="B263" s="4" t="s">
        <v>3186</v>
      </c>
      <c r="C263" s="4" t="s">
        <v>3417</v>
      </c>
      <c r="D263" s="4" t="s">
        <v>3195</v>
      </c>
      <c r="E263" s="4" t="s">
        <v>3418</v>
      </c>
      <c r="F263" s="4" t="s">
        <v>3190</v>
      </c>
      <c r="G263" s="4" t="s">
        <v>3190</v>
      </c>
      <c r="H263" s="7">
        <v>37132.669861111099</v>
      </c>
      <c r="I263" s="4" t="s">
        <v>3545</v>
      </c>
      <c r="J263" s="4" t="s">
        <v>3190</v>
      </c>
      <c r="K263" s="4" t="s">
        <v>3192</v>
      </c>
      <c r="L263" s="4" t="s">
        <v>3546</v>
      </c>
      <c r="M263" s="5">
        <v>2321.9</v>
      </c>
    </row>
    <row r="264" spans="1:13" x14ac:dyDescent="0.25">
      <c r="A264" s="4" t="s">
        <v>3221</v>
      </c>
      <c r="B264" s="4" t="s">
        <v>3186</v>
      </c>
      <c r="C264" s="4" t="s">
        <v>3417</v>
      </c>
      <c r="D264" s="4" t="s">
        <v>3195</v>
      </c>
      <c r="E264" s="4" t="s">
        <v>3418</v>
      </c>
      <c r="F264" s="4" t="s">
        <v>3190</v>
      </c>
      <c r="G264" s="4" t="s">
        <v>3190</v>
      </c>
      <c r="H264" s="7">
        <v>37138.423611111102</v>
      </c>
      <c r="I264" s="4" t="s">
        <v>3547</v>
      </c>
      <c r="J264" s="4" t="s">
        <v>3190</v>
      </c>
      <c r="K264" s="4" t="s">
        <v>3192</v>
      </c>
      <c r="L264" s="4" t="s">
        <v>132</v>
      </c>
      <c r="M264" s="5">
        <v>507.13</v>
      </c>
    </row>
    <row r="265" spans="1:13" x14ac:dyDescent="0.25">
      <c r="A265" s="4" t="s">
        <v>3416</v>
      </c>
      <c r="B265" s="4" t="s">
        <v>3186</v>
      </c>
      <c r="C265" s="4" t="s">
        <v>3417</v>
      </c>
      <c r="D265" s="4" t="s">
        <v>3195</v>
      </c>
      <c r="E265" s="4" t="s">
        <v>3418</v>
      </c>
      <c r="F265" s="4" t="s">
        <v>3190</v>
      </c>
      <c r="G265" s="4" t="s">
        <v>3190</v>
      </c>
      <c r="H265" s="7">
        <v>37138.423611111102</v>
      </c>
      <c r="I265" s="4" t="s">
        <v>3547</v>
      </c>
      <c r="J265" s="4" t="s">
        <v>3190</v>
      </c>
      <c r="K265" s="4" t="s">
        <v>3192</v>
      </c>
      <c r="L265" s="4" t="s">
        <v>132</v>
      </c>
      <c r="M265" s="5">
        <v>2805.4</v>
      </c>
    </row>
    <row r="266" spans="1:13" x14ac:dyDescent="0.25">
      <c r="A266" s="4" t="s">
        <v>3269</v>
      </c>
      <c r="B266" s="4" t="s">
        <v>3186</v>
      </c>
      <c r="C266" s="4" t="s">
        <v>3417</v>
      </c>
      <c r="D266" s="4" t="s">
        <v>3195</v>
      </c>
      <c r="E266" s="4" t="s">
        <v>3418</v>
      </c>
      <c r="F266" s="4" t="s">
        <v>3190</v>
      </c>
      <c r="G266" s="4" t="s">
        <v>3190</v>
      </c>
      <c r="H266" s="7">
        <v>37138.423611111102</v>
      </c>
      <c r="I266" s="4" t="s">
        <v>3547</v>
      </c>
      <c r="J266" s="4" t="s">
        <v>3190</v>
      </c>
      <c r="K266" s="4" t="s">
        <v>3192</v>
      </c>
      <c r="L266" s="4" t="s">
        <v>132</v>
      </c>
      <c r="M266" s="5">
        <v>139987.38</v>
      </c>
    </row>
    <row r="267" spans="1:13" x14ac:dyDescent="0.25">
      <c r="A267" s="4" t="s">
        <v>3263</v>
      </c>
      <c r="B267" s="4" t="s">
        <v>3186</v>
      </c>
      <c r="C267" s="4" t="s">
        <v>3417</v>
      </c>
      <c r="D267" s="4" t="s">
        <v>3195</v>
      </c>
      <c r="E267" s="4" t="s">
        <v>3418</v>
      </c>
      <c r="F267" s="4" t="s">
        <v>3190</v>
      </c>
      <c r="G267" s="4" t="s">
        <v>3190</v>
      </c>
      <c r="H267" s="7">
        <v>37138.423611111102</v>
      </c>
      <c r="I267" s="4" t="s">
        <v>3547</v>
      </c>
      <c r="J267" s="4" t="s">
        <v>3190</v>
      </c>
      <c r="K267" s="4" t="s">
        <v>3192</v>
      </c>
      <c r="L267" s="4" t="s">
        <v>132</v>
      </c>
      <c r="M267" s="5">
        <v>3138.82</v>
      </c>
    </row>
    <row r="268" spans="1:13" x14ac:dyDescent="0.25">
      <c r="A268" s="4" t="s">
        <v>3242</v>
      </c>
      <c r="B268" s="4" t="s">
        <v>3186</v>
      </c>
      <c r="C268" s="4" t="s">
        <v>3194</v>
      </c>
      <c r="D268" s="4" t="s">
        <v>3195</v>
      </c>
      <c r="E268" s="4" t="s">
        <v>3214</v>
      </c>
      <c r="F268" s="4" t="s">
        <v>3190</v>
      </c>
      <c r="G268" s="4" t="s">
        <v>3190</v>
      </c>
      <c r="H268" s="7">
        <v>37138.665381944404</v>
      </c>
      <c r="I268" s="4" t="s">
        <v>3548</v>
      </c>
      <c r="J268" s="4" t="s">
        <v>3190</v>
      </c>
      <c r="K268" s="4" t="s">
        <v>3192</v>
      </c>
      <c r="L268" s="4" t="s">
        <v>3220</v>
      </c>
      <c r="M268" s="5">
        <v>390.6</v>
      </c>
    </row>
    <row r="269" spans="1:13" x14ac:dyDescent="0.25">
      <c r="A269" s="4" t="s">
        <v>3399</v>
      </c>
      <c r="B269" s="4" t="s">
        <v>3186</v>
      </c>
      <c r="C269" s="4" t="s">
        <v>3194</v>
      </c>
      <c r="D269" s="4" t="s">
        <v>3195</v>
      </c>
      <c r="E269" s="4" t="s">
        <v>3214</v>
      </c>
      <c r="F269" s="4" t="s">
        <v>3190</v>
      </c>
      <c r="G269" s="4" t="s">
        <v>3190</v>
      </c>
      <c r="H269" s="7">
        <v>37138.667233796303</v>
      </c>
      <c r="I269" s="4" t="s">
        <v>3549</v>
      </c>
      <c r="J269" s="4" t="s">
        <v>3190</v>
      </c>
      <c r="K269" s="4" t="s">
        <v>3192</v>
      </c>
      <c r="L269" s="4" t="s">
        <v>3220</v>
      </c>
      <c r="M269" s="5">
        <v>869.09</v>
      </c>
    </row>
    <row r="270" spans="1:13" x14ac:dyDescent="0.25">
      <c r="A270" s="4" t="s">
        <v>3206</v>
      </c>
      <c r="B270" s="4" t="s">
        <v>3186</v>
      </c>
      <c r="C270" s="4" t="s">
        <v>3187</v>
      </c>
      <c r="D270" s="4" t="s">
        <v>3188</v>
      </c>
      <c r="E270" s="4" t="s">
        <v>3189</v>
      </c>
      <c r="F270" s="4" t="s">
        <v>3190</v>
      </c>
      <c r="G270" s="4" t="s">
        <v>3190</v>
      </c>
      <c r="H270" s="7">
        <v>37141.663761574098</v>
      </c>
      <c r="I270" s="4" t="s">
        <v>3550</v>
      </c>
      <c r="J270" s="4" t="s">
        <v>3190</v>
      </c>
      <c r="K270" s="4" t="s">
        <v>3192</v>
      </c>
      <c r="L270" s="4" t="s">
        <v>3231</v>
      </c>
      <c r="M270" s="5">
        <v>129.46</v>
      </c>
    </row>
    <row r="271" spans="1:13" x14ac:dyDescent="0.25">
      <c r="A271" s="4" t="s">
        <v>3209</v>
      </c>
      <c r="B271" s="4" t="s">
        <v>3186</v>
      </c>
      <c r="C271" s="4" t="s">
        <v>3194</v>
      </c>
      <c r="D271" s="4" t="s">
        <v>3195</v>
      </c>
      <c r="E271" s="4" t="s">
        <v>3196</v>
      </c>
      <c r="F271" s="4" t="s">
        <v>3190</v>
      </c>
      <c r="G271" s="4" t="s">
        <v>3190</v>
      </c>
      <c r="H271" s="7">
        <v>37141.683298611097</v>
      </c>
      <c r="I271" s="4" t="s">
        <v>3551</v>
      </c>
      <c r="J271" s="4" t="s">
        <v>3190</v>
      </c>
      <c r="K271" s="4" t="s">
        <v>3192</v>
      </c>
      <c r="L271" s="4" t="s">
        <v>3211</v>
      </c>
      <c r="M271" s="5">
        <v>394.69</v>
      </c>
    </row>
    <row r="272" spans="1:13" x14ac:dyDescent="0.25">
      <c r="A272" s="4" t="s">
        <v>3209</v>
      </c>
      <c r="B272" s="4" t="s">
        <v>3186</v>
      </c>
      <c r="C272" s="4" t="s">
        <v>3194</v>
      </c>
      <c r="D272" s="4" t="s">
        <v>3195</v>
      </c>
      <c r="E272" s="4" t="s">
        <v>3196</v>
      </c>
      <c r="F272" s="4" t="s">
        <v>3190</v>
      </c>
      <c r="G272" s="4" t="s">
        <v>3190</v>
      </c>
      <c r="H272" s="7">
        <v>37141.686030092598</v>
      </c>
      <c r="I272" s="4" t="s">
        <v>3552</v>
      </c>
      <c r="J272" s="4" t="s">
        <v>3190</v>
      </c>
      <c r="K272" s="4" t="s">
        <v>3192</v>
      </c>
      <c r="L272" s="4" t="s">
        <v>3211</v>
      </c>
      <c r="M272" s="5">
        <v>358.19</v>
      </c>
    </row>
    <row r="273" spans="1:13" x14ac:dyDescent="0.25">
      <c r="A273" s="4" t="s">
        <v>3242</v>
      </c>
      <c r="B273" s="4" t="s">
        <v>3186</v>
      </c>
      <c r="C273" s="4" t="s">
        <v>3194</v>
      </c>
      <c r="D273" s="4" t="s">
        <v>3195</v>
      </c>
      <c r="E273" s="4" t="s">
        <v>3196</v>
      </c>
      <c r="F273" s="4" t="s">
        <v>3190</v>
      </c>
      <c r="G273" s="4" t="s">
        <v>3190</v>
      </c>
      <c r="H273" s="7">
        <v>37145.693113425899</v>
      </c>
      <c r="I273" s="4" t="s">
        <v>3553</v>
      </c>
      <c r="J273" s="4" t="s">
        <v>3190</v>
      </c>
      <c r="K273" s="4" t="s">
        <v>3192</v>
      </c>
      <c r="L273" s="4" t="s">
        <v>1208</v>
      </c>
      <c r="M273" s="5">
        <v>1340.07</v>
      </c>
    </row>
    <row r="274" spans="1:13" x14ac:dyDescent="0.25">
      <c r="A274" s="4" t="s">
        <v>3399</v>
      </c>
      <c r="B274" s="4" t="s">
        <v>3186</v>
      </c>
      <c r="C274" s="4" t="s">
        <v>3194</v>
      </c>
      <c r="D274" s="4" t="s">
        <v>3195</v>
      </c>
      <c r="E274" s="4" t="s">
        <v>3214</v>
      </c>
      <c r="F274" s="4" t="s">
        <v>3190</v>
      </c>
      <c r="G274" s="4" t="s">
        <v>3190</v>
      </c>
      <c r="H274" s="7">
        <v>37145.694988425901</v>
      </c>
      <c r="I274" s="4" t="s">
        <v>3554</v>
      </c>
      <c r="J274" s="4" t="s">
        <v>3190</v>
      </c>
      <c r="K274" s="4" t="s">
        <v>3192</v>
      </c>
      <c r="L274" s="4" t="s">
        <v>3220</v>
      </c>
      <c r="M274" s="5">
        <v>922.58</v>
      </c>
    </row>
    <row r="275" spans="1:13" x14ac:dyDescent="0.25">
      <c r="A275" s="4" t="s">
        <v>3399</v>
      </c>
      <c r="B275" s="4" t="s">
        <v>3186</v>
      </c>
      <c r="C275" s="4" t="s">
        <v>3194</v>
      </c>
      <c r="D275" s="4" t="s">
        <v>3195</v>
      </c>
      <c r="E275" s="4" t="s">
        <v>3214</v>
      </c>
      <c r="F275" s="4" t="s">
        <v>3190</v>
      </c>
      <c r="G275" s="4" t="s">
        <v>3190</v>
      </c>
      <c r="H275" s="7">
        <v>37145.697187500002</v>
      </c>
      <c r="I275" s="4" t="s">
        <v>3555</v>
      </c>
      <c r="J275" s="4" t="s">
        <v>3190</v>
      </c>
      <c r="K275" s="4" t="s">
        <v>3192</v>
      </c>
      <c r="L275" s="4" t="s">
        <v>3220</v>
      </c>
      <c r="M275" s="5">
        <v>636.9</v>
      </c>
    </row>
    <row r="276" spans="1:13" x14ac:dyDescent="0.25">
      <c r="A276" s="4" t="s">
        <v>3399</v>
      </c>
      <c r="B276" s="4" t="s">
        <v>3186</v>
      </c>
      <c r="C276" s="4" t="s">
        <v>3194</v>
      </c>
      <c r="D276" s="4" t="s">
        <v>3195</v>
      </c>
      <c r="E276" s="4" t="s">
        <v>3214</v>
      </c>
      <c r="F276" s="4" t="s">
        <v>3190</v>
      </c>
      <c r="G276" s="4" t="s">
        <v>3190</v>
      </c>
      <c r="H276" s="7">
        <v>37145.702569444402</v>
      </c>
      <c r="I276" s="4" t="s">
        <v>3556</v>
      </c>
      <c r="J276" s="4" t="s">
        <v>3190</v>
      </c>
      <c r="K276" s="4" t="s">
        <v>3192</v>
      </c>
      <c r="L276" s="4" t="s">
        <v>3220</v>
      </c>
      <c r="M276" s="5">
        <v>748.95</v>
      </c>
    </row>
    <row r="277" spans="1:13" x14ac:dyDescent="0.25">
      <c r="A277" s="4" t="s">
        <v>3255</v>
      </c>
      <c r="B277" s="4" t="s">
        <v>3186</v>
      </c>
      <c r="C277" s="4" t="s">
        <v>3194</v>
      </c>
      <c r="D277" s="4" t="s">
        <v>3195</v>
      </c>
      <c r="E277" s="4" t="s">
        <v>3196</v>
      </c>
      <c r="F277" s="4" t="s">
        <v>3190</v>
      </c>
      <c r="G277" s="4" t="s">
        <v>3190</v>
      </c>
      <c r="H277" s="7">
        <v>37158.624942129602</v>
      </c>
      <c r="I277" s="4" t="s">
        <v>3557</v>
      </c>
      <c r="J277" s="4" t="s">
        <v>3190</v>
      </c>
      <c r="K277" s="4" t="s">
        <v>3192</v>
      </c>
      <c r="L277" s="4" t="s">
        <v>3558</v>
      </c>
      <c r="M277" s="5">
        <v>509.29</v>
      </c>
    </row>
    <row r="278" spans="1:13" x14ac:dyDescent="0.25">
      <c r="A278" s="4" t="s">
        <v>3242</v>
      </c>
      <c r="B278" s="4" t="s">
        <v>3186</v>
      </c>
      <c r="C278" s="4" t="s">
        <v>3194</v>
      </c>
      <c r="D278" s="4" t="s">
        <v>3195</v>
      </c>
      <c r="E278" s="4" t="s">
        <v>3214</v>
      </c>
      <c r="F278" s="4" t="s">
        <v>3190</v>
      </c>
      <c r="G278" s="4" t="s">
        <v>3190</v>
      </c>
      <c r="H278" s="7">
        <v>37160.561296296299</v>
      </c>
      <c r="I278" s="4" t="s">
        <v>3559</v>
      </c>
      <c r="J278" s="4" t="s">
        <v>3190</v>
      </c>
      <c r="K278" s="4" t="s">
        <v>3192</v>
      </c>
      <c r="L278" s="4" t="s">
        <v>106</v>
      </c>
      <c r="M278" s="5">
        <v>733.03</v>
      </c>
    </row>
    <row r="279" spans="1:13" x14ac:dyDescent="0.25">
      <c r="A279" s="4" t="s">
        <v>3242</v>
      </c>
      <c r="B279" s="4" t="s">
        <v>3186</v>
      </c>
      <c r="C279" s="4" t="s">
        <v>3194</v>
      </c>
      <c r="D279" s="4" t="s">
        <v>3195</v>
      </c>
      <c r="E279" s="4" t="s">
        <v>3214</v>
      </c>
      <c r="F279" s="4" t="s">
        <v>3190</v>
      </c>
      <c r="G279" s="4" t="s">
        <v>3190</v>
      </c>
      <c r="H279" s="7">
        <v>37160.563113425902</v>
      </c>
      <c r="I279" s="4" t="s">
        <v>3560</v>
      </c>
      <c r="J279" s="4" t="s">
        <v>3190</v>
      </c>
      <c r="K279" s="4" t="s">
        <v>3192</v>
      </c>
      <c r="L279" s="4" t="s">
        <v>106</v>
      </c>
      <c r="M279" s="5">
        <v>733.03</v>
      </c>
    </row>
    <row r="280" spans="1:13" x14ac:dyDescent="0.25">
      <c r="A280" s="4" t="s">
        <v>3185</v>
      </c>
      <c r="B280" s="4" t="s">
        <v>3186</v>
      </c>
      <c r="C280" s="4" t="s">
        <v>3194</v>
      </c>
      <c r="D280" s="4" t="s">
        <v>3195</v>
      </c>
      <c r="E280" s="4" t="s">
        <v>3214</v>
      </c>
      <c r="F280" s="4" t="s">
        <v>3190</v>
      </c>
      <c r="G280" s="4" t="s">
        <v>3190</v>
      </c>
      <c r="H280" s="7">
        <v>37160.6164699074</v>
      </c>
      <c r="I280" s="4" t="s">
        <v>3561</v>
      </c>
      <c r="J280" s="4" t="s">
        <v>3190</v>
      </c>
      <c r="K280" s="4" t="s">
        <v>3192</v>
      </c>
      <c r="L280" s="4" t="s">
        <v>840</v>
      </c>
      <c r="M280" s="5">
        <v>1132.95</v>
      </c>
    </row>
    <row r="281" spans="1:13" x14ac:dyDescent="0.25">
      <c r="A281" s="4" t="s">
        <v>3366</v>
      </c>
      <c r="B281" s="4" t="s">
        <v>3186</v>
      </c>
      <c r="C281" s="4" t="s">
        <v>3187</v>
      </c>
      <c r="D281" s="4" t="s">
        <v>3188</v>
      </c>
      <c r="E281" s="4" t="s">
        <v>3189</v>
      </c>
      <c r="F281" s="4" t="s">
        <v>3190</v>
      </c>
      <c r="G281" s="4" t="s">
        <v>3190</v>
      </c>
      <c r="H281" s="7">
        <v>37166.597106481502</v>
      </c>
      <c r="I281" s="4" t="s">
        <v>3562</v>
      </c>
      <c r="J281" s="4" t="s">
        <v>3190</v>
      </c>
      <c r="K281" s="4" t="s">
        <v>3192</v>
      </c>
      <c r="L281" s="4" t="s">
        <v>985</v>
      </c>
      <c r="M281" s="5">
        <v>194.4</v>
      </c>
    </row>
    <row r="282" spans="1:13" x14ac:dyDescent="0.25">
      <c r="A282" s="4" t="s">
        <v>3185</v>
      </c>
      <c r="B282" s="4" t="s">
        <v>3186</v>
      </c>
      <c r="C282" s="4" t="s">
        <v>3234</v>
      </c>
      <c r="D282" s="4" t="s">
        <v>3188</v>
      </c>
      <c r="E282" s="4" t="s">
        <v>3189</v>
      </c>
      <c r="F282" s="4" t="s">
        <v>3190</v>
      </c>
      <c r="G282" s="4" t="s">
        <v>3190</v>
      </c>
      <c r="H282" s="7">
        <v>37173.389328703699</v>
      </c>
      <c r="I282" s="4" t="s">
        <v>3563</v>
      </c>
      <c r="J282" s="4" t="s">
        <v>3190</v>
      </c>
      <c r="K282" s="4" t="s">
        <v>3192</v>
      </c>
      <c r="L282" s="4" t="s">
        <v>3208</v>
      </c>
      <c r="M282" s="5">
        <v>126.19</v>
      </c>
    </row>
    <row r="283" spans="1:13" x14ac:dyDescent="0.25">
      <c r="A283" s="4" t="s">
        <v>3209</v>
      </c>
      <c r="B283" s="4" t="s">
        <v>3186</v>
      </c>
      <c r="C283" s="4" t="s">
        <v>3187</v>
      </c>
      <c r="D283" s="4" t="s">
        <v>3188</v>
      </c>
      <c r="E283" s="4" t="s">
        <v>3189</v>
      </c>
      <c r="F283" s="4" t="s">
        <v>3190</v>
      </c>
      <c r="G283" s="4" t="s">
        <v>3190</v>
      </c>
      <c r="H283" s="7">
        <v>37173.3903125</v>
      </c>
      <c r="I283" s="4" t="s">
        <v>3564</v>
      </c>
      <c r="J283" s="4" t="s">
        <v>3190</v>
      </c>
      <c r="K283" s="4" t="s">
        <v>3192</v>
      </c>
      <c r="L283" s="4" t="s">
        <v>3208</v>
      </c>
      <c r="M283" s="5">
        <v>241.37</v>
      </c>
    </row>
    <row r="284" spans="1:13" x14ac:dyDescent="0.25">
      <c r="A284" s="4" t="s">
        <v>3255</v>
      </c>
      <c r="B284" s="4" t="s">
        <v>3186</v>
      </c>
      <c r="C284" s="4" t="s">
        <v>3194</v>
      </c>
      <c r="D284" s="4" t="s">
        <v>3195</v>
      </c>
      <c r="E284" s="4" t="s">
        <v>3214</v>
      </c>
      <c r="F284" s="4" t="s">
        <v>3190</v>
      </c>
      <c r="G284" s="4" t="s">
        <v>3190</v>
      </c>
      <c r="H284" s="7">
        <v>37174.662638888898</v>
      </c>
      <c r="I284" s="4" t="s">
        <v>3565</v>
      </c>
      <c r="J284" s="4" t="s">
        <v>3190</v>
      </c>
      <c r="K284" s="4" t="s">
        <v>3192</v>
      </c>
      <c r="L284" s="4" t="s">
        <v>3225</v>
      </c>
      <c r="M284" s="5">
        <v>395.15</v>
      </c>
    </row>
    <row r="285" spans="1:13" x14ac:dyDescent="0.25">
      <c r="A285" s="4" t="s">
        <v>3209</v>
      </c>
      <c r="B285" s="4" t="s">
        <v>3186</v>
      </c>
      <c r="C285" s="4" t="s">
        <v>3187</v>
      </c>
      <c r="D285" s="4" t="s">
        <v>3188</v>
      </c>
      <c r="E285" s="4" t="s">
        <v>3189</v>
      </c>
      <c r="F285" s="4" t="s">
        <v>3190</v>
      </c>
      <c r="G285" s="4" t="s">
        <v>3190</v>
      </c>
      <c r="H285" s="7">
        <v>37174.708090277803</v>
      </c>
      <c r="I285" s="4" t="s">
        <v>3566</v>
      </c>
      <c r="J285" s="4" t="s">
        <v>3190</v>
      </c>
      <c r="K285" s="4" t="s">
        <v>3192</v>
      </c>
      <c r="L285" s="4" t="s">
        <v>3211</v>
      </c>
      <c r="M285" s="5">
        <v>497.42</v>
      </c>
    </row>
    <row r="286" spans="1:13" x14ac:dyDescent="0.25">
      <c r="A286" s="4" t="s">
        <v>3206</v>
      </c>
      <c r="B286" s="4" t="s">
        <v>3186</v>
      </c>
      <c r="C286" s="4" t="s">
        <v>3194</v>
      </c>
      <c r="D286" s="4" t="s">
        <v>3195</v>
      </c>
      <c r="E286" s="4" t="s">
        <v>3196</v>
      </c>
      <c r="F286" s="4" t="s">
        <v>3190</v>
      </c>
      <c r="G286" s="4" t="s">
        <v>3190</v>
      </c>
      <c r="H286" s="7">
        <v>37176.360474537003</v>
      </c>
      <c r="I286" s="4" t="s">
        <v>3567</v>
      </c>
      <c r="J286" s="4" t="s">
        <v>3190</v>
      </c>
      <c r="K286" s="4" t="s">
        <v>3192</v>
      </c>
      <c r="L286" s="4" t="s">
        <v>3342</v>
      </c>
      <c r="M286" s="5">
        <v>129.46</v>
      </c>
    </row>
    <row r="287" spans="1:13" x14ac:dyDescent="0.25">
      <c r="A287" s="4" t="s">
        <v>3263</v>
      </c>
      <c r="B287" s="4" t="s">
        <v>3186</v>
      </c>
      <c r="C287" s="4" t="s">
        <v>3187</v>
      </c>
      <c r="D287" s="4" t="s">
        <v>3188</v>
      </c>
      <c r="E287" s="4" t="s">
        <v>3189</v>
      </c>
      <c r="F287" s="4" t="s">
        <v>3190</v>
      </c>
      <c r="G287" s="4" t="s">
        <v>3190</v>
      </c>
      <c r="H287" s="7">
        <v>37176.382604166698</v>
      </c>
      <c r="I287" s="4" t="s">
        <v>3568</v>
      </c>
      <c r="J287" s="4" t="s">
        <v>3190</v>
      </c>
      <c r="K287" s="4" t="s">
        <v>3192</v>
      </c>
      <c r="L287" s="4" t="s">
        <v>3295</v>
      </c>
      <c r="M287" s="5">
        <v>300.51</v>
      </c>
    </row>
    <row r="288" spans="1:13" x14ac:dyDescent="0.25">
      <c r="A288" s="4" t="s">
        <v>3414</v>
      </c>
      <c r="B288" s="4" t="s">
        <v>3186</v>
      </c>
      <c r="C288" s="4" t="s">
        <v>3187</v>
      </c>
      <c r="D288" s="4" t="s">
        <v>3188</v>
      </c>
      <c r="E288" s="4" t="s">
        <v>3189</v>
      </c>
      <c r="F288" s="4" t="s">
        <v>3190</v>
      </c>
      <c r="G288" s="4" t="s">
        <v>3190</v>
      </c>
      <c r="H288" s="7">
        <v>37176.388124999998</v>
      </c>
      <c r="I288" s="4" t="s">
        <v>3569</v>
      </c>
      <c r="J288" s="4" t="s">
        <v>3190</v>
      </c>
      <c r="K288" s="4" t="s">
        <v>3192</v>
      </c>
      <c r="L288" s="4" t="s">
        <v>3323</v>
      </c>
      <c r="M288" s="5">
        <v>100.99</v>
      </c>
    </row>
    <row r="289" spans="1:13" x14ac:dyDescent="0.25">
      <c r="A289" s="4" t="s">
        <v>3399</v>
      </c>
      <c r="B289" s="4" t="s">
        <v>3186</v>
      </c>
      <c r="C289" s="4" t="s">
        <v>3194</v>
      </c>
      <c r="D289" s="4" t="s">
        <v>3195</v>
      </c>
      <c r="E289" s="4" t="s">
        <v>3214</v>
      </c>
      <c r="F289" s="4" t="s">
        <v>3190</v>
      </c>
      <c r="G289" s="4" t="s">
        <v>3190</v>
      </c>
      <c r="H289" s="7">
        <v>37176.408240740697</v>
      </c>
      <c r="I289" s="4" t="s">
        <v>3570</v>
      </c>
      <c r="J289" s="4" t="s">
        <v>3190</v>
      </c>
      <c r="K289" s="4" t="s">
        <v>3192</v>
      </c>
      <c r="L289" s="4" t="s">
        <v>3220</v>
      </c>
      <c r="M289" s="5">
        <v>724.24</v>
      </c>
    </row>
    <row r="290" spans="1:13" x14ac:dyDescent="0.25">
      <c r="A290" s="4" t="s">
        <v>3399</v>
      </c>
      <c r="B290" s="4" t="s">
        <v>3186</v>
      </c>
      <c r="C290" s="4" t="s">
        <v>3194</v>
      </c>
      <c r="D290" s="4" t="s">
        <v>3195</v>
      </c>
      <c r="E290" s="4" t="s">
        <v>3214</v>
      </c>
      <c r="F290" s="4" t="s">
        <v>3190</v>
      </c>
      <c r="G290" s="4" t="s">
        <v>3190</v>
      </c>
      <c r="H290" s="7">
        <v>37176.4436921296</v>
      </c>
      <c r="I290" s="4" t="s">
        <v>3571</v>
      </c>
      <c r="J290" s="4" t="s">
        <v>3190</v>
      </c>
      <c r="K290" s="4" t="s">
        <v>3192</v>
      </c>
      <c r="L290" s="4" t="s">
        <v>3220</v>
      </c>
      <c r="M290" s="5">
        <v>434</v>
      </c>
    </row>
    <row r="291" spans="1:13" x14ac:dyDescent="0.25">
      <c r="A291" s="4" t="s">
        <v>3185</v>
      </c>
      <c r="B291" s="4" t="s">
        <v>3186</v>
      </c>
      <c r="C291" s="4" t="s">
        <v>3222</v>
      </c>
      <c r="D291" s="4" t="s">
        <v>3223</v>
      </c>
      <c r="E291" s="4" t="s">
        <v>3214</v>
      </c>
      <c r="F291" s="4" t="s">
        <v>3190</v>
      </c>
      <c r="G291" s="4" t="s">
        <v>3190</v>
      </c>
      <c r="H291" s="7">
        <v>37189.672847222202</v>
      </c>
      <c r="I291" s="4" t="s">
        <v>3572</v>
      </c>
      <c r="J291" s="4" t="s">
        <v>3190</v>
      </c>
      <c r="K291" s="4" t="s">
        <v>3192</v>
      </c>
      <c r="L291" s="4" t="s">
        <v>3573</v>
      </c>
      <c r="M291" s="5">
        <v>503.69</v>
      </c>
    </row>
    <row r="292" spans="1:13" x14ac:dyDescent="0.25">
      <c r="A292" s="4" t="s">
        <v>3206</v>
      </c>
      <c r="B292" s="4" t="s">
        <v>3186</v>
      </c>
      <c r="C292" s="4" t="s">
        <v>3187</v>
      </c>
      <c r="D292" s="4" t="s">
        <v>3188</v>
      </c>
      <c r="E292" s="4" t="s">
        <v>3189</v>
      </c>
      <c r="F292" s="4" t="s">
        <v>3190</v>
      </c>
      <c r="G292" s="4" t="s">
        <v>3190</v>
      </c>
      <c r="H292" s="7">
        <v>37195.701944444401</v>
      </c>
      <c r="I292" s="4" t="s">
        <v>3574</v>
      </c>
      <c r="J292" s="4" t="s">
        <v>3190</v>
      </c>
      <c r="K292" s="4" t="s">
        <v>3192</v>
      </c>
      <c r="L292" s="4" t="s">
        <v>3575</v>
      </c>
      <c r="M292" s="5">
        <v>145.61000000000001</v>
      </c>
    </row>
    <row r="293" spans="1:13" x14ac:dyDescent="0.25">
      <c r="A293" s="4" t="s">
        <v>3209</v>
      </c>
      <c r="B293" s="4" t="s">
        <v>3186</v>
      </c>
      <c r="C293" s="4" t="s">
        <v>3187</v>
      </c>
      <c r="D293" s="4" t="s">
        <v>3188</v>
      </c>
      <c r="E293" s="4" t="s">
        <v>3189</v>
      </c>
      <c r="F293" s="4" t="s">
        <v>3190</v>
      </c>
      <c r="G293" s="4" t="s">
        <v>3190</v>
      </c>
      <c r="H293" s="7">
        <v>37195.702569444402</v>
      </c>
      <c r="I293" s="4" t="s">
        <v>3576</v>
      </c>
      <c r="J293" s="4" t="s">
        <v>3190</v>
      </c>
      <c r="K293" s="4" t="s">
        <v>3192</v>
      </c>
      <c r="L293" s="4" t="s">
        <v>3208</v>
      </c>
      <c r="M293" s="5">
        <v>136.38</v>
      </c>
    </row>
    <row r="294" spans="1:13" x14ac:dyDescent="0.25">
      <c r="A294" s="4" t="s">
        <v>3366</v>
      </c>
      <c r="B294" s="4" t="s">
        <v>3186</v>
      </c>
      <c r="C294" s="4" t="s">
        <v>3187</v>
      </c>
      <c r="D294" s="4" t="s">
        <v>3188</v>
      </c>
      <c r="E294" s="4" t="s">
        <v>3189</v>
      </c>
      <c r="F294" s="4" t="s">
        <v>3190</v>
      </c>
      <c r="G294" s="4" t="s">
        <v>3190</v>
      </c>
      <c r="H294" s="7">
        <v>37204.686805555597</v>
      </c>
      <c r="I294" s="4" t="s">
        <v>3577</v>
      </c>
      <c r="J294" s="4" t="s">
        <v>3190</v>
      </c>
      <c r="K294" s="4" t="s">
        <v>3192</v>
      </c>
      <c r="L294" s="4" t="s">
        <v>985</v>
      </c>
      <c r="M294" s="5">
        <v>129.6</v>
      </c>
    </row>
    <row r="295" spans="1:13" x14ac:dyDescent="0.25">
      <c r="A295" s="4" t="s">
        <v>3578</v>
      </c>
      <c r="B295" s="4" t="s">
        <v>3186</v>
      </c>
      <c r="C295" s="4" t="s">
        <v>3194</v>
      </c>
      <c r="D295" s="4" t="s">
        <v>3195</v>
      </c>
      <c r="E295" s="4" t="s">
        <v>3214</v>
      </c>
      <c r="F295" s="4" t="s">
        <v>3190</v>
      </c>
      <c r="G295" s="4" t="s">
        <v>3190</v>
      </c>
      <c r="H295" s="7">
        <v>37210</v>
      </c>
      <c r="I295" s="4" t="s">
        <v>3579</v>
      </c>
      <c r="J295" s="4" t="s">
        <v>3190</v>
      </c>
      <c r="K295" s="4" t="s">
        <v>3192</v>
      </c>
      <c r="L295" s="4" t="s">
        <v>3354</v>
      </c>
      <c r="M295" s="5">
        <v>6612</v>
      </c>
    </row>
    <row r="296" spans="1:13" x14ac:dyDescent="0.25">
      <c r="A296" s="4" t="s">
        <v>3420</v>
      </c>
      <c r="B296" s="4" t="s">
        <v>3186</v>
      </c>
      <c r="C296" s="4" t="s">
        <v>3417</v>
      </c>
      <c r="D296" s="4" t="s">
        <v>3195</v>
      </c>
      <c r="E296" s="4" t="s">
        <v>3418</v>
      </c>
      <c r="F296" s="4" t="s">
        <v>3190</v>
      </c>
      <c r="G296" s="4" t="s">
        <v>3190</v>
      </c>
      <c r="H296" s="7">
        <v>37210</v>
      </c>
      <c r="I296" s="4" t="s">
        <v>3580</v>
      </c>
      <c r="J296" s="4" t="s">
        <v>3190</v>
      </c>
      <c r="K296" s="4" t="s">
        <v>3192</v>
      </c>
      <c r="L296" s="4" t="s">
        <v>132</v>
      </c>
      <c r="M296" s="5">
        <v>4984.9799999999996</v>
      </c>
    </row>
    <row r="297" spans="1:13" x14ac:dyDescent="0.25">
      <c r="A297" s="4" t="s">
        <v>3380</v>
      </c>
      <c r="B297" s="4" t="s">
        <v>3186</v>
      </c>
      <c r="C297" s="4" t="s">
        <v>3194</v>
      </c>
      <c r="D297" s="4" t="s">
        <v>3195</v>
      </c>
      <c r="E297" s="4" t="s">
        <v>3214</v>
      </c>
      <c r="F297" s="4" t="s">
        <v>3190</v>
      </c>
      <c r="G297" s="4" t="s">
        <v>3190</v>
      </c>
      <c r="H297" s="7">
        <v>37211</v>
      </c>
      <c r="I297" s="4" t="s">
        <v>3581</v>
      </c>
      <c r="J297" s="4" t="s">
        <v>3190</v>
      </c>
      <c r="K297" s="4" t="s">
        <v>3192</v>
      </c>
      <c r="L297" s="4" t="s">
        <v>3582</v>
      </c>
      <c r="M297" s="5">
        <v>1166.9000000000001</v>
      </c>
    </row>
    <row r="298" spans="1:13" x14ac:dyDescent="0.25">
      <c r="A298" s="4" t="s">
        <v>3209</v>
      </c>
      <c r="B298" s="4" t="s">
        <v>3186</v>
      </c>
      <c r="C298" s="4" t="s">
        <v>3187</v>
      </c>
      <c r="D298" s="4" t="s">
        <v>3188</v>
      </c>
      <c r="E298" s="4" t="s">
        <v>3189</v>
      </c>
      <c r="F298" s="4" t="s">
        <v>3190</v>
      </c>
      <c r="G298" s="4" t="s">
        <v>3190</v>
      </c>
      <c r="H298" s="7">
        <v>37214.702106481498</v>
      </c>
      <c r="I298" s="4" t="s">
        <v>3583</v>
      </c>
      <c r="J298" s="4" t="s">
        <v>3190</v>
      </c>
      <c r="K298" s="4" t="s">
        <v>3192</v>
      </c>
      <c r="L298" s="4" t="s">
        <v>3277</v>
      </c>
      <c r="M298" s="5">
        <v>290.83999999999997</v>
      </c>
    </row>
    <row r="299" spans="1:13" x14ac:dyDescent="0.25">
      <c r="A299" s="4" t="s">
        <v>3206</v>
      </c>
      <c r="B299" s="4" t="s">
        <v>3186</v>
      </c>
      <c r="C299" s="4" t="s">
        <v>3194</v>
      </c>
      <c r="D299" s="4" t="s">
        <v>3195</v>
      </c>
      <c r="E299" s="4" t="s">
        <v>3199</v>
      </c>
      <c r="F299" s="4" t="s">
        <v>3190</v>
      </c>
      <c r="G299" s="4" t="s">
        <v>3190</v>
      </c>
      <c r="H299" s="7">
        <v>37216.644525463002</v>
      </c>
      <c r="I299" s="4" t="s">
        <v>3584</v>
      </c>
      <c r="J299" s="4" t="s">
        <v>3190</v>
      </c>
      <c r="K299" s="4" t="s">
        <v>3192</v>
      </c>
      <c r="L299" s="4" t="s">
        <v>1208</v>
      </c>
      <c r="M299" s="5">
        <v>857.27</v>
      </c>
    </row>
    <row r="300" spans="1:13" x14ac:dyDescent="0.25">
      <c r="A300" s="4" t="s">
        <v>3185</v>
      </c>
      <c r="B300" s="4" t="s">
        <v>3186</v>
      </c>
      <c r="C300" s="4" t="s">
        <v>3194</v>
      </c>
      <c r="D300" s="4" t="s">
        <v>3195</v>
      </c>
      <c r="E300" s="4" t="s">
        <v>3196</v>
      </c>
      <c r="F300" s="4" t="s">
        <v>3190</v>
      </c>
      <c r="G300" s="4" t="s">
        <v>3190</v>
      </c>
      <c r="H300" s="7">
        <v>37216.646018518499</v>
      </c>
      <c r="I300" s="4" t="s">
        <v>3585</v>
      </c>
      <c r="J300" s="4" t="s">
        <v>3190</v>
      </c>
      <c r="K300" s="4" t="s">
        <v>3192</v>
      </c>
      <c r="L300" s="4" t="s">
        <v>3342</v>
      </c>
      <c r="M300" s="5">
        <v>129.46</v>
      </c>
    </row>
    <row r="301" spans="1:13" x14ac:dyDescent="0.25">
      <c r="A301" s="4" t="s">
        <v>3239</v>
      </c>
      <c r="B301" s="4" t="s">
        <v>3186</v>
      </c>
      <c r="C301" s="4" t="s">
        <v>3194</v>
      </c>
      <c r="D301" s="4" t="s">
        <v>3195</v>
      </c>
      <c r="E301" s="4" t="s">
        <v>3196</v>
      </c>
      <c r="F301" s="4" t="s">
        <v>3190</v>
      </c>
      <c r="G301" s="4" t="s">
        <v>3190</v>
      </c>
      <c r="H301" s="7">
        <v>37216.646018518499</v>
      </c>
      <c r="I301" s="4" t="s">
        <v>3585</v>
      </c>
      <c r="J301" s="4" t="s">
        <v>3190</v>
      </c>
      <c r="K301" s="4" t="s">
        <v>3192</v>
      </c>
      <c r="L301" s="4" t="s">
        <v>3342</v>
      </c>
      <c r="M301" s="5">
        <v>420.77</v>
      </c>
    </row>
    <row r="302" spans="1:13" x14ac:dyDescent="0.25">
      <c r="A302" s="4" t="s">
        <v>3185</v>
      </c>
      <c r="B302" s="4" t="s">
        <v>3186</v>
      </c>
      <c r="C302" s="4" t="s">
        <v>3194</v>
      </c>
      <c r="D302" s="4" t="s">
        <v>3195</v>
      </c>
      <c r="E302" s="4" t="s">
        <v>3196</v>
      </c>
      <c r="F302" s="4" t="s">
        <v>3190</v>
      </c>
      <c r="G302" s="4" t="s">
        <v>3190</v>
      </c>
      <c r="H302" s="7">
        <v>37222.395798611098</v>
      </c>
      <c r="I302" s="4" t="s">
        <v>3586</v>
      </c>
      <c r="J302" s="4" t="s">
        <v>3190</v>
      </c>
      <c r="K302" s="4" t="s">
        <v>3192</v>
      </c>
      <c r="L302" s="4" t="s">
        <v>3267</v>
      </c>
      <c r="M302" s="5">
        <v>1105.98</v>
      </c>
    </row>
    <row r="303" spans="1:13" x14ac:dyDescent="0.25">
      <c r="A303" s="4" t="s">
        <v>3185</v>
      </c>
      <c r="B303" s="4" t="s">
        <v>3186</v>
      </c>
      <c r="C303" s="4" t="s">
        <v>3194</v>
      </c>
      <c r="D303" s="4" t="s">
        <v>3195</v>
      </c>
      <c r="E303" s="4" t="s">
        <v>3214</v>
      </c>
      <c r="F303" s="4" t="s">
        <v>3190</v>
      </c>
      <c r="G303" s="4" t="s">
        <v>3190</v>
      </c>
      <c r="H303" s="7">
        <v>37222.3963194444</v>
      </c>
      <c r="I303" s="4" t="s">
        <v>3587</v>
      </c>
      <c r="J303" s="4" t="s">
        <v>3190</v>
      </c>
      <c r="K303" s="4" t="s">
        <v>3192</v>
      </c>
      <c r="L303" s="4" t="s">
        <v>3588</v>
      </c>
      <c r="M303" s="5">
        <v>391.68</v>
      </c>
    </row>
    <row r="304" spans="1:13" x14ac:dyDescent="0.25">
      <c r="A304" s="4" t="s">
        <v>3185</v>
      </c>
      <c r="B304" s="4" t="s">
        <v>3186</v>
      </c>
      <c r="C304" s="4" t="s">
        <v>3194</v>
      </c>
      <c r="D304" s="4" t="s">
        <v>3195</v>
      </c>
      <c r="E304" s="4" t="s">
        <v>3214</v>
      </c>
      <c r="F304" s="4" t="s">
        <v>3190</v>
      </c>
      <c r="G304" s="4" t="s">
        <v>3190</v>
      </c>
      <c r="H304" s="7">
        <v>37222.4147337963</v>
      </c>
      <c r="I304" s="4" t="s">
        <v>3589</v>
      </c>
      <c r="J304" s="4" t="s">
        <v>3190</v>
      </c>
      <c r="K304" s="4" t="s">
        <v>3192</v>
      </c>
      <c r="L304" s="4" t="s">
        <v>3590</v>
      </c>
      <c r="M304" s="5">
        <v>1888.65</v>
      </c>
    </row>
    <row r="305" spans="1:13" x14ac:dyDescent="0.25">
      <c r="A305" s="4" t="s">
        <v>3209</v>
      </c>
      <c r="B305" s="4" t="s">
        <v>3186</v>
      </c>
      <c r="C305" s="4" t="s">
        <v>3187</v>
      </c>
      <c r="D305" s="4" t="s">
        <v>3188</v>
      </c>
      <c r="E305" s="4" t="s">
        <v>3189</v>
      </c>
      <c r="F305" s="4" t="s">
        <v>3190</v>
      </c>
      <c r="G305" s="4" t="s">
        <v>3190</v>
      </c>
      <c r="H305" s="7">
        <v>37223.671527777798</v>
      </c>
      <c r="I305" s="4" t="s">
        <v>3591</v>
      </c>
      <c r="J305" s="4" t="s">
        <v>3190</v>
      </c>
      <c r="K305" s="4" t="s">
        <v>3192</v>
      </c>
      <c r="L305" s="4" t="s">
        <v>3277</v>
      </c>
      <c r="M305" s="5">
        <v>581.69000000000005</v>
      </c>
    </row>
    <row r="306" spans="1:13" x14ac:dyDescent="0.25">
      <c r="A306" s="4" t="s">
        <v>3209</v>
      </c>
      <c r="B306" s="4" t="s">
        <v>3186</v>
      </c>
      <c r="C306" s="4" t="s">
        <v>3187</v>
      </c>
      <c r="D306" s="4" t="s">
        <v>3188</v>
      </c>
      <c r="E306" s="4" t="s">
        <v>3189</v>
      </c>
      <c r="F306" s="4" t="s">
        <v>3190</v>
      </c>
      <c r="G306" s="4" t="s">
        <v>3190</v>
      </c>
      <c r="H306" s="7">
        <v>37223.672557870399</v>
      </c>
      <c r="I306" s="4" t="s">
        <v>3592</v>
      </c>
      <c r="J306" s="4" t="s">
        <v>3190</v>
      </c>
      <c r="K306" s="4" t="s">
        <v>3192</v>
      </c>
      <c r="L306" s="4" t="s">
        <v>1498</v>
      </c>
      <c r="M306" s="5">
        <v>286.56</v>
      </c>
    </row>
    <row r="307" spans="1:13" x14ac:dyDescent="0.25">
      <c r="A307" s="4" t="s">
        <v>3206</v>
      </c>
      <c r="B307" s="4" t="s">
        <v>3186</v>
      </c>
      <c r="C307" s="4" t="s">
        <v>3187</v>
      </c>
      <c r="D307" s="4" t="s">
        <v>3188</v>
      </c>
      <c r="E307" s="4" t="s">
        <v>3189</v>
      </c>
      <c r="F307" s="4" t="s">
        <v>3190</v>
      </c>
      <c r="G307" s="4" t="s">
        <v>3190</v>
      </c>
      <c r="H307" s="7">
        <v>37229.663495370398</v>
      </c>
      <c r="I307" s="4" t="s">
        <v>3593</v>
      </c>
      <c r="J307" s="4" t="s">
        <v>3190</v>
      </c>
      <c r="K307" s="4" t="s">
        <v>3192</v>
      </c>
      <c r="L307" s="4" t="s">
        <v>3295</v>
      </c>
      <c r="M307" s="5">
        <v>839.4</v>
      </c>
    </row>
    <row r="308" spans="1:13" x14ac:dyDescent="0.25">
      <c r="A308" s="4" t="s">
        <v>3399</v>
      </c>
      <c r="B308" s="4" t="s">
        <v>3186</v>
      </c>
      <c r="C308" s="4" t="s">
        <v>3194</v>
      </c>
      <c r="D308" s="4" t="s">
        <v>3195</v>
      </c>
      <c r="E308" s="4" t="s">
        <v>3214</v>
      </c>
      <c r="F308" s="4" t="s">
        <v>3190</v>
      </c>
      <c r="G308" s="4" t="s">
        <v>3190</v>
      </c>
      <c r="H308" s="7">
        <v>37229.672245370399</v>
      </c>
      <c r="I308" s="4" t="s">
        <v>3594</v>
      </c>
      <c r="J308" s="4" t="s">
        <v>3190</v>
      </c>
      <c r="K308" s="4" t="s">
        <v>3192</v>
      </c>
      <c r="L308" s="4" t="s">
        <v>3595</v>
      </c>
      <c r="M308" s="5">
        <v>112.26</v>
      </c>
    </row>
    <row r="309" spans="1:13" x14ac:dyDescent="0.25">
      <c r="A309" s="4" t="s">
        <v>3283</v>
      </c>
      <c r="B309" s="4" t="s">
        <v>3186</v>
      </c>
      <c r="C309" s="4" t="s">
        <v>3187</v>
      </c>
      <c r="D309" s="4" t="s">
        <v>3188</v>
      </c>
      <c r="E309" s="4" t="s">
        <v>3189</v>
      </c>
      <c r="F309" s="4" t="s">
        <v>3190</v>
      </c>
      <c r="G309" s="4" t="s">
        <v>3190</v>
      </c>
      <c r="H309" s="7">
        <v>37232.425844907397</v>
      </c>
      <c r="I309" s="4" t="s">
        <v>3596</v>
      </c>
      <c r="J309" s="4" t="s">
        <v>3190</v>
      </c>
      <c r="K309" s="4" t="s">
        <v>3192</v>
      </c>
      <c r="L309" s="4" t="s">
        <v>3597</v>
      </c>
      <c r="M309" s="5">
        <v>256.8</v>
      </c>
    </row>
    <row r="310" spans="1:13" x14ac:dyDescent="0.25">
      <c r="A310" s="4" t="s">
        <v>3221</v>
      </c>
      <c r="B310" s="4" t="s">
        <v>3186</v>
      </c>
      <c r="C310" s="4" t="s">
        <v>3187</v>
      </c>
      <c r="D310" s="4" t="s">
        <v>3188</v>
      </c>
      <c r="E310" s="4" t="s">
        <v>3189</v>
      </c>
      <c r="F310" s="4" t="s">
        <v>3190</v>
      </c>
      <c r="G310" s="4" t="s">
        <v>3190</v>
      </c>
      <c r="H310" s="7">
        <v>37236</v>
      </c>
      <c r="I310" s="4" t="s">
        <v>3598</v>
      </c>
      <c r="J310" s="4" t="s">
        <v>3190</v>
      </c>
      <c r="K310" s="4" t="s">
        <v>3192</v>
      </c>
      <c r="L310" s="4" t="s">
        <v>3225</v>
      </c>
      <c r="M310" s="5">
        <v>508.85</v>
      </c>
    </row>
    <row r="311" spans="1:13" x14ac:dyDescent="0.25">
      <c r="A311" s="4" t="s">
        <v>3221</v>
      </c>
      <c r="B311" s="4" t="s">
        <v>3186</v>
      </c>
      <c r="C311" s="4" t="s">
        <v>3194</v>
      </c>
      <c r="D311" s="4" t="s">
        <v>3195</v>
      </c>
      <c r="E311" s="4" t="s">
        <v>3214</v>
      </c>
      <c r="F311" s="4" t="s">
        <v>3190</v>
      </c>
      <c r="G311" s="4" t="s">
        <v>3190</v>
      </c>
      <c r="H311" s="7">
        <v>37236</v>
      </c>
      <c r="I311" s="4" t="s">
        <v>3598</v>
      </c>
      <c r="J311" s="4" t="s">
        <v>3190</v>
      </c>
      <c r="K311" s="4" t="s">
        <v>3192</v>
      </c>
      <c r="L311" s="4" t="s">
        <v>3225</v>
      </c>
      <c r="M311" s="5">
        <v>339.23</v>
      </c>
    </row>
    <row r="312" spans="1:13" x14ac:dyDescent="0.25">
      <c r="A312" s="4" t="s">
        <v>3185</v>
      </c>
      <c r="B312" s="4" t="s">
        <v>3186</v>
      </c>
      <c r="C312" s="4" t="s">
        <v>3194</v>
      </c>
      <c r="D312" s="4" t="s">
        <v>3195</v>
      </c>
      <c r="E312" s="4" t="s">
        <v>3214</v>
      </c>
      <c r="F312" s="4" t="s">
        <v>3190</v>
      </c>
      <c r="G312" s="4" t="s">
        <v>3190</v>
      </c>
      <c r="H312" s="7">
        <v>37236.355289351901</v>
      </c>
      <c r="I312" s="4" t="s">
        <v>3599</v>
      </c>
      <c r="J312" s="4" t="s">
        <v>3190</v>
      </c>
      <c r="K312" s="4" t="s">
        <v>3192</v>
      </c>
      <c r="L312" s="4" t="s">
        <v>3340</v>
      </c>
      <c r="M312" s="5">
        <v>300.58</v>
      </c>
    </row>
    <row r="313" spans="1:13" x14ac:dyDescent="0.25">
      <c r="A313" s="4" t="s">
        <v>3209</v>
      </c>
      <c r="B313" s="4" t="s">
        <v>3186</v>
      </c>
      <c r="C313" s="4" t="s">
        <v>3187</v>
      </c>
      <c r="D313" s="4" t="s">
        <v>3188</v>
      </c>
      <c r="E313" s="4" t="s">
        <v>3189</v>
      </c>
      <c r="F313" s="4" t="s">
        <v>3190</v>
      </c>
      <c r="G313" s="4" t="s">
        <v>3190</v>
      </c>
      <c r="H313" s="7">
        <v>37253.583946759303</v>
      </c>
      <c r="I313" s="4" t="s">
        <v>3600</v>
      </c>
      <c r="J313" s="4" t="s">
        <v>3190</v>
      </c>
      <c r="K313" s="4" t="s">
        <v>3192</v>
      </c>
      <c r="L313" s="4" t="s">
        <v>3208</v>
      </c>
      <c r="M313" s="5">
        <v>316.95999999999998</v>
      </c>
    </row>
    <row r="314" spans="1:13" x14ac:dyDescent="0.25">
      <c r="A314" s="4" t="s">
        <v>3388</v>
      </c>
      <c r="B314" s="4" t="s">
        <v>3186</v>
      </c>
      <c r="C314" s="4" t="s">
        <v>3187</v>
      </c>
      <c r="D314" s="4" t="s">
        <v>3188</v>
      </c>
      <c r="E314" s="4" t="s">
        <v>3189</v>
      </c>
      <c r="F314" s="4" t="s">
        <v>3190</v>
      </c>
      <c r="G314" s="4" t="s">
        <v>3190</v>
      </c>
      <c r="H314" s="7">
        <v>37263.615092592598</v>
      </c>
      <c r="I314" s="4" t="s">
        <v>3601</v>
      </c>
      <c r="J314" s="4" t="s">
        <v>3190</v>
      </c>
      <c r="K314" s="4" t="s">
        <v>3192</v>
      </c>
      <c r="L314" s="4" t="s">
        <v>3602</v>
      </c>
      <c r="M314" s="5">
        <v>102.51</v>
      </c>
    </row>
    <row r="315" spans="1:13" x14ac:dyDescent="0.25">
      <c r="A315" s="4" t="s">
        <v>3209</v>
      </c>
      <c r="B315" s="4" t="s">
        <v>3186</v>
      </c>
      <c r="C315" s="4" t="s">
        <v>3187</v>
      </c>
      <c r="D315" s="4" t="s">
        <v>3188</v>
      </c>
      <c r="E315" s="4" t="s">
        <v>3189</v>
      </c>
      <c r="F315" s="4" t="s">
        <v>3190</v>
      </c>
      <c r="G315" s="4" t="s">
        <v>3190</v>
      </c>
      <c r="H315" s="7">
        <v>37264.662118055603</v>
      </c>
      <c r="I315" s="4" t="s">
        <v>3603</v>
      </c>
      <c r="J315" s="4" t="s">
        <v>3190</v>
      </c>
      <c r="K315" s="4" t="s">
        <v>3192</v>
      </c>
      <c r="L315" s="4" t="s">
        <v>3211</v>
      </c>
      <c r="M315" s="5">
        <v>208.43</v>
      </c>
    </row>
    <row r="316" spans="1:13" x14ac:dyDescent="0.25">
      <c r="A316" s="4" t="s">
        <v>3209</v>
      </c>
      <c r="B316" s="4" t="s">
        <v>3186</v>
      </c>
      <c r="C316" s="4" t="s">
        <v>3187</v>
      </c>
      <c r="D316" s="4" t="s">
        <v>3188</v>
      </c>
      <c r="E316" s="4" t="s">
        <v>3189</v>
      </c>
      <c r="F316" s="4" t="s">
        <v>3190</v>
      </c>
      <c r="G316" s="4" t="s">
        <v>3190</v>
      </c>
      <c r="H316" s="7">
        <v>37267.587881944397</v>
      </c>
      <c r="I316" s="4" t="s">
        <v>3604</v>
      </c>
      <c r="J316" s="4" t="s">
        <v>3190</v>
      </c>
      <c r="K316" s="4" t="s">
        <v>3192</v>
      </c>
      <c r="L316" s="4" t="s">
        <v>3211</v>
      </c>
      <c r="M316" s="5">
        <v>562.64</v>
      </c>
    </row>
    <row r="317" spans="1:13" x14ac:dyDescent="0.25">
      <c r="A317" s="4" t="s">
        <v>3206</v>
      </c>
      <c r="B317" s="4" t="s">
        <v>3186</v>
      </c>
      <c r="C317" s="4" t="s">
        <v>3187</v>
      </c>
      <c r="D317" s="4" t="s">
        <v>3188</v>
      </c>
      <c r="E317" s="4" t="s">
        <v>3189</v>
      </c>
      <c r="F317" s="4" t="s">
        <v>3190</v>
      </c>
      <c r="G317" s="4" t="s">
        <v>3190</v>
      </c>
      <c r="H317" s="7">
        <v>37267.630046296297</v>
      </c>
      <c r="I317" s="4" t="s">
        <v>3605</v>
      </c>
      <c r="J317" s="4" t="s">
        <v>3190</v>
      </c>
      <c r="K317" s="4" t="s">
        <v>3192</v>
      </c>
      <c r="L317" s="4" t="s">
        <v>3231</v>
      </c>
      <c r="M317" s="5">
        <v>433.82</v>
      </c>
    </row>
    <row r="318" spans="1:13" x14ac:dyDescent="0.25">
      <c r="A318" s="4" t="s">
        <v>3466</v>
      </c>
      <c r="B318" s="4" t="s">
        <v>3186</v>
      </c>
      <c r="C318" s="4" t="s">
        <v>3187</v>
      </c>
      <c r="D318" s="4" t="s">
        <v>3188</v>
      </c>
      <c r="E318" s="4" t="s">
        <v>3189</v>
      </c>
      <c r="F318" s="4" t="s">
        <v>3190</v>
      </c>
      <c r="G318" s="4" t="s">
        <v>3190</v>
      </c>
      <c r="H318" s="7">
        <v>37267.631412037001</v>
      </c>
      <c r="I318" s="4" t="s">
        <v>3606</v>
      </c>
      <c r="J318" s="4" t="s">
        <v>3190</v>
      </c>
      <c r="K318" s="4" t="s">
        <v>3192</v>
      </c>
      <c r="L318" s="4" t="s">
        <v>3437</v>
      </c>
      <c r="M318" s="5">
        <v>226.59</v>
      </c>
    </row>
    <row r="319" spans="1:13" x14ac:dyDescent="0.25">
      <c r="A319" s="4" t="s">
        <v>3206</v>
      </c>
      <c r="B319" s="4" t="s">
        <v>3186</v>
      </c>
      <c r="C319" s="4" t="s">
        <v>3187</v>
      </c>
      <c r="D319" s="4" t="s">
        <v>3188</v>
      </c>
      <c r="E319" s="4" t="s">
        <v>3189</v>
      </c>
      <c r="F319" s="4" t="s">
        <v>3190</v>
      </c>
      <c r="G319" s="4" t="s">
        <v>3190</v>
      </c>
      <c r="H319" s="7">
        <v>37278.631840277798</v>
      </c>
      <c r="I319" s="4" t="s">
        <v>3607</v>
      </c>
      <c r="J319" s="4" t="s">
        <v>3190</v>
      </c>
      <c r="K319" s="4" t="s">
        <v>3192</v>
      </c>
      <c r="L319" s="4" t="s">
        <v>3481</v>
      </c>
      <c r="M319" s="5">
        <v>1068.2</v>
      </c>
    </row>
    <row r="320" spans="1:13" x14ac:dyDescent="0.25">
      <c r="A320" s="4" t="s">
        <v>3209</v>
      </c>
      <c r="B320" s="4" t="s">
        <v>3186</v>
      </c>
      <c r="C320" s="4" t="s">
        <v>3194</v>
      </c>
      <c r="D320" s="4" t="s">
        <v>3195</v>
      </c>
      <c r="E320" s="4" t="s">
        <v>3196</v>
      </c>
      <c r="F320" s="4" t="s">
        <v>3190</v>
      </c>
      <c r="G320" s="4" t="s">
        <v>3190</v>
      </c>
      <c r="H320" s="7">
        <v>37281.663877314801</v>
      </c>
      <c r="I320" s="4" t="s">
        <v>3608</v>
      </c>
      <c r="J320" s="4" t="s">
        <v>3190</v>
      </c>
      <c r="K320" s="4" t="s">
        <v>3192</v>
      </c>
      <c r="L320" s="4" t="s">
        <v>3237</v>
      </c>
      <c r="M320" s="5">
        <v>768.25</v>
      </c>
    </row>
    <row r="321" spans="1:13" x14ac:dyDescent="0.25">
      <c r="A321" s="4" t="s">
        <v>3391</v>
      </c>
      <c r="B321" s="4" t="s">
        <v>3186</v>
      </c>
      <c r="C321" s="4" t="s">
        <v>3187</v>
      </c>
      <c r="D321" s="4" t="s">
        <v>3188</v>
      </c>
      <c r="E321" s="4" t="s">
        <v>3189</v>
      </c>
      <c r="F321" s="4" t="s">
        <v>3190</v>
      </c>
      <c r="G321" s="4" t="s">
        <v>3190</v>
      </c>
      <c r="H321" s="7">
        <v>37281.681365740696</v>
      </c>
      <c r="I321" s="4" t="s">
        <v>3609</v>
      </c>
      <c r="J321" s="4" t="s">
        <v>3190</v>
      </c>
      <c r="K321" s="4" t="s">
        <v>3192</v>
      </c>
      <c r="L321" s="4" t="s">
        <v>3393</v>
      </c>
      <c r="M321" s="5">
        <v>248.22</v>
      </c>
    </row>
    <row r="322" spans="1:13" x14ac:dyDescent="0.25">
      <c r="A322" s="4" t="s">
        <v>3399</v>
      </c>
      <c r="B322" s="4" t="s">
        <v>3186</v>
      </c>
      <c r="C322" s="4" t="s">
        <v>3194</v>
      </c>
      <c r="D322" s="4" t="s">
        <v>3195</v>
      </c>
      <c r="E322" s="4" t="s">
        <v>3214</v>
      </c>
      <c r="F322" s="4" t="s">
        <v>3190</v>
      </c>
      <c r="G322" s="4" t="s">
        <v>3190</v>
      </c>
      <c r="H322" s="7">
        <v>37284.595300925903</v>
      </c>
      <c r="I322" s="4" t="s">
        <v>3610</v>
      </c>
      <c r="J322" s="4" t="s">
        <v>3190</v>
      </c>
      <c r="K322" s="4" t="s">
        <v>3192</v>
      </c>
      <c r="L322" s="4" t="s">
        <v>3220</v>
      </c>
      <c r="M322" s="5">
        <v>258.69</v>
      </c>
    </row>
    <row r="323" spans="1:13" x14ac:dyDescent="0.25">
      <c r="A323" s="4" t="s">
        <v>3399</v>
      </c>
      <c r="B323" s="4" t="s">
        <v>3186</v>
      </c>
      <c r="C323" s="4" t="s">
        <v>3194</v>
      </c>
      <c r="D323" s="4" t="s">
        <v>3195</v>
      </c>
      <c r="E323" s="4" t="s">
        <v>3214</v>
      </c>
      <c r="F323" s="4" t="s">
        <v>3190</v>
      </c>
      <c r="G323" s="4" t="s">
        <v>3190</v>
      </c>
      <c r="H323" s="7">
        <v>37286.380497685197</v>
      </c>
      <c r="I323" s="4" t="s">
        <v>3611</v>
      </c>
      <c r="J323" s="4" t="s">
        <v>3190</v>
      </c>
      <c r="K323" s="4" t="s">
        <v>3192</v>
      </c>
      <c r="L323" s="4" t="s">
        <v>3220</v>
      </c>
      <c r="M323" s="5">
        <v>323.87</v>
      </c>
    </row>
    <row r="324" spans="1:13" x14ac:dyDescent="0.25">
      <c r="A324" s="4" t="s">
        <v>3185</v>
      </c>
      <c r="B324" s="4" t="s">
        <v>3186</v>
      </c>
      <c r="C324" s="4" t="s">
        <v>3234</v>
      </c>
      <c r="D324" s="4" t="s">
        <v>3188</v>
      </c>
      <c r="E324" s="4" t="s">
        <v>3189</v>
      </c>
      <c r="F324" s="4" t="s">
        <v>3190</v>
      </c>
      <c r="G324" s="4" t="s">
        <v>3190</v>
      </c>
      <c r="H324" s="7">
        <v>37286.3999652778</v>
      </c>
      <c r="I324" s="4" t="s">
        <v>3612</v>
      </c>
      <c r="J324" s="4" t="s">
        <v>3190</v>
      </c>
      <c r="K324" s="4" t="s">
        <v>3192</v>
      </c>
      <c r="L324" s="4" t="s">
        <v>3613</v>
      </c>
      <c r="M324" s="5">
        <v>142.79</v>
      </c>
    </row>
    <row r="325" spans="1:13" x14ac:dyDescent="0.25">
      <c r="A325" s="4" t="s">
        <v>3242</v>
      </c>
      <c r="B325" s="4" t="s">
        <v>3186</v>
      </c>
      <c r="C325" s="4" t="s">
        <v>3194</v>
      </c>
      <c r="D325" s="4" t="s">
        <v>3195</v>
      </c>
      <c r="E325" s="4" t="s">
        <v>3196</v>
      </c>
      <c r="F325" s="4" t="s">
        <v>3190</v>
      </c>
      <c r="G325" s="4" t="s">
        <v>3190</v>
      </c>
      <c r="H325" s="7">
        <v>37286.458437499998</v>
      </c>
      <c r="I325" s="4" t="s">
        <v>3614</v>
      </c>
      <c r="J325" s="4" t="s">
        <v>3190</v>
      </c>
      <c r="K325" s="4" t="s">
        <v>3192</v>
      </c>
      <c r="L325" s="4" t="s">
        <v>3265</v>
      </c>
      <c r="M325" s="5">
        <v>487.2</v>
      </c>
    </row>
    <row r="326" spans="1:13" x14ac:dyDescent="0.25">
      <c r="A326" s="4" t="s">
        <v>3185</v>
      </c>
      <c r="B326" s="4" t="s">
        <v>3186</v>
      </c>
      <c r="C326" s="4" t="s">
        <v>3194</v>
      </c>
      <c r="D326" s="4" t="s">
        <v>3195</v>
      </c>
      <c r="E326" s="4" t="s">
        <v>3214</v>
      </c>
      <c r="F326" s="4" t="s">
        <v>3190</v>
      </c>
      <c r="G326" s="4" t="s">
        <v>3190</v>
      </c>
      <c r="H326" s="7">
        <v>37298</v>
      </c>
      <c r="I326" s="4" t="s">
        <v>3615</v>
      </c>
      <c r="J326" s="4" t="s">
        <v>3190</v>
      </c>
      <c r="K326" s="4" t="s">
        <v>3192</v>
      </c>
      <c r="L326" s="4" t="s">
        <v>3340</v>
      </c>
      <c r="M326" s="5">
        <v>368.91</v>
      </c>
    </row>
    <row r="327" spans="1:13" x14ac:dyDescent="0.25">
      <c r="A327" s="4" t="s">
        <v>3366</v>
      </c>
      <c r="B327" s="4" t="s">
        <v>3186</v>
      </c>
      <c r="C327" s="4" t="s">
        <v>3194</v>
      </c>
      <c r="D327" s="4" t="s">
        <v>3195</v>
      </c>
      <c r="E327" s="4" t="s">
        <v>3214</v>
      </c>
      <c r="F327" s="4" t="s">
        <v>3190</v>
      </c>
      <c r="G327" s="4" t="s">
        <v>3190</v>
      </c>
      <c r="H327" s="7">
        <v>37298.624363425901</v>
      </c>
      <c r="I327" s="4" t="s">
        <v>3616</v>
      </c>
      <c r="J327" s="4" t="s">
        <v>3190</v>
      </c>
      <c r="K327" s="4" t="s">
        <v>3192</v>
      </c>
      <c r="L327" s="4" t="s">
        <v>985</v>
      </c>
      <c r="M327" s="5">
        <v>250.5</v>
      </c>
    </row>
    <row r="328" spans="1:13" x14ac:dyDescent="0.25">
      <c r="A328" s="4" t="s">
        <v>3366</v>
      </c>
      <c r="B328" s="4" t="s">
        <v>3186</v>
      </c>
      <c r="C328" s="4" t="s">
        <v>3187</v>
      </c>
      <c r="D328" s="4" t="s">
        <v>3188</v>
      </c>
      <c r="E328" s="4" t="s">
        <v>3189</v>
      </c>
      <c r="F328" s="4" t="s">
        <v>3190</v>
      </c>
      <c r="G328" s="4" t="s">
        <v>3190</v>
      </c>
      <c r="H328" s="7">
        <v>37298.624363425901</v>
      </c>
      <c r="I328" s="4" t="s">
        <v>3616</v>
      </c>
      <c r="J328" s="4" t="s">
        <v>3190</v>
      </c>
      <c r="K328" s="4" t="s">
        <v>3192</v>
      </c>
      <c r="L328" s="4" t="s">
        <v>985</v>
      </c>
      <c r="M328" s="5">
        <v>250.5</v>
      </c>
    </row>
    <row r="329" spans="1:13" x14ac:dyDescent="0.25">
      <c r="A329" s="4" t="s">
        <v>3399</v>
      </c>
      <c r="B329" s="4" t="s">
        <v>3186</v>
      </c>
      <c r="C329" s="4" t="s">
        <v>3194</v>
      </c>
      <c r="D329" s="4" t="s">
        <v>3195</v>
      </c>
      <c r="E329" s="4" t="s">
        <v>3214</v>
      </c>
      <c r="F329" s="4" t="s">
        <v>3190</v>
      </c>
      <c r="G329" s="4" t="s">
        <v>3190</v>
      </c>
      <c r="H329" s="7">
        <v>37299.658032407402</v>
      </c>
      <c r="I329" s="4" t="s">
        <v>3617</v>
      </c>
      <c r="J329" s="4" t="s">
        <v>3190</v>
      </c>
      <c r="K329" s="4" t="s">
        <v>3192</v>
      </c>
      <c r="L329" s="4" t="s">
        <v>3220</v>
      </c>
      <c r="M329" s="5">
        <v>385.18</v>
      </c>
    </row>
    <row r="330" spans="1:13" x14ac:dyDescent="0.25">
      <c r="A330" s="4" t="s">
        <v>3185</v>
      </c>
      <c r="B330" s="4" t="s">
        <v>3186</v>
      </c>
      <c r="C330" s="4" t="s">
        <v>3194</v>
      </c>
      <c r="D330" s="4" t="s">
        <v>3195</v>
      </c>
      <c r="E330" s="4" t="s">
        <v>3196</v>
      </c>
      <c r="F330" s="4" t="s">
        <v>3190</v>
      </c>
      <c r="G330" s="4" t="s">
        <v>3190</v>
      </c>
      <c r="H330" s="7">
        <v>37301.640752314801</v>
      </c>
      <c r="I330" s="4" t="s">
        <v>3618</v>
      </c>
      <c r="J330" s="4" t="s">
        <v>3190</v>
      </c>
      <c r="K330" s="4" t="s">
        <v>3192</v>
      </c>
      <c r="L330" s="4" t="s">
        <v>3198</v>
      </c>
      <c r="M330" s="5">
        <v>335.3</v>
      </c>
    </row>
    <row r="331" spans="1:13" x14ac:dyDescent="0.25">
      <c r="A331" s="4" t="s">
        <v>3185</v>
      </c>
      <c r="B331" s="4" t="s">
        <v>3186</v>
      </c>
      <c r="C331" s="4" t="s">
        <v>3194</v>
      </c>
      <c r="D331" s="4" t="s">
        <v>3195</v>
      </c>
      <c r="E331" s="4" t="s">
        <v>3214</v>
      </c>
      <c r="F331" s="4" t="s">
        <v>3190</v>
      </c>
      <c r="G331" s="4" t="s">
        <v>3190</v>
      </c>
      <c r="H331" s="7">
        <v>37302.377604166701</v>
      </c>
      <c r="I331" s="4" t="s">
        <v>3619</v>
      </c>
      <c r="J331" s="4" t="s">
        <v>3190</v>
      </c>
      <c r="K331" s="4" t="s">
        <v>3192</v>
      </c>
      <c r="L331" s="4" t="s">
        <v>3620</v>
      </c>
      <c r="M331" s="5">
        <v>334.92</v>
      </c>
    </row>
    <row r="332" spans="1:13" x14ac:dyDescent="0.25">
      <c r="A332" s="4" t="s">
        <v>3399</v>
      </c>
      <c r="B332" s="4" t="s">
        <v>3186</v>
      </c>
      <c r="C332" s="4" t="s">
        <v>3194</v>
      </c>
      <c r="D332" s="4" t="s">
        <v>3195</v>
      </c>
      <c r="E332" s="4" t="s">
        <v>3214</v>
      </c>
      <c r="F332" s="4" t="s">
        <v>3190</v>
      </c>
      <c r="G332" s="4" t="s">
        <v>3190</v>
      </c>
      <c r="H332" s="7">
        <v>37302.446550925903</v>
      </c>
      <c r="I332" s="4" t="s">
        <v>3621</v>
      </c>
      <c r="J332" s="4" t="s">
        <v>3190</v>
      </c>
      <c r="K332" s="4" t="s">
        <v>3192</v>
      </c>
      <c r="L332" s="4" t="s">
        <v>3220</v>
      </c>
      <c r="M332" s="5">
        <v>1080.33</v>
      </c>
    </row>
    <row r="333" spans="1:13" x14ac:dyDescent="0.25">
      <c r="A333" s="4" t="s">
        <v>3240</v>
      </c>
      <c r="B333" s="4" t="s">
        <v>3186</v>
      </c>
      <c r="C333" s="4" t="s">
        <v>3194</v>
      </c>
      <c r="D333" s="4" t="s">
        <v>3195</v>
      </c>
      <c r="E333" s="4" t="s">
        <v>3199</v>
      </c>
      <c r="F333" s="4" t="s">
        <v>3190</v>
      </c>
      <c r="G333" s="4" t="s">
        <v>3190</v>
      </c>
      <c r="H333" s="7">
        <v>37306.467766203699</v>
      </c>
      <c r="I333" s="4" t="s">
        <v>3622</v>
      </c>
      <c r="J333" s="4" t="s">
        <v>3190</v>
      </c>
      <c r="K333" s="4" t="s">
        <v>3192</v>
      </c>
      <c r="L333" s="4" t="s">
        <v>220</v>
      </c>
      <c r="M333" s="5">
        <v>222.23</v>
      </c>
    </row>
    <row r="334" spans="1:13" x14ac:dyDescent="0.25">
      <c r="A334" s="4" t="s">
        <v>3414</v>
      </c>
      <c r="B334" s="4" t="s">
        <v>3186</v>
      </c>
      <c r="C334" s="4" t="s">
        <v>3187</v>
      </c>
      <c r="D334" s="4" t="s">
        <v>3188</v>
      </c>
      <c r="E334" s="4" t="s">
        <v>3189</v>
      </c>
      <c r="F334" s="4" t="s">
        <v>3190</v>
      </c>
      <c r="G334" s="4" t="s">
        <v>3190</v>
      </c>
      <c r="H334" s="7">
        <v>37308.660289351901</v>
      </c>
      <c r="I334" s="4" t="s">
        <v>3623</v>
      </c>
      <c r="J334" s="4" t="s">
        <v>3190</v>
      </c>
      <c r="K334" s="4" t="s">
        <v>3192</v>
      </c>
      <c r="L334" s="4" t="s">
        <v>552</v>
      </c>
      <c r="M334" s="5">
        <v>145.54</v>
      </c>
    </row>
    <row r="335" spans="1:13" x14ac:dyDescent="0.25">
      <c r="A335" s="4" t="s">
        <v>3206</v>
      </c>
      <c r="B335" s="4" t="s">
        <v>3186</v>
      </c>
      <c r="C335" s="4" t="s">
        <v>3187</v>
      </c>
      <c r="D335" s="4" t="s">
        <v>3188</v>
      </c>
      <c r="E335" s="4" t="s">
        <v>3189</v>
      </c>
      <c r="F335" s="4" t="s">
        <v>3190</v>
      </c>
      <c r="G335" s="4" t="s">
        <v>3190</v>
      </c>
      <c r="H335" s="7">
        <v>37320.6499652778</v>
      </c>
      <c r="I335" s="4" t="s">
        <v>3624</v>
      </c>
      <c r="J335" s="4" t="s">
        <v>3190</v>
      </c>
      <c r="K335" s="4" t="s">
        <v>3192</v>
      </c>
      <c r="L335" s="4" t="s">
        <v>3231</v>
      </c>
      <c r="M335" s="5">
        <v>573.58000000000004</v>
      </c>
    </row>
    <row r="336" spans="1:13" x14ac:dyDescent="0.25">
      <c r="A336" s="4" t="s">
        <v>3206</v>
      </c>
      <c r="B336" s="4" t="s">
        <v>3186</v>
      </c>
      <c r="C336" s="4" t="s">
        <v>3187</v>
      </c>
      <c r="D336" s="4" t="s">
        <v>3188</v>
      </c>
      <c r="E336" s="4" t="s">
        <v>3189</v>
      </c>
      <c r="F336" s="4" t="s">
        <v>3190</v>
      </c>
      <c r="G336" s="4" t="s">
        <v>3190</v>
      </c>
      <c r="H336" s="7">
        <v>37320.651550925897</v>
      </c>
      <c r="I336" s="4" t="s">
        <v>3625</v>
      </c>
      <c r="J336" s="4" t="s">
        <v>3190</v>
      </c>
      <c r="K336" s="4" t="s">
        <v>3192</v>
      </c>
      <c r="L336" s="4" t="s">
        <v>3225</v>
      </c>
      <c r="M336" s="5">
        <v>656.86</v>
      </c>
    </row>
    <row r="337" spans="1:13" x14ac:dyDescent="0.25">
      <c r="A337" s="4" t="s">
        <v>3414</v>
      </c>
      <c r="B337" s="4" t="s">
        <v>3186</v>
      </c>
      <c r="C337" s="4" t="s">
        <v>3194</v>
      </c>
      <c r="D337" s="4" t="s">
        <v>3195</v>
      </c>
      <c r="E337" s="4" t="s">
        <v>3196</v>
      </c>
      <c r="F337" s="4" t="s">
        <v>3190</v>
      </c>
      <c r="G337" s="4" t="s">
        <v>3190</v>
      </c>
      <c r="H337" s="7">
        <v>37321.6409375</v>
      </c>
      <c r="I337" s="4" t="s">
        <v>3626</v>
      </c>
      <c r="J337" s="4" t="s">
        <v>3190</v>
      </c>
      <c r="K337" s="4" t="s">
        <v>3192</v>
      </c>
      <c r="L337" s="4" t="s">
        <v>3500</v>
      </c>
      <c r="M337" s="5">
        <v>140.27000000000001</v>
      </c>
    </row>
    <row r="338" spans="1:13" x14ac:dyDescent="0.25">
      <c r="A338" s="4" t="s">
        <v>3627</v>
      </c>
      <c r="B338" s="4" t="s">
        <v>3186</v>
      </c>
      <c r="C338" s="4" t="s">
        <v>3194</v>
      </c>
      <c r="D338" s="4" t="s">
        <v>3195</v>
      </c>
      <c r="E338" s="4" t="s">
        <v>3196</v>
      </c>
      <c r="F338" s="4" t="s">
        <v>3190</v>
      </c>
      <c r="G338" s="4" t="s">
        <v>3190</v>
      </c>
      <c r="H338" s="7">
        <v>37321.644895833299</v>
      </c>
      <c r="I338" s="4" t="s">
        <v>3628</v>
      </c>
      <c r="J338" s="4" t="s">
        <v>3190</v>
      </c>
      <c r="K338" s="4" t="s">
        <v>3192</v>
      </c>
      <c r="L338" s="4" t="s">
        <v>3211</v>
      </c>
      <c r="M338" s="5">
        <v>305.08999999999997</v>
      </c>
    </row>
    <row r="339" spans="1:13" x14ac:dyDescent="0.25">
      <c r="A339" s="4" t="s">
        <v>3209</v>
      </c>
      <c r="B339" s="4" t="s">
        <v>3186</v>
      </c>
      <c r="C339" s="4" t="s">
        <v>3187</v>
      </c>
      <c r="D339" s="4" t="s">
        <v>3188</v>
      </c>
      <c r="E339" s="4" t="s">
        <v>3189</v>
      </c>
      <c r="F339" s="4" t="s">
        <v>3190</v>
      </c>
      <c r="G339" s="4" t="s">
        <v>3190</v>
      </c>
      <c r="H339" s="7">
        <v>37323.705358796302</v>
      </c>
      <c r="I339" s="4" t="s">
        <v>3629</v>
      </c>
      <c r="J339" s="4" t="s">
        <v>3190</v>
      </c>
      <c r="K339" s="4" t="s">
        <v>3192</v>
      </c>
      <c r="L339" s="4" t="s">
        <v>3295</v>
      </c>
      <c r="M339" s="5">
        <v>1074.92</v>
      </c>
    </row>
    <row r="340" spans="1:13" x14ac:dyDescent="0.25">
      <c r="A340" s="4" t="s">
        <v>3185</v>
      </c>
      <c r="B340" s="4" t="s">
        <v>3186</v>
      </c>
      <c r="C340" s="4" t="s">
        <v>3194</v>
      </c>
      <c r="D340" s="4" t="s">
        <v>3195</v>
      </c>
      <c r="E340" s="4" t="s">
        <v>3196</v>
      </c>
      <c r="F340" s="4" t="s">
        <v>3190</v>
      </c>
      <c r="G340" s="4" t="s">
        <v>3190</v>
      </c>
      <c r="H340" s="7">
        <v>37328.673796296302</v>
      </c>
      <c r="I340" s="4" t="s">
        <v>3630</v>
      </c>
      <c r="J340" s="4" t="s">
        <v>3190</v>
      </c>
      <c r="K340" s="4" t="s">
        <v>3192</v>
      </c>
      <c r="L340" s="4" t="s">
        <v>3267</v>
      </c>
      <c r="M340" s="5">
        <v>809.25</v>
      </c>
    </row>
    <row r="341" spans="1:13" x14ac:dyDescent="0.25">
      <c r="A341" s="4" t="s">
        <v>3185</v>
      </c>
      <c r="B341" s="4" t="s">
        <v>3186</v>
      </c>
      <c r="C341" s="4" t="s">
        <v>3194</v>
      </c>
      <c r="D341" s="4" t="s">
        <v>3195</v>
      </c>
      <c r="E341" s="4" t="s">
        <v>3196</v>
      </c>
      <c r="F341" s="4" t="s">
        <v>3190</v>
      </c>
      <c r="G341" s="4" t="s">
        <v>3190</v>
      </c>
      <c r="H341" s="7">
        <v>37328.677175925899</v>
      </c>
      <c r="I341" s="4" t="s">
        <v>3631</v>
      </c>
      <c r="J341" s="4" t="s">
        <v>3190</v>
      </c>
      <c r="K341" s="4" t="s">
        <v>3192</v>
      </c>
      <c r="L341" s="4" t="s">
        <v>3267</v>
      </c>
      <c r="M341" s="5">
        <v>908.87</v>
      </c>
    </row>
    <row r="342" spans="1:13" x14ac:dyDescent="0.25">
      <c r="A342" s="4" t="s">
        <v>3263</v>
      </c>
      <c r="B342" s="4" t="s">
        <v>3186</v>
      </c>
      <c r="C342" s="4" t="s">
        <v>3194</v>
      </c>
      <c r="D342" s="4" t="s">
        <v>3195</v>
      </c>
      <c r="E342" s="4" t="s">
        <v>3196</v>
      </c>
      <c r="F342" s="4" t="s">
        <v>3190</v>
      </c>
      <c r="G342" s="4" t="s">
        <v>3190</v>
      </c>
      <c r="H342" s="7">
        <v>37328.681782407402</v>
      </c>
      <c r="I342" s="4" t="s">
        <v>3632</v>
      </c>
      <c r="J342" s="4" t="s">
        <v>3190</v>
      </c>
      <c r="K342" s="4" t="s">
        <v>3192</v>
      </c>
      <c r="L342" s="4" t="s">
        <v>1208</v>
      </c>
      <c r="M342" s="5">
        <v>307.64</v>
      </c>
    </row>
    <row r="343" spans="1:13" x14ac:dyDescent="0.25">
      <c r="A343" s="4" t="s">
        <v>3209</v>
      </c>
      <c r="B343" s="4" t="s">
        <v>3186</v>
      </c>
      <c r="C343" s="4" t="s">
        <v>3187</v>
      </c>
      <c r="D343" s="4" t="s">
        <v>3188</v>
      </c>
      <c r="E343" s="4" t="s">
        <v>3189</v>
      </c>
      <c r="F343" s="4" t="s">
        <v>3190</v>
      </c>
      <c r="G343" s="4" t="s">
        <v>3190</v>
      </c>
      <c r="H343" s="7">
        <v>37330.555648148104</v>
      </c>
      <c r="I343" s="4" t="s">
        <v>3633</v>
      </c>
      <c r="J343" s="4" t="s">
        <v>3190</v>
      </c>
      <c r="K343" s="4" t="s">
        <v>3192</v>
      </c>
      <c r="L343" s="4" t="s">
        <v>3277</v>
      </c>
      <c r="M343" s="5">
        <v>290.83999999999997</v>
      </c>
    </row>
    <row r="344" spans="1:13" x14ac:dyDescent="0.25">
      <c r="A344" s="4" t="s">
        <v>3414</v>
      </c>
      <c r="B344" s="4" t="s">
        <v>3186</v>
      </c>
      <c r="C344" s="4" t="s">
        <v>3187</v>
      </c>
      <c r="D344" s="4" t="s">
        <v>3188</v>
      </c>
      <c r="E344" s="4" t="s">
        <v>3189</v>
      </c>
      <c r="F344" s="4" t="s">
        <v>3190</v>
      </c>
      <c r="G344" s="4" t="s">
        <v>3190</v>
      </c>
      <c r="H344" s="7">
        <v>37330.567743055602</v>
      </c>
      <c r="I344" s="4" t="s">
        <v>3634</v>
      </c>
      <c r="J344" s="4" t="s">
        <v>3190</v>
      </c>
      <c r="K344" s="4" t="s">
        <v>3192</v>
      </c>
      <c r="L344" s="4" t="s">
        <v>552</v>
      </c>
      <c r="M344" s="5">
        <v>195.47</v>
      </c>
    </row>
    <row r="345" spans="1:13" x14ac:dyDescent="0.25">
      <c r="A345" s="4" t="s">
        <v>3185</v>
      </c>
      <c r="B345" s="4" t="s">
        <v>3186</v>
      </c>
      <c r="C345" s="4" t="s">
        <v>3194</v>
      </c>
      <c r="D345" s="4" t="s">
        <v>3195</v>
      </c>
      <c r="E345" s="4" t="s">
        <v>3196</v>
      </c>
      <c r="F345" s="4" t="s">
        <v>3190</v>
      </c>
      <c r="G345" s="4" t="s">
        <v>3190</v>
      </c>
      <c r="H345" s="7">
        <v>37330.568796296298</v>
      </c>
      <c r="I345" s="4" t="s">
        <v>3635</v>
      </c>
      <c r="J345" s="4" t="s">
        <v>3190</v>
      </c>
      <c r="K345" s="4" t="s">
        <v>3192</v>
      </c>
      <c r="L345" s="4" t="s">
        <v>3267</v>
      </c>
      <c r="M345" s="5">
        <v>1079</v>
      </c>
    </row>
    <row r="346" spans="1:13" x14ac:dyDescent="0.25">
      <c r="A346" s="4" t="s">
        <v>3185</v>
      </c>
      <c r="B346" s="4" t="s">
        <v>3186</v>
      </c>
      <c r="C346" s="4" t="s">
        <v>3222</v>
      </c>
      <c r="D346" s="4" t="s">
        <v>3223</v>
      </c>
      <c r="E346" s="4" t="s">
        <v>3214</v>
      </c>
      <c r="F346" s="4" t="s">
        <v>3190</v>
      </c>
      <c r="G346" s="4" t="s">
        <v>3190</v>
      </c>
      <c r="H346" s="7">
        <v>37333.701400462996</v>
      </c>
      <c r="I346" s="4" t="s">
        <v>3636</v>
      </c>
      <c r="J346" s="4" t="s">
        <v>3190</v>
      </c>
      <c r="K346" s="4" t="s">
        <v>3192</v>
      </c>
      <c r="L346" s="4" t="s">
        <v>3637</v>
      </c>
      <c r="M346" s="5">
        <v>24792.26</v>
      </c>
    </row>
    <row r="347" spans="1:13" x14ac:dyDescent="0.25">
      <c r="A347" s="4" t="s">
        <v>3242</v>
      </c>
      <c r="B347" s="4" t="s">
        <v>3186</v>
      </c>
      <c r="C347" s="4" t="s">
        <v>3194</v>
      </c>
      <c r="D347" s="4" t="s">
        <v>3195</v>
      </c>
      <c r="E347" s="4" t="s">
        <v>3196</v>
      </c>
      <c r="F347" s="4" t="s">
        <v>3190</v>
      </c>
      <c r="G347" s="4" t="s">
        <v>3190</v>
      </c>
      <c r="H347" s="7">
        <v>37340.603125000001</v>
      </c>
      <c r="I347" s="4" t="s">
        <v>3638</v>
      </c>
      <c r="J347" s="4" t="s">
        <v>3190</v>
      </c>
      <c r="K347" s="4" t="s">
        <v>3192</v>
      </c>
      <c r="L347" s="4" t="s">
        <v>1208</v>
      </c>
      <c r="M347" s="5">
        <v>263.82</v>
      </c>
    </row>
    <row r="348" spans="1:13" x14ac:dyDescent="0.25">
      <c r="A348" s="4" t="s">
        <v>3185</v>
      </c>
      <c r="B348" s="4" t="s">
        <v>3186</v>
      </c>
      <c r="C348" s="4" t="s">
        <v>3194</v>
      </c>
      <c r="D348" s="4" t="s">
        <v>3195</v>
      </c>
      <c r="E348" s="4" t="s">
        <v>3214</v>
      </c>
      <c r="F348" s="4" t="s">
        <v>3639</v>
      </c>
      <c r="G348" s="4" t="s">
        <v>3190</v>
      </c>
      <c r="H348" s="7">
        <v>37340.608263888898</v>
      </c>
      <c r="I348" s="4" t="s">
        <v>3640</v>
      </c>
      <c r="J348" s="4" t="s">
        <v>3190</v>
      </c>
      <c r="K348" s="4" t="s">
        <v>3192</v>
      </c>
      <c r="L348" s="4" t="s">
        <v>3590</v>
      </c>
      <c r="M348" s="5">
        <v>1748.24</v>
      </c>
    </row>
    <row r="349" spans="1:13" x14ac:dyDescent="0.25">
      <c r="A349" s="4" t="s">
        <v>3399</v>
      </c>
      <c r="B349" s="4" t="s">
        <v>3186</v>
      </c>
      <c r="C349" s="4" t="s">
        <v>3194</v>
      </c>
      <c r="D349" s="4" t="s">
        <v>3195</v>
      </c>
      <c r="E349" s="4" t="s">
        <v>3214</v>
      </c>
      <c r="F349" s="4" t="s">
        <v>3190</v>
      </c>
      <c r="G349" s="4" t="s">
        <v>3190</v>
      </c>
      <c r="H349" s="7">
        <v>37342.679085648102</v>
      </c>
      <c r="I349" s="4" t="s">
        <v>3641</v>
      </c>
      <c r="J349" s="4" t="s">
        <v>3190</v>
      </c>
      <c r="K349" s="4" t="s">
        <v>3192</v>
      </c>
      <c r="L349" s="4" t="s">
        <v>3220</v>
      </c>
      <c r="M349" s="5">
        <v>466.13</v>
      </c>
    </row>
    <row r="350" spans="1:13" x14ac:dyDescent="0.25">
      <c r="A350" s="4" t="s">
        <v>3185</v>
      </c>
      <c r="B350" s="4" t="s">
        <v>3186</v>
      </c>
      <c r="C350" s="4" t="s">
        <v>3194</v>
      </c>
      <c r="D350" s="4" t="s">
        <v>3195</v>
      </c>
      <c r="E350" s="4" t="s">
        <v>3196</v>
      </c>
      <c r="F350" s="4" t="s">
        <v>3190</v>
      </c>
      <c r="G350" s="4" t="s">
        <v>3190</v>
      </c>
      <c r="H350" s="7">
        <v>37351.473356481503</v>
      </c>
      <c r="I350" s="4" t="s">
        <v>3642</v>
      </c>
      <c r="J350" s="4" t="s">
        <v>3190</v>
      </c>
      <c r="K350" s="4" t="s">
        <v>3192</v>
      </c>
      <c r="L350" s="4" t="s">
        <v>2559</v>
      </c>
      <c r="M350" s="5">
        <v>138.01</v>
      </c>
    </row>
    <row r="351" spans="1:13" x14ac:dyDescent="0.25">
      <c r="A351" s="4" t="s">
        <v>3206</v>
      </c>
      <c r="B351" s="4" t="s">
        <v>3186</v>
      </c>
      <c r="C351" s="4" t="s">
        <v>3194</v>
      </c>
      <c r="D351" s="4" t="s">
        <v>3195</v>
      </c>
      <c r="E351" s="4" t="s">
        <v>3214</v>
      </c>
      <c r="F351" s="4" t="s">
        <v>3190</v>
      </c>
      <c r="G351" s="4" t="s">
        <v>3190</v>
      </c>
      <c r="H351" s="7">
        <v>37355</v>
      </c>
      <c r="I351" s="4" t="s">
        <v>3643</v>
      </c>
      <c r="J351" s="4" t="s">
        <v>3190</v>
      </c>
      <c r="K351" s="4" t="s">
        <v>3192</v>
      </c>
      <c r="L351" s="4" t="s">
        <v>116</v>
      </c>
      <c r="M351" s="5">
        <v>737.66</v>
      </c>
    </row>
    <row r="352" spans="1:13" x14ac:dyDescent="0.25">
      <c r="A352" s="4" t="s">
        <v>3269</v>
      </c>
      <c r="B352" s="4" t="s">
        <v>3186</v>
      </c>
      <c r="C352" s="4" t="s">
        <v>3194</v>
      </c>
      <c r="D352" s="4" t="s">
        <v>3195</v>
      </c>
      <c r="E352" s="4" t="s">
        <v>3214</v>
      </c>
      <c r="F352" s="4" t="s">
        <v>3190</v>
      </c>
      <c r="G352" s="4" t="s">
        <v>3190</v>
      </c>
      <c r="H352" s="7">
        <v>37355</v>
      </c>
      <c r="I352" s="4" t="s">
        <v>3643</v>
      </c>
      <c r="J352" s="4" t="s">
        <v>3190</v>
      </c>
      <c r="K352" s="4" t="s">
        <v>3192</v>
      </c>
      <c r="L352" s="4" t="s">
        <v>116</v>
      </c>
      <c r="M352" s="5">
        <v>5050.3900000000003</v>
      </c>
    </row>
    <row r="353" spans="1:13" x14ac:dyDescent="0.25">
      <c r="A353" s="4" t="s">
        <v>3644</v>
      </c>
      <c r="B353" s="4" t="s">
        <v>3186</v>
      </c>
      <c r="C353" s="4" t="s">
        <v>3194</v>
      </c>
      <c r="D353" s="4" t="s">
        <v>3195</v>
      </c>
      <c r="E353" s="4" t="s">
        <v>3214</v>
      </c>
      <c r="F353" s="4" t="s">
        <v>3190</v>
      </c>
      <c r="G353" s="4" t="s">
        <v>3190</v>
      </c>
      <c r="H353" s="7">
        <v>37356.497002314798</v>
      </c>
      <c r="I353" s="4" t="s">
        <v>3645</v>
      </c>
      <c r="J353" s="4" t="s">
        <v>3190</v>
      </c>
      <c r="K353" s="4" t="s">
        <v>3192</v>
      </c>
      <c r="L353" s="4" t="s">
        <v>92</v>
      </c>
      <c r="M353" s="5">
        <v>16200</v>
      </c>
    </row>
    <row r="354" spans="1:13" x14ac:dyDescent="0.25">
      <c r="A354" s="4" t="s">
        <v>3185</v>
      </c>
      <c r="B354" s="4" t="s">
        <v>3186</v>
      </c>
      <c r="C354" s="4" t="s">
        <v>3222</v>
      </c>
      <c r="D354" s="4" t="s">
        <v>3223</v>
      </c>
      <c r="E354" s="4" t="s">
        <v>3214</v>
      </c>
      <c r="F354" s="4" t="s">
        <v>3190</v>
      </c>
      <c r="G354" s="4" t="s">
        <v>3190</v>
      </c>
      <c r="H354" s="7">
        <v>37357.633958333303</v>
      </c>
      <c r="I354" s="4" t="s">
        <v>3646</v>
      </c>
      <c r="J354" s="4" t="s">
        <v>3190</v>
      </c>
      <c r="K354" s="4" t="s">
        <v>3192</v>
      </c>
      <c r="L354" s="4" t="s">
        <v>3647</v>
      </c>
      <c r="M354" s="5">
        <v>207.17</v>
      </c>
    </row>
    <row r="355" spans="1:13" x14ac:dyDescent="0.25">
      <c r="A355" s="4" t="s">
        <v>3206</v>
      </c>
      <c r="B355" s="4" t="s">
        <v>3186</v>
      </c>
      <c r="C355" s="4" t="s">
        <v>3187</v>
      </c>
      <c r="D355" s="4" t="s">
        <v>3188</v>
      </c>
      <c r="E355" s="4" t="s">
        <v>3189</v>
      </c>
      <c r="F355" s="4" t="s">
        <v>3190</v>
      </c>
      <c r="G355" s="4" t="s">
        <v>3190</v>
      </c>
      <c r="H355" s="7">
        <v>37361.379224536999</v>
      </c>
      <c r="I355" s="4" t="s">
        <v>3648</v>
      </c>
      <c r="J355" s="4" t="s">
        <v>3190</v>
      </c>
      <c r="K355" s="4" t="s">
        <v>3192</v>
      </c>
      <c r="L355" s="4" t="s">
        <v>3361</v>
      </c>
      <c r="M355" s="5">
        <v>173.75</v>
      </c>
    </row>
    <row r="356" spans="1:13" x14ac:dyDescent="0.25">
      <c r="A356" s="4" t="s">
        <v>3283</v>
      </c>
      <c r="B356" s="4" t="s">
        <v>3186</v>
      </c>
      <c r="C356" s="4" t="s">
        <v>3187</v>
      </c>
      <c r="D356" s="4" t="s">
        <v>3188</v>
      </c>
      <c r="E356" s="4" t="s">
        <v>3189</v>
      </c>
      <c r="F356" s="4" t="s">
        <v>3190</v>
      </c>
      <c r="G356" s="4" t="s">
        <v>3190</v>
      </c>
      <c r="H356" s="7">
        <v>37361.632395833301</v>
      </c>
      <c r="I356" s="4" t="s">
        <v>3649</v>
      </c>
      <c r="J356" s="4" t="s">
        <v>3190</v>
      </c>
      <c r="K356" s="4" t="s">
        <v>3192</v>
      </c>
      <c r="L356" s="4" t="s">
        <v>3285</v>
      </c>
      <c r="M356" s="5">
        <v>117.61</v>
      </c>
    </row>
    <row r="357" spans="1:13" x14ac:dyDescent="0.25">
      <c r="A357" s="4" t="s">
        <v>3380</v>
      </c>
      <c r="B357" s="4" t="s">
        <v>3186</v>
      </c>
      <c r="C357" s="4" t="s">
        <v>3194</v>
      </c>
      <c r="D357" s="4" t="s">
        <v>3195</v>
      </c>
      <c r="E357" s="4" t="s">
        <v>3214</v>
      </c>
      <c r="F357" s="4" t="s">
        <v>3190</v>
      </c>
      <c r="G357" s="4" t="s">
        <v>3190</v>
      </c>
      <c r="H357" s="7">
        <v>37368</v>
      </c>
      <c r="I357" s="4" t="s">
        <v>3650</v>
      </c>
      <c r="J357" s="4" t="s">
        <v>3190</v>
      </c>
      <c r="K357" s="4" t="s">
        <v>3192</v>
      </c>
      <c r="L357" s="4" t="s">
        <v>229</v>
      </c>
      <c r="M357" s="5">
        <v>23411.599999999999</v>
      </c>
    </row>
    <row r="358" spans="1:13" x14ac:dyDescent="0.25">
      <c r="A358" s="4" t="s">
        <v>3206</v>
      </c>
      <c r="B358" s="4" t="s">
        <v>3186</v>
      </c>
      <c r="C358" s="4" t="s">
        <v>3187</v>
      </c>
      <c r="D358" s="4" t="s">
        <v>3188</v>
      </c>
      <c r="E358" s="4" t="s">
        <v>3189</v>
      </c>
      <c r="F358" s="4" t="s">
        <v>3190</v>
      </c>
      <c r="G358" s="4" t="s">
        <v>3190</v>
      </c>
      <c r="H358" s="7">
        <v>37368.593946759298</v>
      </c>
      <c r="I358" s="4" t="s">
        <v>3651</v>
      </c>
      <c r="J358" s="4" t="s">
        <v>3190</v>
      </c>
      <c r="K358" s="4" t="s">
        <v>3192</v>
      </c>
      <c r="L358" s="4" t="s">
        <v>3208</v>
      </c>
      <c r="M358" s="5">
        <v>134.41999999999999</v>
      </c>
    </row>
    <row r="359" spans="1:13" x14ac:dyDescent="0.25">
      <c r="A359" s="4" t="s">
        <v>3206</v>
      </c>
      <c r="B359" s="4" t="s">
        <v>3186</v>
      </c>
      <c r="C359" s="4" t="s">
        <v>3187</v>
      </c>
      <c r="D359" s="4" t="s">
        <v>3188</v>
      </c>
      <c r="E359" s="4" t="s">
        <v>3189</v>
      </c>
      <c r="F359" s="4" t="s">
        <v>3190</v>
      </c>
      <c r="G359" s="4" t="s">
        <v>3190</v>
      </c>
      <c r="H359" s="7">
        <v>37368.595937500002</v>
      </c>
      <c r="I359" s="4" t="s">
        <v>3652</v>
      </c>
      <c r="J359" s="4" t="s">
        <v>3190</v>
      </c>
      <c r="K359" s="4" t="s">
        <v>3192</v>
      </c>
      <c r="L359" s="4" t="s">
        <v>3208</v>
      </c>
      <c r="M359" s="5">
        <v>100.1</v>
      </c>
    </row>
    <row r="360" spans="1:13" x14ac:dyDescent="0.25">
      <c r="A360" s="4" t="s">
        <v>3404</v>
      </c>
      <c r="B360" s="4" t="s">
        <v>3186</v>
      </c>
      <c r="C360" s="4" t="s">
        <v>3194</v>
      </c>
      <c r="D360" s="4" t="s">
        <v>3195</v>
      </c>
      <c r="E360" s="4" t="s">
        <v>3214</v>
      </c>
      <c r="F360" s="4" t="s">
        <v>3190</v>
      </c>
      <c r="G360" s="4" t="s">
        <v>3190</v>
      </c>
      <c r="H360" s="7">
        <v>37377</v>
      </c>
      <c r="I360" s="4" t="s">
        <v>3653</v>
      </c>
      <c r="J360" s="4" t="s">
        <v>3190</v>
      </c>
      <c r="K360" s="4" t="s">
        <v>3192</v>
      </c>
      <c r="L360" s="4" t="s">
        <v>3654</v>
      </c>
      <c r="M360" s="5">
        <v>5115</v>
      </c>
    </row>
    <row r="361" spans="1:13" x14ac:dyDescent="0.25">
      <c r="A361" s="4" t="s">
        <v>3420</v>
      </c>
      <c r="B361" s="4" t="s">
        <v>3186</v>
      </c>
      <c r="C361" s="4" t="s">
        <v>3417</v>
      </c>
      <c r="D361" s="4" t="s">
        <v>3195</v>
      </c>
      <c r="E361" s="4" t="s">
        <v>3418</v>
      </c>
      <c r="F361" s="4" t="s">
        <v>3190</v>
      </c>
      <c r="G361" s="4" t="s">
        <v>3190</v>
      </c>
      <c r="H361" s="7">
        <v>37383.661481481497</v>
      </c>
      <c r="I361" s="4" t="s">
        <v>3655</v>
      </c>
      <c r="J361" s="4" t="s">
        <v>3190</v>
      </c>
      <c r="K361" s="4" t="s">
        <v>3192</v>
      </c>
      <c r="L361" s="4" t="s">
        <v>229</v>
      </c>
      <c r="M361" s="5">
        <v>2611.1799999999998</v>
      </c>
    </row>
    <row r="362" spans="1:13" x14ac:dyDescent="0.25">
      <c r="A362" s="4" t="s">
        <v>3263</v>
      </c>
      <c r="B362" s="4" t="s">
        <v>3186</v>
      </c>
      <c r="C362" s="4" t="s">
        <v>3194</v>
      </c>
      <c r="D362" s="4" t="s">
        <v>3195</v>
      </c>
      <c r="E362" s="4" t="s">
        <v>3214</v>
      </c>
      <c r="F362" s="4" t="s">
        <v>3190</v>
      </c>
      <c r="G362" s="4" t="s">
        <v>3190</v>
      </c>
      <c r="H362" s="7">
        <v>37392.569583333301</v>
      </c>
      <c r="I362" s="4" t="s">
        <v>3656</v>
      </c>
      <c r="J362" s="4" t="s">
        <v>3190</v>
      </c>
      <c r="K362" s="4" t="s">
        <v>3192</v>
      </c>
      <c r="L362" s="4" t="s">
        <v>106</v>
      </c>
      <c r="M362" s="5">
        <v>711.45</v>
      </c>
    </row>
    <row r="363" spans="1:13" x14ac:dyDescent="0.25">
      <c r="A363" s="4" t="s">
        <v>3206</v>
      </c>
      <c r="B363" s="4" t="s">
        <v>3186</v>
      </c>
      <c r="C363" s="4" t="s">
        <v>3187</v>
      </c>
      <c r="D363" s="4" t="s">
        <v>3188</v>
      </c>
      <c r="E363" s="4" t="s">
        <v>3189</v>
      </c>
      <c r="F363" s="4" t="s">
        <v>3190</v>
      </c>
      <c r="G363" s="4" t="s">
        <v>3190</v>
      </c>
      <c r="H363" s="7">
        <v>37392.647928240702</v>
      </c>
      <c r="I363" s="4" t="s">
        <v>3657</v>
      </c>
      <c r="J363" s="4" t="s">
        <v>3190</v>
      </c>
      <c r="K363" s="4" t="s">
        <v>3192</v>
      </c>
      <c r="L363" s="4" t="s">
        <v>3481</v>
      </c>
      <c r="M363" s="5">
        <v>170.48</v>
      </c>
    </row>
    <row r="364" spans="1:13" x14ac:dyDescent="0.25">
      <c r="A364" s="4" t="s">
        <v>3209</v>
      </c>
      <c r="B364" s="4" t="s">
        <v>3186</v>
      </c>
      <c r="C364" s="4" t="s">
        <v>3187</v>
      </c>
      <c r="D364" s="4" t="s">
        <v>3188</v>
      </c>
      <c r="E364" s="4" t="s">
        <v>3189</v>
      </c>
      <c r="F364" s="4" t="s">
        <v>3190</v>
      </c>
      <c r="G364" s="4" t="s">
        <v>3190</v>
      </c>
      <c r="H364" s="7">
        <v>37392.6589930556</v>
      </c>
      <c r="I364" s="4" t="s">
        <v>3658</v>
      </c>
      <c r="J364" s="4" t="s">
        <v>3190</v>
      </c>
      <c r="K364" s="4" t="s">
        <v>3192</v>
      </c>
      <c r="L364" s="4" t="s">
        <v>2559</v>
      </c>
      <c r="M364" s="5">
        <v>654.91</v>
      </c>
    </row>
    <row r="365" spans="1:13" x14ac:dyDescent="0.25">
      <c r="A365" s="4" t="s">
        <v>3659</v>
      </c>
      <c r="B365" s="4" t="s">
        <v>3186</v>
      </c>
      <c r="C365" s="4" t="s">
        <v>3222</v>
      </c>
      <c r="D365" s="4" t="s">
        <v>3223</v>
      </c>
      <c r="E365" s="4" t="s">
        <v>3214</v>
      </c>
      <c r="F365" s="4" t="s">
        <v>3190</v>
      </c>
      <c r="G365" s="4" t="s">
        <v>3190</v>
      </c>
      <c r="H365" s="7">
        <v>37392.661805555603</v>
      </c>
      <c r="I365" s="4" t="s">
        <v>3660</v>
      </c>
      <c r="J365" s="4" t="s">
        <v>3190</v>
      </c>
      <c r="K365" s="4" t="s">
        <v>3192</v>
      </c>
      <c r="L365" s="4" t="s">
        <v>3661</v>
      </c>
      <c r="M365" s="5">
        <v>364.65</v>
      </c>
    </row>
    <row r="366" spans="1:13" x14ac:dyDescent="0.25">
      <c r="A366" s="4" t="s">
        <v>3185</v>
      </c>
      <c r="B366" s="4" t="s">
        <v>3186</v>
      </c>
      <c r="C366" s="4" t="s">
        <v>3234</v>
      </c>
      <c r="D366" s="4" t="s">
        <v>3188</v>
      </c>
      <c r="E366" s="4" t="s">
        <v>3189</v>
      </c>
      <c r="F366" s="4" t="s">
        <v>3190</v>
      </c>
      <c r="G366" s="4" t="s">
        <v>3190</v>
      </c>
      <c r="H366" s="7">
        <v>37392.6636111111</v>
      </c>
      <c r="I366" s="4" t="s">
        <v>3662</v>
      </c>
      <c r="J366" s="4" t="s">
        <v>3190</v>
      </c>
      <c r="K366" s="4" t="s">
        <v>3192</v>
      </c>
      <c r="L366" s="4" t="s">
        <v>3225</v>
      </c>
      <c r="M366" s="5">
        <v>119.28</v>
      </c>
    </row>
    <row r="367" spans="1:13" x14ac:dyDescent="0.25">
      <c r="A367" s="4" t="s">
        <v>3185</v>
      </c>
      <c r="B367" s="4" t="s">
        <v>3186</v>
      </c>
      <c r="C367" s="4" t="s">
        <v>3194</v>
      </c>
      <c r="D367" s="4" t="s">
        <v>3195</v>
      </c>
      <c r="E367" s="4" t="s">
        <v>3196</v>
      </c>
      <c r="F367" s="4" t="s">
        <v>3190</v>
      </c>
      <c r="G367" s="4" t="s">
        <v>3190</v>
      </c>
      <c r="H367" s="7">
        <v>37398.541724536997</v>
      </c>
      <c r="I367" s="4" t="s">
        <v>3663</v>
      </c>
      <c r="J367" s="4" t="s">
        <v>3190</v>
      </c>
      <c r="K367" s="4" t="s">
        <v>3192</v>
      </c>
      <c r="L367" s="4" t="s">
        <v>3267</v>
      </c>
      <c r="M367" s="5">
        <v>1128.81</v>
      </c>
    </row>
    <row r="368" spans="1:13" x14ac:dyDescent="0.25">
      <c r="A368" s="4" t="s">
        <v>3239</v>
      </c>
      <c r="B368" s="4" t="s">
        <v>3186</v>
      </c>
      <c r="C368" s="4" t="s">
        <v>3187</v>
      </c>
      <c r="D368" s="4" t="s">
        <v>3188</v>
      </c>
      <c r="E368" s="4" t="s">
        <v>3189</v>
      </c>
      <c r="F368" s="4" t="s">
        <v>3190</v>
      </c>
      <c r="G368" s="4" t="s">
        <v>3190</v>
      </c>
      <c r="H368" s="7">
        <v>37399</v>
      </c>
      <c r="I368" s="4" t="s">
        <v>3664</v>
      </c>
      <c r="J368" s="4" t="s">
        <v>3190</v>
      </c>
      <c r="K368" s="4" t="s">
        <v>3192</v>
      </c>
      <c r="L368" s="4" t="s">
        <v>3225</v>
      </c>
      <c r="M368" s="5">
        <v>409.58</v>
      </c>
    </row>
    <row r="369" spans="1:13" x14ac:dyDescent="0.25">
      <c r="A369" s="4" t="s">
        <v>3263</v>
      </c>
      <c r="B369" s="4" t="s">
        <v>3186</v>
      </c>
      <c r="C369" s="4" t="s">
        <v>3187</v>
      </c>
      <c r="D369" s="4" t="s">
        <v>3188</v>
      </c>
      <c r="E369" s="4" t="s">
        <v>3189</v>
      </c>
      <c r="F369" s="4" t="s">
        <v>3190</v>
      </c>
      <c r="G369" s="4" t="s">
        <v>3190</v>
      </c>
      <c r="H369" s="7">
        <v>37406.567743055602</v>
      </c>
      <c r="I369" s="4" t="s">
        <v>3665</v>
      </c>
      <c r="J369" s="4" t="s">
        <v>3190</v>
      </c>
      <c r="K369" s="4" t="s">
        <v>3192</v>
      </c>
      <c r="L369" s="4" t="s">
        <v>3249</v>
      </c>
      <c r="M369" s="5">
        <v>404.63</v>
      </c>
    </row>
    <row r="370" spans="1:13" x14ac:dyDescent="0.25">
      <c r="A370" s="4" t="s">
        <v>3627</v>
      </c>
      <c r="B370" s="4" t="s">
        <v>3186</v>
      </c>
      <c r="C370" s="4" t="s">
        <v>3194</v>
      </c>
      <c r="D370" s="4" t="s">
        <v>3195</v>
      </c>
      <c r="E370" s="4" t="s">
        <v>3214</v>
      </c>
      <c r="F370" s="4" t="s">
        <v>3190</v>
      </c>
      <c r="G370" s="4" t="s">
        <v>3190</v>
      </c>
      <c r="H370" s="7">
        <v>37406.658611111103</v>
      </c>
      <c r="I370" s="4" t="s">
        <v>3666</v>
      </c>
      <c r="J370" s="4" t="s">
        <v>3190</v>
      </c>
      <c r="K370" s="4" t="s">
        <v>3192</v>
      </c>
      <c r="L370" s="4" t="s">
        <v>3667</v>
      </c>
      <c r="M370" s="5">
        <v>212</v>
      </c>
    </row>
    <row r="371" spans="1:13" x14ac:dyDescent="0.25">
      <c r="A371" s="4" t="s">
        <v>3668</v>
      </c>
      <c r="B371" s="4" t="s">
        <v>3186</v>
      </c>
      <c r="C371" s="4" t="s">
        <v>3222</v>
      </c>
      <c r="D371" s="4" t="s">
        <v>3223</v>
      </c>
      <c r="E371" s="4" t="s">
        <v>3214</v>
      </c>
      <c r="F371" s="4" t="s">
        <v>3190</v>
      </c>
      <c r="G371" s="4" t="s">
        <v>3190</v>
      </c>
      <c r="H371" s="7">
        <v>37412.551909722199</v>
      </c>
      <c r="I371" s="4" t="s">
        <v>3669</v>
      </c>
      <c r="J371" s="4" t="s">
        <v>3190</v>
      </c>
      <c r="K371" s="4" t="s">
        <v>3192</v>
      </c>
      <c r="L371" s="4" t="s">
        <v>3670</v>
      </c>
      <c r="M371" s="5">
        <v>262.91000000000003</v>
      </c>
    </row>
    <row r="372" spans="1:13" x14ac:dyDescent="0.25">
      <c r="A372" s="4" t="s">
        <v>3209</v>
      </c>
      <c r="B372" s="4" t="s">
        <v>3186</v>
      </c>
      <c r="C372" s="4" t="s">
        <v>3187</v>
      </c>
      <c r="D372" s="4" t="s">
        <v>3188</v>
      </c>
      <c r="E372" s="4" t="s">
        <v>3189</v>
      </c>
      <c r="F372" s="4" t="s">
        <v>3190</v>
      </c>
      <c r="G372" s="4" t="s">
        <v>3190</v>
      </c>
      <c r="H372" s="7">
        <v>37413.537824074097</v>
      </c>
      <c r="I372" s="4" t="s">
        <v>3671</v>
      </c>
      <c r="J372" s="4" t="s">
        <v>3190</v>
      </c>
      <c r="K372" s="4" t="s">
        <v>3192</v>
      </c>
      <c r="L372" s="4" t="s">
        <v>3321</v>
      </c>
      <c r="M372" s="5">
        <v>602.08000000000004</v>
      </c>
    </row>
    <row r="373" spans="1:13" x14ac:dyDescent="0.25">
      <c r="A373" s="4" t="s">
        <v>3206</v>
      </c>
      <c r="B373" s="4" t="s">
        <v>3186</v>
      </c>
      <c r="C373" s="4" t="s">
        <v>3187</v>
      </c>
      <c r="D373" s="4" t="s">
        <v>3188</v>
      </c>
      <c r="E373" s="4" t="s">
        <v>3189</v>
      </c>
      <c r="F373" s="4" t="s">
        <v>3190</v>
      </c>
      <c r="G373" s="4" t="s">
        <v>3190</v>
      </c>
      <c r="H373" s="7">
        <v>37418</v>
      </c>
      <c r="I373" s="4" t="s">
        <v>3672</v>
      </c>
      <c r="J373" s="4" t="s">
        <v>3190</v>
      </c>
      <c r="K373" s="4" t="s">
        <v>3192</v>
      </c>
      <c r="L373" s="4" t="s">
        <v>3225</v>
      </c>
      <c r="M373" s="5">
        <v>535.39</v>
      </c>
    </row>
    <row r="374" spans="1:13" x14ac:dyDescent="0.25">
      <c r="A374" s="4" t="s">
        <v>3209</v>
      </c>
      <c r="B374" s="4" t="s">
        <v>3186</v>
      </c>
      <c r="C374" s="4" t="s">
        <v>3187</v>
      </c>
      <c r="D374" s="4" t="s">
        <v>3188</v>
      </c>
      <c r="E374" s="4" t="s">
        <v>3189</v>
      </c>
      <c r="F374" s="4" t="s">
        <v>3190</v>
      </c>
      <c r="G374" s="4" t="s">
        <v>3190</v>
      </c>
      <c r="H374" s="7">
        <v>37418.544270833299</v>
      </c>
      <c r="I374" s="4" t="s">
        <v>3673</v>
      </c>
      <c r="J374" s="4" t="s">
        <v>3190</v>
      </c>
      <c r="K374" s="4" t="s">
        <v>3192</v>
      </c>
      <c r="L374" s="4" t="s">
        <v>1498</v>
      </c>
      <c r="M374" s="5">
        <v>265.60000000000002</v>
      </c>
    </row>
    <row r="375" spans="1:13" x14ac:dyDescent="0.25">
      <c r="A375" s="4" t="s">
        <v>3242</v>
      </c>
      <c r="B375" s="4" t="s">
        <v>3186</v>
      </c>
      <c r="C375" s="4" t="s">
        <v>3187</v>
      </c>
      <c r="D375" s="4" t="s">
        <v>3188</v>
      </c>
      <c r="E375" s="4" t="s">
        <v>3189</v>
      </c>
      <c r="F375" s="4" t="s">
        <v>3190</v>
      </c>
      <c r="G375" s="4" t="s">
        <v>3190</v>
      </c>
      <c r="H375" s="7">
        <v>37419.590972222199</v>
      </c>
      <c r="I375" s="4" t="s">
        <v>3674</v>
      </c>
      <c r="J375" s="4" t="s">
        <v>3190</v>
      </c>
      <c r="K375" s="4" t="s">
        <v>3192</v>
      </c>
      <c r="L375" s="4" t="s">
        <v>3506</v>
      </c>
      <c r="M375" s="5">
        <v>140.27000000000001</v>
      </c>
    </row>
    <row r="376" spans="1:13" x14ac:dyDescent="0.25">
      <c r="A376" s="4" t="s">
        <v>3209</v>
      </c>
      <c r="B376" s="4" t="s">
        <v>3186</v>
      </c>
      <c r="C376" s="4" t="s">
        <v>3187</v>
      </c>
      <c r="D376" s="4" t="s">
        <v>3188</v>
      </c>
      <c r="E376" s="4" t="s">
        <v>3189</v>
      </c>
      <c r="F376" s="4" t="s">
        <v>3190</v>
      </c>
      <c r="G376" s="4" t="s">
        <v>3190</v>
      </c>
      <c r="H376" s="7">
        <v>37424.570914351898</v>
      </c>
      <c r="I376" s="4" t="s">
        <v>3675</v>
      </c>
      <c r="J376" s="4" t="s">
        <v>3190</v>
      </c>
      <c r="K376" s="4" t="s">
        <v>3192</v>
      </c>
      <c r="L376" s="4" t="s">
        <v>3208</v>
      </c>
      <c r="M376" s="5">
        <v>242.24</v>
      </c>
    </row>
    <row r="377" spans="1:13" x14ac:dyDescent="0.25">
      <c r="A377" s="4" t="s">
        <v>3209</v>
      </c>
      <c r="B377" s="4" t="s">
        <v>3186</v>
      </c>
      <c r="C377" s="4" t="s">
        <v>3187</v>
      </c>
      <c r="D377" s="4" t="s">
        <v>3188</v>
      </c>
      <c r="E377" s="4" t="s">
        <v>3189</v>
      </c>
      <c r="F377" s="4" t="s">
        <v>3190</v>
      </c>
      <c r="G377" s="4" t="s">
        <v>3190</v>
      </c>
      <c r="H377" s="7">
        <v>37426.3690740741</v>
      </c>
      <c r="I377" s="4" t="s">
        <v>3676</v>
      </c>
      <c r="J377" s="4" t="s">
        <v>3190</v>
      </c>
      <c r="K377" s="4" t="s">
        <v>3192</v>
      </c>
      <c r="L377" s="4" t="s">
        <v>3208</v>
      </c>
      <c r="M377" s="5">
        <v>242.24</v>
      </c>
    </row>
    <row r="378" spans="1:13" x14ac:dyDescent="0.25">
      <c r="A378" s="4" t="s">
        <v>3209</v>
      </c>
      <c r="B378" s="4" t="s">
        <v>3186</v>
      </c>
      <c r="C378" s="4" t="s">
        <v>3187</v>
      </c>
      <c r="D378" s="4" t="s">
        <v>3188</v>
      </c>
      <c r="E378" s="4" t="s">
        <v>3189</v>
      </c>
      <c r="F378" s="4" t="s">
        <v>3190</v>
      </c>
      <c r="G378" s="4" t="s">
        <v>3190</v>
      </c>
      <c r="H378" s="7">
        <v>37435.621932870403</v>
      </c>
      <c r="I378" s="4" t="s">
        <v>3677</v>
      </c>
      <c r="J378" s="4" t="s">
        <v>3190</v>
      </c>
      <c r="K378" s="4" t="s">
        <v>3192</v>
      </c>
      <c r="L378" s="4" t="s">
        <v>3277</v>
      </c>
      <c r="M378" s="5">
        <v>290.83999999999997</v>
      </c>
    </row>
    <row r="379" spans="1:13" x14ac:dyDescent="0.25">
      <c r="A379" s="4" t="s">
        <v>3343</v>
      </c>
      <c r="B379" s="4" t="s">
        <v>3186</v>
      </c>
      <c r="C379" s="4" t="s">
        <v>3187</v>
      </c>
      <c r="D379" s="4" t="s">
        <v>3188</v>
      </c>
      <c r="E379" s="4" t="s">
        <v>3189</v>
      </c>
      <c r="F379" s="4" t="s">
        <v>3190</v>
      </c>
      <c r="G379" s="4" t="s">
        <v>3190</v>
      </c>
      <c r="H379" s="7">
        <v>37438.999988425901</v>
      </c>
      <c r="I379" s="4" t="s">
        <v>3678</v>
      </c>
      <c r="J379" s="4" t="s">
        <v>3190</v>
      </c>
      <c r="K379" s="4" t="s">
        <v>3192</v>
      </c>
      <c r="L379" s="4" t="s">
        <v>78</v>
      </c>
      <c r="M379" s="5">
        <v>5000</v>
      </c>
    </row>
    <row r="380" spans="1:13" x14ac:dyDescent="0.25">
      <c r="A380" s="4" t="s">
        <v>3209</v>
      </c>
      <c r="B380" s="4" t="s">
        <v>3186</v>
      </c>
      <c r="C380" s="4" t="s">
        <v>3187</v>
      </c>
      <c r="D380" s="4" t="s">
        <v>3188</v>
      </c>
      <c r="E380" s="4" t="s">
        <v>3189</v>
      </c>
      <c r="F380" s="4" t="s">
        <v>3190</v>
      </c>
      <c r="G380" s="4" t="s">
        <v>3190</v>
      </c>
      <c r="H380" s="7">
        <v>37446.602835648097</v>
      </c>
      <c r="I380" s="4" t="s">
        <v>3679</v>
      </c>
      <c r="J380" s="4" t="s">
        <v>3190</v>
      </c>
      <c r="K380" s="4" t="s">
        <v>3192</v>
      </c>
      <c r="L380" s="4" t="s">
        <v>3211</v>
      </c>
      <c r="M380" s="5">
        <v>690.77</v>
      </c>
    </row>
    <row r="381" spans="1:13" x14ac:dyDescent="0.25">
      <c r="A381" s="4" t="s">
        <v>3404</v>
      </c>
      <c r="B381" s="4" t="s">
        <v>3186</v>
      </c>
      <c r="C381" s="4" t="s">
        <v>3194</v>
      </c>
      <c r="D381" s="4" t="s">
        <v>3195</v>
      </c>
      <c r="E381" s="4" t="s">
        <v>3214</v>
      </c>
      <c r="F381" s="4" t="s">
        <v>3190</v>
      </c>
      <c r="G381" s="4" t="s">
        <v>3190</v>
      </c>
      <c r="H381" s="7">
        <v>37452.509560185201</v>
      </c>
      <c r="I381" s="4" t="s">
        <v>3680</v>
      </c>
      <c r="J381" s="4" t="s">
        <v>3190</v>
      </c>
      <c r="K381" s="4" t="s">
        <v>3192</v>
      </c>
      <c r="L381" s="4" t="s">
        <v>840</v>
      </c>
      <c r="M381" s="5">
        <v>4437.97</v>
      </c>
    </row>
    <row r="382" spans="1:13" x14ac:dyDescent="0.25">
      <c r="A382" s="4" t="s">
        <v>3185</v>
      </c>
      <c r="B382" s="4" t="s">
        <v>3186</v>
      </c>
      <c r="C382" s="4" t="s">
        <v>3194</v>
      </c>
      <c r="D382" s="4" t="s">
        <v>3195</v>
      </c>
      <c r="E382" s="4" t="s">
        <v>3214</v>
      </c>
      <c r="F382" s="4" t="s">
        <v>3190</v>
      </c>
      <c r="G382" s="4" t="s">
        <v>3190</v>
      </c>
      <c r="H382" s="7">
        <v>37452.509560185201</v>
      </c>
      <c r="I382" s="4" t="s">
        <v>3680</v>
      </c>
      <c r="J382" s="4" t="s">
        <v>3190</v>
      </c>
      <c r="K382" s="4" t="s">
        <v>3192</v>
      </c>
      <c r="L382" s="4" t="s">
        <v>840</v>
      </c>
      <c r="M382" s="5">
        <v>4046.25</v>
      </c>
    </row>
    <row r="383" spans="1:13" x14ac:dyDescent="0.25">
      <c r="A383" s="4" t="s">
        <v>3263</v>
      </c>
      <c r="B383" s="4" t="s">
        <v>3186</v>
      </c>
      <c r="C383" s="4" t="s">
        <v>3194</v>
      </c>
      <c r="D383" s="4" t="s">
        <v>3195</v>
      </c>
      <c r="E383" s="4" t="s">
        <v>3214</v>
      </c>
      <c r="F383" s="4" t="s">
        <v>3190</v>
      </c>
      <c r="G383" s="4" t="s">
        <v>3190</v>
      </c>
      <c r="H383" s="7">
        <v>37463.489814814799</v>
      </c>
      <c r="I383" s="4" t="s">
        <v>3681</v>
      </c>
      <c r="J383" s="4" t="s">
        <v>3190</v>
      </c>
      <c r="K383" s="4" t="s">
        <v>3192</v>
      </c>
      <c r="L383" s="4" t="s">
        <v>106</v>
      </c>
      <c r="M383" s="5">
        <v>916.29</v>
      </c>
    </row>
    <row r="384" spans="1:13" x14ac:dyDescent="0.25">
      <c r="A384" s="4" t="s">
        <v>3420</v>
      </c>
      <c r="B384" s="4" t="s">
        <v>3186</v>
      </c>
      <c r="C384" s="4" t="s">
        <v>3417</v>
      </c>
      <c r="D384" s="4" t="s">
        <v>3195</v>
      </c>
      <c r="E384" s="4" t="s">
        <v>3418</v>
      </c>
      <c r="F384" s="4" t="s">
        <v>3190</v>
      </c>
      <c r="G384" s="4" t="s">
        <v>3190</v>
      </c>
      <c r="H384" s="7">
        <v>37468.497060185196</v>
      </c>
      <c r="I384" s="4" t="s">
        <v>3682</v>
      </c>
      <c r="J384" s="4" t="s">
        <v>3190</v>
      </c>
      <c r="K384" s="4" t="s">
        <v>3192</v>
      </c>
      <c r="L384" s="4" t="s">
        <v>132</v>
      </c>
      <c r="M384" s="5">
        <v>4984.9799999999996</v>
      </c>
    </row>
    <row r="385" spans="1:13" x14ac:dyDescent="0.25">
      <c r="A385" s="4" t="s">
        <v>3683</v>
      </c>
      <c r="B385" s="4" t="s">
        <v>3186</v>
      </c>
      <c r="C385" s="4" t="s">
        <v>3194</v>
      </c>
      <c r="D385" s="4" t="s">
        <v>3195</v>
      </c>
      <c r="E385" s="4" t="s">
        <v>3227</v>
      </c>
      <c r="F385" s="4" t="s">
        <v>3190</v>
      </c>
      <c r="G385" s="4" t="s">
        <v>3190</v>
      </c>
      <c r="H385" s="7">
        <v>37487.679131944402</v>
      </c>
      <c r="I385" s="4" t="s">
        <v>3684</v>
      </c>
      <c r="J385" s="4" t="s">
        <v>3190</v>
      </c>
      <c r="K385" s="4" t="s">
        <v>3192</v>
      </c>
      <c r="L385" s="4" t="s">
        <v>2504</v>
      </c>
      <c r="M385" s="5">
        <v>798.46</v>
      </c>
    </row>
    <row r="386" spans="1:13" x14ac:dyDescent="0.25">
      <c r="A386" s="4" t="s">
        <v>3185</v>
      </c>
      <c r="B386" s="4" t="s">
        <v>3186</v>
      </c>
      <c r="C386" s="4" t="s">
        <v>3234</v>
      </c>
      <c r="D386" s="4" t="s">
        <v>3188</v>
      </c>
      <c r="E386" s="4" t="s">
        <v>3189</v>
      </c>
      <c r="F386" s="4" t="s">
        <v>3190</v>
      </c>
      <c r="G386" s="4" t="s">
        <v>3190</v>
      </c>
      <c r="H386" s="7">
        <v>37495.437824074099</v>
      </c>
      <c r="I386" s="4" t="s">
        <v>3685</v>
      </c>
      <c r="J386" s="4" t="s">
        <v>3190</v>
      </c>
      <c r="K386" s="4" t="s">
        <v>3192</v>
      </c>
      <c r="L386" s="4" t="s">
        <v>3613</v>
      </c>
      <c r="M386" s="5">
        <v>254.64</v>
      </c>
    </row>
    <row r="387" spans="1:13" x14ac:dyDescent="0.25">
      <c r="A387" s="4" t="s">
        <v>3185</v>
      </c>
      <c r="B387" s="4" t="s">
        <v>3186</v>
      </c>
      <c r="C387" s="4" t="s">
        <v>3187</v>
      </c>
      <c r="D387" s="4" t="s">
        <v>3188</v>
      </c>
      <c r="E387" s="4" t="s">
        <v>3189</v>
      </c>
      <c r="F387" s="4" t="s">
        <v>3190</v>
      </c>
      <c r="G387" s="4" t="s">
        <v>3190</v>
      </c>
      <c r="H387" s="7">
        <v>37495.445694444403</v>
      </c>
      <c r="I387" s="4" t="s">
        <v>3686</v>
      </c>
      <c r="J387" s="4" t="s">
        <v>3190</v>
      </c>
      <c r="K387" s="4" t="s">
        <v>3192</v>
      </c>
      <c r="L387" s="4" t="s">
        <v>3231</v>
      </c>
      <c r="M387" s="5">
        <v>159.65</v>
      </c>
    </row>
    <row r="388" spans="1:13" x14ac:dyDescent="0.25">
      <c r="A388" s="4" t="s">
        <v>3209</v>
      </c>
      <c r="B388" s="4" t="s">
        <v>3186</v>
      </c>
      <c r="C388" s="4" t="s">
        <v>3187</v>
      </c>
      <c r="D388" s="4" t="s">
        <v>3188</v>
      </c>
      <c r="E388" s="4" t="s">
        <v>3189</v>
      </c>
      <c r="F388" s="4" t="s">
        <v>3190</v>
      </c>
      <c r="G388" s="4" t="s">
        <v>3190</v>
      </c>
      <c r="H388" s="7">
        <v>37495.459791666697</v>
      </c>
      <c r="I388" s="4" t="s">
        <v>3687</v>
      </c>
      <c r="J388" s="4" t="s">
        <v>3190</v>
      </c>
      <c r="K388" s="4" t="s">
        <v>3192</v>
      </c>
      <c r="L388" s="4" t="s">
        <v>280</v>
      </c>
      <c r="M388" s="5">
        <v>122.47</v>
      </c>
    </row>
    <row r="389" spans="1:13" x14ac:dyDescent="0.25">
      <c r="A389" s="4" t="s">
        <v>3239</v>
      </c>
      <c r="B389" s="4" t="s">
        <v>3186</v>
      </c>
      <c r="C389" s="4" t="s">
        <v>3194</v>
      </c>
      <c r="D389" s="4" t="s">
        <v>3195</v>
      </c>
      <c r="E389" s="4" t="s">
        <v>3214</v>
      </c>
      <c r="F389" s="4" t="s">
        <v>3190</v>
      </c>
      <c r="G389" s="4" t="s">
        <v>3190</v>
      </c>
      <c r="H389" s="7">
        <v>37496</v>
      </c>
      <c r="I389" s="4" t="s">
        <v>3688</v>
      </c>
      <c r="J389" s="4" t="s">
        <v>3190</v>
      </c>
      <c r="K389" s="4" t="s">
        <v>3192</v>
      </c>
      <c r="L389" s="4" t="s">
        <v>3689</v>
      </c>
      <c r="M389" s="5">
        <v>857.81</v>
      </c>
    </row>
    <row r="390" spans="1:13" x14ac:dyDescent="0.25">
      <c r="A390" s="4" t="s">
        <v>3209</v>
      </c>
      <c r="B390" s="4" t="s">
        <v>3186</v>
      </c>
      <c r="C390" s="4" t="s">
        <v>3187</v>
      </c>
      <c r="D390" s="4" t="s">
        <v>3188</v>
      </c>
      <c r="E390" s="4" t="s">
        <v>3189</v>
      </c>
      <c r="F390" s="4" t="s">
        <v>3190</v>
      </c>
      <c r="G390" s="4" t="s">
        <v>3190</v>
      </c>
      <c r="H390" s="7">
        <v>37508</v>
      </c>
      <c r="I390" s="4" t="s">
        <v>3690</v>
      </c>
      <c r="J390" s="4" t="s">
        <v>3190</v>
      </c>
      <c r="K390" s="4" t="s">
        <v>3192</v>
      </c>
      <c r="L390" s="4" t="s">
        <v>280</v>
      </c>
      <c r="M390" s="5">
        <v>2263.0300000000002</v>
      </c>
    </row>
    <row r="391" spans="1:13" x14ac:dyDescent="0.25">
      <c r="A391" s="4" t="s">
        <v>3209</v>
      </c>
      <c r="B391" s="4" t="s">
        <v>3186</v>
      </c>
      <c r="C391" s="4" t="s">
        <v>3194</v>
      </c>
      <c r="D391" s="4" t="s">
        <v>3195</v>
      </c>
      <c r="E391" s="4" t="s">
        <v>3214</v>
      </c>
      <c r="F391" s="4" t="s">
        <v>3190</v>
      </c>
      <c r="G391" s="4" t="s">
        <v>3190</v>
      </c>
      <c r="H391" s="7">
        <v>37508.469895833303</v>
      </c>
      <c r="I391" s="4" t="s">
        <v>3691</v>
      </c>
      <c r="J391" s="4" t="s">
        <v>3190</v>
      </c>
      <c r="K391" s="4" t="s">
        <v>3192</v>
      </c>
      <c r="L391" s="4" t="s">
        <v>280</v>
      </c>
      <c r="M391" s="5">
        <v>2356.11</v>
      </c>
    </row>
    <row r="392" spans="1:13" x14ac:dyDescent="0.25">
      <c r="A392" s="4" t="s">
        <v>3221</v>
      </c>
      <c r="B392" s="4" t="s">
        <v>3186</v>
      </c>
      <c r="C392" s="4" t="s">
        <v>3194</v>
      </c>
      <c r="D392" s="4" t="s">
        <v>3195</v>
      </c>
      <c r="E392" s="4" t="s">
        <v>3214</v>
      </c>
      <c r="F392" s="4" t="s">
        <v>3190</v>
      </c>
      <c r="G392" s="4" t="s">
        <v>3190</v>
      </c>
      <c r="H392" s="7">
        <v>37510</v>
      </c>
      <c r="I392" s="4" t="s">
        <v>3692</v>
      </c>
      <c r="J392" s="4" t="s">
        <v>3190</v>
      </c>
      <c r="K392" s="4" t="s">
        <v>3192</v>
      </c>
      <c r="L392" s="4" t="s">
        <v>764</v>
      </c>
      <c r="M392" s="5">
        <v>125.12</v>
      </c>
    </row>
    <row r="393" spans="1:13" x14ac:dyDescent="0.25">
      <c r="A393" s="4" t="s">
        <v>3221</v>
      </c>
      <c r="B393" s="4" t="s">
        <v>3186</v>
      </c>
      <c r="C393" s="4" t="s">
        <v>3187</v>
      </c>
      <c r="D393" s="4" t="s">
        <v>3188</v>
      </c>
      <c r="E393" s="4" t="s">
        <v>3189</v>
      </c>
      <c r="F393" s="4" t="s">
        <v>3190</v>
      </c>
      <c r="G393" s="4" t="s">
        <v>3190</v>
      </c>
      <c r="H393" s="7">
        <v>37510</v>
      </c>
      <c r="I393" s="4" t="s">
        <v>3692</v>
      </c>
      <c r="J393" s="4" t="s">
        <v>3190</v>
      </c>
      <c r="K393" s="4" t="s">
        <v>3192</v>
      </c>
      <c r="L393" s="4" t="s">
        <v>764</v>
      </c>
      <c r="M393" s="5">
        <v>125.12</v>
      </c>
    </row>
    <row r="394" spans="1:13" x14ac:dyDescent="0.25">
      <c r="A394" s="4" t="s">
        <v>3221</v>
      </c>
      <c r="B394" s="4" t="s">
        <v>3186</v>
      </c>
      <c r="C394" s="4" t="s">
        <v>3222</v>
      </c>
      <c r="D394" s="4" t="s">
        <v>3223</v>
      </c>
      <c r="E394" s="4" t="s">
        <v>3214</v>
      </c>
      <c r="F394" s="4" t="s">
        <v>3190</v>
      </c>
      <c r="G394" s="4" t="s">
        <v>3190</v>
      </c>
      <c r="H394" s="7">
        <v>37510</v>
      </c>
      <c r="I394" s="4" t="s">
        <v>3692</v>
      </c>
      <c r="J394" s="4" t="s">
        <v>3190</v>
      </c>
      <c r="K394" s="4" t="s">
        <v>3192</v>
      </c>
      <c r="L394" s="4" t="s">
        <v>764</v>
      </c>
      <c r="M394" s="5">
        <v>125.12</v>
      </c>
    </row>
    <row r="395" spans="1:13" x14ac:dyDescent="0.25">
      <c r="A395" s="4" t="s">
        <v>3263</v>
      </c>
      <c r="B395" s="4" t="s">
        <v>3186</v>
      </c>
      <c r="C395" s="4" t="s">
        <v>3194</v>
      </c>
      <c r="D395" s="4" t="s">
        <v>3195</v>
      </c>
      <c r="E395" s="4" t="s">
        <v>3214</v>
      </c>
      <c r="F395" s="4" t="s">
        <v>3190</v>
      </c>
      <c r="G395" s="4" t="s">
        <v>3190</v>
      </c>
      <c r="H395" s="7">
        <v>37511.402962963002</v>
      </c>
      <c r="I395" s="4" t="s">
        <v>3693</v>
      </c>
      <c r="J395" s="4" t="s">
        <v>3190</v>
      </c>
      <c r="K395" s="4" t="s">
        <v>3192</v>
      </c>
      <c r="L395" s="4" t="s">
        <v>106</v>
      </c>
      <c r="M395" s="5">
        <v>733.03</v>
      </c>
    </row>
    <row r="396" spans="1:13" x14ac:dyDescent="0.25">
      <c r="A396" s="4" t="s">
        <v>3240</v>
      </c>
      <c r="B396" s="4" t="s">
        <v>3186</v>
      </c>
      <c r="C396" s="4" t="s">
        <v>3194</v>
      </c>
      <c r="D396" s="4" t="s">
        <v>3195</v>
      </c>
      <c r="E396" s="4" t="s">
        <v>3214</v>
      </c>
      <c r="F396" s="4" t="s">
        <v>3190</v>
      </c>
      <c r="G396" s="4" t="s">
        <v>3190</v>
      </c>
      <c r="H396" s="7">
        <v>37516.574884259302</v>
      </c>
      <c r="I396" s="4" t="s">
        <v>3694</v>
      </c>
      <c r="J396" s="4" t="s">
        <v>3190</v>
      </c>
      <c r="K396" s="4" t="s">
        <v>3192</v>
      </c>
      <c r="L396" s="4" t="s">
        <v>220</v>
      </c>
      <c r="M396" s="5">
        <v>861.45</v>
      </c>
    </row>
    <row r="397" spans="1:13" x14ac:dyDescent="0.25">
      <c r="A397" s="4" t="s">
        <v>3209</v>
      </c>
      <c r="B397" s="4" t="s">
        <v>3186</v>
      </c>
      <c r="C397" s="4" t="s">
        <v>3194</v>
      </c>
      <c r="D397" s="4" t="s">
        <v>3195</v>
      </c>
      <c r="E397" s="4" t="s">
        <v>3214</v>
      </c>
      <c r="F397" s="4" t="s">
        <v>3190</v>
      </c>
      <c r="G397" s="4" t="s">
        <v>3190</v>
      </c>
      <c r="H397" s="7">
        <v>37522</v>
      </c>
      <c r="I397" s="4" t="s">
        <v>3695</v>
      </c>
      <c r="J397" s="4" t="s">
        <v>3190</v>
      </c>
      <c r="K397" s="4" t="s">
        <v>3192</v>
      </c>
      <c r="L397" s="4" t="s">
        <v>280</v>
      </c>
      <c r="M397" s="5">
        <v>775.32</v>
      </c>
    </row>
    <row r="398" spans="1:13" x14ac:dyDescent="0.25">
      <c r="A398" s="4" t="s">
        <v>3366</v>
      </c>
      <c r="B398" s="4" t="s">
        <v>3186</v>
      </c>
      <c r="C398" s="4" t="s">
        <v>3187</v>
      </c>
      <c r="D398" s="4" t="s">
        <v>3188</v>
      </c>
      <c r="E398" s="4" t="s">
        <v>3189</v>
      </c>
      <c r="F398" s="4" t="s">
        <v>3190</v>
      </c>
      <c r="G398" s="4" t="s">
        <v>3190</v>
      </c>
      <c r="H398" s="7">
        <v>37523.481574074103</v>
      </c>
      <c r="I398" s="4" t="s">
        <v>3696</v>
      </c>
      <c r="J398" s="4" t="s">
        <v>3190</v>
      </c>
      <c r="K398" s="4" t="s">
        <v>3192</v>
      </c>
      <c r="L398" s="4" t="s">
        <v>985</v>
      </c>
      <c r="M398" s="5">
        <v>150</v>
      </c>
    </row>
    <row r="399" spans="1:13" x14ac:dyDescent="0.25">
      <c r="A399" s="4" t="s">
        <v>3185</v>
      </c>
      <c r="B399" s="4" t="s">
        <v>3186</v>
      </c>
      <c r="C399" s="4" t="s">
        <v>3222</v>
      </c>
      <c r="D399" s="4" t="s">
        <v>3223</v>
      </c>
      <c r="E399" s="4" t="s">
        <v>3214</v>
      </c>
      <c r="F399" s="4" t="s">
        <v>3190</v>
      </c>
      <c r="G399" s="4" t="s">
        <v>3190</v>
      </c>
      <c r="H399" s="7">
        <v>37530.704050925902</v>
      </c>
      <c r="I399" s="4" t="s">
        <v>3697</v>
      </c>
      <c r="J399" s="4" t="s">
        <v>3190</v>
      </c>
      <c r="K399" s="4" t="s">
        <v>3192</v>
      </c>
      <c r="L399" s="4" t="s">
        <v>3698</v>
      </c>
      <c r="M399" s="5">
        <v>1065.3</v>
      </c>
    </row>
    <row r="400" spans="1:13" x14ac:dyDescent="0.25">
      <c r="A400" s="4" t="s">
        <v>3185</v>
      </c>
      <c r="B400" s="4" t="s">
        <v>3186</v>
      </c>
      <c r="C400" s="4" t="s">
        <v>3222</v>
      </c>
      <c r="D400" s="4" t="s">
        <v>3223</v>
      </c>
      <c r="E400" s="4" t="s">
        <v>3214</v>
      </c>
      <c r="F400" s="4" t="s">
        <v>3190</v>
      </c>
      <c r="G400" s="4" t="s">
        <v>3190</v>
      </c>
      <c r="H400" s="7">
        <v>37530.704548611102</v>
      </c>
      <c r="I400" s="4" t="s">
        <v>3699</v>
      </c>
      <c r="J400" s="4" t="s">
        <v>3190</v>
      </c>
      <c r="K400" s="4" t="s">
        <v>3192</v>
      </c>
      <c r="L400" s="4" t="s">
        <v>3573</v>
      </c>
      <c r="M400" s="5">
        <v>1173.69</v>
      </c>
    </row>
    <row r="401" spans="1:13" x14ac:dyDescent="0.25">
      <c r="A401" s="4" t="s">
        <v>3185</v>
      </c>
      <c r="B401" s="4" t="s">
        <v>3186</v>
      </c>
      <c r="C401" s="4" t="s">
        <v>3222</v>
      </c>
      <c r="D401" s="4" t="s">
        <v>3223</v>
      </c>
      <c r="E401" s="4" t="s">
        <v>3214</v>
      </c>
      <c r="F401" s="4" t="s">
        <v>3190</v>
      </c>
      <c r="G401" s="4" t="s">
        <v>3190</v>
      </c>
      <c r="H401" s="7">
        <v>37530.7050115741</v>
      </c>
      <c r="I401" s="4" t="s">
        <v>3700</v>
      </c>
      <c r="J401" s="4" t="s">
        <v>3190</v>
      </c>
      <c r="K401" s="4" t="s">
        <v>3192</v>
      </c>
      <c r="L401" s="4" t="s">
        <v>3573</v>
      </c>
      <c r="M401" s="5">
        <v>166.92</v>
      </c>
    </row>
    <row r="402" spans="1:13" x14ac:dyDescent="0.25">
      <c r="A402" s="4" t="s">
        <v>3185</v>
      </c>
      <c r="B402" s="4" t="s">
        <v>3186</v>
      </c>
      <c r="C402" s="4" t="s">
        <v>3187</v>
      </c>
      <c r="D402" s="4" t="s">
        <v>3188</v>
      </c>
      <c r="E402" s="4" t="s">
        <v>3189</v>
      </c>
      <c r="F402" s="4" t="s">
        <v>3190</v>
      </c>
      <c r="G402" s="4" t="s">
        <v>3190</v>
      </c>
      <c r="H402" s="7">
        <v>37530.708900463003</v>
      </c>
      <c r="I402" s="4" t="s">
        <v>3701</v>
      </c>
      <c r="J402" s="4" t="s">
        <v>3190</v>
      </c>
      <c r="K402" s="4" t="s">
        <v>3192</v>
      </c>
      <c r="L402" s="4" t="s">
        <v>1078</v>
      </c>
      <c r="M402" s="5">
        <v>587.86</v>
      </c>
    </row>
    <row r="403" spans="1:13" x14ac:dyDescent="0.25">
      <c r="A403" s="4" t="s">
        <v>3209</v>
      </c>
      <c r="B403" s="4" t="s">
        <v>3186</v>
      </c>
      <c r="C403" s="4" t="s">
        <v>3187</v>
      </c>
      <c r="D403" s="4" t="s">
        <v>3188</v>
      </c>
      <c r="E403" s="4" t="s">
        <v>3189</v>
      </c>
      <c r="F403" s="4" t="s">
        <v>3190</v>
      </c>
      <c r="G403" s="4" t="s">
        <v>3190</v>
      </c>
      <c r="H403" s="7">
        <v>37532.603194444397</v>
      </c>
      <c r="I403" s="4" t="s">
        <v>3702</v>
      </c>
      <c r="J403" s="4" t="s">
        <v>3190</v>
      </c>
      <c r="K403" s="4" t="s">
        <v>3192</v>
      </c>
      <c r="L403" s="4" t="s">
        <v>3703</v>
      </c>
      <c r="M403" s="5">
        <v>167.25</v>
      </c>
    </row>
    <row r="404" spans="1:13" x14ac:dyDescent="0.25">
      <c r="A404" s="4" t="s">
        <v>3209</v>
      </c>
      <c r="B404" s="4" t="s">
        <v>3186</v>
      </c>
      <c r="C404" s="4" t="s">
        <v>3187</v>
      </c>
      <c r="D404" s="4" t="s">
        <v>3188</v>
      </c>
      <c r="E404" s="4" t="s">
        <v>3189</v>
      </c>
      <c r="F404" s="4" t="s">
        <v>3190</v>
      </c>
      <c r="G404" s="4" t="s">
        <v>3190</v>
      </c>
      <c r="H404" s="7">
        <v>37532.603715277801</v>
      </c>
      <c r="I404" s="4" t="s">
        <v>3704</v>
      </c>
      <c r="J404" s="4" t="s">
        <v>3190</v>
      </c>
      <c r="K404" s="4" t="s">
        <v>3192</v>
      </c>
      <c r="L404" s="4" t="s">
        <v>280</v>
      </c>
      <c r="M404" s="5">
        <v>212.57</v>
      </c>
    </row>
    <row r="405" spans="1:13" x14ac:dyDescent="0.25">
      <c r="A405" s="4" t="s">
        <v>3242</v>
      </c>
      <c r="B405" s="4" t="s">
        <v>3186</v>
      </c>
      <c r="C405" s="4" t="s">
        <v>3194</v>
      </c>
      <c r="D405" s="4" t="s">
        <v>3195</v>
      </c>
      <c r="E405" s="4" t="s">
        <v>3196</v>
      </c>
      <c r="F405" s="4" t="s">
        <v>3190</v>
      </c>
      <c r="G405" s="4" t="s">
        <v>3190</v>
      </c>
      <c r="H405" s="7">
        <v>37545.3825</v>
      </c>
      <c r="I405" s="4" t="s">
        <v>3705</v>
      </c>
      <c r="J405" s="4" t="s">
        <v>3190</v>
      </c>
      <c r="K405" s="4" t="s">
        <v>3192</v>
      </c>
      <c r="L405" s="4" t="s">
        <v>3249</v>
      </c>
      <c r="M405" s="5">
        <v>426.21</v>
      </c>
    </row>
    <row r="406" spans="1:13" x14ac:dyDescent="0.25">
      <c r="A406" s="4" t="s">
        <v>3466</v>
      </c>
      <c r="B406" s="4" t="s">
        <v>3186</v>
      </c>
      <c r="C406" s="4" t="s">
        <v>3187</v>
      </c>
      <c r="D406" s="4" t="s">
        <v>3188</v>
      </c>
      <c r="E406" s="4" t="s">
        <v>3189</v>
      </c>
      <c r="F406" s="4" t="s">
        <v>3190</v>
      </c>
      <c r="G406" s="4" t="s">
        <v>3190</v>
      </c>
      <c r="H406" s="7">
        <v>37566.597592592603</v>
      </c>
      <c r="I406" s="4" t="s">
        <v>3706</v>
      </c>
      <c r="J406" s="4" t="s">
        <v>3190</v>
      </c>
      <c r="K406" s="4" t="s">
        <v>3192</v>
      </c>
      <c r="L406" s="4" t="s">
        <v>3437</v>
      </c>
      <c r="M406" s="5">
        <v>226.59</v>
      </c>
    </row>
    <row r="407" spans="1:13" x14ac:dyDescent="0.25">
      <c r="A407" s="4" t="s">
        <v>3578</v>
      </c>
      <c r="B407" s="4" t="s">
        <v>3186</v>
      </c>
      <c r="C407" s="4" t="s">
        <v>3194</v>
      </c>
      <c r="D407" s="4" t="s">
        <v>3195</v>
      </c>
      <c r="E407" s="4" t="s">
        <v>3214</v>
      </c>
      <c r="F407" s="4" t="s">
        <v>3190</v>
      </c>
      <c r="G407" s="4" t="s">
        <v>3190</v>
      </c>
      <c r="H407" s="7">
        <v>37568.656782407401</v>
      </c>
      <c r="I407" s="4" t="s">
        <v>3707</v>
      </c>
      <c r="J407" s="4" t="s">
        <v>3190</v>
      </c>
      <c r="K407" s="4" t="s">
        <v>3192</v>
      </c>
      <c r="L407" s="4" t="s">
        <v>3354</v>
      </c>
      <c r="M407" s="5">
        <v>8500</v>
      </c>
    </row>
    <row r="408" spans="1:13" x14ac:dyDescent="0.25">
      <c r="A408" s="4" t="s">
        <v>3283</v>
      </c>
      <c r="B408" s="4" t="s">
        <v>3186</v>
      </c>
      <c r="C408" s="4" t="s">
        <v>3187</v>
      </c>
      <c r="D408" s="4" t="s">
        <v>3188</v>
      </c>
      <c r="E408" s="4" t="s">
        <v>3189</v>
      </c>
      <c r="F408" s="4" t="s">
        <v>3190</v>
      </c>
      <c r="G408" s="4" t="s">
        <v>3190</v>
      </c>
      <c r="H408" s="7">
        <v>37572.656759259298</v>
      </c>
      <c r="I408" s="4" t="s">
        <v>3708</v>
      </c>
      <c r="J408" s="4" t="s">
        <v>3190</v>
      </c>
      <c r="K408" s="4" t="s">
        <v>3192</v>
      </c>
      <c r="L408" s="4" t="s">
        <v>3709</v>
      </c>
      <c r="M408" s="5">
        <v>264.36</v>
      </c>
    </row>
    <row r="409" spans="1:13" x14ac:dyDescent="0.25">
      <c r="A409" s="4" t="s">
        <v>3221</v>
      </c>
      <c r="B409" s="4" t="s">
        <v>3186</v>
      </c>
      <c r="C409" s="4" t="s">
        <v>3194</v>
      </c>
      <c r="D409" s="4" t="s">
        <v>3195</v>
      </c>
      <c r="E409" s="4" t="s">
        <v>3196</v>
      </c>
      <c r="F409" s="4" t="s">
        <v>3190</v>
      </c>
      <c r="G409" s="4" t="s">
        <v>3190</v>
      </c>
      <c r="H409" s="7">
        <v>37578.414537037002</v>
      </c>
      <c r="I409" s="4" t="s">
        <v>3710</v>
      </c>
      <c r="J409" s="4" t="s">
        <v>3190</v>
      </c>
      <c r="K409" s="4" t="s">
        <v>3192</v>
      </c>
      <c r="L409" s="4" t="s">
        <v>3225</v>
      </c>
      <c r="M409" s="5">
        <v>397.6</v>
      </c>
    </row>
    <row r="410" spans="1:13" x14ac:dyDescent="0.25">
      <c r="A410" s="4" t="s">
        <v>3185</v>
      </c>
      <c r="B410" s="4" t="s">
        <v>3186</v>
      </c>
      <c r="C410" s="4" t="s">
        <v>3222</v>
      </c>
      <c r="D410" s="4" t="s">
        <v>3223</v>
      </c>
      <c r="E410" s="4" t="s">
        <v>3214</v>
      </c>
      <c r="F410" s="4" t="s">
        <v>3190</v>
      </c>
      <c r="G410" s="4" t="s">
        <v>3190</v>
      </c>
      <c r="H410" s="7">
        <v>37596.483761574098</v>
      </c>
      <c r="I410" s="4" t="s">
        <v>3711</v>
      </c>
      <c r="J410" s="4" t="s">
        <v>3190</v>
      </c>
      <c r="K410" s="4" t="s">
        <v>3192</v>
      </c>
      <c r="L410" s="4" t="s">
        <v>3225</v>
      </c>
      <c r="M410" s="5">
        <v>213.58</v>
      </c>
    </row>
    <row r="411" spans="1:13" x14ac:dyDescent="0.25">
      <c r="A411" s="4" t="s">
        <v>3255</v>
      </c>
      <c r="B411" s="4" t="s">
        <v>3186</v>
      </c>
      <c r="C411" s="4" t="s">
        <v>3222</v>
      </c>
      <c r="D411" s="4" t="s">
        <v>3223</v>
      </c>
      <c r="E411" s="4" t="s">
        <v>3214</v>
      </c>
      <c r="F411" s="4" t="s">
        <v>3190</v>
      </c>
      <c r="G411" s="4" t="s">
        <v>3190</v>
      </c>
      <c r="H411" s="7">
        <v>37601</v>
      </c>
      <c r="I411" s="4" t="s">
        <v>3712</v>
      </c>
      <c r="J411" s="4" t="s">
        <v>3190</v>
      </c>
      <c r="K411" s="4" t="s">
        <v>3192</v>
      </c>
      <c r="L411" s="4" t="s">
        <v>3225</v>
      </c>
      <c r="M411" s="5">
        <v>210.82</v>
      </c>
    </row>
    <row r="412" spans="1:13" x14ac:dyDescent="0.25">
      <c r="A412" s="4" t="s">
        <v>3263</v>
      </c>
      <c r="B412" s="4" t="s">
        <v>3186</v>
      </c>
      <c r="C412" s="4" t="s">
        <v>3194</v>
      </c>
      <c r="D412" s="4" t="s">
        <v>3195</v>
      </c>
      <c r="E412" s="4" t="s">
        <v>3196</v>
      </c>
      <c r="F412" s="4" t="s">
        <v>3190</v>
      </c>
      <c r="G412" s="4" t="s">
        <v>3190</v>
      </c>
      <c r="H412" s="7">
        <v>37606.465451388904</v>
      </c>
      <c r="I412" s="4" t="s">
        <v>3713</v>
      </c>
      <c r="J412" s="4" t="s">
        <v>3190</v>
      </c>
      <c r="K412" s="4" t="s">
        <v>3192</v>
      </c>
      <c r="L412" s="4" t="s">
        <v>3481</v>
      </c>
      <c r="M412" s="5">
        <v>445.63</v>
      </c>
    </row>
    <row r="413" spans="1:13" x14ac:dyDescent="0.25">
      <c r="A413" s="4" t="s">
        <v>3185</v>
      </c>
      <c r="B413" s="4" t="s">
        <v>3186</v>
      </c>
      <c r="C413" s="4" t="s">
        <v>3222</v>
      </c>
      <c r="D413" s="4" t="s">
        <v>3223</v>
      </c>
      <c r="E413" s="4" t="s">
        <v>3214</v>
      </c>
      <c r="F413" s="4" t="s">
        <v>3190</v>
      </c>
      <c r="G413" s="4" t="s">
        <v>3190</v>
      </c>
      <c r="H413" s="7">
        <v>37607.344976851899</v>
      </c>
      <c r="I413" s="4" t="s">
        <v>3714</v>
      </c>
      <c r="J413" s="4" t="s">
        <v>3190</v>
      </c>
      <c r="K413" s="4" t="s">
        <v>3192</v>
      </c>
      <c r="L413" s="4" t="s">
        <v>3573</v>
      </c>
      <c r="M413" s="5">
        <v>636.48</v>
      </c>
    </row>
    <row r="414" spans="1:13" x14ac:dyDescent="0.25">
      <c r="A414" s="4" t="s">
        <v>3185</v>
      </c>
      <c r="B414" s="4" t="s">
        <v>3186</v>
      </c>
      <c r="C414" s="4" t="s">
        <v>3222</v>
      </c>
      <c r="D414" s="4" t="s">
        <v>3223</v>
      </c>
      <c r="E414" s="4" t="s">
        <v>3214</v>
      </c>
      <c r="F414" s="4" t="s">
        <v>3190</v>
      </c>
      <c r="G414" s="4" t="s">
        <v>3190</v>
      </c>
      <c r="H414" s="7">
        <v>37607.346342592602</v>
      </c>
      <c r="I414" s="4" t="s">
        <v>3715</v>
      </c>
      <c r="J414" s="4" t="s">
        <v>3190</v>
      </c>
      <c r="K414" s="4" t="s">
        <v>3192</v>
      </c>
      <c r="L414" s="4" t="s">
        <v>3573</v>
      </c>
      <c r="M414" s="5">
        <v>636.48</v>
      </c>
    </row>
    <row r="415" spans="1:13" x14ac:dyDescent="0.25">
      <c r="A415" s="4" t="s">
        <v>3185</v>
      </c>
      <c r="B415" s="4" t="s">
        <v>3186</v>
      </c>
      <c r="C415" s="4" t="s">
        <v>3222</v>
      </c>
      <c r="D415" s="4" t="s">
        <v>3223</v>
      </c>
      <c r="E415" s="4" t="s">
        <v>3214</v>
      </c>
      <c r="F415" s="4" t="s">
        <v>3190</v>
      </c>
      <c r="G415" s="4" t="s">
        <v>3190</v>
      </c>
      <c r="H415" s="7">
        <v>37607.347476851901</v>
      </c>
      <c r="I415" s="4" t="s">
        <v>3716</v>
      </c>
      <c r="J415" s="4" t="s">
        <v>3190</v>
      </c>
      <c r="K415" s="4" t="s">
        <v>3192</v>
      </c>
      <c r="L415" s="4" t="s">
        <v>3573</v>
      </c>
      <c r="M415" s="5">
        <v>957.37</v>
      </c>
    </row>
    <row r="416" spans="1:13" x14ac:dyDescent="0.25">
      <c r="A416" s="4" t="s">
        <v>3209</v>
      </c>
      <c r="B416" s="4" t="s">
        <v>3186</v>
      </c>
      <c r="C416" s="4" t="s">
        <v>3187</v>
      </c>
      <c r="D416" s="4" t="s">
        <v>3188</v>
      </c>
      <c r="E416" s="4" t="s">
        <v>3189</v>
      </c>
      <c r="F416" s="4" t="s">
        <v>3190</v>
      </c>
      <c r="G416" s="4" t="s">
        <v>3190</v>
      </c>
      <c r="H416" s="7">
        <v>37607.377106481501</v>
      </c>
      <c r="I416" s="4" t="s">
        <v>3717</v>
      </c>
      <c r="J416" s="4" t="s">
        <v>3190</v>
      </c>
      <c r="K416" s="4" t="s">
        <v>3192</v>
      </c>
      <c r="L416" s="4" t="s">
        <v>280</v>
      </c>
      <c r="M416" s="5">
        <v>178.8</v>
      </c>
    </row>
    <row r="417" spans="1:13" x14ac:dyDescent="0.25">
      <c r="A417" s="4" t="s">
        <v>3185</v>
      </c>
      <c r="B417" s="4" t="s">
        <v>3186</v>
      </c>
      <c r="C417" s="4" t="s">
        <v>3222</v>
      </c>
      <c r="D417" s="4" t="s">
        <v>3223</v>
      </c>
      <c r="E417" s="4" t="s">
        <v>3214</v>
      </c>
      <c r="F417" s="4" t="s">
        <v>3190</v>
      </c>
      <c r="G417" s="4" t="s">
        <v>3190</v>
      </c>
      <c r="H417" s="7">
        <v>37617.703252314801</v>
      </c>
      <c r="I417" s="4" t="s">
        <v>3718</v>
      </c>
      <c r="J417" s="4" t="s">
        <v>3190</v>
      </c>
      <c r="K417" s="4" t="s">
        <v>3192</v>
      </c>
      <c r="L417" s="4" t="s">
        <v>3719</v>
      </c>
      <c r="M417" s="5">
        <v>812.9</v>
      </c>
    </row>
    <row r="418" spans="1:13" x14ac:dyDescent="0.25">
      <c r="A418" s="4" t="s">
        <v>3185</v>
      </c>
      <c r="B418" s="4" t="s">
        <v>3186</v>
      </c>
      <c r="C418" s="4" t="s">
        <v>3222</v>
      </c>
      <c r="D418" s="4" t="s">
        <v>3223</v>
      </c>
      <c r="E418" s="4" t="s">
        <v>3214</v>
      </c>
      <c r="F418" s="4" t="s">
        <v>3190</v>
      </c>
      <c r="G418" s="4" t="s">
        <v>3190</v>
      </c>
      <c r="H418" s="7">
        <v>37617.704328703701</v>
      </c>
      <c r="I418" s="4" t="s">
        <v>3720</v>
      </c>
      <c r="J418" s="4" t="s">
        <v>3190</v>
      </c>
      <c r="K418" s="4" t="s">
        <v>3192</v>
      </c>
      <c r="L418" s="4" t="s">
        <v>3719</v>
      </c>
      <c r="M418" s="5">
        <v>812.9</v>
      </c>
    </row>
    <row r="419" spans="1:13" x14ac:dyDescent="0.25">
      <c r="A419" s="4" t="s">
        <v>3209</v>
      </c>
      <c r="B419" s="4" t="s">
        <v>3186</v>
      </c>
      <c r="C419" s="4" t="s">
        <v>3187</v>
      </c>
      <c r="D419" s="4" t="s">
        <v>3188</v>
      </c>
      <c r="E419" s="4" t="s">
        <v>3189</v>
      </c>
      <c r="F419" s="4" t="s">
        <v>3190</v>
      </c>
      <c r="G419" s="4" t="s">
        <v>3190</v>
      </c>
      <c r="H419" s="7">
        <v>37628.5889930556</v>
      </c>
      <c r="I419" s="4" t="s">
        <v>3721</v>
      </c>
      <c r="J419" s="4" t="s">
        <v>3190</v>
      </c>
      <c r="K419" s="4" t="s">
        <v>3192</v>
      </c>
      <c r="L419" s="4" t="s">
        <v>3277</v>
      </c>
      <c r="M419" s="5">
        <v>291.64999999999998</v>
      </c>
    </row>
    <row r="420" spans="1:13" x14ac:dyDescent="0.25">
      <c r="A420" s="4" t="s">
        <v>3206</v>
      </c>
      <c r="B420" s="4" t="s">
        <v>3186</v>
      </c>
      <c r="C420" s="4" t="s">
        <v>3722</v>
      </c>
      <c r="D420" s="4" t="s">
        <v>3188</v>
      </c>
      <c r="E420" s="4" t="s">
        <v>3723</v>
      </c>
      <c r="F420" s="4" t="s">
        <v>3190</v>
      </c>
      <c r="G420" s="4" t="s">
        <v>3190</v>
      </c>
      <c r="H420" s="7">
        <v>37636</v>
      </c>
      <c r="I420" s="4" t="s">
        <v>3724</v>
      </c>
      <c r="J420" s="4" t="s">
        <v>3190</v>
      </c>
      <c r="K420" s="4" t="s">
        <v>3192</v>
      </c>
      <c r="L420" s="4" t="s">
        <v>3481</v>
      </c>
      <c r="M420" s="5">
        <v>4392</v>
      </c>
    </row>
    <row r="421" spans="1:13" x14ac:dyDescent="0.25">
      <c r="A421" s="4" t="s">
        <v>3206</v>
      </c>
      <c r="B421" s="4" t="s">
        <v>3186</v>
      </c>
      <c r="C421" s="4" t="s">
        <v>3187</v>
      </c>
      <c r="D421" s="4" t="s">
        <v>3188</v>
      </c>
      <c r="E421" s="4" t="s">
        <v>3189</v>
      </c>
      <c r="F421" s="4" t="s">
        <v>3190</v>
      </c>
      <c r="G421" s="4" t="s">
        <v>3190</v>
      </c>
      <c r="H421" s="7">
        <v>37636</v>
      </c>
      <c r="I421" s="4" t="s">
        <v>3724</v>
      </c>
      <c r="J421" s="4" t="s">
        <v>3190</v>
      </c>
      <c r="K421" s="4" t="s">
        <v>3192</v>
      </c>
      <c r="L421" s="4" t="s">
        <v>3481</v>
      </c>
      <c r="M421" s="5">
        <v>681.18</v>
      </c>
    </row>
    <row r="422" spans="1:13" x14ac:dyDescent="0.25">
      <c r="A422" s="4" t="s">
        <v>3206</v>
      </c>
      <c r="B422" s="4" t="s">
        <v>3186</v>
      </c>
      <c r="C422" s="4" t="s">
        <v>3725</v>
      </c>
      <c r="D422" s="4" t="s">
        <v>3195</v>
      </c>
      <c r="E422" s="4" t="s">
        <v>3418</v>
      </c>
      <c r="F422" s="4" t="s">
        <v>3190</v>
      </c>
      <c r="G422" s="4" t="s">
        <v>3190</v>
      </c>
      <c r="H422" s="7">
        <v>37637</v>
      </c>
      <c r="I422" s="4" t="s">
        <v>3726</v>
      </c>
      <c r="J422" s="4" t="s">
        <v>3190</v>
      </c>
      <c r="K422" s="4" t="s">
        <v>3192</v>
      </c>
      <c r="L422" s="4" t="s">
        <v>1688</v>
      </c>
      <c r="M422" s="5">
        <v>307.60000000000002</v>
      </c>
    </row>
    <row r="423" spans="1:13" x14ac:dyDescent="0.25">
      <c r="A423" s="4" t="s">
        <v>3239</v>
      </c>
      <c r="B423" s="4" t="s">
        <v>3186</v>
      </c>
      <c r="C423" s="4" t="s">
        <v>3725</v>
      </c>
      <c r="D423" s="4" t="s">
        <v>3195</v>
      </c>
      <c r="E423" s="4" t="s">
        <v>3418</v>
      </c>
      <c r="F423" s="4" t="s">
        <v>3190</v>
      </c>
      <c r="G423" s="4" t="s">
        <v>3190</v>
      </c>
      <c r="H423" s="7">
        <v>37637</v>
      </c>
      <c r="I423" s="4" t="s">
        <v>3726</v>
      </c>
      <c r="J423" s="4" t="s">
        <v>3190</v>
      </c>
      <c r="K423" s="4" t="s">
        <v>3192</v>
      </c>
      <c r="L423" s="4" t="s">
        <v>1688</v>
      </c>
      <c r="M423" s="5">
        <v>3866.97</v>
      </c>
    </row>
    <row r="424" spans="1:13" x14ac:dyDescent="0.25">
      <c r="A424" s="4" t="s">
        <v>3242</v>
      </c>
      <c r="B424" s="4" t="s">
        <v>3186</v>
      </c>
      <c r="C424" s="4" t="s">
        <v>3194</v>
      </c>
      <c r="D424" s="4" t="s">
        <v>3195</v>
      </c>
      <c r="E424" s="4" t="s">
        <v>3196</v>
      </c>
      <c r="F424" s="4" t="s">
        <v>3190</v>
      </c>
      <c r="G424" s="4" t="s">
        <v>3190</v>
      </c>
      <c r="H424" s="7">
        <v>37644.593900462998</v>
      </c>
      <c r="I424" s="4" t="s">
        <v>3727</v>
      </c>
      <c r="J424" s="4" t="s">
        <v>3190</v>
      </c>
      <c r="K424" s="4" t="s">
        <v>3192</v>
      </c>
      <c r="L424" s="4" t="s">
        <v>1208</v>
      </c>
      <c r="M424" s="5">
        <v>758.75</v>
      </c>
    </row>
    <row r="425" spans="1:13" x14ac:dyDescent="0.25">
      <c r="A425" s="4" t="s">
        <v>3242</v>
      </c>
      <c r="B425" s="4" t="s">
        <v>3186</v>
      </c>
      <c r="C425" s="4" t="s">
        <v>3187</v>
      </c>
      <c r="D425" s="4" t="s">
        <v>3188</v>
      </c>
      <c r="E425" s="4" t="s">
        <v>3189</v>
      </c>
      <c r="F425" s="4" t="s">
        <v>3190</v>
      </c>
      <c r="G425" s="4" t="s">
        <v>3190</v>
      </c>
      <c r="H425" s="7">
        <v>37644.593900462998</v>
      </c>
      <c r="I425" s="4" t="s">
        <v>3727</v>
      </c>
      <c r="J425" s="4" t="s">
        <v>3190</v>
      </c>
      <c r="K425" s="4" t="s">
        <v>3192</v>
      </c>
      <c r="L425" s="4" t="s">
        <v>1208</v>
      </c>
      <c r="M425" s="5">
        <v>758.76</v>
      </c>
    </row>
    <row r="426" spans="1:13" x14ac:dyDescent="0.25">
      <c r="A426" s="4" t="s">
        <v>3185</v>
      </c>
      <c r="B426" s="4" t="s">
        <v>3186</v>
      </c>
      <c r="C426" s="4" t="s">
        <v>3222</v>
      </c>
      <c r="D426" s="4" t="s">
        <v>3223</v>
      </c>
      <c r="E426" s="4" t="s">
        <v>3214</v>
      </c>
      <c r="F426" s="4" t="s">
        <v>3190</v>
      </c>
      <c r="G426" s="4" t="s">
        <v>3190</v>
      </c>
      <c r="H426" s="7">
        <v>37645.611064814802</v>
      </c>
      <c r="I426" s="4" t="s">
        <v>3728</v>
      </c>
      <c r="J426" s="4" t="s">
        <v>3190</v>
      </c>
      <c r="K426" s="4" t="s">
        <v>3192</v>
      </c>
      <c r="L426" s="4" t="s">
        <v>3729</v>
      </c>
      <c r="M426" s="5">
        <v>812.15</v>
      </c>
    </row>
    <row r="427" spans="1:13" x14ac:dyDescent="0.25">
      <c r="A427" s="4" t="s">
        <v>3185</v>
      </c>
      <c r="B427" s="4" t="s">
        <v>3186</v>
      </c>
      <c r="C427" s="4" t="s">
        <v>3222</v>
      </c>
      <c r="D427" s="4" t="s">
        <v>3223</v>
      </c>
      <c r="E427" s="4" t="s">
        <v>3214</v>
      </c>
      <c r="F427" s="4" t="s">
        <v>3190</v>
      </c>
      <c r="G427" s="4" t="s">
        <v>3190</v>
      </c>
      <c r="H427" s="7">
        <v>37645.615266203698</v>
      </c>
      <c r="I427" s="4" t="s">
        <v>3730</v>
      </c>
      <c r="J427" s="4" t="s">
        <v>3190</v>
      </c>
      <c r="K427" s="4" t="s">
        <v>3192</v>
      </c>
      <c r="L427" s="4" t="s">
        <v>3719</v>
      </c>
      <c r="M427" s="5">
        <v>816.65</v>
      </c>
    </row>
    <row r="428" spans="1:13" x14ac:dyDescent="0.25">
      <c r="A428" s="4" t="s">
        <v>3209</v>
      </c>
      <c r="B428" s="4" t="s">
        <v>3186</v>
      </c>
      <c r="C428" s="4" t="s">
        <v>3187</v>
      </c>
      <c r="D428" s="4" t="s">
        <v>3188</v>
      </c>
      <c r="E428" s="4" t="s">
        <v>3189</v>
      </c>
      <c r="F428" s="4" t="s">
        <v>3190</v>
      </c>
      <c r="G428" s="4" t="s">
        <v>3190</v>
      </c>
      <c r="H428" s="7">
        <v>37645.629120370402</v>
      </c>
      <c r="I428" s="4" t="s">
        <v>3731</v>
      </c>
      <c r="J428" s="4" t="s">
        <v>3190</v>
      </c>
      <c r="K428" s="4" t="s">
        <v>3192</v>
      </c>
      <c r="L428" s="4" t="s">
        <v>3211</v>
      </c>
      <c r="M428" s="5">
        <v>162.86000000000001</v>
      </c>
    </row>
    <row r="429" spans="1:13" x14ac:dyDescent="0.25">
      <c r="A429" s="4" t="s">
        <v>3185</v>
      </c>
      <c r="B429" s="4" t="s">
        <v>3186</v>
      </c>
      <c r="C429" s="4" t="s">
        <v>3187</v>
      </c>
      <c r="D429" s="4" t="s">
        <v>3188</v>
      </c>
      <c r="E429" s="4" t="s">
        <v>3189</v>
      </c>
      <c r="F429" s="4" t="s">
        <v>3190</v>
      </c>
      <c r="G429" s="4" t="s">
        <v>3190</v>
      </c>
      <c r="H429" s="7">
        <v>37656.440127314803</v>
      </c>
      <c r="I429" s="4" t="s">
        <v>3732</v>
      </c>
      <c r="J429" s="4" t="s">
        <v>3190</v>
      </c>
      <c r="K429" s="4" t="s">
        <v>3192</v>
      </c>
      <c r="L429" s="4" t="s">
        <v>3733</v>
      </c>
      <c r="M429" s="5">
        <v>477.91</v>
      </c>
    </row>
    <row r="430" spans="1:13" x14ac:dyDescent="0.25">
      <c r="A430" s="4" t="s">
        <v>3185</v>
      </c>
      <c r="B430" s="4" t="s">
        <v>3186</v>
      </c>
      <c r="C430" s="4" t="s">
        <v>3194</v>
      </c>
      <c r="D430" s="4" t="s">
        <v>3195</v>
      </c>
      <c r="E430" s="4" t="s">
        <v>3196</v>
      </c>
      <c r="F430" s="4" t="s">
        <v>3190</v>
      </c>
      <c r="G430" s="4" t="s">
        <v>3190</v>
      </c>
      <c r="H430" s="7">
        <v>37663.6858796296</v>
      </c>
      <c r="I430" s="4" t="s">
        <v>3734</v>
      </c>
      <c r="J430" s="4" t="s">
        <v>3190</v>
      </c>
      <c r="K430" s="4" t="s">
        <v>3192</v>
      </c>
      <c r="L430" s="4" t="s">
        <v>1208</v>
      </c>
      <c r="M430" s="5">
        <v>383.03</v>
      </c>
    </row>
    <row r="431" spans="1:13" x14ac:dyDescent="0.25">
      <c r="A431" s="4" t="s">
        <v>3202</v>
      </c>
      <c r="B431" s="4" t="s">
        <v>3186</v>
      </c>
      <c r="C431" s="4" t="s">
        <v>3187</v>
      </c>
      <c r="D431" s="4" t="s">
        <v>3188</v>
      </c>
      <c r="E431" s="4" t="s">
        <v>3189</v>
      </c>
      <c r="F431" s="4" t="s">
        <v>3190</v>
      </c>
      <c r="G431" s="4" t="s">
        <v>3190</v>
      </c>
      <c r="H431" s="7">
        <v>37672.607430555603</v>
      </c>
      <c r="I431" s="4" t="s">
        <v>3735</v>
      </c>
      <c r="J431" s="4" t="s">
        <v>3190</v>
      </c>
      <c r="K431" s="4" t="s">
        <v>3192</v>
      </c>
      <c r="L431" s="4" t="s">
        <v>3249</v>
      </c>
      <c r="M431" s="5">
        <v>427.39</v>
      </c>
    </row>
    <row r="432" spans="1:13" x14ac:dyDescent="0.25">
      <c r="A432" s="4" t="s">
        <v>3391</v>
      </c>
      <c r="B432" s="4" t="s">
        <v>3186</v>
      </c>
      <c r="C432" s="4" t="s">
        <v>3187</v>
      </c>
      <c r="D432" s="4" t="s">
        <v>3188</v>
      </c>
      <c r="E432" s="4" t="s">
        <v>3189</v>
      </c>
      <c r="F432" s="4" t="s">
        <v>3190</v>
      </c>
      <c r="G432" s="4" t="s">
        <v>3190</v>
      </c>
      <c r="H432" s="7">
        <v>37677.612870370402</v>
      </c>
      <c r="I432" s="4" t="s">
        <v>3736</v>
      </c>
      <c r="J432" s="4" t="s">
        <v>3190</v>
      </c>
      <c r="K432" s="4" t="s">
        <v>3192</v>
      </c>
      <c r="L432" s="4" t="s">
        <v>3393</v>
      </c>
      <c r="M432" s="5">
        <v>153.51</v>
      </c>
    </row>
    <row r="433" spans="1:13" x14ac:dyDescent="0.25">
      <c r="A433" s="4" t="s">
        <v>3242</v>
      </c>
      <c r="B433" s="4" t="s">
        <v>3186</v>
      </c>
      <c r="C433" s="4" t="s">
        <v>3187</v>
      </c>
      <c r="D433" s="4" t="s">
        <v>3188</v>
      </c>
      <c r="E433" s="4" t="s">
        <v>3189</v>
      </c>
      <c r="F433" s="4" t="s">
        <v>3190</v>
      </c>
      <c r="G433" s="4" t="s">
        <v>3190</v>
      </c>
      <c r="H433" s="7">
        <v>37679.6499189815</v>
      </c>
      <c r="I433" s="4" t="s">
        <v>3737</v>
      </c>
      <c r="J433" s="4" t="s">
        <v>3190</v>
      </c>
      <c r="K433" s="4" t="s">
        <v>3192</v>
      </c>
      <c r="L433" s="4" t="s">
        <v>3481</v>
      </c>
      <c r="M433" s="5">
        <v>861.16</v>
      </c>
    </row>
    <row r="434" spans="1:13" x14ac:dyDescent="0.25">
      <c r="A434" s="4" t="s">
        <v>3240</v>
      </c>
      <c r="B434" s="4" t="s">
        <v>3186</v>
      </c>
      <c r="C434" s="4" t="s">
        <v>3194</v>
      </c>
      <c r="D434" s="4" t="s">
        <v>3195</v>
      </c>
      <c r="E434" s="4" t="s">
        <v>3214</v>
      </c>
      <c r="F434" s="4" t="s">
        <v>3190</v>
      </c>
      <c r="G434" s="4" t="s">
        <v>3190</v>
      </c>
      <c r="H434" s="7">
        <v>37680</v>
      </c>
      <c r="I434" s="4" t="s">
        <v>3738</v>
      </c>
      <c r="J434" s="4" t="s">
        <v>3190</v>
      </c>
      <c r="K434" s="4" t="s">
        <v>3192</v>
      </c>
      <c r="L434" s="4" t="s">
        <v>220</v>
      </c>
      <c r="M434" s="5">
        <v>271.37</v>
      </c>
    </row>
    <row r="435" spans="1:13" x14ac:dyDescent="0.25">
      <c r="A435" s="4" t="s">
        <v>3209</v>
      </c>
      <c r="B435" s="4" t="s">
        <v>3186</v>
      </c>
      <c r="C435" s="4" t="s">
        <v>3187</v>
      </c>
      <c r="D435" s="4" t="s">
        <v>3188</v>
      </c>
      <c r="E435" s="4" t="s">
        <v>3189</v>
      </c>
      <c r="F435" s="4" t="s">
        <v>3190</v>
      </c>
      <c r="G435" s="4" t="s">
        <v>3190</v>
      </c>
      <c r="H435" s="7">
        <v>37683.647743055597</v>
      </c>
      <c r="I435" s="4" t="s">
        <v>3739</v>
      </c>
      <c r="J435" s="4" t="s">
        <v>3190</v>
      </c>
      <c r="K435" s="4" t="s">
        <v>3192</v>
      </c>
      <c r="L435" s="4" t="s">
        <v>3208</v>
      </c>
      <c r="M435" s="5">
        <v>100.37</v>
      </c>
    </row>
    <row r="436" spans="1:13" x14ac:dyDescent="0.25">
      <c r="A436" s="4" t="s">
        <v>3185</v>
      </c>
      <c r="B436" s="4" t="s">
        <v>3186</v>
      </c>
      <c r="C436" s="4" t="s">
        <v>3187</v>
      </c>
      <c r="D436" s="4" t="s">
        <v>3188</v>
      </c>
      <c r="E436" s="4" t="s">
        <v>3189</v>
      </c>
      <c r="F436" s="4" t="s">
        <v>3190</v>
      </c>
      <c r="G436" s="4" t="s">
        <v>3190</v>
      </c>
      <c r="H436" s="7">
        <v>37694</v>
      </c>
      <c r="I436" s="4" t="s">
        <v>3740</v>
      </c>
      <c r="J436" s="4" t="s">
        <v>3190</v>
      </c>
      <c r="K436" s="4" t="s">
        <v>3192</v>
      </c>
      <c r="L436" s="4" t="s">
        <v>14</v>
      </c>
      <c r="M436" s="5">
        <v>2157.87</v>
      </c>
    </row>
    <row r="437" spans="1:13" x14ac:dyDescent="0.25">
      <c r="A437" s="4" t="s">
        <v>3380</v>
      </c>
      <c r="B437" s="4" t="s">
        <v>3186</v>
      </c>
      <c r="C437" s="4" t="s">
        <v>3187</v>
      </c>
      <c r="D437" s="4" t="s">
        <v>3188</v>
      </c>
      <c r="E437" s="4" t="s">
        <v>3189</v>
      </c>
      <c r="F437" s="4" t="s">
        <v>3190</v>
      </c>
      <c r="G437" s="4" t="s">
        <v>3190</v>
      </c>
      <c r="H437" s="7">
        <v>37694</v>
      </c>
      <c r="I437" s="4" t="s">
        <v>3740</v>
      </c>
      <c r="J437" s="4" t="s">
        <v>3190</v>
      </c>
      <c r="K437" s="4" t="s">
        <v>3192</v>
      </c>
      <c r="L437" s="4" t="s">
        <v>14</v>
      </c>
      <c r="M437" s="5">
        <v>163.15</v>
      </c>
    </row>
    <row r="438" spans="1:13" x14ac:dyDescent="0.25">
      <c r="A438" s="4" t="s">
        <v>3380</v>
      </c>
      <c r="B438" s="4" t="s">
        <v>3186</v>
      </c>
      <c r="C438" s="4" t="s">
        <v>3187</v>
      </c>
      <c r="D438" s="4" t="s">
        <v>3188</v>
      </c>
      <c r="E438" s="4" t="s">
        <v>3189</v>
      </c>
      <c r="F438" s="4" t="s">
        <v>3190</v>
      </c>
      <c r="G438" s="4" t="s">
        <v>3190</v>
      </c>
      <c r="H438" s="7">
        <v>37698.484247685199</v>
      </c>
      <c r="I438" s="4" t="s">
        <v>3741</v>
      </c>
      <c r="J438" s="4" t="s">
        <v>3190</v>
      </c>
      <c r="K438" s="4" t="s">
        <v>3192</v>
      </c>
      <c r="L438" s="4" t="s">
        <v>228</v>
      </c>
      <c r="M438" s="5">
        <v>811.5</v>
      </c>
    </row>
    <row r="439" spans="1:13" x14ac:dyDescent="0.25">
      <c r="A439" s="4" t="s">
        <v>3269</v>
      </c>
      <c r="B439" s="4" t="s">
        <v>3186</v>
      </c>
      <c r="C439" s="4" t="s">
        <v>3725</v>
      </c>
      <c r="D439" s="4" t="s">
        <v>3195</v>
      </c>
      <c r="E439" s="4" t="s">
        <v>3418</v>
      </c>
      <c r="F439" s="4" t="s">
        <v>3190</v>
      </c>
      <c r="G439" s="4" t="s">
        <v>3190</v>
      </c>
      <c r="H439" s="7">
        <v>37701</v>
      </c>
      <c r="I439" s="4" t="s">
        <v>3742</v>
      </c>
      <c r="J439" s="4" t="s">
        <v>3190</v>
      </c>
      <c r="K439" s="4" t="s">
        <v>3192</v>
      </c>
      <c r="L439" s="4" t="s">
        <v>3743</v>
      </c>
      <c r="M439" s="5">
        <v>14358.14</v>
      </c>
    </row>
    <row r="440" spans="1:13" x14ac:dyDescent="0.25">
      <c r="A440" s="4" t="s">
        <v>3744</v>
      </c>
      <c r="B440" s="4" t="s">
        <v>3186</v>
      </c>
      <c r="C440" s="4" t="s">
        <v>3725</v>
      </c>
      <c r="D440" s="4" t="s">
        <v>3195</v>
      </c>
      <c r="E440" s="4" t="s">
        <v>3418</v>
      </c>
      <c r="F440" s="4" t="s">
        <v>3190</v>
      </c>
      <c r="G440" s="4" t="s">
        <v>3190</v>
      </c>
      <c r="H440" s="7">
        <v>37704</v>
      </c>
      <c r="I440" s="4" t="s">
        <v>3745</v>
      </c>
      <c r="J440" s="4" t="s">
        <v>3190</v>
      </c>
      <c r="K440" s="4" t="s">
        <v>3192</v>
      </c>
      <c r="L440" s="4" t="s">
        <v>229</v>
      </c>
      <c r="M440" s="5">
        <v>2055.8000000000002</v>
      </c>
    </row>
    <row r="441" spans="1:13" x14ac:dyDescent="0.25">
      <c r="A441" s="4" t="s">
        <v>3221</v>
      </c>
      <c r="B441" s="4" t="s">
        <v>3186</v>
      </c>
      <c r="C441" s="4" t="s">
        <v>3725</v>
      </c>
      <c r="D441" s="4" t="s">
        <v>3195</v>
      </c>
      <c r="E441" s="4" t="s">
        <v>3418</v>
      </c>
      <c r="F441" s="4" t="s">
        <v>3190</v>
      </c>
      <c r="G441" s="4" t="s">
        <v>3190</v>
      </c>
      <c r="H441" s="7">
        <v>37704</v>
      </c>
      <c r="I441" s="4" t="s">
        <v>3745</v>
      </c>
      <c r="J441" s="4" t="s">
        <v>3190</v>
      </c>
      <c r="K441" s="4" t="s">
        <v>3192</v>
      </c>
      <c r="L441" s="4" t="s">
        <v>229</v>
      </c>
      <c r="M441" s="5">
        <v>1658</v>
      </c>
    </row>
    <row r="442" spans="1:13" x14ac:dyDescent="0.25">
      <c r="A442" s="4" t="s">
        <v>3239</v>
      </c>
      <c r="B442" s="4" t="s">
        <v>3186</v>
      </c>
      <c r="C442" s="4" t="s">
        <v>3187</v>
      </c>
      <c r="D442" s="4" t="s">
        <v>3188</v>
      </c>
      <c r="E442" s="4" t="s">
        <v>3189</v>
      </c>
      <c r="F442" s="4" t="s">
        <v>3190</v>
      </c>
      <c r="G442" s="4" t="s">
        <v>3190</v>
      </c>
      <c r="H442" s="7">
        <v>37706</v>
      </c>
      <c r="I442" s="4" t="s">
        <v>3746</v>
      </c>
      <c r="J442" s="4" t="s">
        <v>3190</v>
      </c>
      <c r="K442" s="4" t="s">
        <v>3192</v>
      </c>
      <c r="L442" s="4" t="s">
        <v>3225</v>
      </c>
      <c r="M442" s="5">
        <v>1015.99</v>
      </c>
    </row>
    <row r="443" spans="1:13" x14ac:dyDescent="0.25">
      <c r="A443" s="4" t="s">
        <v>3404</v>
      </c>
      <c r="B443" s="4" t="s">
        <v>3186</v>
      </c>
      <c r="C443" s="4" t="s">
        <v>3194</v>
      </c>
      <c r="D443" s="4" t="s">
        <v>3195</v>
      </c>
      <c r="E443" s="4" t="s">
        <v>3214</v>
      </c>
      <c r="F443" s="4" t="s">
        <v>3190</v>
      </c>
      <c r="G443" s="4" t="s">
        <v>3190</v>
      </c>
      <c r="H443" s="7">
        <v>37727</v>
      </c>
      <c r="I443" s="4" t="s">
        <v>3747</v>
      </c>
      <c r="J443" s="4" t="s">
        <v>3190</v>
      </c>
      <c r="K443" s="4" t="s">
        <v>3192</v>
      </c>
      <c r="L443" s="4" t="s">
        <v>48</v>
      </c>
      <c r="M443" s="5">
        <v>7737.38</v>
      </c>
    </row>
    <row r="444" spans="1:13" x14ac:dyDescent="0.25">
      <c r="A444" s="4" t="s">
        <v>3748</v>
      </c>
      <c r="B444" s="4" t="s">
        <v>3186</v>
      </c>
      <c r="C444" s="4" t="s">
        <v>3222</v>
      </c>
      <c r="D444" s="4" t="s">
        <v>3223</v>
      </c>
      <c r="E444" s="4" t="s">
        <v>3214</v>
      </c>
      <c r="F444" s="4" t="s">
        <v>3190</v>
      </c>
      <c r="G444" s="4" t="s">
        <v>3190</v>
      </c>
      <c r="H444" s="7">
        <v>37749</v>
      </c>
      <c r="I444" s="4" t="s">
        <v>3749</v>
      </c>
      <c r="J444" s="4" t="s">
        <v>3190</v>
      </c>
      <c r="K444" s="4" t="s">
        <v>3192</v>
      </c>
      <c r="L444" s="4" t="s">
        <v>220</v>
      </c>
      <c r="M444" s="5">
        <v>275.8</v>
      </c>
    </row>
    <row r="445" spans="1:13" x14ac:dyDescent="0.25">
      <c r="A445" s="4" t="s">
        <v>3420</v>
      </c>
      <c r="B445" s="4" t="s">
        <v>3186</v>
      </c>
      <c r="C445" s="4" t="s">
        <v>3194</v>
      </c>
      <c r="D445" s="4" t="s">
        <v>3195</v>
      </c>
      <c r="E445" s="4" t="s">
        <v>3214</v>
      </c>
      <c r="F445" s="4" t="s">
        <v>3190</v>
      </c>
      <c r="G445" s="4" t="s">
        <v>3190</v>
      </c>
      <c r="H445" s="7">
        <v>37749</v>
      </c>
      <c r="I445" s="4" t="s">
        <v>3749</v>
      </c>
      <c r="J445" s="4" t="s">
        <v>3190</v>
      </c>
      <c r="K445" s="4" t="s">
        <v>3192</v>
      </c>
      <c r="L445" s="4" t="s">
        <v>220</v>
      </c>
      <c r="M445" s="5">
        <v>214.24</v>
      </c>
    </row>
    <row r="446" spans="1:13" x14ac:dyDescent="0.25">
      <c r="A446" s="4" t="s">
        <v>3240</v>
      </c>
      <c r="B446" s="4" t="s">
        <v>3186</v>
      </c>
      <c r="C446" s="4" t="s">
        <v>3194</v>
      </c>
      <c r="D446" s="4" t="s">
        <v>3195</v>
      </c>
      <c r="E446" s="4" t="s">
        <v>3214</v>
      </c>
      <c r="F446" s="4" t="s">
        <v>3190</v>
      </c>
      <c r="G446" s="4" t="s">
        <v>3190</v>
      </c>
      <c r="H446" s="7">
        <v>37749</v>
      </c>
      <c r="I446" s="4" t="s">
        <v>3749</v>
      </c>
      <c r="J446" s="4" t="s">
        <v>3190</v>
      </c>
      <c r="K446" s="4" t="s">
        <v>3192</v>
      </c>
      <c r="L446" s="4" t="s">
        <v>220</v>
      </c>
      <c r="M446" s="5">
        <v>2194.1</v>
      </c>
    </row>
    <row r="447" spans="1:13" x14ac:dyDescent="0.25">
      <c r="A447" s="4" t="s">
        <v>3240</v>
      </c>
      <c r="B447" s="4" t="s">
        <v>3186</v>
      </c>
      <c r="C447" s="4" t="s">
        <v>3187</v>
      </c>
      <c r="D447" s="4" t="s">
        <v>3188</v>
      </c>
      <c r="E447" s="4" t="s">
        <v>3189</v>
      </c>
      <c r="F447" s="4" t="s">
        <v>3190</v>
      </c>
      <c r="G447" s="4" t="s">
        <v>3190</v>
      </c>
      <c r="H447" s="7">
        <v>37749</v>
      </c>
      <c r="I447" s="4" t="s">
        <v>3749</v>
      </c>
      <c r="J447" s="4" t="s">
        <v>3190</v>
      </c>
      <c r="K447" s="4" t="s">
        <v>3192</v>
      </c>
      <c r="L447" s="4" t="s">
        <v>220</v>
      </c>
      <c r="M447" s="5">
        <v>1990.28</v>
      </c>
    </row>
    <row r="448" spans="1:13" x14ac:dyDescent="0.25">
      <c r="A448" s="4" t="s">
        <v>3240</v>
      </c>
      <c r="B448" s="4" t="s">
        <v>3186</v>
      </c>
      <c r="C448" s="4" t="s">
        <v>3222</v>
      </c>
      <c r="D448" s="4" t="s">
        <v>3223</v>
      </c>
      <c r="E448" s="4" t="s">
        <v>3214</v>
      </c>
      <c r="F448" s="4" t="s">
        <v>3190</v>
      </c>
      <c r="G448" s="4" t="s">
        <v>3190</v>
      </c>
      <c r="H448" s="7">
        <v>37749</v>
      </c>
      <c r="I448" s="4" t="s">
        <v>3749</v>
      </c>
      <c r="J448" s="4" t="s">
        <v>3190</v>
      </c>
      <c r="K448" s="4" t="s">
        <v>3192</v>
      </c>
      <c r="L448" s="4" t="s">
        <v>220</v>
      </c>
      <c r="M448" s="5">
        <v>412.38</v>
      </c>
    </row>
    <row r="449" spans="1:13" x14ac:dyDescent="0.25">
      <c r="A449" s="4" t="s">
        <v>3240</v>
      </c>
      <c r="B449" s="4" t="s">
        <v>3186</v>
      </c>
      <c r="C449" s="4" t="s">
        <v>3194</v>
      </c>
      <c r="D449" s="4" t="s">
        <v>3195</v>
      </c>
      <c r="E449" s="4" t="s">
        <v>3214</v>
      </c>
      <c r="F449" s="4" t="s">
        <v>3190</v>
      </c>
      <c r="G449" s="4" t="s">
        <v>3190</v>
      </c>
      <c r="H449" s="7">
        <v>37749</v>
      </c>
      <c r="I449" s="4" t="s">
        <v>3750</v>
      </c>
      <c r="J449" s="4" t="s">
        <v>3190</v>
      </c>
      <c r="K449" s="4" t="s">
        <v>3192</v>
      </c>
      <c r="L449" s="4" t="s">
        <v>220</v>
      </c>
      <c r="M449" s="5">
        <v>1042.28</v>
      </c>
    </row>
    <row r="450" spans="1:13" x14ac:dyDescent="0.25">
      <c r="A450" s="4" t="s">
        <v>3252</v>
      </c>
      <c r="B450" s="4" t="s">
        <v>3186</v>
      </c>
      <c r="C450" s="4" t="s">
        <v>3222</v>
      </c>
      <c r="D450" s="4" t="s">
        <v>3223</v>
      </c>
      <c r="E450" s="4" t="s">
        <v>3214</v>
      </c>
      <c r="F450" s="4" t="s">
        <v>3190</v>
      </c>
      <c r="G450" s="4" t="s">
        <v>3190</v>
      </c>
      <c r="H450" s="7">
        <v>37750.5163425926</v>
      </c>
      <c r="I450" s="4" t="s">
        <v>3751</v>
      </c>
      <c r="J450" s="4" t="s">
        <v>3190</v>
      </c>
      <c r="K450" s="4" t="s">
        <v>3192</v>
      </c>
      <c r="L450" s="4" t="s">
        <v>3752</v>
      </c>
      <c r="M450" s="5">
        <v>145</v>
      </c>
    </row>
    <row r="451" spans="1:13" x14ac:dyDescent="0.25">
      <c r="A451" s="4" t="s">
        <v>3221</v>
      </c>
      <c r="B451" s="4" t="s">
        <v>3186</v>
      </c>
      <c r="C451" s="4" t="s">
        <v>3194</v>
      </c>
      <c r="D451" s="4" t="s">
        <v>3195</v>
      </c>
      <c r="E451" s="4" t="s">
        <v>3214</v>
      </c>
      <c r="F451" s="4" t="s">
        <v>3190</v>
      </c>
      <c r="G451" s="4" t="s">
        <v>3190</v>
      </c>
      <c r="H451" s="7">
        <v>37763</v>
      </c>
      <c r="I451" s="4" t="s">
        <v>3753</v>
      </c>
      <c r="J451" s="4" t="s">
        <v>3190</v>
      </c>
      <c r="K451" s="4" t="s">
        <v>3192</v>
      </c>
      <c r="L451" s="4" t="s">
        <v>3273</v>
      </c>
      <c r="M451" s="5">
        <v>1481.26</v>
      </c>
    </row>
    <row r="452" spans="1:13" x14ac:dyDescent="0.25">
      <c r="A452" s="4" t="s">
        <v>3202</v>
      </c>
      <c r="B452" s="4" t="s">
        <v>3186</v>
      </c>
      <c r="C452" s="4" t="s">
        <v>3194</v>
      </c>
      <c r="D452" s="4" t="s">
        <v>3195</v>
      </c>
      <c r="E452" s="4" t="s">
        <v>3196</v>
      </c>
      <c r="F452" s="4" t="s">
        <v>3190</v>
      </c>
      <c r="G452" s="4" t="s">
        <v>3190</v>
      </c>
      <c r="H452" s="7">
        <v>37764.517418981501</v>
      </c>
      <c r="I452" s="4" t="s">
        <v>3754</v>
      </c>
      <c r="J452" s="4" t="s">
        <v>3190</v>
      </c>
      <c r="K452" s="4" t="s">
        <v>3192</v>
      </c>
      <c r="L452" s="4" t="s">
        <v>3402</v>
      </c>
      <c r="M452" s="5">
        <v>1239.5999999999999</v>
      </c>
    </row>
    <row r="453" spans="1:13" x14ac:dyDescent="0.25">
      <c r="A453" s="4" t="s">
        <v>3185</v>
      </c>
      <c r="B453" s="4" t="s">
        <v>3186</v>
      </c>
      <c r="C453" s="4" t="s">
        <v>3222</v>
      </c>
      <c r="D453" s="4" t="s">
        <v>3223</v>
      </c>
      <c r="E453" s="4" t="s">
        <v>3214</v>
      </c>
      <c r="F453" s="4" t="s">
        <v>3190</v>
      </c>
      <c r="G453" s="4" t="s">
        <v>3190</v>
      </c>
      <c r="H453" s="7">
        <v>37771.569583333301</v>
      </c>
      <c r="I453" s="4" t="s">
        <v>3755</v>
      </c>
      <c r="J453" s="4" t="s">
        <v>3190</v>
      </c>
      <c r="K453" s="4" t="s">
        <v>3192</v>
      </c>
      <c r="L453" s="4" t="s">
        <v>3661</v>
      </c>
      <c r="M453" s="5">
        <v>111.77</v>
      </c>
    </row>
    <row r="454" spans="1:13" x14ac:dyDescent="0.25">
      <c r="A454" s="4" t="s">
        <v>3343</v>
      </c>
      <c r="B454" s="4" t="s">
        <v>3186</v>
      </c>
      <c r="C454" s="4" t="s">
        <v>3187</v>
      </c>
      <c r="D454" s="4" t="s">
        <v>3188</v>
      </c>
      <c r="E454" s="4" t="s">
        <v>3189</v>
      </c>
      <c r="F454" s="4" t="s">
        <v>3190</v>
      </c>
      <c r="G454" s="4" t="s">
        <v>3190</v>
      </c>
      <c r="H454" s="7">
        <v>37803</v>
      </c>
      <c r="I454" s="4" t="s">
        <v>3756</v>
      </c>
      <c r="J454" s="4" t="s">
        <v>3190</v>
      </c>
      <c r="K454" s="4" t="s">
        <v>3192</v>
      </c>
      <c r="L454" s="4" t="s">
        <v>78</v>
      </c>
      <c r="M454" s="5">
        <v>3960</v>
      </c>
    </row>
    <row r="455" spans="1:13" x14ac:dyDescent="0.25">
      <c r="A455" s="4" t="s">
        <v>3343</v>
      </c>
      <c r="B455" s="4" t="s">
        <v>3186</v>
      </c>
      <c r="C455" s="4" t="s">
        <v>3187</v>
      </c>
      <c r="D455" s="4" t="s">
        <v>3188</v>
      </c>
      <c r="E455" s="4" t="s">
        <v>3189</v>
      </c>
      <c r="F455" s="4" t="s">
        <v>3190</v>
      </c>
      <c r="G455" s="4" t="s">
        <v>3190</v>
      </c>
      <c r="H455" s="7">
        <v>37803</v>
      </c>
      <c r="I455" s="4" t="s">
        <v>3757</v>
      </c>
      <c r="J455" s="4" t="s">
        <v>3190</v>
      </c>
      <c r="K455" s="4" t="s">
        <v>3192</v>
      </c>
      <c r="L455" s="4" t="s">
        <v>78</v>
      </c>
      <c r="M455" s="5">
        <v>3960</v>
      </c>
    </row>
    <row r="456" spans="1:13" x14ac:dyDescent="0.25">
      <c r="A456" s="4" t="s">
        <v>3221</v>
      </c>
      <c r="B456" s="4" t="s">
        <v>3186</v>
      </c>
      <c r="C456" s="4" t="s">
        <v>3187</v>
      </c>
      <c r="D456" s="4" t="s">
        <v>3188</v>
      </c>
      <c r="E456" s="4" t="s">
        <v>3189</v>
      </c>
      <c r="F456" s="4" t="s">
        <v>3190</v>
      </c>
      <c r="G456" s="4" t="s">
        <v>3190</v>
      </c>
      <c r="H456" s="7">
        <v>37827</v>
      </c>
      <c r="I456" s="4" t="s">
        <v>3758</v>
      </c>
      <c r="J456" s="4" t="s">
        <v>3190</v>
      </c>
      <c r="K456" s="4" t="s">
        <v>3192</v>
      </c>
      <c r="L456" s="4" t="s">
        <v>3225</v>
      </c>
      <c r="M456" s="5">
        <v>507.99</v>
      </c>
    </row>
    <row r="457" spans="1:13" x14ac:dyDescent="0.25">
      <c r="A457" s="4" t="s">
        <v>3221</v>
      </c>
      <c r="B457" s="4" t="s">
        <v>3186</v>
      </c>
      <c r="C457" s="4" t="s">
        <v>3187</v>
      </c>
      <c r="D457" s="4" t="s">
        <v>3188</v>
      </c>
      <c r="E457" s="4" t="s">
        <v>3189</v>
      </c>
      <c r="F457" s="4" t="s">
        <v>3190</v>
      </c>
      <c r="G457" s="4" t="s">
        <v>3190</v>
      </c>
      <c r="H457" s="7">
        <v>37837</v>
      </c>
      <c r="I457" s="4" t="s">
        <v>3759</v>
      </c>
      <c r="J457" s="4" t="s">
        <v>3190</v>
      </c>
      <c r="K457" s="4" t="s">
        <v>3192</v>
      </c>
      <c r="L457" s="4" t="s">
        <v>764</v>
      </c>
      <c r="M457" s="5">
        <v>191</v>
      </c>
    </row>
    <row r="458" spans="1:13" x14ac:dyDescent="0.25">
      <c r="A458" s="4" t="s">
        <v>3760</v>
      </c>
      <c r="B458" s="4" t="s">
        <v>3186</v>
      </c>
      <c r="C458" s="4" t="s">
        <v>3761</v>
      </c>
      <c r="D458" s="4" t="s">
        <v>3195</v>
      </c>
      <c r="E458" s="4" t="s">
        <v>3762</v>
      </c>
      <c r="F458" s="4" t="s">
        <v>3190</v>
      </c>
      <c r="G458" s="4" t="s">
        <v>3190</v>
      </c>
      <c r="H458" s="7">
        <v>37853.604814814797</v>
      </c>
      <c r="I458" s="4" t="s">
        <v>3763</v>
      </c>
      <c r="J458" s="4" t="s">
        <v>3190</v>
      </c>
      <c r="K458" s="4" t="s">
        <v>3192</v>
      </c>
      <c r="L458" s="4" t="s">
        <v>12</v>
      </c>
      <c r="M458" s="5">
        <v>30631.5</v>
      </c>
    </row>
    <row r="459" spans="1:13" x14ac:dyDescent="0.25">
      <c r="A459" s="4" t="s">
        <v>3221</v>
      </c>
      <c r="B459" s="4" t="s">
        <v>3186</v>
      </c>
      <c r="C459" s="4" t="s">
        <v>3725</v>
      </c>
      <c r="D459" s="4" t="s">
        <v>3195</v>
      </c>
      <c r="E459" s="4" t="s">
        <v>3418</v>
      </c>
      <c r="F459" s="4" t="s">
        <v>3190</v>
      </c>
      <c r="G459" s="4" t="s">
        <v>3190</v>
      </c>
      <c r="H459" s="7">
        <v>37855</v>
      </c>
      <c r="I459" s="4" t="s">
        <v>3764</v>
      </c>
      <c r="J459" s="4" t="s">
        <v>3190</v>
      </c>
      <c r="K459" s="4" t="s">
        <v>3192</v>
      </c>
      <c r="L459" s="4" t="s">
        <v>348</v>
      </c>
      <c r="M459" s="5">
        <v>3202.72</v>
      </c>
    </row>
    <row r="460" spans="1:13" x14ac:dyDescent="0.25">
      <c r="A460" s="4" t="s">
        <v>3366</v>
      </c>
      <c r="B460" s="4" t="s">
        <v>3186</v>
      </c>
      <c r="C460" s="4" t="s">
        <v>3194</v>
      </c>
      <c r="D460" s="4" t="s">
        <v>3195</v>
      </c>
      <c r="E460" s="4" t="s">
        <v>3214</v>
      </c>
      <c r="F460" s="4" t="s">
        <v>3190</v>
      </c>
      <c r="G460" s="4" t="s">
        <v>3190</v>
      </c>
      <c r="H460" s="7">
        <v>37867.682268518503</v>
      </c>
      <c r="I460" s="4" t="s">
        <v>3765</v>
      </c>
      <c r="J460" s="4" t="s">
        <v>3190</v>
      </c>
      <c r="K460" s="4" t="s">
        <v>3192</v>
      </c>
      <c r="L460" s="4" t="s">
        <v>985</v>
      </c>
      <c r="M460" s="5">
        <v>452</v>
      </c>
    </row>
    <row r="461" spans="1:13" x14ac:dyDescent="0.25">
      <c r="A461" s="4" t="s">
        <v>3263</v>
      </c>
      <c r="B461" s="4" t="s">
        <v>3186</v>
      </c>
      <c r="C461" s="4" t="s">
        <v>3194</v>
      </c>
      <c r="D461" s="4" t="s">
        <v>3195</v>
      </c>
      <c r="E461" s="4" t="s">
        <v>3214</v>
      </c>
      <c r="F461" s="4" t="s">
        <v>3190</v>
      </c>
      <c r="G461" s="4" t="s">
        <v>3190</v>
      </c>
      <c r="H461" s="7">
        <v>37869.446192129602</v>
      </c>
      <c r="I461" s="4" t="s">
        <v>3766</v>
      </c>
      <c r="J461" s="4" t="s">
        <v>3190</v>
      </c>
      <c r="K461" s="4" t="s">
        <v>3192</v>
      </c>
      <c r="L461" s="4" t="s">
        <v>3767</v>
      </c>
      <c r="M461" s="5">
        <v>930.52</v>
      </c>
    </row>
    <row r="462" spans="1:13" x14ac:dyDescent="0.25">
      <c r="A462" s="4" t="s">
        <v>3366</v>
      </c>
      <c r="B462" s="4" t="s">
        <v>3186</v>
      </c>
      <c r="C462" s="4" t="s">
        <v>3187</v>
      </c>
      <c r="D462" s="4" t="s">
        <v>3188</v>
      </c>
      <c r="E462" s="4" t="s">
        <v>3189</v>
      </c>
      <c r="F462" s="4" t="s">
        <v>3190</v>
      </c>
      <c r="G462" s="4" t="s">
        <v>3190</v>
      </c>
      <c r="H462" s="7">
        <v>37886.487615740698</v>
      </c>
      <c r="I462" s="4" t="s">
        <v>3768</v>
      </c>
      <c r="J462" s="4" t="s">
        <v>3190</v>
      </c>
      <c r="K462" s="4" t="s">
        <v>3192</v>
      </c>
      <c r="L462" s="4" t="s">
        <v>985</v>
      </c>
      <c r="M462" s="5">
        <v>266.7</v>
      </c>
    </row>
    <row r="463" spans="1:13" x14ac:dyDescent="0.25">
      <c r="A463" s="4" t="s">
        <v>3263</v>
      </c>
      <c r="B463" s="4" t="s">
        <v>3186</v>
      </c>
      <c r="C463" s="4" t="s">
        <v>3194</v>
      </c>
      <c r="D463" s="4" t="s">
        <v>3195</v>
      </c>
      <c r="E463" s="4" t="s">
        <v>3214</v>
      </c>
      <c r="F463" s="4" t="s">
        <v>3190</v>
      </c>
      <c r="G463" s="4" t="s">
        <v>3190</v>
      </c>
      <c r="H463" s="7">
        <v>37888.571666666699</v>
      </c>
      <c r="I463" s="4" t="s">
        <v>3769</v>
      </c>
      <c r="J463" s="4" t="s">
        <v>3190</v>
      </c>
      <c r="K463" s="4" t="s">
        <v>3192</v>
      </c>
      <c r="L463" s="4" t="s">
        <v>3767</v>
      </c>
      <c r="M463" s="5">
        <v>559.39</v>
      </c>
    </row>
    <row r="464" spans="1:13" x14ac:dyDescent="0.25">
      <c r="A464" s="4" t="s">
        <v>3263</v>
      </c>
      <c r="B464" s="4" t="s">
        <v>3186</v>
      </c>
      <c r="C464" s="4" t="s">
        <v>3725</v>
      </c>
      <c r="D464" s="4" t="s">
        <v>3195</v>
      </c>
      <c r="E464" s="4" t="s">
        <v>3418</v>
      </c>
      <c r="F464" s="4" t="s">
        <v>3190</v>
      </c>
      <c r="G464" s="4" t="s">
        <v>3190</v>
      </c>
      <c r="H464" s="7">
        <v>37889</v>
      </c>
      <c r="I464" s="4" t="s">
        <v>3770</v>
      </c>
      <c r="J464" s="4" t="s">
        <v>3190</v>
      </c>
      <c r="K464" s="4" t="s">
        <v>3192</v>
      </c>
      <c r="L464" s="4" t="s">
        <v>106</v>
      </c>
      <c r="M464" s="5">
        <v>8031.39</v>
      </c>
    </row>
    <row r="465" spans="1:13" x14ac:dyDescent="0.25">
      <c r="A465" s="4" t="s">
        <v>3391</v>
      </c>
      <c r="B465" s="4" t="s">
        <v>3186</v>
      </c>
      <c r="C465" s="4" t="s">
        <v>3187</v>
      </c>
      <c r="D465" s="4" t="s">
        <v>3188</v>
      </c>
      <c r="E465" s="4" t="s">
        <v>3189</v>
      </c>
      <c r="F465" s="4" t="s">
        <v>3190</v>
      </c>
      <c r="G465" s="4" t="s">
        <v>3190</v>
      </c>
      <c r="H465" s="7">
        <v>37897.466701388897</v>
      </c>
      <c r="I465" s="4" t="s">
        <v>3771</v>
      </c>
      <c r="J465" s="4" t="s">
        <v>3190</v>
      </c>
      <c r="K465" s="4" t="s">
        <v>3192</v>
      </c>
      <c r="L465" s="4" t="s">
        <v>3393</v>
      </c>
      <c r="M465" s="5">
        <v>264.85000000000002</v>
      </c>
    </row>
    <row r="466" spans="1:13" x14ac:dyDescent="0.25">
      <c r="A466" s="4" t="s">
        <v>3578</v>
      </c>
      <c r="B466" s="4" t="s">
        <v>3186</v>
      </c>
      <c r="C466" s="4" t="s">
        <v>3761</v>
      </c>
      <c r="D466" s="4" t="s">
        <v>3195</v>
      </c>
      <c r="E466" s="4" t="s">
        <v>3762</v>
      </c>
      <c r="F466" s="4" t="s">
        <v>3190</v>
      </c>
      <c r="G466" s="4" t="s">
        <v>3190</v>
      </c>
      <c r="H466" s="7">
        <v>37902</v>
      </c>
      <c r="I466" s="4" t="s">
        <v>3772</v>
      </c>
      <c r="J466" s="4" t="s">
        <v>3190</v>
      </c>
      <c r="K466" s="4" t="s">
        <v>3192</v>
      </c>
      <c r="L466" s="4" t="s">
        <v>222</v>
      </c>
      <c r="M466" s="5">
        <v>5000</v>
      </c>
    </row>
    <row r="467" spans="1:13" x14ac:dyDescent="0.25">
      <c r="A467" s="4" t="s">
        <v>3185</v>
      </c>
      <c r="B467" s="4" t="s">
        <v>3186</v>
      </c>
      <c r="C467" s="4" t="s">
        <v>3222</v>
      </c>
      <c r="D467" s="4" t="s">
        <v>3223</v>
      </c>
      <c r="E467" s="4" t="s">
        <v>3214</v>
      </c>
      <c r="F467" s="4" t="s">
        <v>3190</v>
      </c>
      <c r="G467" s="4" t="s">
        <v>3190</v>
      </c>
      <c r="H467" s="7">
        <v>37908.466793981497</v>
      </c>
      <c r="I467" s="4" t="s">
        <v>3773</v>
      </c>
      <c r="J467" s="4" t="s">
        <v>3190</v>
      </c>
      <c r="K467" s="4" t="s">
        <v>3192</v>
      </c>
      <c r="L467" s="4" t="s">
        <v>3719</v>
      </c>
      <c r="M467" s="5">
        <v>1071.18</v>
      </c>
    </row>
    <row r="468" spans="1:13" x14ac:dyDescent="0.25">
      <c r="A468" s="4" t="s">
        <v>3185</v>
      </c>
      <c r="B468" s="4" t="s">
        <v>3186</v>
      </c>
      <c r="C468" s="4" t="s">
        <v>3222</v>
      </c>
      <c r="D468" s="4" t="s">
        <v>3223</v>
      </c>
      <c r="E468" s="4" t="s">
        <v>3214</v>
      </c>
      <c r="F468" s="4" t="s">
        <v>3190</v>
      </c>
      <c r="G468" s="4" t="s">
        <v>3190</v>
      </c>
      <c r="H468" s="7">
        <v>37908.467314814799</v>
      </c>
      <c r="I468" s="4" t="s">
        <v>3774</v>
      </c>
      <c r="J468" s="4" t="s">
        <v>3190</v>
      </c>
      <c r="K468" s="4" t="s">
        <v>3192</v>
      </c>
      <c r="L468" s="4" t="s">
        <v>39</v>
      </c>
      <c r="M468" s="5">
        <v>790.08</v>
      </c>
    </row>
    <row r="469" spans="1:13" x14ac:dyDescent="0.25">
      <c r="A469" s="4" t="s">
        <v>3416</v>
      </c>
      <c r="B469" s="4" t="s">
        <v>3186</v>
      </c>
      <c r="C469" s="4" t="s">
        <v>3187</v>
      </c>
      <c r="D469" s="4" t="s">
        <v>3188</v>
      </c>
      <c r="E469" s="4" t="s">
        <v>3189</v>
      </c>
      <c r="F469" s="4" t="s">
        <v>3190</v>
      </c>
      <c r="G469" s="4" t="s">
        <v>3190</v>
      </c>
      <c r="H469" s="7">
        <v>37914.407476851899</v>
      </c>
      <c r="I469" s="4" t="s">
        <v>3775</v>
      </c>
      <c r="J469" s="4" t="s">
        <v>3190</v>
      </c>
      <c r="K469" s="4" t="s">
        <v>3192</v>
      </c>
      <c r="L469" s="4" t="s">
        <v>3776</v>
      </c>
      <c r="M469" s="5">
        <v>170</v>
      </c>
    </row>
    <row r="470" spans="1:13" x14ac:dyDescent="0.25">
      <c r="A470" s="4" t="s">
        <v>3185</v>
      </c>
      <c r="B470" s="4" t="s">
        <v>3186</v>
      </c>
      <c r="C470" s="4" t="s">
        <v>3222</v>
      </c>
      <c r="D470" s="4" t="s">
        <v>3223</v>
      </c>
      <c r="E470" s="4" t="s">
        <v>3214</v>
      </c>
      <c r="F470" s="4" t="s">
        <v>3190</v>
      </c>
      <c r="G470" s="4" t="s">
        <v>3190</v>
      </c>
      <c r="H470" s="7">
        <v>37918.671006944402</v>
      </c>
      <c r="I470" s="4" t="s">
        <v>3777</v>
      </c>
      <c r="J470" s="4" t="s">
        <v>3190</v>
      </c>
      <c r="K470" s="4" t="s">
        <v>3192</v>
      </c>
      <c r="L470" s="4" t="s">
        <v>3573</v>
      </c>
      <c r="M470" s="5">
        <v>1029.1400000000001</v>
      </c>
    </row>
    <row r="471" spans="1:13" x14ac:dyDescent="0.25">
      <c r="A471" s="4" t="s">
        <v>3578</v>
      </c>
      <c r="B471" s="4" t="s">
        <v>3186</v>
      </c>
      <c r="C471" s="4" t="s">
        <v>3761</v>
      </c>
      <c r="D471" s="4" t="s">
        <v>3188</v>
      </c>
      <c r="E471" s="4" t="s">
        <v>3762</v>
      </c>
      <c r="F471" s="4" t="s">
        <v>3190</v>
      </c>
      <c r="G471" s="4" t="s">
        <v>3190</v>
      </c>
      <c r="H471" s="7">
        <v>37930</v>
      </c>
      <c r="I471" s="4" t="s">
        <v>3778</v>
      </c>
      <c r="J471" s="4" t="s">
        <v>3190</v>
      </c>
      <c r="K471" s="4" t="s">
        <v>3192</v>
      </c>
      <c r="L471" s="4" t="s">
        <v>222</v>
      </c>
      <c r="M471" s="5">
        <v>5809.63</v>
      </c>
    </row>
    <row r="472" spans="1:13" x14ac:dyDescent="0.25">
      <c r="A472" s="4" t="s">
        <v>3578</v>
      </c>
      <c r="B472" s="4" t="s">
        <v>3186</v>
      </c>
      <c r="C472" s="4" t="s">
        <v>3761</v>
      </c>
      <c r="D472" s="4" t="s">
        <v>3195</v>
      </c>
      <c r="E472" s="4" t="s">
        <v>3762</v>
      </c>
      <c r="F472" s="4" t="s">
        <v>3779</v>
      </c>
      <c r="G472" s="4" t="s">
        <v>3190</v>
      </c>
      <c r="H472" s="7">
        <v>37930</v>
      </c>
      <c r="I472" s="4" t="s">
        <v>3778</v>
      </c>
      <c r="J472" s="4" t="s">
        <v>3190</v>
      </c>
      <c r="K472" s="4" t="s">
        <v>3192</v>
      </c>
      <c r="L472" s="4" t="s">
        <v>222</v>
      </c>
      <c r="M472" s="5">
        <v>25938</v>
      </c>
    </row>
    <row r="473" spans="1:13" x14ac:dyDescent="0.25">
      <c r="A473" s="4" t="s">
        <v>3221</v>
      </c>
      <c r="B473" s="4" t="s">
        <v>3186</v>
      </c>
      <c r="C473" s="4" t="s">
        <v>3222</v>
      </c>
      <c r="D473" s="4" t="s">
        <v>3223</v>
      </c>
      <c r="E473" s="4" t="s">
        <v>3214</v>
      </c>
      <c r="F473" s="4" t="s">
        <v>3190</v>
      </c>
      <c r="G473" s="4" t="s">
        <v>3190</v>
      </c>
      <c r="H473" s="7">
        <v>37937</v>
      </c>
      <c r="I473" s="4" t="s">
        <v>3780</v>
      </c>
      <c r="J473" s="4" t="s">
        <v>3190</v>
      </c>
      <c r="K473" s="4" t="s">
        <v>3192</v>
      </c>
      <c r="L473" s="4" t="s">
        <v>764</v>
      </c>
      <c r="M473" s="5">
        <v>191.07</v>
      </c>
    </row>
    <row r="474" spans="1:13" x14ac:dyDescent="0.25">
      <c r="A474" s="4" t="s">
        <v>3578</v>
      </c>
      <c r="B474" s="4" t="s">
        <v>3186</v>
      </c>
      <c r="C474" s="4" t="s">
        <v>3194</v>
      </c>
      <c r="D474" s="4" t="s">
        <v>3195</v>
      </c>
      <c r="E474" s="4" t="s">
        <v>3214</v>
      </c>
      <c r="F474" s="4" t="s">
        <v>3190</v>
      </c>
      <c r="G474" s="4" t="s">
        <v>3190</v>
      </c>
      <c r="H474" s="7">
        <v>37937.583252314798</v>
      </c>
      <c r="I474" s="4" t="s">
        <v>3781</v>
      </c>
      <c r="J474" s="4" t="s">
        <v>3190</v>
      </c>
      <c r="K474" s="4" t="s">
        <v>3192</v>
      </c>
      <c r="L474" s="4" t="s">
        <v>3354</v>
      </c>
      <c r="M474" s="5">
        <v>9756</v>
      </c>
    </row>
    <row r="475" spans="1:13" x14ac:dyDescent="0.25">
      <c r="A475" s="4" t="s">
        <v>3240</v>
      </c>
      <c r="B475" s="4" t="s">
        <v>3186</v>
      </c>
      <c r="C475" s="4" t="s">
        <v>3187</v>
      </c>
      <c r="D475" s="4" t="s">
        <v>3188</v>
      </c>
      <c r="E475" s="4" t="s">
        <v>3189</v>
      </c>
      <c r="F475" s="4" t="s">
        <v>3190</v>
      </c>
      <c r="G475" s="4" t="s">
        <v>3190</v>
      </c>
      <c r="H475" s="7">
        <v>37950</v>
      </c>
      <c r="I475" s="4" t="s">
        <v>3782</v>
      </c>
      <c r="J475" s="4" t="s">
        <v>3190</v>
      </c>
      <c r="K475" s="4" t="s">
        <v>3192</v>
      </c>
      <c r="L475" s="4" t="s">
        <v>220</v>
      </c>
      <c r="M475" s="5">
        <v>416.09</v>
      </c>
    </row>
    <row r="476" spans="1:13" x14ac:dyDescent="0.25">
      <c r="A476" s="4" t="s">
        <v>3185</v>
      </c>
      <c r="B476" s="4" t="s">
        <v>3186</v>
      </c>
      <c r="C476" s="4" t="s">
        <v>3187</v>
      </c>
      <c r="D476" s="4" t="s">
        <v>3188</v>
      </c>
      <c r="E476" s="4" t="s">
        <v>3189</v>
      </c>
      <c r="F476" s="4" t="s">
        <v>3190</v>
      </c>
      <c r="G476" s="4" t="s">
        <v>3190</v>
      </c>
      <c r="H476" s="7">
        <v>37994</v>
      </c>
      <c r="I476" s="4" t="s">
        <v>3783</v>
      </c>
      <c r="J476" s="4" t="s">
        <v>3190</v>
      </c>
      <c r="K476" s="4" t="s">
        <v>3192</v>
      </c>
      <c r="L476" s="4" t="s">
        <v>3784</v>
      </c>
      <c r="M476" s="5">
        <v>500</v>
      </c>
    </row>
    <row r="477" spans="1:13" x14ac:dyDescent="0.25">
      <c r="A477" s="4" t="s">
        <v>3420</v>
      </c>
      <c r="B477" s="4" t="s">
        <v>3186</v>
      </c>
      <c r="C477" s="4" t="s">
        <v>3194</v>
      </c>
      <c r="D477" s="4" t="s">
        <v>3195</v>
      </c>
      <c r="E477" s="4" t="s">
        <v>3227</v>
      </c>
      <c r="F477" s="4" t="s">
        <v>3190</v>
      </c>
      <c r="G477" s="4" t="s">
        <v>3190</v>
      </c>
      <c r="H477" s="7">
        <v>38014.463750000003</v>
      </c>
      <c r="I477" s="4" t="s">
        <v>3785</v>
      </c>
      <c r="J477" s="4" t="s">
        <v>3190</v>
      </c>
      <c r="K477" s="4" t="s">
        <v>3192</v>
      </c>
      <c r="L477" s="4" t="s">
        <v>2504</v>
      </c>
      <c r="M477" s="5">
        <v>835</v>
      </c>
    </row>
    <row r="478" spans="1:13" x14ac:dyDescent="0.25">
      <c r="A478" s="4" t="s">
        <v>3221</v>
      </c>
      <c r="B478" s="4" t="s">
        <v>3186</v>
      </c>
      <c r="C478" s="4" t="s">
        <v>3187</v>
      </c>
      <c r="D478" s="4" t="s">
        <v>3188</v>
      </c>
      <c r="E478" s="4" t="s">
        <v>3189</v>
      </c>
      <c r="F478" s="4" t="s">
        <v>3190</v>
      </c>
      <c r="G478" s="4" t="s">
        <v>3190</v>
      </c>
      <c r="H478" s="7">
        <v>38016</v>
      </c>
      <c r="I478" s="4" t="s">
        <v>3786</v>
      </c>
      <c r="J478" s="4" t="s">
        <v>3190</v>
      </c>
      <c r="K478" s="4" t="s">
        <v>3192</v>
      </c>
      <c r="L478" s="4" t="s">
        <v>764</v>
      </c>
      <c r="M478" s="5">
        <v>396.4</v>
      </c>
    </row>
    <row r="479" spans="1:13" x14ac:dyDescent="0.25">
      <c r="A479" s="4" t="s">
        <v>3221</v>
      </c>
      <c r="B479" s="4" t="s">
        <v>3186</v>
      </c>
      <c r="C479" s="4" t="s">
        <v>3194</v>
      </c>
      <c r="D479" s="4" t="s">
        <v>3195</v>
      </c>
      <c r="E479" s="4" t="s">
        <v>3214</v>
      </c>
      <c r="F479" s="4" t="s">
        <v>3190</v>
      </c>
      <c r="G479" s="4" t="s">
        <v>3190</v>
      </c>
      <c r="H479" s="7">
        <v>38019</v>
      </c>
      <c r="I479" s="4" t="s">
        <v>3787</v>
      </c>
      <c r="J479" s="4" t="s">
        <v>3190</v>
      </c>
      <c r="K479" s="4" t="s">
        <v>3192</v>
      </c>
      <c r="L479" s="4" t="s">
        <v>3225</v>
      </c>
      <c r="M479" s="5">
        <v>116.41</v>
      </c>
    </row>
    <row r="480" spans="1:13" x14ac:dyDescent="0.25">
      <c r="A480" s="4" t="s">
        <v>3221</v>
      </c>
      <c r="B480" s="4" t="s">
        <v>3186</v>
      </c>
      <c r="C480" s="4" t="s">
        <v>3194</v>
      </c>
      <c r="D480" s="4" t="s">
        <v>3195</v>
      </c>
      <c r="E480" s="4" t="s">
        <v>3199</v>
      </c>
      <c r="F480" s="4" t="s">
        <v>3190</v>
      </c>
      <c r="G480" s="4" t="s">
        <v>3190</v>
      </c>
      <c r="H480" s="7">
        <v>38019</v>
      </c>
      <c r="I480" s="4" t="s">
        <v>3787</v>
      </c>
      <c r="J480" s="4" t="s">
        <v>3190</v>
      </c>
      <c r="K480" s="4" t="s">
        <v>3192</v>
      </c>
      <c r="L480" s="4" t="s">
        <v>3225</v>
      </c>
      <c r="M480" s="5">
        <v>441.88</v>
      </c>
    </row>
    <row r="481" spans="1:13" x14ac:dyDescent="0.25">
      <c r="A481" s="4" t="s">
        <v>3420</v>
      </c>
      <c r="B481" s="4" t="s">
        <v>3186</v>
      </c>
      <c r="C481" s="4" t="s">
        <v>3788</v>
      </c>
      <c r="D481" s="4" t="s">
        <v>3195</v>
      </c>
      <c r="E481" s="4" t="s">
        <v>3214</v>
      </c>
      <c r="F481" s="4" t="s">
        <v>3190</v>
      </c>
      <c r="G481" s="4" t="s">
        <v>3190</v>
      </c>
      <c r="H481" s="7">
        <v>38021</v>
      </c>
      <c r="I481" s="4" t="s">
        <v>3789</v>
      </c>
      <c r="J481" s="4" t="s">
        <v>3190</v>
      </c>
      <c r="K481" s="4" t="s">
        <v>3192</v>
      </c>
      <c r="L481" s="4" t="s">
        <v>1994</v>
      </c>
      <c r="M481" s="5">
        <v>30000</v>
      </c>
    </row>
    <row r="482" spans="1:13" x14ac:dyDescent="0.25">
      <c r="A482" s="4" t="s">
        <v>3404</v>
      </c>
      <c r="B482" s="4" t="s">
        <v>3186</v>
      </c>
      <c r="C482" s="4" t="s">
        <v>3194</v>
      </c>
      <c r="D482" s="4" t="s">
        <v>3195</v>
      </c>
      <c r="E482" s="4" t="s">
        <v>3214</v>
      </c>
      <c r="F482" s="4" t="s">
        <v>3190</v>
      </c>
      <c r="G482" s="4" t="s">
        <v>3190</v>
      </c>
      <c r="H482" s="7">
        <v>38035</v>
      </c>
      <c r="I482" s="4" t="s">
        <v>3790</v>
      </c>
      <c r="J482" s="4" t="s">
        <v>3190</v>
      </c>
      <c r="K482" s="4" t="s">
        <v>3192</v>
      </c>
      <c r="L482" s="4" t="s">
        <v>840</v>
      </c>
      <c r="M482" s="5">
        <v>3238.95</v>
      </c>
    </row>
    <row r="483" spans="1:13" x14ac:dyDescent="0.25">
      <c r="A483" s="4" t="s">
        <v>3269</v>
      </c>
      <c r="B483" s="4" t="s">
        <v>3186</v>
      </c>
      <c r="C483" s="4" t="s">
        <v>3725</v>
      </c>
      <c r="D483" s="4" t="s">
        <v>3195</v>
      </c>
      <c r="E483" s="4" t="s">
        <v>3418</v>
      </c>
      <c r="F483" s="4" t="s">
        <v>3190</v>
      </c>
      <c r="G483" s="4" t="s">
        <v>3190</v>
      </c>
      <c r="H483" s="7">
        <v>38041</v>
      </c>
      <c r="I483" s="4" t="s">
        <v>3791</v>
      </c>
      <c r="J483" s="4" t="s">
        <v>3190</v>
      </c>
      <c r="K483" s="4" t="s">
        <v>3192</v>
      </c>
      <c r="L483" s="4" t="s">
        <v>3743</v>
      </c>
      <c r="M483" s="5">
        <v>15359.79</v>
      </c>
    </row>
    <row r="484" spans="1:13" x14ac:dyDescent="0.25">
      <c r="A484" s="4" t="s">
        <v>3221</v>
      </c>
      <c r="B484" s="4" t="s">
        <v>3186</v>
      </c>
      <c r="C484" s="4" t="s">
        <v>3725</v>
      </c>
      <c r="D484" s="4" t="s">
        <v>3195</v>
      </c>
      <c r="E484" s="4" t="s">
        <v>3418</v>
      </c>
      <c r="F484" s="4" t="s">
        <v>3190</v>
      </c>
      <c r="G484" s="4" t="s">
        <v>3190</v>
      </c>
      <c r="H484" s="7">
        <v>38043</v>
      </c>
      <c r="I484" s="4" t="s">
        <v>3792</v>
      </c>
      <c r="J484" s="4" t="s">
        <v>3190</v>
      </c>
      <c r="K484" s="4" t="s">
        <v>3192</v>
      </c>
      <c r="L484" s="4" t="s">
        <v>3225</v>
      </c>
      <c r="M484" s="5">
        <v>755.44</v>
      </c>
    </row>
    <row r="485" spans="1:13" x14ac:dyDescent="0.25">
      <c r="A485" s="4" t="s">
        <v>3644</v>
      </c>
      <c r="B485" s="4" t="s">
        <v>3186</v>
      </c>
      <c r="C485" s="4" t="s">
        <v>3194</v>
      </c>
      <c r="D485" s="4" t="s">
        <v>3195</v>
      </c>
      <c r="E485" s="4" t="s">
        <v>3214</v>
      </c>
      <c r="F485" s="4" t="s">
        <v>3190</v>
      </c>
      <c r="G485" s="4" t="s">
        <v>3190</v>
      </c>
      <c r="H485" s="7">
        <v>38058</v>
      </c>
      <c r="I485" s="4" t="s">
        <v>3793</v>
      </c>
      <c r="J485" s="4" t="s">
        <v>3190</v>
      </c>
      <c r="K485" s="4" t="s">
        <v>3192</v>
      </c>
      <c r="L485" s="4" t="s">
        <v>92</v>
      </c>
      <c r="M485" s="5">
        <v>32400</v>
      </c>
    </row>
    <row r="486" spans="1:13" x14ac:dyDescent="0.25">
      <c r="A486" s="4" t="s">
        <v>3204</v>
      </c>
      <c r="B486" s="4" t="s">
        <v>3186</v>
      </c>
      <c r="C486" s="4" t="s">
        <v>3187</v>
      </c>
      <c r="D486" s="4" t="s">
        <v>3188</v>
      </c>
      <c r="E486" s="4" t="s">
        <v>3189</v>
      </c>
      <c r="F486" s="4" t="s">
        <v>3190</v>
      </c>
      <c r="G486" s="4" t="s">
        <v>3190</v>
      </c>
      <c r="H486" s="7">
        <v>38071</v>
      </c>
      <c r="I486" s="4" t="s">
        <v>3794</v>
      </c>
      <c r="J486" s="4" t="s">
        <v>3190</v>
      </c>
      <c r="K486" s="4" t="s">
        <v>3192</v>
      </c>
      <c r="L486" s="4" t="s">
        <v>1208</v>
      </c>
      <c r="M486" s="5">
        <v>2161.84</v>
      </c>
    </row>
    <row r="487" spans="1:13" x14ac:dyDescent="0.25">
      <c r="A487" s="4" t="s">
        <v>3221</v>
      </c>
      <c r="B487" s="4" t="s">
        <v>3186</v>
      </c>
      <c r="C487" s="4" t="s">
        <v>3722</v>
      </c>
      <c r="D487" s="4" t="s">
        <v>3188</v>
      </c>
      <c r="E487" s="4" t="s">
        <v>3723</v>
      </c>
      <c r="F487" s="4" t="s">
        <v>3190</v>
      </c>
      <c r="G487" s="4" t="s">
        <v>3190</v>
      </c>
      <c r="H487" s="7">
        <v>38091</v>
      </c>
      <c r="I487" s="4" t="s">
        <v>3795</v>
      </c>
      <c r="J487" s="4" t="s">
        <v>3190</v>
      </c>
      <c r="K487" s="4" t="s">
        <v>3192</v>
      </c>
      <c r="L487" s="4" t="s">
        <v>3273</v>
      </c>
      <c r="M487" s="5">
        <v>860.19</v>
      </c>
    </row>
    <row r="488" spans="1:13" x14ac:dyDescent="0.25">
      <c r="A488" s="4" t="s">
        <v>3644</v>
      </c>
      <c r="B488" s="4" t="s">
        <v>3186</v>
      </c>
      <c r="C488" s="4" t="s">
        <v>3761</v>
      </c>
      <c r="D488" s="4" t="s">
        <v>3195</v>
      </c>
      <c r="E488" s="4" t="s">
        <v>3762</v>
      </c>
      <c r="F488" s="4" t="s">
        <v>3190</v>
      </c>
      <c r="G488" s="4" t="s">
        <v>3190</v>
      </c>
      <c r="H488" s="7">
        <v>38096</v>
      </c>
      <c r="I488" s="4" t="s">
        <v>3796</v>
      </c>
      <c r="J488" s="4" t="s">
        <v>3190</v>
      </c>
      <c r="K488" s="4" t="s">
        <v>3192</v>
      </c>
      <c r="L488" s="4" t="s">
        <v>95</v>
      </c>
      <c r="M488" s="5">
        <v>60000</v>
      </c>
    </row>
    <row r="489" spans="1:13" x14ac:dyDescent="0.25">
      <c r="A489" s="4" t="s">
        <v>3627</v>
      </c>
      <c r="B489" s="4" t="s">
        <v>3186</v>
      </c>
      <c r="C489" s="4" t="s">
        <v>3194</v>
      </c>
      <c r="D489" s="4" t="s">
        <v>3195</v>
      </c>
      <c r="E489" s="4" t="s">
        <v>3214</v>
      </c>
      <c r="F489" s="4" t="s">
        <v>3190</v>
      </c>
      <c r="G489" s="4" t="s">
        <v>3190</v>
      </c>
      <c r="H489" s="7">
        <v>38114</v>
      </c>
      <c r="I489" s="4" t="s">
        <v>3797</v>
      </c>
      <c r="J489" s="4" t="s">
        <v>3190</v>
      </c>
      <c r="K489" s="4" t="s">
        <v>3192</v>
      </c>
      <c r="L489" s="4" t="s">
        <v>3798</v>
      </c>
      <c r="M489" s="5">
        <v>1957.55</v>
      </c>
    </row>
    <row r="490" spans="1:13" x14ac:dyDescent="0.25">
      <c r="A490" s="4" t="s">
        <v>3206</v>
      </c>
      <c r="B490" s="4" t="s">
        <v>3186</v>
      </c>
      <c r="C490" s="4" t="s">
        <v>3194</v>
      </c>
      <c r="D490" s="4" t="s">
        <v>3195</v>
      </c>
      <c r="E490" s="4" t="s">
        <v>3196</v>
      </c>
      <c r="F490" s="4" t="s">
        <v>3190</v>
      </c>
      <c r="G490" s="4" t="s">
        <v>3190</v>
      </c>
      <c r="H490" s="7">
        <v>38119</v>
      </c>
      <c r="I490" s="4" t="s">
        <v>3799</v>
      </c>
      <c r="J490" s="4" t="s">
        <v>3190</v>
      </c>
      <c r="K490" s="4" t="s">
        <v>3192</v>
      </c>
      <c r="L490" s="4" t="s">
        <v>3800</v>
      </c>
      <c r="M490" s="5">
        <v>1165.6400000000001</v>
      </c>
    </row>
    <row r="491" spans="1:13" x14ac:dyDescent="0.25">
      <c r="A491" s="4" t="s">
        <v>3185</v>
      </c>
      <c r="B491" s="4" t="s">
        <v>3186</v>
      </c>
      <c r="C491" s="4" t="s">
        <v>3194</v>
      </c>
      <c r="D491" s="4" t="s">
        <v>3195</v>
      </c>
      <c r="E491" s="4" t="s">
        <v>3196</v>
      </c>
      <c r="F491" s="4" t="s">
        <v>3190</v>
      </c>
      <c r="G491" s="4" t="s">
        <v>3190</v>
      </c>
      <c r="H491" s="7">
        <v>38119</v>
      </c>
      <c r="I491" s="4" t="s">
        <v>3799</v>
      </c>
      <c r="J491" s="4" t="s">
        <v>3190</v>
      </c>
      <c r="K491" s="4" t="s">
        <v>3192</v>
      </c>
      <c r="L491" s="4" t="s">
        <v>3800</v>
      </c>
      <c r="M491" s="5">
        <v>450.16</v>
      </c>
    </row>
    <row r="492" spans="1:13" x14ac:dyDescent="0.25">
      <c r="A492" s="4" t="s">
        <v>3343</v>
      </c>
      <c r="B492" s="4" t="s">
        <v>3186</v>
      </c>
      <c r="C492" s="4" t="s">
        <v>3187</v>
      </c>
      <c r="D492" s="4" t="s">
        <v>3188</v>
      </c>
      <c r="E492" s="4" t="s">
        <v>3189</v>
      </c>
      <c r="F492" s="4" t="s">
        <v>3190</v>
      </c>
      <c r="G492" s="4" t="s">
        <v>3190</v>
      </c>
      <c r="H492" s="7">
        <v>38132.407037037003</v>
      </c>
      <c r="I492" s="4" t="s">
        <v>3801</v>
      </c>
      <c r="J492" s="4" t="s">
        <v>3190</v>
      </c>
      <c r="K492" s="4" t="s">
        <v>3192</v>
      </c>
      <c r="L492" s="4" t="s">
        <v>78</v>
      </c>
      <c r="M492" s="5">
        <v>3960</v>
      </c>
    </row>
    <row r="493" spans="1:13" x14ac:dyDescent="0.25">
      <c r="A493" s="4" t="s">
        <v>3263</v>
      </c>
      <c r="B493" s="4" t="s">
        <v>3186</v>
      </c>
      <c r="C493" s="4" t="s">
        <v>3802</v>
      </c>
      <c r="D493" s="4" t="s">
        <v>3195</v>
      </c>
      <c r="E493" s="4" t="s">
        <v>3214</v>
      </c>
      <c r="F493" s="4" t="s">
        <v>3190</v>
      </c>
      <c r="G493" s="4" t="s">
        <v>3190</v>
      </c>
      <c r="H493" s="7">
        <v>38132.532337962999</v>
      </c>
      <c r="I493" s="4" t="s">
        <v>3803</v>
      </c>
      <c r="J493" s="4" t="s">
        <v>3190</v>
      </c>
      <c r="K493" s="4" t="s">
        <v>3192</v>
      </c>
      <c r="L493" s="4" t="s">
        <v>132</v>
      </c>
      <c r="M493" s="5">
        <v>1034.8499999999999</v>
      </c>
    </row>
    <row r="494" spans="1:13" x14ac:dyDescent="0.25">
      <c r="A494" s="4" t="s">
        <v>3404</v>
      </c>
      <c r="B494" s="4" t="s">
        <v>3186</v>
      </c>
      <c r="C494" s="4" t="s">
        <v>3194</v>
      </c>
      <c r="D494" s="4" t="s">
        <v>3195</v>
      </c>
      <c r="E494" s="4" t="s">
        <v>3214</v>
      </c>
      <c r="F494" s="4" t="s">
        <v>3190</v>
      </c>
      <c r="G494" s="4" t="s">
        <v>3190</v>
      </c>
      <c r="H494" s="7">
        <v>38142.491608796299</v>
      </c>
      <c r="I494" s="4" t="s">
        <v>3804</v>
      </c>
      <c r="J494" s="4" t="s">
        <v>3190</v>
      </c>
      <c r="K494" s="4" t="s">
        <v>3192</v>
      </c>
      <c r="L494" s="4" t="s">
        <v>48</v>
      </c>
      <c r="M494" s="5">
        <v>5134.09</v>
      </c>
    </row>
    <row r="495" spans="1:13" x14ac:dyDescent="0.25">
      <c r="A495" s="4" t="s">
        <v>3343</v>
      </c>
      <c r="B495" s="4" t="s">
        <v>3186</v>
      </c>
      <c r="C495" s="4" t="s">
        <v>3187</v>
      </c>
      <c r="D495" s="4" t="s">
        <v>3188</v>
      </c>
      <c r="E495" s="4" t="s">
        <v>3189</v>
      </c>
      <c r="F495" s="4" t="s">
        <v>3190</v>
      </c>
      <c r="G495" s="4" t="s">
        <v>3190</v>
      </c>
      <c r="H495" s="7">
        <v>38169</v>
      </c>
      <c r="I495" s="4" t="s">
        <v>3805</v>
      </c>
      <c r="J495" s="4" t="s">
        <v>3190</v>
      </c>
      <c r="K495" s="4" t="s">
        <v>3192</v>
      </c>
      <c r="L495" s="4" t="s">
        <v>78</v>
      </c>
      <c r="M495" s="5">
        <v>3960</v>
      </c>
    </row>
    <row r="496" spans="1:13" x14ac:dyDescent="0.25">
      <c r="A496" s="4" t="s">
        <v>3206</v>
      </c>
      <c r="B496" s="4" t="s">
        <v>3186</v>
      </c>
      <c r="C496" s="4" t="s">
        <v>3234</v>
      </c>
      <c r="D496" s="4" t="s">
        <v>3188</v>
      </c>
      <c r="E496" s="4" t="s">
        <v>3189</v>
      </c>
      <c r="F496" s="4" t="s">
        <v>3190</v>
      </c>
      <c r="G496" s="4" t="s">
        <v>3190</v>
      </c>
      <c r="H496" s="7">
        <v>38182</v>
      </c>
      <c r="I496" s="4" t="s">
        <v>3806</v>
      </c>
      <c r="J496" s="4" t="s">
        <v>3190</v>
      </c>
      <c r="K496" s="4" t="s">
        <v>3192</v>
      </c>
      <c r="L496" s="4" t="s">
        <v>92</v>
      </c>
      <c r="M496" s="5">
        <v>1623</v>
      </c>
    </row>
    <row r="497" spans="1:13" x14ac:dyDescent="0.25">
      <c r="A497" s="4" t="s">
        <v>3185</v>
      </c>
      <c r="B497" s="4" t="s">
        <v>3186</v>
      </c>
      <c r="C497" s="4" t="s">
        <v>3194</v>
      </c>
      <c r="D497" s="4" t="s">
        <v>3195</v>
      </c>
      <c r="E497" s="4" t="s">
        <v>3227</v>
      </c>
      <c r="F497" s="4" t="s">
        <v>3190</v>
      </c>
      <c r="G497" s="4" t="s">
        <v>3190</v>
      </c>
      <c r="H497" s="7">
        <v>38196</v>
      </c>
      <c r="I497" s="4" t="s">
        <v>3807</v>
      </c>
      <c r="J497" s="4" t="s">
        <v>3190</v>
      </c>
      <c r="K497" s="4" t="s">
        <v>3192</v>
      </c>
      <c r="L497" s="4" t="s">
        <v>280</v>
      </c>
      <c r="M497" s="5">
        <v>2323.0500000000002</v>
      </c>
    </row>
    <row r="498" spans="1:13" x14ac:dyDescent="0.25">
      <c r="A498" s="4" t="s">
        <v>3239</v>
      </c>
      <c r="B498" s="4" t="s">
        <v>3186</v>
      </c>
      <c r="C498" s="4" t="s">
        <v>3187</v>
      </c>
      <c r="D498" s="4" t="s">
        <v>3188</v>
      </c>
      <c r="E498" s="4" t="s">
        <v>3189</v>
      </c>
      <c r="F498" s="4" t="s">
        <v>3190</v>
      </c>
      <c r="G498" s="4" t="s">
        <v>3190</v>
      </c>
      <c r="H498" s="7">
        <v>38211</v>
      </c>
      <c r="I498" s="4" t="s">
        <v>3808</v>
      </c>
      <c r="J498" s="4" t="s">
        <v>3190</v>
      </c>
      <c r="K498" s="4" t="s">
        <v>3192</v>
      </c>
      <c r="L498" s="4" t="s">
        <v>3809</v>
      </c>
      <c r="M498" s="5">
        <v>1400.41</v>
      </c>
    </row>
    <row r="499" spans="1:13" x14ac:dyDescent="0.25">
      <c r="A499" s="4" t="s">
        <v>3810</v>
      </c>
      <c r="B499" s="4" t="s">
        <v>3186</v>
      </c>
      <c r="C499" s="4" t="s">
        <v>3761</v>
      </c>
      <c r="D499" s="4" t="s">
        <v>3195</v>
      </c>
      <c r="E499" s="4" t="s">
        <v>3762</v>
      </c>
      <c r="F499" s="4" t="s">
        <v>3190</v>
      </c>
      <c r="G499" s="4" t="s">
        <v>3190</v>
      </c>
      <c r="H499" s="7">
        <v>38212.362546296303</v>
      </c>
      <c r="I499" s="4" t="s">
        <v>3811</v>
      </c>
      <c r="J499" s="4" t="s">
        <v>3190</v>
      </c>
      <c r="K499" s="4" t="s">
        <v>3192</v>
      </c>
      <c r="L499" s="4" t="s">
        <v>3812</v>
      </c>
      <c r="M499" s="5">
        <v>9000</v>
      </c>
    </row>
    <row r="500" spans="1:13" x14ac:dyDescent="0.25">
      <c r="A500" s="4" t="s">
        <v>3240</v>
      </c>
      <c r="B500" s="4" t="s">
        <v>3186</v>
      </c>
      <c r="C500" s="4" t="s">
        <v>3194</v>
      </c>
      <c r="D500" s="4" t="s">
        <v>3195</v>
      </c>
      <c r="E500" s="4" t="s">
        <v>3214</v>
      </c>
      <c r="F500" s="4" t="s">
        <v>3190</v>
      </c>
      <c r="G500" s="4" t="s">
        <v>3190</v>
      </c>
      <c r="H500" s="7">
        <v>38223</v>
      </c>
      <c r="I500" s="4" t="s">
        <v>3813</v>
      </c>
      <c r="J500" s="4" t="s">
        <v>3190</v>
      </c>
      <c r="K500" s="4" t="s">
        <v>3192</v>
      </c>
      <c r="L500" s="4" t="s">
        <v>3261</v>
      </c>
      <c r="M500" s="5">
        <v>356.64</v>
      </c>
    </row>
    <row r="501" spans="1:13" x14ac:dyDescent="0.25">
      <c r="A501" s="4" t="s">
        <v>3221</v>
      </c>
      <c r="B501" s="4" t="s">
        <v>3186</v>
      </c>
      <c r="C501" s="4" t="s">
        <v>3802</v>
      </c>
      <c r="D501" s="4" t="s">
        <v>3195</v>
      </c>
      <c r="E501" s="4" t="s">
        <v>3214</v>
      </c>
      <c r="F501" s="4" t="s">
        <v>3190</v>
      </c>
      <c r="G501" s="4" t="s">
        <v>3190</v>
      </c>
      <c r="H501" s="7">
        <v>38232</v>
      </c>
      <c r="I501" s="4" t="s">
        <v>3814</v>
      </c>
      <c r="J501" s="4" t="s">
        <v>3190</v>
      </c>
      <c r="K501" s="4" t="s">
        <v>3192</v>
      </c>
      <c r="L501" s="4" t="s">
        <v>3815</v>
      </c>
      <c r="M501" s="5">
        <v>373.29</v>
      </c>
    </row>
    <row r="502" spans="1:13" x14ac:dyDescent="0.25">
      <c r="A502" s="4" t="s">
        <v>3221</v>
      </c>
      <c r="B502" s="4" t="s">
        <v>3186</v>
      </c>
      <c r="C502" s="4" t="s">
        <v>3187</v>
      </c>
      <c r="D502" s="4" t="s">
        <v>3188</v>
      </c>
      <c r="E502" s="4" t="s">
        <v>3189</v>
      </c>
      <c r="F502" s="4" t="s">
        <v>3190</v>
      </c>
      <c r="G502" s="4" t="s">
        <v>3190</v>
      </c>
      <c r="H502" s="7">
        <v>38233</v>
      </c>
      <c r="I502" s="4" t="s">
        <v>3816</v>
      </c>
      <c r="J502" s="4" t="s">
        <v>3190</v>
      </c>
      <c r="K502" s="4" t="s">
        <v>3192</v>
      </c>
      <c r="L502" s="4" t="s">
        <v>3273</v>
      </c>
      <c r="M502" s="5">
        <v>2464.8000000000002</v>
      </c>
    </row>
    <row r="503" spans="1:13" x14ac:dyDescent="0.25">
      <c r="A503" s="4" t="s">
        <v>3817</v>
      </c>
      <c r="B503" s="4" t="s">
        <v>3186</v>
      </c>
      <c r="C503" s="4" t="s">
        <v>3761</v>
      </c>
      <c r="D503" s="4" t="s">
        <v>3195</v>
      </c>
      <c r="E503" s="4" t="s">
        <v>3762</v>
      </c>
      <c r="F503" s="4" t="s">
        <v>3190</v>
      </c>
      <c r="G503" s="4" t="s">
        <v>3190</v>
      </c>
      <c r="H503" s="7">
        <v>38243.4304976852</v>
      </c>
      <c r="I503" s="4" t="s">
        <v>3818</v>
      </c>
      <c r="J503" s="4" t="s">
        <v>3190</v>
      </c>
      <c r="K503" s="4" t="s">
        <v>3192</v>
      </c>
      <c r="L503" s="4" t="s">
        <v>95</v>
      </c>
      <c r="M503" s="5">
        <v>10306.299999999999</v>
      </c>
    </row>
    <row r="504" spans="1:13" x14ac:dyDescent="0.25">
      <c r="A504" s="4" t="s">
        <v>3644</v>
      </c>
      <c r="B504" s="4" t="s">
        <v>3186</v>
      </c>
      <c r="C504" s="4" t="s">
        <v>3761</v>
      </c>
      <c r="D504" s="4" t="s">
        <v>3195</v>
      </c>
      <c r="E504" s="4" t="s">
        <v>3762</v>
      </c>
      <c r="F504" s="4" t="s">
        <v>3190</v>
      </c>
      <c r="G504" s="4" t="s">
        <v>3190</v>
      </c>
      <c r="H504" s="7">
        <v>38243.4304976852</v>
      </c>
      <c r="I504" s="4" t="s">
        <v>3818</v>
      </c>
      <c r="J504" s="4" t="s">
        <v>3190</v>
      </c>
      <c r="K504" s="4" t="s">
        <v>3192</v>
      </c>
      <c r="L504" s="4" t="s">
        <v>95</v>
      </c>
      <c r="M504" s="5">
        <v>180000</v>
      </c>
    </row>
    <row r="505" spans="1:13" x14ac:dyDescent="0.25">
      <c r="A505" s="4" t="s">
        <v>3366</v>
      </c>
      <c r="B505" s="4" t="s">
        <v>3186</v>
      </c>
      <c r="C505" s="4" t="s">
        <v>3194</v>
      </c>
      <c r="D505" s="4" t="s">
        <v>3195</v>
      </c>
      <c r="E505" s="4" t="s">
        <v>3214</v>
      </c>
      <c r="F505" s="4" t="s">
        <v>3190</v>
      </c>
      <c r="G505" s="4" t="s">
        <v>3190</v>
      </c>
      <c r="H505" s="7">
        <v>38243.648217592599</v>
      </c>
      <c r="I505" s="4" t="s">
        <v>3819</v>
      </c>
      <c r="J505" s="4" t="s">
        <v>3190</v>
      </c>
      <c r="K505" s="4" t="s">
        <v>3192</v>
      </c>
      <c r="L505" s="4" t="s">
        <v>985</v>
      </c>
      <c r="M505" s="5">
        <v>212.5</v>
      </c>
    </row>
    <row r="506" spans="1:13" x14ac:dyDescent="0.25">
      <c r="A506" s="4" t="s">
        <v>3366</v>
      </c>
      <c r="B506" s="4" t="s">
        <v>3186</v>
      </c>
      <c r="C506" s="4" t="s">
        <v>3187</v>
      </c>
      <c r="D506" s="4" t="s">
        <v>3188</v>
      </c>
      <c r="E506" s="4" t="s">
        <v>3189</v>
      </c>
      <c r="F506" s="4" t="s">
        <v>3190</v>
      </c>
      <c r="G506" s="4" t="s">
        <v>3190</v>
      </c>
      <c r="H506" s="7">
        <v>38243.648217592599</v>
      </c>
      <c r="I506" s="4" t="s">
        <v>3819</v>
      </c>
      <c r="J506" s="4" t="s">
        <v>3190</v>
      </c>
      <c r="K506" s="4" t="s">
        <v>3192</v>
      </c>
      <c r="L506" s="4" t="s">
        <v>985</v>
      </c>
      <c r="M506" s="5">
        <v>212.5</v>
      </c>
    </row>
    <row r="507" spans="1:13" x14ac:dyDescent="0.25">
      <c r="A507" s="4" t="s">
        <v>3185</v>
      </c>
      <c r="B507" s="4" t="s">
        <v>3186</v>
      </c>
      <c r="C507" s="4" t="s">
        <v>3222</v>
      </c>
      <c r="D507" s="4" t="s">
        <v>3223</v>
      </c>
      <c r="E507" s="4" t="s">
        <v>3214</v>
      </c>
      <c r="F507" s="4" t="s">
        <v>3190</v>
      </c>
      <c r="G507" s="4" t="s">
        <v>3190</v>
      </c>
      <c r="H507" s="7">
        <v>38250.382604166698</v>
      </c>
      <c r="I507" s="4" t="s">
        <v>3820</v>
      </c>
      <c r="J507" s="4" t="s">
        <v>3190</v>
      </c>
      <c r="K507" s="4" t="s">
        <v>3192</v>
      </c>
      <c r="L507" s="4" t="s">
        <v>39</v>
      </c>
      <c r="M507" s="5">
        <v>106.62</v>
      </c>
    </row>
    <row r="508" spans="1:13" x14ac:dyDescent="0.25">
      <c r="A508" s="4" t="s">
        <v>3185</v>
      </c>
      <c r="B508" s="4" t="s">
        <v>3186</v>
      </c>
      <c r="C508" s="4" t="s">
        <v>3222</v>
      </c>
      <c r="D508" s="4" t="s">
        <v>3223</v>
      </c>
      <c r="E508" s="4" t="s">
        <v>3214</v>
      </c>
      <c r="F508" s="4" t="s">
        <v>3190</v>
      </c>
      <c r="G508" s="4" t="s">
        <v>3190</v>
      </c>
      <c r="H508" s="7">
        <v>38250.386979166702</v>
      </c>
      <c r="I508" s="4" t="s">
        <v>3821</v>
      </c>
      <c r="J508" s="4" t="s">
        <v>3190</v>
      </c>
      <c r="K508" s="4" t="s">
        <v>3192</v>
      </c>
      <c r="L508" s="4" t="s">
        <v>3822</v>
      </c>
      <c r="M508" s="5">
        <v>725.39</v>
      </c>
    </row>
    <row r="509" spans="1:13" x14ac:dyDescent="0.25">
      <c r="A509" s="4" t="s">
        <v>3823</v>
      </c>
      <c r="B509" s="4" t="s">
        <v>3186</v>
      </c>
      <c r="C509" s="4" t="s">
        <v>3187</v>
      </c>
      <c r="D509" s="4" t="s">
        <v>3188</v>
      </c>
      <c r="E509" s="4" t="s">
        <v>3189</v>
      </c>
      <c r="F509" s="4" t="s">
        <v>3190</v>
      </c>
      <c r="G509" s="4" t="s">
        <v>3190</v>
      </c>
      <c r="H509" s="7">
        <v>38264</v>
      </c>
      <c r="I509" s="4" t="s">
        <v>3824</v>
      </c>
      <c r="J509" s="4" t="s">
        <v>3190</v>
      </c>
      <c r="K509" s="4" t="s">
        <v>3192</v>
      </c>
      <c r="L509" s="4" t="s">
        <v>226</v>
      </c>
      <c r="M509" s="5">
        <v>3246</v>
      </c>
    </row>
    <row r="510" spans="1:13" x14ac:dyDescent="0.25">
      <c r="A510" s="4" t="s">
        <v>3206</v>
      </c>
      <c r="B510" s="4" t="s">
        <v>3186</v>
      </c>
      <c r="C510" s="4" t="s">
        <v>3187</v>
      </c>
      <c r="D510" s="4" t="s">
        <v>3188</v>
      </c>
      <c r="E510" s="4" t="s">
        <v>3189</v>
      </c>
      <c r="F510" s="4" t="s">
        <v>3190</v>
      </c>
      <c r="G510" s="4" t="s">
        <v>3190</v>
      </c>
      <c r="H510" s="7">
        <v>38267</v>
      </c>
      <c r="I510" s="4" t="s">
        <v>3825</v>
      </c>
      <c r="J510" s="4" t="s">
        <v>3190</v>
      </c>
      <c r="K510" s="4" t="s">
        <v>3192</v>
      </c>
      <c r="L510" s="4" t="s">
        <v>1208</v>
      </c>
      <c r="M510" s="5">
        <v>324.60000000000002</v>
      </c>
    </row>
    <row r="511" spans="1:13" x14ac:dyDescent="0.25">
      <c r="A511" s="4" t="s">
        <v>3239</v>
      </c>
      <c r="B511" s="4" t="s">
        <v>3186</v>
      </c>
      <c r="C511" s="4" t="s">
        <v>3187</v>
      </c>
      <c r="D511" s="4" t="s">
        <v>3188</v>
      </c>
      <c r="E511" s="4" t="s">
        <v>3189</v>
      </c>
      <c r="F511" s="4" t="s">
        <v>3190</v>
      </c>
      <c r="G511" s="4" t="s">
        <v>3190</v>
      </c>
      <c r="H511" s="7">
        <v>38267</v>
      </c>
      <c r="I511" s="4" t="s">
        <v>3825</v>
      </c>
      <c r="J511" s="4" t="s">
        <v>3190</v>
      </c>
      <c r="K511" s="4" t="s">
        <v>3192</v>
      </c>
      <c r="L511" s="4" t="s">
        <v>1208</v>
      </c>
      <c r="M511" s="5">
        <v>1545.1</v>
      </c>
    </row>
    <row r="512" spans="1:13" x14ac:dyDescent="0.25">
      <c r="A512" s="4" t="s">
        <v>3206</v>
      </c>
      <c r="B512" s="4" t="s">
        <v>3186</v>
      </c>
      <c r="C512" s="4" t="s">
        <v>3802</v>
      </c>
      <c r="D512" s="4" t="s">
        <v>3195</v>
      </c>
      <c r="E512" s="4" t="s">
        <v>3214</v>
      </c>
      <c r="F512" s="4" t="s">
        <v>3190</v>
      </c>
      <c r="G512" s="4" t="s">
        <v>3190</v>
      </c>
      <c r="H512" s="7">
        <v>38281</v>
      </c>
      <c r="I512" s="4" t="s">
        <v>3826</v>
      </c>
      <c r="J512" s="4" t="s">
        <v>3190</v>
      </c>
      <c r="K512" s="4" t="s">
        <v>3192</v>
      </c>
      <c r="L512" s="4" t="s">
        <v>132</v>
      </c>
      <c r="M512" s="5">
        <v>11283.33</v>
      </c>
    </row>
    <row r="513" spans="1:13" x14ac:dyDescent="0.25">
      <c r="A513" s="4" t="s">
        <v>3185</v>
      </c>
      <c r="B513" s="4" t="s">
        <v>3186</v>
      </c>
      <c r="C513" s="4" t="s">
        <v>3222</v>
      </c>
      <c r="D513" s="4" t="s">
        <v>3223</v>
      </c>
      <c r="E513" s="4" t="s">
        <v>3214</v>
      </c>
      <c r="F513" s="4" t="s">
        <v>3190</v>
      </c>
      <c r="G513" s="4" t="s">
        <v>3190</v>
      </c>
      <c r="H513" s="7">
        <v>38282.550717592603</v>
      </c>
      <c r="I513" s="4" t="s">
        <v>3827</v>
      </c>
      <c r="J513" s="4" t="s">
        <v>3190</v>
      </c>
      <c r="K513" s="4" t="s">
        <v>3192</v>
      </c>
      <c r="L513" s="4" t="s">
        <v>39</v>
      </c>
      <c r="M513" s="5">
        <v>1004.52</v>
      </c>
    </row>
    <row r="514" spans="1:13" x14ac:dyDescent="0.25">
      <c r="A514" s="4" t="s">
        <v>3239</v>
      </c>
      <c r="B514" s="4" t="s">
        <v>3186</v>
      </c>
      <c r="C514" s="4" t="s">
        <v>3187</v>
      </c>
      <c r="D514" s="4" t="s">
        <v>3188</v>
      </c>
      <c r="E514" s="4" t="s">
        <v>3189</v>
      </c>
      <c r="F514" s="4" t="s">
        <v>3190</v>
      </c>
      <c r="G514" s="4" t="s">
        <v>3190</v>
      </c>
      <c r="H514" s="7">
        <v>38287</v>
      </c>
      <c r="I514" s="4" t="s">
        <v>3828</v>
      </c>
      <c r="J514" s="4" t="s">
        <v>3190</v>
      </c>
      <c r="K514" s="4" t="s">
        <v>3192</v>
      </c>
      <c r="L514" s="4" t="s">
        <v>458</v>
      </c>
      <c r="M514" s="5">
        <v>2908.42</v>
      </c>
    </row>
    <row r="515" spans="1:13" x14ac:dyDescent="0.25">
      <c r="A515" s="4" t="s">
        <v>3185</v>
      </c>
      <c r="B515" s="4" t="s">
        <v>3186</v>
      </c>
      <c r="C515" s="4" t="s">
        <v>3222</v>
      </c>
      <c r="D515" s="4" t="s">
        <v>3223</v>
      </c>
      <c r="E515" s="4" t="s">
        <v>3214</v>
      </c>
      <c r="F515" s="4" t="s">
        <v>3190</v>
      </c>
      <c r="G515" s="4" t="s">
        <v>3190</v>
      </c>
      <c r="H515" s="7">
        <v>38296.7028587963</v>
      </c>
      <c r="I515" s="4" t="s">
        <v>3829</v>
      </c>
      <c r="J515" s="4" t="s">
        <v>3190</v>
      </c>
      <c r="K515" s="4" t="s">
        <v>3192</v>
      </c>
      <c r="L515" s="4" t="s">
        <v>39</v>
      </c>
      <c r="M515" s="5">
        <v>579.63</v>
      </c>
    </row>
    <row r="516" spans="1:13" x14ac:dyDescent="0.25">
      <c r="A516" s="4" t="s">
        <v>3255</v>
      </c>
      <c r="B516" s="4" t="s">
        <v>3186</v>
      </c>
      <c r="C516" s="4" t="s">
        <v>3187</v>
      </c>
      <c r="D516" s="4" t="s">
        <v>3188</v>
      </c>
      <c r="E516" s="4" t="s">
        <v>3189</v>
      </c>
      <c r="F516" s="4" t="s">
        <v>3190</v>
      </c>
      <c r="G516" s="4" t="s">
        <v>3190</v>
      </c>
      <c r="H516" s="7">
        <v>38299</v>
      </c>
      <c r="I516" s="4" t="s">
        <v>3830</v>
      </c>
      <c r="J516" s="4" t="s">
        <v>3190</v>
      </c>
      <c r="K516" s="4" t="s">
        <v>3192</v>
      </c>
      <c r="L516" s="4" t="s">
        <v>764</v>
      </c>
      <c r="M516" s="5">
        <v>139.26</v>
      </c>
    </row>
    <row r="517" spans="1:13" x14ac:dyDescent="0.25">
      <c r="A517" s="4" t="s">
        <v>3352</v>
      </c>
      <c r="B517" s="4" t="s">
        <v>3186</v>
      </c>
      <c r="C517" s="4" t="s">
        <v>3194</v>
      </c>
      <c r="D517" s="4" t="s">
        <v>3195</v>
      </c>
      <c r="E517" s="4" t="s">
        <v>3214</v>
      </c>
      <c r="F517" s="4" t="s">
        <v>3190</v>
      </c>
      <c r="G517" s="4" t="s">
        <v>3190</v>
      </c>
      <c r="H517" s="7">
        <v>38301.532638888901</v>
      </c>
      <c r="I517" s="4" t="s">
        <v>3831</v>
      </c>
      <c r="J517" s="4" t="s">
        <v>3190</v>
      </c>
      <c r="K517" s="4" t="s">
        <v>3192</v>
      </c>
      <c r="L517" s="4" t="s">
        <v>3</v>
      </c>
      <c r="M517" s="5">
        <v>11200</v>
      </c>
    </row>
    <row r="518" spans="1:13" x14ac:dyDescent="0.25">
      <c r="A518" s="4" t="s">
        <v>3221</v>
      </c>
      <c r="B518" s="4" t="s">
        <v>3186</v>
      </c>
      <c r="C518" s="4" t="s">
        <v>3725</v>
      </c>
      <c r="D518" s="4" t="s">
        <v>3195</v>
      </c>
      <c r="E518" s="4" t="s">
        <v>3418</v>
      </c>
      <c r="F518" s="4" t="s">
        <v>3190</v>
      </c>
      <c r="G518" s="4" t="s">
        <v>3190</v>
      </c>
      <c r="H518" s="7">
        <v>38310</v>
      </c>
      <c r="I518" s="4" t="s">
        <v>3832</v>
      </c>
      <c r="J518" s="4" t="s">
        <v>3190</v>
      </c>
      <c r="K518" s="4" t="s">
        <v>3192</v>
      </c>
      <c r="L518" s="4" t="s">
        <v>349</v>
      </c>
      <c r="M518" s="5">
        <v>6646.07</v>
      </c>
    </row>
    <row r="519" spans="1:13" x14ac:dyDescent="0.25">
      <c r="A519" s="4" t="s">
        <v>3185</v>
      </c>
      <c r="B519" s="4" t="s">
        <v>3186</v>
      </c>
      <c r="C519" s="4" t="s">
        <v>3187</v>
      </c>
      <c r="D519" s="4" t="s">
        <v>3188</v>
      </c>
      <c r="E519" s="4" t="s">
        <v>3189</v>
      </c>
      <c r="F519" s="4" t="s">
        <v>3190</v>
      </c>
      <c r="G519" s="4" t="s">
        <v>3190</v>
      </c>
      <c r="H519" s="7">
        <v>38336</v>
      </c>
      <c r="I519" s="4" t="s">
        <v>3833</v>
      </c>
      <c r="J519" s="4" t="s">
        <v>3190</v>
      </c>
      <c r="K519" s="4" t="s">
        <v>3192</v>
      </c>
      <c r="L519" s="4" t="s">
        <v>366</v>
      </c>
      <c r="M519" s="5">
        <v>1356.93</v>
      </c>
    </row>
    <row r="520" spans="1:13" x14ac:dyDescent="0.25">
      <c r="A520" s="4" t="s">
        <v>3185</v>
      </c>
      <c r="B520" s="4" t="s">
        <v>3186</v>
      </c>
      <c r="C520" s="4" t="s">
        <v>3222</v>
      </c>
      <c r="D520" s="4" t="s">
        <v>3223</v>
      </c>
      <c r="E520" s="4" t="s">
        <v>3214</v>
      </c>
      <c r="F520" s="4" t="s">
        <v>3190</v>
      </c>
      <c r="G520" s="4" t="s">
        <v>3190</v>
      </c>
      <c r="H520" s="7">
        <v>38342.386689814797</v>
      </c>
      <c r="I520" s="4" t="s">
        <v>3834</v>
      </c>
      <c r="J520" s="4" t="s">
        <v>3190</v>
      </c>
      <c r="K520" s="4" t="s">
        <v>3192</v>
      </c>
      <c r="L520" s="4" t="s">
        <v>3719</v>
      </c>
      <c r="M520" s="5">
        <v>417.79</v>
      </c>
    </row>
    <row r="521" spans="1:13" x14ac:dyDescent="0.25">
      <c r="A521" s="4" t="s">
        <v>3185</v>
      </c>
      <c r="B521" s="4" t="s">
        <v>3186</v>
      </c>
      <c r="C521" s="4" t="s">
        <v>3222</v>
      </c>
      <c r="D521" s="4" t="s">
        <v>3223</v>
      </c>
      <c r="E521" s="4" t="s">
        <v>3214</v>
      </c>
      <c r="F521" s="4" t="s">
        <v>3190</v>
      </c>
      <c r="G521" s="4" t="s">
        <v>3190</v>
      </c>
      <c r="H521" s="7">
        <v>38342.387939814798</v>
      </c>
      <c r="I521" s="4" t="s">
        <v>3835</v>
      </c>
      <c r="J521" s="4" t="s">
        <v>3190</v>
      </c>
      <c r="K521" s="4" t="s">
        <v>3192</v>
      </c>
      <c r="L521" s="4" t="s">
        <v>3719</v>
      </c>
      <c r="M521" s="5">
        <v>835.58</v>
      </c>
    </row>
    <row r="522" spans="1:13" x14ac:dyDescent="0.25">
      <c r="A522" s="4" t="s">
        <v>3240</v>
      </c>
      <c r="B522" s="4" t="s">
        <v>3186</v>
      </c>
      <c r="C522" s="4" t="s">
        <v>3187</v>
      </c>
      <c r="D522" s="4" t="s">
        <v>3188</v>
      </c>
      <c r="E522" s="4" t="s">
        <v>3189</v>
      </c>
      <c r="F522" s="4" t="s">
        <v>3190</v>
      </c>
      <c r="G522" s="4" t="s">
        <v>3190</v>
      </c>
      <c r="H522" s="7">
        <v>38365</v>
      </c>
      <c r="I522" s="4" t="s">
        <v>3836</v>
      </c>
      <c r="J522" s="4" t="s">
        <v>3190</v>
      </c>
      <c r="K522" s="4" t="s">
        <v>3192</v>
      </c>
      <c r="L522" s="4" t="s">
        <v>220</v>
      </c>
      <c r="M522" s="5">
        <v>424.73</v>
      </c>
    </row>
    <row r="523" spans="1:13" x14ac:dyDescent="0.25">
      <c r="A523" s="4" t="s">
        <v>3269</v>
      </c>
      <c r="B523" s="4" t="s">
        <v>3186</v>
      </c>
      <c r="C523" s="4" t="s">
        <v>3761</v>
      </c>
      <c r="D523" s="4" t="s">
        <v>3195</v>
      </c>
      <c r="E523" s="4" t="s">
        <v>3762</v>
      </c>
      <c r="F523" s="4" t="s">
        <v>3190</v>
      </c>
      <c r="G523" s="4" t="s">
        <v>3190</v>
      </c>
      <c r="H523" s="7">
        <v>38370.459583333301</v>
      </c>
      <c r="I523" s="4" t="s">
        <v>3837</v>
      </c>
      <c r="J523" s="4" t="s">
        <v>3190</v>
      </c>
      <c r="K523" s="4" t="s">
        <v>3192</v>
      </c>
      <c r="L523" s="4" t="s">
        <v>3838</v>
      </c>
      <c r="M523" s="5">
        <v>25500</v>
      </c>
    </row>
    <row r="524" spans="1:13" x14ac:dyDescent="0.25">
      <c r="A524" s="4" t="s">
        <v>3185</v>
      </c>
      <c r="B524" s="4" t="s">
        <v>3186</v>
      </c>
      <c r="C524" s="4" t="s">
        <v>3222</v>
      </c>
      <c r="D524" s="4" t="s">
        <v>3223</v>
      </c>
      <c r="E524" s="4" t="s">
        <v>3214</v>
      </c>
      <c r="F524" s="4" t="s">
        <v>3190</v>
      </c>
      <c r="G524" s="4" t="s">
        <v>3190</v>
      </c>
      <c r="H524" s="7">
        <v>38435.476504629602</v>
      </c>
      <c r="I524" s="4" t="s">
        <v>3839</v>
      </c>
      <c r="J524" s="4" t="s">
        <v>3190</v>
      </c>
      <c r="K524" s="4" t="s">
        <v>3192</v>
      </c>
      <c r="L524" s="4" t="s">
        <v>3719</v>
      </c>
      <c r="M524" s="5">
        <v>756.16</v>
      </c>
    </row>
    <row r="525" spans="1:13" x14ac:dyDescent="0.25">
      <c r="A525" s="4" t="s">
        <v>3185</v>
      </c>
      <c r="B525" s="4" t="s">
        <v>3186</v>
      </c>
      <c r="C525" s="4" t="s">
        <v>3187</v>
      </c>
      <c r="D525" s="4" t="s">
        <v>3188</v>
      </c>
      <c r="E525" s="4" t="s">
        <v>3189</v>
      </c>
      <c r="F525" s="4" t="s">
        <v>3190</v>
      </c>
      <c r="G525" s="4" t="s">
        <v>3190</v>
      </c>
      <c r="H525" s="7">
        <v>38442.389884259297</v>
      </c>
      <c r="I525" s="4" t="s">
        <v>3840</v>
      </c>
      <c r="J525" s="4" t="s">
        <v>3190</v>
      </c>
      <c r="K525" s="4" t="s">
        <v>3192</v>
      </c>
      <c r="L525" s="4" t="s">
        <v>3620</v>
      </c>
      <c r="M525" s="5">
        <v>2270.27</v>
      </c>
    </row>
    <row r="526" spans="1:13" x14ac:dyDescent="0.25">
      <c r="A526" s="4" t="s">
        <v>3221</v>
      </c>
      <c r="B526" s="4" t="s">
        <v>3186</v>
      </c>
      <c r="C526" s="4" t="s">
        <v>3187</v>
      </c>
      <c r="D526" s="4" t="s">
        <v>3188</v>
      </c>
      <c r="E526" s="4" t="s">
        <v>3189</v>
      </c>
      <c r="F526" s="4" t="s">
        <v>3190</v>
      </c>
      <c r="G526" s="4" t="s">
        <v>3190</v>
      </c>
      <c r="H526" s="7">
        <v>38443</v>
      </c>
      <c r="I526" s="4" t="s">
        <v>3841</v>
      </c>
      <c r="J526" s="4" t="s">
        <v>3190</v>
      </c>
      <c r="K526" s="4" t="s">
        <v>3192</v>
      </c>
      <c r="L526" s="4" t="s">
        <v>349</v>
      </c>
      <c r="M526" s="5">
        <v>377.97</v>
      </c>
    </row>
    <row r="527" spans="1:13" x14ac:dyDescent="0.25">
      <c r="A527" s="4" t="s">
        <v>3404</v>
      </c>
      <c r="B527" s="4" t="s">
        <v>3186</v>
      </c>
      <c r="C527" s="4" t="s">
        <v>3194</v>
      </c>
      <c r="D527" s="4" t="s">
        <v>3195</v>
      </c>
      <c r="E527" s="4" t="s">
        <v>3214</v>
      </c>
      <c r="F527" s="4" t="s">
        <v>3190</v>
      </c>
      <c r="G527" s="4" t="s">
        <v>3190</v>
      </c>
      <c r="H527" s="7">
        <v>38446.594687500001</v>
      </c>
      <c r="I527" s="4" t="s">
        <v>3842</v>
      </c>
      <c r="J527" s="4" t="s">
        <v>3190</v>
      </c>
      <c r="K527" s="4" t="s">
        <v>3192</v>
      </c>
      <c r="L527" s="4" t="s">
        <v>840</v>
      </c>
      <c r="M527" s="5">
        <v>3291.93</v>
      </c>
    </row>
    <row r="528" spans="1:13" x14ac:dyDescent="0.25">
      <c r="A528" s="4" t="s">
        <v>3185</v>
      </c>
      <c r="B528" s="4" t="s">
        <v>3186</v>
      </c>
      <c r="C528" s="4" t="s">
        <v>3222</v>
      </c>
      <c r="D528" s="4" t="s">
        <v>3223</v>
      </c>
      <c r="E528" s="4" t="s">
        <v>3214</v>
      </c>
      <c r="F528" s="4" t="s">
        <v>3190</v>
      </c>
      <c r="G528" s="4" t="s">
        <v>3190</v>
      </c>
      <c r="H528" s="7">
        <v>38454.464548611097</v>
      </c>
      <c r="I528" s="4" t="s">
        <v>3843</v>
      </c>
      <c r="J528" s="4" t="s">
        <v>3190</v>
      </c>
      <c r="K528" s="4" t="s">
        <v>3192</v>
      </c>
      <c r="L528" s="4" t="s">
        <v>3719</v>
      </c>
      <c r="M528" s="5">
        <v>881.28</v>
      </c>
    </row>
    <row r="529" spans="1:13" x14ac:dyDescent="0.25">
      <c r="A529" s="4" t="s">
        <v>3404</v>
      </c>
      <c r="B529" s="4" t="s">
        <v>3186</v>
      </c>
      <c r="C529" s="4" t="s">
        <v>3194</v>
      </c>
      <c r="D529" s="4" t="s">
        <v>3195</v>
      </c>
      <c r="E529" s="4" t="s">
        <v>3214</v>
      </c>
      <c r="F529" s="4" t="s">
        <v>3190</v>
      </c>
      <c r="G529" s="4" t="s">
        <v>3190</v>
      </c>
      <c r="H529" s="7">
        <v>38467</v>
      </c>
      <c r="I529" s="4" t="s">
        <v>3844</v>
      </c>
      <c r="J529" s="4" t="s">
        <v>3190</v>
      </c>
      <c r="K529" s="4" t="s">
        <v>3192</v>
      </c>
      <c r="L529" s="4" t="s">
        <v>48</v>
      </c>
      <c r="M529" s="5">
        <v>6053.43</v>
      </c>
    </row>
    <row r="530" spans="1:13" x14ac:dyDescent="0.25">
      <c r="A530" s="4" t="s">
        <v>3404</v>
      </c>
      <c r="B530" s="4" t="s">
        <v>3186</v>
      </c>
      <c r="C530" s="4" t="s">
        <v>3194</v>
      </c>
      <c r="D530" s="4" t="s">
        <v>3195</v>
      </c>
      <c r="E530" s="4" t="s">
        <v>3214</v>
      </c>
      <c r="F530" s="4" t="s">
        <v>3190</v>
      </c>
      <c r="G530" s="4" t="s">
        <v>3190</v>
      </c>
      <c r="H530" s="7">
        <v>38499</v>
      </c>
      <c r="I530" s="4" t="s">
        <v>3845</v>
      </c>
      <c r="J530" s="4" t="s">
        <v>3190</v>
      </c>
      <c r="K530" s="4" t="s">
        <v>3192</v>
      </c>
      <c r="L530" s="4" t="s">
        <v>840</v>
      </c>
      <c r="M530" s="5">
        <v>2186</v>
      </c>
    </row>
    <row r="531" spans="1:13" x14ac:dyDescent="0.25">
      <c r="A531" s="4" t="s">
        <v>3627</v>
      </c>
      <c r="B531" s="4" t="s">
        <v>3186</v>
      </c>
      <c r="C531" s="4" t="s">
        <v>3761</v>
      </c>
      <c r="D531" s="4" t="s">
        <v>3195</v>
      </c>
      <c r="E531" s="4" t="s">
        <v>3762</v>
      </c>
      <c r="F531" s="4" t="s">
        <v>3190</v>
      </c>
      <c r="G531" s="4" t="s">
        <v>3190</v>
      </c>
      <c r="H531" s="7">
        <v>38499.566018518497</v>
      </c>
      <c r="I531" s="4" t="s">
        <v>3846</v>
      </c>
      <c r="J531" s="4" t="s">
        <v>3190</v>
      </c>
      <c r="K531" s="4" t="s">
        <v>3192</v>
      </c>
      <c r="L531" s="4" t="s">
        <v>3667</v>
      </c>
      <c r="M531" s="5">
        <v>150</v>
      </c>
    </row>
    <row r="532" spans="1:13" x14ac:dyDescent="0.25">
      <c r="A532" s="4" t="s">
        <v>3627</v>
      </c>
      <c r="B532" s="4" t="s">
        <v>3186</v>
      </c>
      <c r="C532" s="4" t="s">
        <v>3761</v>
      </c>
      <c r="D532" s="4" t="s">
        <v>3195</v>
      </c>
      <c r="E532" s="4" t="s">
        <v>3762</v>
      </c>
      <c r="F532" s="4" t="s">
        <v>3190</v>
      </c>
      <c r="G532" s="4" t="s">
        <v>3190</v>
      </c>
      <c r="H532" s="7">
        <v>38499.574305555601</v>
      </c>
      <c r="I532" s="4" t="s">
        <v>3847</v>
      </c>
      <c r="J532" s="4" t="s">
        <v>3190</v>
      </c>
      <c r="K532" s="4" t="s">
        <v>3192</v>
      </c>
      <c r="L532" s="4" t="s">
        <v>3848</v>
      </c>
      <c r="M532" s="5">
        <v>500</v>
      </c>
    </row>
    <row r="533" spans="1:13" x14ac:dyDescent="0.25">
      <c r="A533" s="4" t="s">
        <v>3206</v>
      </c>
      <c r="B533" s="4" t="s">
        <v>3186</v>
      </c>
      <c r="C533" s="4" t="s">
        <v>3788</v>
      </c>
      <c r="D533" s="4" t="s">
        <v>3195</v>
      </c>
      <c r="E533" s="4" t="s">
        <v>3849</v>
      </c>
      <c r="F533" s="4" t="s">
        <v>3190</v>
      </c>
      <c r="G533" s="4" t="s">
        <v>3190</v>
      </c>
      <c r="H533" s="7">
        <v>38509.367870370399</v>
      </c>
      <c r="I533" s="4" t="s">
        <v>3850</v>
      </c>
      <c r="J533" s="4" t="s">
        <v>3190</v>
      </c>
      <c r="K533" s="4" t="s">
        <v>3192</v>
      </c>
      <c r="L533" s="4" t="s">
        <v>356</v>
      </c>
      <c r="M533" s="5">
        <v>3836.26</v>
      </c>
    </row>
    <row r="534" spans="1:13" x14ac:dyDescent="0.25">
      <c r="A534" s="4" t="s">
        <v>3221</v>
      </c>
      <c r="B534" s="4" t="s">
        <v>3186</v>
      </c>
      <c r="C534" s="4" t="s">
        <v>3194</v>
      </c>
      <c r="D534" s="4" t="s">
        <v>3195</v>
      </c>
      <c r="E534" s="4" t="s">
        <v>3214</v>
      </c>
      <c r="F534" s="4" t="s">
        <v>3190</v>
      </c>
      <c r="G534" s="4" t="s">
        <v>3190</v>
      </c>
      <c r="H534" s="7">
        <v>38520</v>
      </c>
      <c r="I534" s="4" t="s">
        <v>3851</v>
      </c>
      <c r="J534" s="4" t="s">
        <v>3190</v>
      </c>
      <c r="K534" s="4" t="s">
        <v>3192</v>
      </c>
      <c r="L534" s="4" t="s">
        <v>348</v>
      </c>
      <c r="M534" s="5">
        <v>1038.5999999999999</v>
      </c>
    </row>
    <row r="535" spans="1:13" x14ac:dyDescent="0.25">
      <c r="A535" s="4" t="s">
        <v>3185</v>
      </c>
      <c r="B535" s="4" t="s">
        <v>3186</v>
      </c>
      <c r="C535" s="4" t="s">
        <v>3222</v>
      </c>
      <c r="D535" s="4" t="s">
        <v>3223</v>
      </c>
      <c r="E535" s="4" t="s">
        <v>3214</v>
      </c>
      <c r="F535" s="4" t="s">
        <v>3190</v>
      </c>
      <c r="G535" s="4" t="s">
        <v>3190</v>
      </c>
      <c r="H535" s="7">
        <v>38528.466655092598</v>
      </c>
      <c r="I535" s="4" t="s">
        <v>3852</v>
      </c>
      <c r="J535" s="4" t="s">
        <v>3190</v>
      </c>
      <c r="K535" s="4" t="s">
        <v>3192</v>
      </c>
      <c r="L535" s="4" t="s">
        <v>3729</v>
      </c>
      <c r="M535" s="5">
        <v>940.04</v>
      </c>
    </row>
  </sheetData>
  <autoFilter ref="A1:M535"/>
  <printOptions gridLines="1"/>
  <pageMargins left="0.25" right="0.25" top="0.5" bottom="0.5" header="0.25" footer="0.25"/>
  <pageSetup scale="66" fitToHeight="0" orientation="portrait" r:id="rId1"/>
  <headerFooter>
    <oddHeader>&amp;LPO line items - Orgs 5610, 5620, 5740 - Jan.1/00-Jun.30/05&amp;R&amp;D  &amp;T</oddHeader>
    <oddFooter>&amp;L&amp;Z&amp;F&amp;RPg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3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1.140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>"5620"</f>
        <v>5620</v>
      </c>
      <c r="E2" t="str">
        <f>"850LOS"</f>
        <v>850LOS</v>
      </c>
      <c r="F2" t="str">
        <f>""</f>
        <v/>
      </c>
      <c r="G2" t="str">
        <f>""</f>
        <v/>
      </c>
      <c r="H2" s="1">
        <v>41820</v>
      </c>
      <c r="I2" t="str">
        <f>"J0010489"</f>
        <v>J0010489</v>
      </c>
      <c r="J2" t="str">
        <f>""</f>
        <v/>
      </c>
      <c r="K2" t="str">
        <f>"J079"</f>
        <v>J079</v>
      </c>
      <c r="L2" t="s">
        <v>2209</v>
      </c>
      <c r="M2" s="2">
        <v>6230</v>
      </c>
    </row>
    <row r="3" spans="1:13" x14ac:dyDescent="0.25">
      <c r="A3" t="str">
        <f>"E051"</f>
        <v>E051</v>
      </c>
      <c r="B3">
        <v>1</v>
      </c>
      <c r="C3" t="str">
        <f>"43000"</f>
        <v>43000</v>
      </c>
      <c r="D3" t="str">
        <f>"5740"</f>
        <v>5740</v>
      </c>
      <c r="E3" t="str">
        <f>"850LOS"</f>
        <v>850LOS</v>
      </c>
      <c r="F3" t="str">
        <f>""</f>
        <v/>
      </c>
      <c r="G3" t="str">
        <f>""</f>
        <v/>
      </c>
      <c r="H3" s="1">
        <v>41754</v>
      </c>
      <c r="I3" t="str">
        <f>"J0008343"</f>
        <v>J0008343</v>
      </c>
      <c r="J3" t="str">
        <f>""</f>
        <v/>
      </c>
      <c r="K3" t="str">
        <f>"J089"</f>
        <v>J089</v>
      </c>
      <c r="L3" t="s">
        <v>2505</v>
      </c>
      <c r="M3" s="2">
        <v>6230</v>
      </c>
    </row>
    <row r="4" spans="1:13" x14ac:dyDescent="0.25">
      <c r="A4" t="str">
        <f>"E054"</f>
        <v>E054</v>
      </c>
      <c r="B4">
        <v>1</v>
      </c>
      <c r="C4" t="str">
        <f>"23275"</f>
        <v>23275</v>
      </c>
      <c r="D4" t="str">
        <f>"5620"</f>
        <v>5620</v>
      </c>
      <c r="E4" t="str">
        <f>"063STF"</f>
        <v>063STF</v>
      </c>
      <c r="F4" t="str">
        <f>""</f>
        <v/>
      </c>
      <c r="G4" t="str">
        <f>""</f>
        <v/>
      </c>
      <c r="H4" s="1">
        <v>41816</v>
      </c>
      <c r="I4" t="str">
        <f>"J0009784"</f>
        <v>J0009784</v>
      </c>
      <c r="J4" t="str">
        <f>""</f>
        <v/>
      </c>
      <c r="K4" t="str">
        <f>"J079"</f>
        <v>J079</v>
      </c>
      <c r="L4" t="s">
        <v>2226</v>
      </c>
      <c r="M4" s="2">
        <v>1300</v>
      </c>
    </row>
    <row r="5" spans="1:13" x14ac:dyDescent="0.25">
      <c r="A5" t="str">
        <f>"E054"</f>
        <v>E054</v>
      </c>
      <c r="B5">
        <v>1</v>
      </c>
      <c r="C5" t="str">
        <f>"23275"</f>
        <v>23275</v>
      </c>
      <c r="D5" t="str">
        <f>"5741"</f>
        <v>5741</v>
      </c>
      <c r="E5" t="str">
        <f>"063STF"</f>
        <v>063STF</v>
      </c>
      <c r="F5" t="str">
        <f>""</f>
        <v/>
      </c>
      <c r="G5" t="str">
        <f>""</f>
        <v/>
      </c>
      <c r="H5" s="1">
        <v>41690</v>
      </c>
      <c r="I5" t="str">
        <f>"188450"</f>
        <v>188450</v>
      </c>
      <c r="J5" t="str">
        <f>""</f>
        <v/>
      </c>
      <c r="K5" t="str">
        <f>"INNI"</f>
        <v>INNI</v>
      </c>
      <c r="L5" t="s">
        <v>2504</v>
      </c>
      <c r="M5" s="2">
        <v>1300</v>
      </c>
    </row>
    <row r="6" spans="1:13" x14ac:dyDescent="0.25">
      <c r="A6" t="str">
        <f>"E056"</f>
        <v>E056</v>
      </c>
      <c r="B6">
        <v>1</v>
      </c>
      <c r="C6" t="str">
        <f t="shared" ref="C6:C43" si="0">"10200"</f>
        <v>10200</v>
      </c>
      <c r="D6" t="str">
        <f t="shared" ref="D6:D44" si="1">"5620"</f>
        <v>5620</v>
      </c>
      <c r="E6" t="str">
        <f t="shared" ref="E6:E43" si="2">"094OMS"</f>
        <v>094OMS</v>
      </c>
      <c r="F6" t="str">
        <f>""</f>
        <v/>
      </c>
      <c r="G6" t="str">
        <f>""</f>
        <v/>
      </c>
      <c r="H6" s="1">
        <v>41558</v>
      </c>
      <c r="I6" t="str">
        <f>"210993"</f>
        <v>210993</v>
      </c>
      <c r="J6" t="str">
        <f>""</f>
        <v/>
      </c>
      <c r="K6" t="str">
        <f>"INNI"</f>
        <v>INNI</v>
      </c>
      <c r="L6" t="s">
        <v>864</v>
      </c>
      <c r="M6">
        <v>268.05</v>
      </c>
    </row>
    <row r="7" spans="1:13" x14ac:dyDescent="0.25">
      <c r="A7" t="str">
        <f>"E058"</f>
        <v>E058</v>
      </c>
      <c r="B7">
        <v>1</v>
      </c>
      <c r="C7" t="str">
        <f t="shared" si="0"/>
        <v>10200</v>
      </c>
      <c r="D7" t="str">
        <f t="shared" si="1"/>
        <v>5620</v>
      </c>
      <c r="E7" t="str">
        <f t="shared" si="2"/>
        <v>094OMS</v>
      </c>
      <c r="F7" t="str">
        <f>""</f>
        <v/>
      </c>
      <c r="G7" t="str">
        <f>""</f>
        <v/>
      </c>
      <c r="H7" s="1">
        <v>41501</v>
      </c>
      <c r="I7" t="str">
        <f>"210986A"</f>
        <v>210986A</v>
      </c>
      <c r="J7" t="str">
        <f>""</f>
        <v/>
      </c>
      <c r="K7" t="str">
        <f>"INNI"</f>
        <v>INNI</v>
      </c>
      <c r="L7" t="s">
        <v>92</v>
      </c>
      <c r="M7">
        <v>864.53</v>
      </c>
    </row>
    <row r="8" spans="1:13" x14ac:dyDescent="0.25">
      <c r="A8" t="str">
        <f>"E058"</f>
        <v>E058</v>
      </c>
      <c r="B8">
        <v>1</v>
      </c>
      <c r="C8" t="str">
        <f t="shared" si="0"/>
        <v>10200</v>
      </c>
      <c r="D8" t="str">
        <f t="shared" si="1"/>
        <v>5620</v>
      </c>
      <c r="E8" t="str">
        <f t="shared" si="2"/>
        <v>094OMS</v>
      </c>
      <c r="F8" t="str">
        <f>""</f>
        <v/>
      </c>
      <c r="G8" t="str">
        <f>""</f>
        <v/>
      </c>
      <c r="H8" s="1">
        <v>41501</v>
      </c>
      <c r="I8" t="str">
        <f>"210986A"</f>
        <v>210986A</v>
      </c>
      <c r="J8" t="str">
        <f>""</f>
        <v/>
      </c>
      <c r="K8" t="str">
        <f>"INNI"</f>
        <v>INNI</v>
      </c>
      <c r="L8" t="s">
        <v>92</v>
      </c>
      <c r="M8">
        <v>864.53</v>
      </c>
    </row>
    <row r="9" spans="1:13" x14ac:dyDescent="0.25">
      <c r="A9" t="str">
        <f>"E060"</f>
        <v>E060</v>
      </c>
      <c r="B9">
        <v>1</v>
      </c>
      <c r="C9" t="str">
        <f t="shared" si="0"/>
        <v>10200</v>
      </c>
      <c r="D9" t="str">
        <f t="shared" si="1"/>
        <v>5620</v>
      </c>
      <c r="E9" t="str">
        <f t="shared" si="2"/>
        <v>094OMS</v>
      </c>
      <c r="F9" t="str">
        <f>""</f>
        <v/>
      </c>
      <c r="G9" t="str">
        <f>""</f>
        <v/>
      </c>
      <c r="H9" s="1">
        <v>41516</v>
      </c>
      <c r="I9" t="str">
        <f>"PCD00615"</f>
        <v>PCD00615</v>
      </c>
      <c r="J9" t="str">
        <f>"200121"</f>
        <v>200121</v>
      </c>
      <c r="K9" t="str">
        <f>"AS89"</f>
        <v>AS89</v>
      </c>
      <c r="L9" t="s">
        <v>2503</v>
      </c>
      <c r="M9">
        <v>496.4</v>
      </c>
    </row>
    <row r="10" spans="1:13" x14ac:dyDescent="0.25">
      <c r="A10" t="str">
        <f t="shared" ref="A10:A41" si="3">"E111"</f>
        <v>E111</v>
      </c>
      <c r="B10">
        <v>1</v>
      </c>
      <c r="C10" t="str">
        <f t="shared" si="0"/>
        <v>10200</v>
      </c>
      <c r="D10" t="str">
        <f t="shared" si="1"/>
        <v>5620</v>
      </c>
      <c r="E10" t="str">
        <f t="shared" si="2"/>
        <v>094OMS</v>
      </c>
      <c r="F10" t="str">
        <f>""</f>
        <v/>
      </c>
      <c r="G10" t="str">
        <f>""</f>
        <v/>
      </c>
      <c r="H10" s="1">
        <v>41486</v>
      </c>
      <c r="I10" t="str">
        <f>"PCD00610"</f>
        <v>PCD00610</v>
      </c>
      <c r="J10" t="str">
        <f>"196672"</f>
        <v>196672</v>
      </c>
      <c r="K10" t="str">
        <f>"AS89"</f>
        <v>AS89</v>
      </c>
      <c r="L10" t="s">
        <v>2502</v>
      </c>
      <c r="M10">
        <v>215.88</v>
      </c>
    </row>
    <row r="11" spans="1:13" x14ac:dyDescent="0.25">
      <c r="A11" t="str">
        <f t="shared" si="3"/>
        <v>E111</v>
      </c>
      <c r="B11">
        <v>1</v>
      </c>
      <c r="C11" t="str">
        <f t="shared" si="0"/>
        <v>10200</v>
      </c>
      <c r="D11" t="str">
        <f t="shared" si="1"/>
        <v>5620</v>
      </c>
      <c r="E11" t="str">
        <f t="shared" si="2"/>
        <v>094OMS</v>
      </c>
      <c r="F11" t="str">
        <f>""</f>
        <v/>
      </c>
      <c r="G11" t="str">
        <f>""</f>
        <v/>
      </c>
      <c r="H11" s="1">
        <v>41486</v>
      </c>
      <c r="I11" t="str">
        <f>"PCD00610"</f>
        <v>PCD00610</v>
      </c>
      <c r="J11" t="str">
        <f>"198341"</f>
        <v>198341</v>
      </c>
      <c r="K11" t="str">
        <f>"AS89"</f>
        <v>AS89</v>
      </c>
      <c r="L11" t="s">
        <v>2501</v>
      </c>
      <c r="M11">
        <v>166.45</v>
      </c>
    </row>
    <row r="12" spans="1:13" x14ac:dyDescent="0.25">
      <c r="A12" t="str">
        <f t="shared" si="3"/>
        <v>E111</v>
      </c>
      <c r="B12">
        <v>1</v>
      </c>
      <c r="C12" t="str">
        <f t="shared" si="0"/>
        <v>10200</v>
      </c>
      <c r="D12" t="str">
        <f t="shared" si="1"/>
        <v>5620</v>
      </c>
      <c r="E12" t="str">
        <f t="shared" si="2"/>
        <v>094OMS</v>
      </c>
      <c r="F12" t="str">
        <f>""</f>
        <v/>
      </c>
      <c r="G12" t="str">
        <f>""</f>
        <v/>
      </c>
      <c r="H12" s="1">
        <v>41495</v>
      </c>
      <c r="I12" t="str">
        <f>"PCD00612"</f>
        <v>PCD00612</v>
      </c>
      <c r="J12" t="str">
        <f>"198880"</f>
        <v>198880</v>
      </c>
      <c r="K12" t="str">
        <f>"AS89"</f>
        <v>AS89</v>
      </c>
      <c r="L12" t="s">
        <v>2500</v>
      </c>
      <c r="M12" s="2">
        <v>1889.96</v>
      </c>
    </row>
    <row r="13" spans="1:13" x14ac:dyDescent="0.25">
      <c r="A13" t="str">
        <f t="shared" si="3"/>
        <v>E111</v>
      </c>
      <c r="B13">
        <v>1</v>
      </c>
      <c r="C13" t="str">
        <f t="shared" si="0"/>
        <v>10200</v>
      </c>
      <c r="D13" t="str">
        <f t="shared" si="1"/>
        <v>5620</v>
      </c>
      <c r="E13" t="str">
        <f t="shared" si="2"/>
        <v>094OMS</v>
      </c>
      <c r="F13" t="str">
        <f>""</f>
        <v/>
      </c>
      <c r="G13" t="str">
        <f>""</f>
        <v/>
      </c>
      <c r="H13" s="1">
        <v>41508</v>
      </c>
      <c r="I13" t="str">
        <f>"C0020298"</f>
        <v>C0020298</v>
      </c>
      <c r="J13" t="str">
        <f>""</f>
        <v/>
      </c>
      <c r="K13" t="str">
        <f>"ISSU"</f>
        <v>ISSU</v>
      </c>
      <c r="L13" t="s">
        <v>2149</v>
      </c>
      <c r="M13">
        <v>245.51</v>
      </c>
    </row>
    <row r="14" spans="1:13" x14ac:dyDescent="0.25">
      <c r="A14" t="str">
        <f t="shared" si="3"/>
        <v>E111</v>
      </c>
      <c r="B14">
        <v>1</v>
      </c>
      <c r="C14" t="str">
        <f t="shared" si="0"/>
        <v>10200</v>
      </c>
      <c r="D14" t="str">
        <f t="shared" si="1"/>
        <v>5620</v>
      </c>
      <c r="E14" t="str">
        <f t="shared" si="2"/>
        <v>094OMS</v>
      </c>
      <c r="F14" t="str">
        <f>""</f>
        <v/>
      </c>
      <c r="G14" t="str">
        <f>""</f>
        <v/>
      </c>
      <c r="H14" s="1">
        <v>41516</v>
      </c>
      <c r="I14" t="str">
        <f>"PCD00615"</f>
        <v>PCD00615</v>
      </c>
      <c r="J14" t="str">
        <f>"199148"</f>
        <v>199148</v>
      </c>
      <c r="K14" t="str">
        <f>"AS89"</f>
        <v>AS89</v>
      </c>
      <c r="L14" t="s">
        <v>2499</v>
      </c>
      <c r="M14">
        <v>128.25</v>
      </c>
    </row>
    <row r="15" spans="1:13" x14ac:dyDescent="0.25">
      <c r="A15" t="str">
        <f t="shared" si="3"/>
        <v>E111</v>
      </c>
      <c r="B15">
        <v>1</v>
      </c>
      <c r="C15" t="str">
        <f t="shared" si="0"/>
        <v>10200</v>
      </c>
      <c r="D15" t="str">
        <f t="shared" si="1"/>
        <v>5620</v>
      </c>
      <c r="E15" t="str">
        <f t="shared" si="2"/>
        <v>094OMS</v>
      </c>
      <c r="F15" t="str">
        <f>""</f>
        <v/>
      </c>
      <c r="G15" t="str">
        <f>""</f>
        <v/>
      </c>
      <c r="H15" s="1">
        <v>41516</v>
      </c>
      <c r="I15" t="str">
        <f>"PCD00615"</f>
        <v>PCD00615</v>
      </c>
      <c r="J15" t="str">
        <f>"199149"</f>
        <v>199149</v>
      </c>
      <c r="K15" t="str">
        <f>"AS89"</f>
        <v>AS89</v>
      </c>
      <c r="L15" t="s">
        <v>2498</v>
      </c>
      <c r="M15">
        <v>155.15</v>
      </c>
    </row>
    <row r="16" spans="1:13" x14ac:dyDescent="0.25">
      <c r="A16" t="str">
        <f t="shared" si="3"/>
        <v>E111</v>
      </c>
      <c r="B16">
        <v>1</v>
      </c>
      <c r="C16" t="str">
        <f t="shared" si="0"/>
        <v>10200</v>
      </c>
      <c r="D16" t="str">
        <f t="shared" si="1"/>
        <v>5620</v>
      </c>
      <c r="E16" t="str">
        <f t="shared" si="2"/>
        <v>094OMS</v>
      </c>
      <c r="F16" t="str">
        <f>""</f>
        <v/>
      </c>
      <c r="G16" t="str">
        <f>""</f>
        <v/>
      </c>
      <c r="H16" s="1">
        <v>41516</v>
      </c>
      <c r="I16" t="str">
        <f>"PCD00615"</f>
        <v>PCD00615</v>
      </c>
      <c r="J16" t="str">
        <f>"200075"</f>
        <v>200075</v>
      </c>
      <c r="K16" t="str">
        <f>"AS89"</f>
        <v>AS89</v>
      </c>
      <c r="L16" t="s">
        <v>2497</v>
      </c>
      <c r="M16">
        <v>182.64</v>
      </c>
    </row>
    <row r="17" spans="1:13" x14ac:dyDescent="0.25">
      <c r="A17" t="str">
        <f t="shared" si="3"/>
        <v>E111</v>
      </c>
      <c r="B17">
        <v>1</v>
      </c>
      <c r="C17" t="str">
        <f t="shared" si="0"/>
        <v>10200</v>
      </c>
      <c r="D17" t="str">
        <f t="shared" si="1"/>
        <v>5620</v>
      </c>
      <c r="E17" t="str">
        <f t="shared" si="2"/>
        <v>094OMS</v>
      </c>
      <c r="F17" t="str">
        <f>""</f>
        <v/>
      </c>
      <c r="G17" t="str">
        <f>""</f>
        <v/>
      </c>
      <c r="H17" s="1">
        <v>41522</v>
      </c>
      <c r="I17" t="str">
        <f>"Q72159"</f>
        <v>Q72159</v>
      </c>
      <c r="J17" t="str">
        <f>""</f>
        <v/>
      </c>
      <c r="K17" t="str">
        <f>"INNI"</f>
        <v>INNI</v>
      </c>
      <c r="L17" t="s">
        <v>338</v>
      </c>
      <c r="M17">
        <v>164.22</v>
      </c>
    </row>
    <row r="18" spans="1:13" x14ac:dyDescent="0.25">
      <c r="A18" t="str">
        <f t="shared" si="3"/>
        <v>E111</v>
      </c>
      <c r="B18">
        <v>1</v>
      </c>
      <c r="C18" t="str">
        <f t="shared" si="0"/>
        <v>10200</v>
      </c>
      <c r="D18" t="str">
        <f t="shared" si="1"/>
        <v>5620</v>
      </c>
      <c r="E18" t="str">
        <f t="shared" si="2"/>
        <v>094OMS</v>
      </c>
      <c r="F18" t="str">
        <f>""</f>
        <v/>
      </c>
      <c r="G18" t="str">
        <f>""</f>
        <v/>
      </c>
      <c r="H18" s="1">
        <v>41544</v>
      </c>
      <c r="I18" t="str">
        <f>"PCD00620"</f>
        <v>PCD00620</v>
      </c>
      <c r="J18" t="str">
        <f>"201738"</f>
        <v>201738</v>
      </c>
      <c r="K18" t="str">
        <f>"AS89"</f>
        <v>AS89</v>
      </c>
      <c r="L18" t="s">
        <v>2496</v>
      </c>
      <c r="M18">
        <v>248.87</v>
      </c>
    </row>
    <row r="19" spans="1:13" x14ac:dyDescent="0.25">
      <c r="A19" t="str">
        <f t="shared" si="3"/>
        <v>E111</v>
      </c>
      <c r="B19">
        <v>1</v>
      </c>
      <c r="C19" t="str">
        <f t="shared" si="0"/>
        <v>10200</v>
      </c>
      <c r="D19" t="str">
        <f t="shared" si="1"/>
        <v>5620</v>
      </c>
      <c r="E19" t="str">
        <f t="shared" si="2"/>
        <v>094OMS</v>
      </c>
      <c r="F19" t="str">
        <f>""</f>
        <v/>
      </c>
      <c r="G19" t="str">
        <f>""</f>
        <v/>
      </c>
      <c r="H19" s="1">
        <v>41544</v>
      </c>
      <c r="I19" t="str">
        <f>"PCD00620"</f>
        <v>PCD00620</v>
      </c>
      <c r="J19" t="str">
        <f>"202114"</f>
        <v>202114</v>
      </c>
      <c r="K19" t="str">
        <f>"AS89"</f>
        <v>AS89</v>
      </c>
      <c r="L19" t="s">
        <v>2495</v>
      </c>
      <c r="M19">
        <v>619.55999999999995</v>
      </c>
    </row>
    <row r="20" spans="1:13" x14ac:dyDescent="0.25">
      <c r="A20" t="str">
        <f t="shared" si="3"/>
        <v>E111</v>
      </c>
      <c r="B20">
        <v>1</v>
      </c>
      <c r="C20" t="str">
        <f t="shared" si="0"/>
        <v>10200</v>
      </c>
      <c r="D20" t="str">
        <f t="shared" si="1"/>
        <v>5620</v>
      </c>
      <c r="E20" t="str">
        <f t="shared" si="2"/>
        <v>094OMS</v>
      </c>
      <c r="F20" t="str">
        <f>""</f>
        <v/>
      </c>
      <c r="G20" t="str">
        <f>""</f>
        <v/>
      </c>
      <c r="H20" s="1">
        <v>41578</v>
      </c>
      <c r="I20" t="str">
        <f>"PCD00626"</f>
        <v>PCD00626</v>
      </c>
      <c r="J20" t="str">
        <f>"202790"</f>
        <v>202790</v>
      </c>
      <c r="K20" t="str">
        <f>"AS89"</f>
        <v>AS89</v>
      </c>
      <c r="L20" t="s">
        <v>2494</v>
      </c>
      <c r="M20">
        <v>300.39</v>
      </c>
    </row>
    <row r="21" spans="1:13" x14ac:dyDescent="0.25">
      <c r="A21" t="str">
        <f t="shared" si="3"/>
        <v>E111</v>
      </c>
      <c r="B21">
        <v>1</v>
      </c>
      <c r="C21" t="str">
        <f t="shared" si="0"/>
        <v>10200</v>
      </c>
      <c r="D21" t="str">
        <f t="shared" si="1"/>
        <v>5620</v>
      </c>
      <c r="E21" t="str">
        <f t="shared" si="2"/>
        <v>094OMS</v>
      </c>
      <c r="F21" t="str">
        <f>""</f>
        <v/>
      </c>
      <c r="G21" t="str">
        <f>""</f>
        <v/>
      </c>
      <c r="H21" s="1">
        <v>41578</v>
      </c>
      <c r="I21" t="str">
        <f>"PCD00626"</f>
        <v>PCD00626</v>
      </c>
      <c r="J21" t="str">
        <f>"202918"</f>
        <v>202918</v>
      </c>
      <c r="K21" t="str">
        <f>"AS89"</f>
        <v>AS89</v>
      </c>
      <c r="L21" t="s">
        <v>2493</v>
      </c>
      <c r="M21">
        <v>166.39</v>
      </c>
    </row>
    <row r="22" spans="1:13" x14ac:dyDescent="0.25">
      <c r="A22" t="str">
        <f t="shared" si="3"/>
        <v>E111</v>
      </c>
      <c r="B22">
        <v>1</v>
      </c>
      <c r="C22" t="str">
        <f t="shared" si="0"/>
        <v>10200</v>
      </c>
      <c r="D22" t="str">
        <f t="shared" si="1"/>
        <v>5620</v>
      </c>
      <c r="E22" t="str">
        <f t="shared" si="2"/>
        <v>094OMS</v>
      </c>
      <c r="F22" t="str">
        <f>""</f>
        <v/>
      </c>
      <c r="G22" t="str">
        <f>""</f>
        <v/>
      </c>
      <c r="H22" s="1">
        <v>41578</v>
      </c>
      <c r="I22" t="str">
        <f>"PCD00626"</f>
        <v>PCD00626</v>
      </c>
      <c r="J22" t="str">
        <f>"202945"</f>
        <v>202945</v>
      </c>
      <c r="K22" t="str">
        <f>"AS89"</f>
        <v>AS89</v>
      </c>
      <c r="L22" t="s">
        <v>2492</v>
      </c>
      <c r="M22">
        <v>104.42</v>
      </c>
    </row>
    <row r="23" spans="1:13" x14ac:dyDescent="0.25">
      <c r="A23" t="str">
        <f t="shared" si="3"/>
        <v>E111</v>
      </c>
      <c r="B23">
        <v>1</v>
      </c>
      <c r="C23" t="str">
        <f t="shared" si="0"/>
        <v>10200</v>
      </c>
      <c r="D23" t="str">
        <f t="shared" si="1"/>
        <v>5620</v>
      </c>
      <c r="E23" t="str">
        <f t="shared" si="2"/>
        <v>094OMS</v>
      </c>
      <c r="F23" t="str">
        <f>""</f>
        <v/>
      </c>
      <c r="G23" t="str">
        <f>""</f>
        <v/>
      </c>
      <c r="H23" s="1">
        <v>41584</v>
      </c>
      <c r="I23" t="str">
        <f>"C0020614"</f>
        <v>C0020614</v>
      </c>
      <c r="J23" t="str">
        <f>""</f>
        <v/>
      </c>
      <c r="K23" t="str">
        <f>"ISSU"</f>
        <v>ISSU</v>
      </c>
      <c r="L23" t="s">
        <v>2149</v>
      </c>
      <c r="M23">
        <v>213.06</v>
      </c>
    </row>
    <row r="24" spans="1:13" x14ac:dyDescent="0.25">
      <c r="A24" t="str">
        <f t="shared" si="3"/>
        <v>E111</v>
      </c>
      <c r="B24">
        <v>1</v>
      </c>
      <c r="C24" t="str">
        <f t="shared" si="0"/>
        <v>10200</v>
      </c>
      <c r="D24" t="str">
        <f t="shared" si="1"/>
        <v>5620</v>
      </c>
      <c r="E24" t="str">
        <f t="shared" si="2"/>
        <v>094OMS</v>
      </c>
      <c r="F24" t="str">
        <f>""</f>
        <v/>
      </c>
      <c r="G24" t="str">
        <f>""</f>
        <v/>
      </c>
      <c r="H24" s="1">
        <v>41608</v>
      </c>
      <c r="I24" t="str">
        <f>"PCD00631"</f>
        <v>PCD00631</v>
      </c>
      <c r="J24" t="str">
        <f>"205672"</f>
        <v>205672</v>
      </c>
      <c r="K24" t="str">
        <f>"AS89"</f>
        <v>AS89</v>
      </c>
      <c r="L24" t="s">
        <v>2491</v>
      </c>
      <c r="M24">
        <v>115.26</v>
      </c>
    </row>
    <row r="25" spans="1:13" x14ac:dyDescent="0.25">
      <c r="A25" t="str">
        <f t="shared" si="3"/>
        <v>E111</v>
      </c>
      <c r="B25">
        <v>1</v>
      </c>
      <c r="C25" t="str">
        <f t="shared" si="0"/>
        <v>10200</v>
      </c>
      <c r="D25" t="str">
        <f t="shared" si="1"/>
        <v>5620</v>
      </c>
      <c r="E25" t="str">
        <f t="shared" si="2"/>
        <v>094OMS</v>
      </c>
      <c r="F25" t="str">
        <f>""</f>
        <v/>
      </c>
      <c r="G25" t="str">
        <f>""</f>
        <v/>
      </c>
      <c r="H25" s="1">
        <v>41608</v>
      </c>
      <c r="I25" t="str">
        <f>"PCD00631"</f>
        <v>PCD00631</v>
      </c>
      <c r="J25" t="str">
        <f>"206779"</f>
        <v>206779</v>
      </c>
      <c r="K25" t="str">
        <f>"AS89"</f>
        <v>AS89</v>
      </c>
      <c r="L25" t="s">
        <v>2490</v>
      </c>
      <c r="M25">
        <v>190.54</v>
      </c>
    </row>
    <row r="26" spans="1:13" x14ac:dyDescent="0.25">
      <c r="A26" t="str">
        <f t="shared" si="3"/>
        <v>E111</v>
      </c>
      <c r="B26">
        <v>1</v>
      </c>
      <c r="C26" t="str">
        <f t="shared" si="0"/>
        <v>10200</v>
      </c>
      <c r="D26" t="str">
        <f t="shared" si="1"/>
        <v>5620</v>
      </c>
      <c r="E26" t="str">
        <f t="shared" si="2"/>
        <v>094OMS</v>
      </c>
      <c r="F26" t="str">
        <f>""</f>
        <v/>
      </c>
      <c r="G26" t="str">
        <f>""</f>
        <v/>
      </c>
      <c r="H26" s="1">
        <v>41626</v>
      </c>
      <c r="I26" t="str">
        <f>"C0020765"</f>
        <v>C0020765</v>
      </c>
      <c r="J26" t="str">
        <f>""</f>
        <v/>
      </c>
      <c r="K26" t="str">
        <f>"ISSU"</f>
        <v>ISSU</v>
      </c>
      <c r="L26" t="s">
        <v>2149</v>
      </c>
      <c r="M26">
        <v>139.69999999999999</v>
      </c>
    </row>
    <row r="27" spans="1:13" x14ac:dyDescent="0.25">
      <c r="A27" t="str">
        <f t="shared" si="3"/>
        <v>E111</v>
      </c>
      <c r="B27">
        <v>1</v>
      </c>
      <c r="C27" t="str">
        <f t="shared" si="0"/>
        <v>10200</v>
      </c>
      <c r="D27" t="str">
        <f t="shared" si="1"/>
        <v>5620</v>
      </c>
      <c r="E27" t="str">
        <f t="shared" si="2"/>
        <v>094OMS</v>
      </c>
      <c r="F27" t="str">
        <f>""</f>
        <v/>
      </c>
      <c r="G27" t="str">
        <f>""</f>
        <v/>
      </c>
      <c r="H27" s="1">
        <v>41639</v>
      </c>
      <c r="I27" t="str">
        <f>"PCD00636"</f>
        <v>PCD00636</v>
      </c>
      <c r="J27" t="str">
        <f>"208009"</f>
        <v>208009</v>
      </c>
      <c r="K27" t="str">
        <f>"AS89"</f>
        <v>AS89</v>
      </c>
      <c r="L27" t="s">
        <v>2489</v>
      </c>
      <c r="M27">
        <v>438.06</v>
      </c>
    </row>
    <row r="28" spans="1:13" x14ac:dyDescent="0.25">
      <c r="A28" t="str">
        <f t="shared" si="3"/>
        <v>E111</v>
      </c>
      <c r="B28">
        <v>1</v>
      </c>
      <c r="C28" t="str">
        <f t="shared" si="0"/>
        <v>10200</v>
      </c>
      <c r="D28" t="str">
        <f t="shared" si="1"/>
        <v>5620</v>
      </c>
      <c r="E28" t="str">
        <f t="shared" si="2"/>
        <v>094OMS</v>
      </c>
      <c r="F28" t="str">
        <f>""</f>
        <v/>
      </c>
      <c r="G28" t="str">
        <f>""</f>
        <v/>
      </c>
      <c r="H28" s="1">
        <v>41639</v>
      </c>
      <c r="I28" t="str">
        <f>"PCD00636"</f>
        <v>PCD00636</v>
      </c>
      <c r="J28" t="str">
        <f>"208075"</f>
        <v>208075</v>
      </c>
      <c r="K28" t="str">
        <f>"AS89"</f>
        <v>AS89</v>
      </c>
      <c r="L28" t="s">
        <v>2488</v>
      </c>
      <c r="M28">
        <v>222.01</v>
      </c>
    </row>
    <row r="29" spans="1:13" x14ac:dyDescent="0.25">
      <c r="A29" t="str">
        <f t="shared" si="3"/>
        <v>E111</v>
      </c>
      <c r="B29">
        <v>1</v>
      </c>
      <c r="C29" t="str">
        <f t="shared" si="0"/>
        <v>10200</v>
      </c>
      <c r="D29" t="str">
        <f t="shared" si="1"/>
        <v>5620</v>
      </c>
      <c r="E29" t="str">
        <f t="shared" si="2"/>
        <v>094OMS</v>
      </c>
      <c r="F29" t="str">
        <f>""</f>
        <v/>
      </c>
      <c r="G29" t="str">
        <f>""</f>
        <v/>
      </c>
      <c r="H29" s="1">
        <v>41639</v>
      </c>
      <c r="I29" t="str">
        <f>"PCD00636"</f>
        <v>PCD00636</v>
      </c>
      <c r="J29" t="str">
        <f>"208728"</f>
        <v>208728</v>
      </c>
      <c r="K29" t="str">
        <f>"AS89"</f>
        <v>AS89</v>
      </c>
      <c r="L29" t="s">
        <v>2487</v>
      </c>
      <c r="M29">
        <v>108.93</v>
      </c>
    </row>
    <row r="30" spans="1:13" x14ac:dyDescent="0.25">
      <c r="A30" t="str">
        <f t="shared" si="3"/>
        <v>E111</v>
      </c>
      <c r="B30">
        <v>1</v>
      </c>
      <c r="C30" t="str">
        <f t="shared" si="0"/>
        <v>10200</v>
      </c>
      <c r="D30" t="str">
        <f t="shared" si="1"/>
        <v>5620</v>
      </c>
      <c r="E30" t="str">
        <f t="shared" si="2"/>
        <v>094OMS</v>
      </c>
      <c r="F30" t="str">
        <f>""</f>
        <v/>
      </c>
      <c r="G30" t="str">
        <f>""</f>
        <v/>
      </c>
      <c r="H30" s="1">
        <v>41639</v>
      </c>
      <c r="I30" t="str">
        <f>"PCD00636"</f>
        <v>PCD00636</v>
      </c>
      <c r="J30" t="str">
        <f>"209011"</f>
        <v>209011</v>
      </c>
      <c r="K30" t="str">
        <f>"AS89"</f>
        <v>AS89</v>
      </c>
      <c r="L30" t="s">
        <v>2486</v>
      </c>
      <c r="M30">
        <v>368.59</v>
      </c>
    </row>
    <row r="31" spans="1:13" x14ac:dyDescent="0.25">
      <c r="A31" t="str">
        <f t="shared" si="3"/>
        <v>E111</v>
      </c>
      <c r="B31">
        <v>1</v>
      </c>
      <c r="C31" t="str">
        <f t="shared" si="0"/>
        <v>10200</v>
      </c>
      <c r="D31" t="str">
        <f t="shared" si="1"/>
        <v>5620</v>
      </c>
      <c r="E31" t="str">
        <f t="shared" si="2"/>
        <v>094OMS</v>
      </c>
      <c r="F31" t="str">
        <f>""</f>
        <v/>
      </c>
      <c r="G31" t="str">
        <f>""</f>
        <v/>
      </c>
      <c r="H31" s="1">
        <v>41647</v>
      </c>
      <c r="I31" t="str">
        <f>"C0020814"</f>
        <v>C0020814</v>
      </c>
      <c r="J31" t="str">
        <f>""</f>
        <v/>
      </c>
      <c r="K31" t="str">
        <f>"ISSU"</f>
        <v>ISSU</v>
      </c>
      <c r="L31" t="s">
        <v>2149</v>
      </c>
      <c r="M31">
        <v>132.66</v>
      </c>
    </row>
    <row r="32" spans="1:13" x14ac:dyDescent="0.25">
      <c r="A32" t="str">
        <f t="shared" si="3"/>
        <v>E111</v>
      </c>
      <c r="B32">
        <v>1</v>
      </c>
      <c r="C32" t="str">
        <f t="shared" si="0"/>
        <v>10200</v>
      </c>
      <c r="D32" t="str">
        <f t="shared" si="1"/>
        <v>5620</v>
      </c>
      <c r="E32" t="str">
        <f t="shared" si="2"/>
        <v>094OMS</v>
      </c>
      <c r="F32" t="str">
        <f>""</f>
        <v/>
      </c>
      <c r="G32" t="str">
        <f>""</f>
        <v/>
      </c>
      <c r="H32" s="1">
        <v>41670</v>
      </c>
      <c r="I32" t="str">
        <f>"PCD00641"</f>
        <v>PCD00641</v>
      </c>
      <c r="J32" t="str">
        <f>"210894"</f>
        <v>210894</v>
      </c>
      <c r="K32" t="str">
        <f>"AS89"</f>
        <v>AS89</v>
      </c>
      <c r="L32" t="s">
        <v>2485</v>
      </c>
      <c r="M32">
        <v>183.28</v>
      </c>
    </row>
    <row r="33" spans="1:13" x14ac:dyDescent="0.25">
      <c r="A33" t="str">
        <f t="shared" si="3"/>
        <v>E111</v>
      </c>
      <c r="B33">
        <v>1</v>
      </c>
      <c r="C33" t="str">
        <f t="shared" si="0"/>
        <v>10200</v>
      </c>
      <c r="D33" t="str">
        <f t="shared" si="1"/>
        <v>5620</v>
      </c>
      <c r="E33" t="str">
        <f t="shared" si="2"/>
        <v>094OMS</v>
      </c>
      <c r="F33" t="str">
        <f>""</f>
        <v/>
      </c>
      <c r="G33" t="str">
        <f>""</f>
        <v/>
      </c>
      <c r="H33" s="1">
        <v>41698</v>
      </c>
      <c r="I33" t="str">
        <f>"PCD00648"</f>
        <v>PCD00648</v>
      </c>
      <c r="J33" t="str">
        <f>""</f>
        <v/>
      </c>
      <c r="K33" t="str">
        <f>"AS89"</f>
        <v>AS89</v>
      </c>
      <c r="L33" t="s">
        <v>2484</v>
      </c>
      <c r="M33">
        <v>619.55999999999995</v>
      </c>
    </row>
    <row r="34" spans="1:13" x14ac:dyDescent="0.25">
      <c r="A34" t="str">
        <f t="shared" si="3"/>
        <v>E111</v>
      </c>
      <c r="B34">
        <v>1</v>
      </c>
      <c r="C34" t="str">
        <f t="shared" si="0"/>
        <v>10200</v>
      </c>
      <c r="D34" t="str">
        <f t="shared" si="1"/>
        <v>5620</v>
      </c>
      <c r="E34" t="str">
        <f t="shared" si="2"/>
        <v>094OMS</v>
      </c>
      <c r="F34" t="str">
        <f>""</f>
        <v/>
      </c>
      <c r="G34" t="str">
        <f>""</f>
        <v/>
      </c>
      <c r="H34" s="1">
        <v>41699</v>
      </c>
      <c r="I34" t="str">
        <f>"PCD00649"</f>
        <v>PCD00649</v>
      </c>
      <c r="J34" t="str">
        <f>""</f>
        <v/>
      </c>
      <c r="K34" t="str">
        <f>"AS89"</f>
        <v>AS89</v>
      </c>
      <c r="L34" t="s">
        <v>2484</v>
      </c>
      <c r="M34">
        <v>619.55999999999995</v>
      </c>
    </row>
    <row r="35" spans="1:13" x14ac:dyDescent="0.25">
      <c r="A35" t="str">
        <f t="shared" si="3"/>
        <v>E111</v>
      </c>
      <c r="B35">
        <v>1</v>
      </c>
      <c r="C35" t="str">
        <f t="shared" si="0"/>
        <v>10200</v>
      </c>
      <c r="D35" t="str">
        <f t="shared" si="1"/>
        <v>5620</v>
      </c>
      <c r="E35" t="str">
        <f t="shared" si="2"/>
        <v>094OMS</v>
      </c>
      <c r="F35" t="str">
        <f>""</f>
        <v/>
      </c>
      <c r="G35" t="str">
        <f>""</f>
        <v/>
      </c>
      <c r="H35" s="1">
        <v>41725</v>
      </c>
      <c r="I35" t="str">
        <f>"C0021184"</f>
        <v>C0021184</v>
      </c>
      <c r="J35" t="str">
        <f>""</f>
        <v/>
      </c>
      <c r="K35" t="str">
        <f>"ISSU"</f>
        <v>ISSU</v>
      </c>
      <c r="L35" t="s">
        <v>2149</v>
      </c>
      <c r="M35">
        <v>220.94</v>
      </c>
    </row>
    <row r="36" spans="1:13" x14ac:dyDescent="0.25">
      <c r="A36" t="str">
        <f t="shared" si="3"/>
        <v>E111</v>
      </c>
      <c r="B36">
        <v>1</v>
      </c>
      <c r="C36" t="str">
        <f t="shared" si="0"/>
        <v>10200</v>
      </c>
      <c r="D36" t="str">
        <f t="shared" si="1"/>
        <v>5620</v>
      </c>
      <c r="E36" t="str">
        <f t="shared" si="2"/>
        <v>094OMS</v>
      </c>
      <c r="F36" t="str">
        <f>""</f>
        <v/>
      </c>
      <c r="G36" t="str">
        <f>""</f>
        <v/>
      </c>
      <c r="H36" s="1">
        <v>41759</v>
      </c>
      <c r="I36" t="str">
        <f>"PCD00660"</f>
        <v>PCD00660</v>
      </c>
      <c r="J36" t="str">
        <f>""</f>
        <v/>
      </c>
      <c r="K36" t="str">
        <f>"AS89"</f>
        <v>AS89</v>
      </c>
      <c r="L36" t="s">
        <v>2483</v>
      </c>
      <c r="M36">
        <v>607.62</v>
      </c>
    </row>
    <row r="37" spans="1:13" x14ac:dyDescent="0.25">
      <c r="A37" t="str">
        <f t="shared" si="3"/>
        <v>E111</v>
      </c>
      <c r="B37">
        <v>1</v>
      </c>
      <c r="C37" t="str">
        <f t="shared" si="0"/>
        <v>10200</v>
      </c>
      <c r="D37" t="str">
        <f t="shared" si="1"/>
        <v>5620</v>
      </c>
      <c r="E37" t="str">
        <f t="shared" si="2"/>
        <v>094OMS</v>
      </c>
      <c r="F37" t="str">
        <f>""</f>
        <v/>
      </c>
      <c r="G37" t="str">
        <f>""</f>
        <v/>
      </c>
      <c r="H37" s="1">
        <v>41759</v>
      </c>
      <c r="I37" t="str">
        <f>"PCD00660"</f>
        <v>PCD00660</v>
      </c>
      <c r="J37" t="str">
        <f>""</f>
        <v/>
      </c>
      <c r="K37" t="str">
        <f>"AS89"</f>
        <v>AS89</v>
      </c>
      <c r="L37" t="s">
        <v>2482</v>
      </c>
      <c r="M37">
        <v>687.92</v>
      </c>
    </row>
    <row r="38" spans="1:13" x14ac:dyDescent="0.25">
      <c r="A38" t="str">
        <f t="shared" si="3"/>
        <v>E111</v>
      </c>
      <c r="B38">
        <v>1</v>
      </c>
      <c r="C38" t="str">
        <f t="shared" si="0"/>
        <v>10200</v>
      </c>
      <c r="D38" t="str">
        <f t="shared" si="1"/>
        <v>5620</v>
      </c>
      <c r="E38" t="str">
        <f t="shared" si="2"/>
        <v>094OMS</v>
      </c>
      <c r="F38" t="str">
        <f>""</f>
        <v/>
      </c>
      <c r="G38" t="str">
        <f>""</f>
        <v/>
      </c>
      <c r="H38" s="1">
        <v>41767</v>
      </c>
      <c r="I38" t="str">
        <f>"C0021382"</f>
        <v>C0021382</v>
      </c>
      <c r="J38" t="str">
        <f>""</f>
        <v/>
      </c>
      <c r="K38" t="str">
        <f>"ISSU"</f>
        <v>ISSU</v>
      </c>
      <c r="L38" t="s">
        <v>2481</v>
      </c>
      <c r="M38">
        <v>220.93</v>
      </c>
    </row>
    <row r="39" spans="1:13" x14ac:dyDescent="0.25">
      <c r="A39" t="str">
        <f t="shared" si="3"/>
        <v>E111</v>
      </c>
      <c r="B39">
        <v>1</v>
      </c>
      <c r="C39" t="str">
        <f t="shared" si="0"/>
        <v>10200</v>
      </c>
      <c r="D39" t="str">
        <f t="shared" si="1"/>
        <v>5620</v>
      </c>
      <c r="E39" t="str">
        <f t="shared" si="2"/>
        <v>094OMS</v>
      </c>
      <c r="F39" t="str">
        <f>""</f>
        <v/>
      </c>
      <c r="G39" t="str">
        <f>""</f>
        <v/>
      </c>
      <c r="H39" s="1">
        <v>41790</v>
      </c>
      <c r="I39" t="str">
        <f>"PCD00665"</f>
        <v>PCD00665</v>
      </c>
      <c r="J39" t="str">
        <f>""</f>
        <v/>
      </c>
      <c r="K39" t="str">
        <f>"AS89"</f>
        <v>AS89</v>
      </c>
      <c r="L39" t="s">
        <v>2480</v>
      </c>
      <c r="M39">
        <v>673.9</v>
      </c>
    </row>
    <row r="40" spans="1:13" x14ac:dyDescent="0.25">
      <c r="A40" t="str">
        <f t="shared" si="3"/>
        <v>E111</v>
      </c>
      <c r="B40">
        <v>1</v>
      </c>
      <c r="C40" t="str">
        <f t="shared" si="0"/>
        <v>10200</v>
      </c>
      <c r="D40" t="str">
        <f t="shared" si="1"/>
        <v>5620</v>
      </c>
      <c r="E40" t="str">
        <f t="shared" si="2"/>
        <v>094OMS</v>
      </c>
      <c r="F40" t="str">
        <f>""</f>
        <v/>
      </c>
      <c r="G40" t="str">
        <f>""</f>
        <v/>
      </c>
      <c r="H40" s="1">
        <v>41790</v>
      </c>
      <c r="I40" t="str">
        <f>"PCD00665"</f>
        <v>PCD00665</v>
      </c>
      <c r="J40" t="str">
        <f>""</f>
        <v/>
      </c>
      <c r="K40" t="str">
        <f>"AS89"</f>
        <v>AS89</v>
      </c>
      <c r="L40" t="s">
        <v>2479</v>
      </c>
      <c r="M40">
        <v>132.13999999999999</v>
      </c>
    </row>
    <row r="41" spans="1:13" x14ac:dyDescent="0.25">
      <c r="A41" t="str">
        <f t="shared" si="3"/>
        <v>E111</v>
      </c>
      <c r="B41">
        <v>1</v>
      </c>
      <c r="C41" t="str">
        <f t="shared" si="0"/>
        <v>10200</v>
      </c>
      <c r="D41" t="str">
        <f t="shared" si="1"/>
        <v>5620</v>
      </c>
      <c r="E41" t="str">
        <f t="shared" si="2"/>
        <v>094OMS</v>
      </c>
      <c r="F41" t="str">
        <f>""</f>
        <v/>
      </c>
      <c r="G41" t="str">
        <f>""</f>
        <v/>
      </c>
      <c r="H41" s="1">
        <v>41795</v>
      </c>
      <c r="I41" t="str">
        <f>"I0109558"</f>
        <v>I0109558</v>
      </c>
      <c r="J41" t="str">
        <f>"N218295"</f>
        <v>N218295</v>
      </c>
      <c r="K41" t="str">
        <f>"INEI"</f>
        <v>INEI</v>
      </c>
      <c r="L41" t="s">
        <v>2303</v>
      </c>
      <c r="M41">
        <v>421.55</v>
      </c>
    </row>
    <row r="42" spans="1:13" x14ac:dyDescent="0.25">
      <c r="A42" t="str">
        <f t="shared" ref="A42:A73" si="4">"E111"</f>
        <v>E111</v>
      </c>
      <c r="B42">
        <v>1</v>
      </c>
      <c r="C42" t="str">
        <f t="shared" si="0"/>
        <v>10200</v>
      </c>
      <c r="D42" t="str">
        <f t="shared" si="1"/>
        <v>5620</v>
      </c>
      <c r="E42" t="str">
        <f t="shared" si="2"/>
        <v>094OMS</v>
      </c>
      <c r="F42" t="str">
        <f>""</f>
        <v/>
      </c>
      <c r="G42" t="str">
        <f>""</f>
        <v/>
      </c>
      <c r="H42" s="1">
        <v>41820</v>
      </c>
      <c r="I42" t="str">
        <f>"PCD00670"</f>
        <v>PCD00670</v>
      </c>
      <c r="J42" t="str">
        <f>""</f>
        <v/>
      </c>
      <c r="K42" t="str">
        <f>"AS89"</f>
        <v>AS89</v>
      </c>
      <c r="L42" t="s">
        <v>2478</v>
      </c>
      <c r="M42">
        <v>364.87</v>
      </c>
    </row>
    <row r="43" spans="1:13" x14ac:dyDescent="0.25">
      <c r="A43" t="str">
        <f t="shared" si="4"/>
        <v>E111</v>
      </c>
      <c r="B43">
        <v>1</v>
      </c>
      <c r="C43" t="str">
        <f t="shared" si="0"/>
        <v>10200</v>
      </c>
      <c r="D43" t="str">
        <f t="shared" si="1"/>
        <v>5620</v>
      </c>
      <c r="E43" t="str">
        <f t="shared" si="2"/>
        <v>094OMS</v>
      </c>
      <c r="F43" t="str">
        <f>""</f>
        <v/>
      </c>
      <c r="G43" t="str">
        <f>""</f>
        <v/>
      </c>
      <c r="H43" s="1">
        <v>41820</v>
      </c>
      <c r="I43" t="str">
        <f>"PCD00670"</f>
        <v>PCD00670</v>
      </c>
      <c r="J43" t="str">
        <f>""</f>
        <v/>
      </c>
      <c r="K43" t="str">
        <f>"AS89"</f>
        <v>AS89</v>
      </c>
      <c r="L43" t="s">
        <v>2477</v>
      </c>
      <c r="M43">
        <v>318.3</v>
      </c>
    </row>
    <row r="44" spans="1:13" x14ac:dyDescent="0.25">
      <c r="A44" t="str">
        <f t="shared" si="4"/>
        <v>E111</v>
      </c>
      <c r="B44">
        <v>1</v>
      </c>
      <c r="C44" t="str">
        <f>"23275"</f>
        <v>23275</v>
      </c>
      <c r="D44" t="str">
        <f t="shared" si="1"/>
        <v>5620</v>
      </c>
      <c r="E44" t="str">
        <f>"063STF"</f>
        <v>063STF</v>
      </c>
      <c r="F44" t="str">
        <f>""</f>
        <v/>
      </c>
      <c r="G44" t="str">
        <f>""</f>
        <v/>
      </c>
      <c r="H44" s="1">
        <v>41816</v>
      </c>
      <c r="I44" t="str">
        <f>"J0009784"</f>
        <v>J0009784</v>
      </c>
      <c r="J44" t="str">
        <f>""</f>
        <v/>
      </c>
      <c r="K44" t="str">
        <f>"J079"</f>
        <v>J079</v>
      </c>
      <c r="L44" t="s">
        <v>2226</v>
      </c>
      <c r="M44">
        <v>253.25</v>
      </c>
    </row>
    <row r="45" spans="1:13" x14ac:dyDescent="0.25">
      <c r="A45" t="str">
        <f t="shared" si="4"/>
        <v>E111</v>
      </c>
      <c r="B45">
        <v>1</v>
      </c>
      <c r="C45" t="str">
        <f>"23275"</f>
        <v>23275</v>
      </c>
      <c r="D45" t="str">
        <f>"5741"</f>
        <v>5741</v>
      </c>
      <c r="E45" t="str">
        <f>"063STF"</f>
        <v>063STF</v>
      </c>
      <c r="F45" t="str">
        <f>""</f>
        <v/>
      </c>
      <c r="G45" t="str">
        <f>""</f>
        <v/>
      </c>
      <c r="H45" s="1">
        <v>41547</v>
      </c>
      <c r="I45" t="str">
        <f>"PCD00621"</f>
        <v>PCD00621</v>
      </c>
      <c r="J45" t="str">
        <f>"201865"</f>
        <v>201865</v>
      </c>
      <c r="K45" t="str">
        <f>"AS89"</f>
        <v>AS89</v>
      </c>
      <c r="L45" t="s">
        <v>2476</v>
      </c>
      <c r="M45">
        <v>113.92</v>
      </c>
    </row>
    <row r="46" spans="1:13" x14ac:dyDescent="0.25">
      <c r="A46" t="str">
        <f t="shared" si="4"/>
        <v>E111</v>
      </c>
      <c r="B46">
        <v>1</v>
      </c>
      <c r="C46" t="str">
        <f t="shared" ref="C46:C77" si="5">"32040"</f>
        <v>32040</v>
      </c>
      <c r="D46" t="str">
        <f t="shared" ref="D46:D77" si="6">"5610"</f>
        <v>5610</v>
      </c>
      <c r="E46" t="str">
        <f t="shared" ref="E46:E77" si="7">"850LOS"</f>
        <v>850LOS</v>
      </c>
      <c r="F46" t="str">
        <f>""</f>
        <v/>
      </c>
      <c r="G46" t="str">
        <f>""</f>
        <v/>
      </c>
      <c r="H46" s="1">
        <v>41480</v>
      </c>
      <c r="I46" t="str">
        <f>"84060502"</f>
        <v>84060502</v>
      </c>
      <c r="J46" t="str">
        <f t="shared" ref="J46:J59" si="8">"NP52205S"</f>
        <v>NP52205S</v>
      </c>
      <c r="K46" t="str">
        <f t="shared" ref="K46:K65" si="9">"INEI"</f>
        <v>INEI</v>
      </c>
      <c r="L46" t="s">
        <v>36</v>
      </c>
      <c r="M46" s="2">
        <v>5950.54</v>
      </c>
    </row>
    <row r="47" spans="1:13" x14ac:dyDescent="0.25">
      <c r="A47" t="str">
        <f t="shared" si="4"/>
        <v>E111</v>
      </c>
      <c r="B47">
        <v>1</v>
      </c>
      <c r="C47" t="str">
        <f t="shared" si="5"/>
        <v>32040</v>
      </c>
      <c r="D47" t="str">
        <f t="shared" si="6"/>
        <v>5610</v>
      </c>
      <c r="E47" t="str">
        <f t="shared" si="7"/>
        <v>850LOS</v>
      </c>
      <c r="F47" t="str">
        <f>""</f>
        <v/>
      </c>
      <c r="G47" t="str">
        <f>""</f>
        <v/>
      </c>
      <c r="H47" s="1">
        <v>41480</v>
      </c>
      <c r="I47" t="str">
        <f>"84569206"</f>
        <v>84569206</v>
      </c>
      <c r="J47" t="str">
        <f t="shared" si="8"/>
        <v>NP52205S</v>
      </c>
      <c r="K47" t="str">
        <f t="shared" si="9"/>
        <v>INEI</v>
      </c>
      <c r="L47" t="s">
        <v>36</v>
      </c>
      <c r="M47">
        <v>672.36</v>
      </c>
    </row>
    <row r="48" spans="1:13" x14ac:dyDescent="0.25">
      <c r="A48" t="str">
        <f t="shared" si="4"/>
        <v>E111</v>
      </c>
      <c r="B48">
        <v>1</v>
      </c>
      <c r="C48" t="str">
        <f t="shared" si="5"/>
        <v>32040</v>
      </c>
      <c r="D48" t="str">
        <f t="shared" si="6"/>
        <v>5610</v>
      </c>
      <c r="E48" t="str">
        <f t="shared" si="7"/>
        <v>850LOS</v>
      </c>
      <c r="F48" t="str">
        <f>""</f>
        <v/>
      </c>
      <c r="G48" t="str">
        <f>""</f>
        <v/>
      </c>
      <c r="H48" s="1">
        <v>41480</v>
      </c>
      <c r="I48" t="str">
        <f>"84854403"</f>
        <v>84854403</v>
      </c>
      <c r="J48" t="str">
        <f t="shared" si="8"/>
        <v>NP52205S</v>
      </c>
      <c r="K48" t="str">
        <f t="shared" si="9"/>
        <v>INEI</v>
      </c>
      <c r="L48" t="s">
        <v>36</v>
      </c>
      <c r="M48">
        <v>242.41</v>
      </c>
    </row>
    <row r="49" spans="1:13" x14ac:dyDescent="0.25">
      <c r="A49" t="str">
        <f t="shared" si="4"/>
        <v>E111</v>
      </c>
      <c r="B49">
        <v>1</v>
      </c>
      <c r="C49" t="str">
        <f t="shared" si="5"/>
        <v>32040</v>
      </c>
      <c r="D49" t="str">
        <f t="shared" si="6"/>
        <v>5610</v>
      </c>
      <c r="E49" t="str">
        <f t="shared" si="7"/>
        <v>850LOS</v>
      </c>
      <c r="F49" t="str">
        <f>""</f>
        <v/>
      </c>
      <c r="G49" t="str">
        <f>""</f>
        <v/>
      </c>
      <c r="H49" s="1">
        <v>41495</v>
      </c>
      <c r="I49" t="str">
        <f>"84993001"</f>
        <v>84993001</v>
      </c>
      <c r="J49" t="str">
        <f t="shared" si="8"/>
        <v>NP52205S</v>
      </c>
      <c r="K49" t="str">
        <f t="shared" si="9"/>
        <v>INEI</v>
      </c>
      <c r="L49" t="s">
        <v>36</v>
      </c>
      <c r="M49">
        <v>933.19</v>
      </c>
    </row>
    <row r="50" spans="1:13" x14ac:dyDescent="0.25">
      <c r="A50" t="str">
        <f t="shared" si="4"/>
        <v>E111</v>
      </c>
      <c r="B50">
        <v>1</v>
      </c>
      <c r="C50" t="str">
        <f t="shared" si="5"/>
        <v>32040</v>
      </c>
      <c r="D50" t="str">
        <f t="shared" si="6"/>
        <v>5610</v>
      </c>
      <c r="E50" t="str">
        <f t="shared" si="7"/>
        <v>850LOS</v>
      </c>
      <c r="F50" t="str">
        <f>""</f>
        <v/>
      </c>
      <c r="G50" t="str">
        <f>""</f>
        <v/>
      </c>
      <c r="H50" s="1">
        <v>41495</v>
      </c>
      <c r="I50" t="str">
        <f>"85271201"</f>
        <v>85271201</v>
      </c>
      <c r="J50" t="str">
        <f t="shared" si="8"/>
        <v>NP52205S</v>
      </c>
      <c r="K50" t="str">
        <f t="shared" si="9"/>
        <v>INEI</v>
      </c>
      <c r="L50" t="s">
        <v>36</v>
      </c>
      <c r="M50">
        <v>238.49</v>
      </c>
    </row>
    <row r="51" spans="1:13" x14ac:dyDescent="0.25">
      <c r="A51" t="str">
        <f t="shared" si="4"/>
        <v>E111</v>
      </c>
      <c r="B51">
        <v>1</v>
      </c>
      <c r="C51" t="str">
        <f t="shared" si="5"/>
        <v>32040</v>
      </c>
      <c r="D51" t="str">
        <f t="shared" si="6"/>
        <v>5610</v>
      </c>
      <c r="E51" t="str">
        <f t="shared" si="7"/>
        <v>850LOS</v>
      </c>
      <c r="F51" t="str">
        <f>""</f>
        <v/>
      </c>
      <c r="G51" t="str">
        <f>""</f>
        <v/>
      </c>
      <c r="H51" s="1">
        <v>41495</v>
      </c>
      <c r="I51" t="str">
        <f>"85271202"</f>
        <v>85271202</v>
      </c>
      <c r="J51" t="str">
        <f t="shared" si="8"/>
        <v>NP52205S</v>
      </c>
      <c r="K51" t="str">
        <f t="shared" si="9"/>
        <v>INEI</v>
      </c>
      <c r="L51" t="s">
        <v>36</v>
      </c>
      <c r="M51" s="2">
        <v>1131.67</v>
      </c>
    </row>
    <row r="52" spans="1:13" x14ac:dyDescent="0.25">
      <c r="A52" t="str">
        <f t="shared" si="4"/>
        <v>E111</v>
      </c>
      <c r="B52">
        <v>1</v>
      </c>
      <c r="C52" t="str">
        <f t="shared" si="5"/>
        <v>32040</v>
      </c>
      <c r="D52" t="str">
        <f t="shared" si="6"/>
        <v>5610</v>
      </c>
      <c r="E52" t="str">
        <f t="shared" si="7"/>
        <v>850LOS</v>
      </c>
      <c r="F52" t="str">
        <f>""</f>
        <v/>
      </c>
      <c r="G52" t="str">
        <f>""</f>
        <v/>
      </c>
      <c r="H52" s="1">
        <v>41500</v>
      </c>
      <c r="I52" t="str">
        <f>"85443102"</f>
        <v>85443102</v>
      </c>
      <c r="J52" t="str">
        <f t="shared" si="8"/>
        <v>NP52205S</v>
      </c>
      <c r="K52" t="str">
        <f t="shared" si="9"/>
        <v>INEI</v>
      </c>
      <c r="L52" t="s">
        <v>36</v>
      </c>
      <c r="M52">
        <v>542.96</v>
      </c>
    </row>
    <row r="53" spans="1:13" x14ac:dyDescent="0.25">
      <c r="A53" t="str">
        <f t="shared" si="4"/>
        <v>E111</v>
      </c>
      <c r="B53">
        <v>1</v>
      </c>
      <c r="C53" t="str">
        <f t="shared" si="5"/>
        <v>32040</v>
      </c>
      <c r="D53" t="str">
        <f t="shared" si="6"/>
        <v>5610</v>
      </c>
      <c r="E53" t="str">
        <f t="shared" si="7"/>
        <v>850LOS</v>
      </c>
      <c r="F53" t="str">
        <f>""</f>
        <v/>
      </c>
      <c r="G53" t="str">
        <f>""</f>
        <v/>
      </c>
      <c r="H53" s="1">
        <v>41500</v>
      </c>
      <c r="I53" t="str">
        <f>"85477201"</f>
        <v>85477201</v>
      </c>
      <c r="J53" t="str">
        <f t="shared" si="8"/>
        <v>NP52205S</v>
      </c>
      <c r="K53" t="str">
        <f t="shared" si="9"/>
        <v>INEI</v>
      </c>
      <c r="L53" t="s">
        <v>36</v>
      </c>
      <c r="M53">
        <v>158.88</v>
      </c>
    </row>
    <row r="54" spans="1:13" x14ac:dyDescent="0.25">
      <c r="A54" t="str">
        <f t="shared" si="4"/>
        <v>E111</v>
      </c>
      <c r="B54">
        <v>1</v>
      </c>
      <c r="C54" t="str">
        <f t="shared" si="5"/>
        <v>32040</v>
      </c>
      <c r="D54" t="str">
        <f t="shared" si="6"/>
        <v>5610</v>
      </c>
      <c r="E54" t="str">
        <f t="shared" si="7"/>
        <v>850LOS</v>
      </c>
      <c r="F54" t="str">
        <f>""</f>
        <v/>
      </c>
      <c r="G54" t="str">
        <f>""</f>
        <v/>
      </c>
      <c r="H54" s="1">
        <v>41507</v>
      </c>
      <c r="I54" t="str">
        <f>"85271204"</f>
        <v>85271204</v>
      </c>
      <c r="J54" t="str">
        <f t="shared" si="8"/>
        <v>NP52205S</v>
      </c>
      <c r="K54" t="str">
        <f t="shared" si="9"/>
        <v>INEI</v>
      </c>
      <c r="L54" t="s">
        <v>36</v>
      </c>
      <c r="M54">
        <v>279.45999999999998</v>
      </c>
    </row>
    <row r="55" spans="1:13" x14ac:dyDescent="0.25">
      <c r="A55" t="str">
        <f t="shared" si="4"/>
        <v>E111</v>
      </c>
      <c r="B55">
        <v>1</v>
      </c>
      <c r="C55" t="str">
        <f t="shared" si="5"/>
        <v>32040</v>
      </c>
      <c r="D55" t="str">
        <f t="shared" si="6"/>
        <v>5610</v>
      </c>
      <c r="E55" t="str">
        <f t="shared" si="7"/>
        <v>850LOS</v>
      </c>
      <c r="F55" t="str">
        <f>""</f>
        <v/>
      </c>
      <c r="G55" t="str">
        <f>""</f>
        <v/>
      </c>
      <c r="H55" s="1">
        <v>41507</v>
      </c>
      <c r="I55" t="str">
        <f>"85271203"</f>
        <v>85271203</v>
      </c>
      <c r="J55" t="str">
        <f t="shared" si="8"/>
        <v>NP52205S</v>
      </c>
      <c r="K55" t="str">
        <f t="shared" si="9"/>
        <v>INEI</v>
      </c>
      <c r="L55" t="s">
        <v>36</v>
      </c>
      <c r="M55" s="2">
        <v>1960.95</v>
      </c>
    </row>
    <row r="56" spans="1:13" x14ac:dyDescent="0.25">
      <c r="A56" t="str">
        <f t="shared" si="4"/>
        <v>E111</v>
      </c>
      <c r="B56">
        <v>1</v>
      </c>
      <c r="C56" t="str">
        <f t="shared" si="5"/>
        <v>32040</v>
      </c>
      <c r="D56" t="str">
        <f t="shared" si="6"/>
        <v>5610</v>
      </c>
      <c r="E56" t="str">
        <f t="shared" si="7"/>
        <v>850LOS</v>
      </c>
      <c r="F56" t="str">
        <f>""</f>
        <v/>
      </c>
      <c r="G56" t="str">
        <f>""</f>
        <v/>
      </c>
      <c r="H56" s="1">
        <v>41513</v>
      </c>
      <c r="I56" t="str">
        <f>"85255001"</f>
        <v>85255001</v>
      </c>
      <c r="J56" t="str">
        <f t="shared" si="8"/>
        <v>NP52205S</v>
      </c>
      <c r="K56" t="str">
        <f t="shared" si="9"/>
        <v>INEI</v>
      </c>
      <c r="L56" t="s">
        <v>36</v>
      </c>
      <c r="M56" s="2">
        <v>1609.3</v>
      </c>
    </row>
    <row r="57" spans="1:13" x14ac:dyDescent="0.25">
      <c r="A57" t="str">
        <f t="shared" si="4"/>
        <v>E111</v>
      </c>
      <c r="B57">
        <v>1</v>
      </c>
      <c r="C57" t="str">
        <f t="shared" si="5"/>
        <v>32040</v>
      </c>
      <c r="D57" t="str">
        <f t="shared" si="6"/>
        <v>5610</v>
      </c>
      <c r="E57" t="str">
        <f t="shared" si="7"/>
        <v>850LOS</v>
      </c>
      <c r="F57" t="str">
        <f>""</f>
        <v/>
      </c>
      <c r="G57" t="str">
        <f>""</f>
        <v/>
      </c>
      <c r="H57" s="1">
        <v>41513</v>
      </c>
      <c r="I57" t="str">
        <f>"85424201"</f>
        <v>85424201</v>
      </c>
      <c r="J57" t="str">
        <f t="shared" si="8"/>
        <v>NP52205S</v>
      </c>
      <c r="K57" t="str">
        <f t="shared" si="9"/>
        <v>INEI</v>
      </c>
      <c r="L57" t="s">
        <v>36</v>
      </c>
      <c r="M57" s="2">
        <v>1655.28</v>
      </c>
    </row>
    <row r="58" spans="1:13" x14ac:dyDescent="0.25">
      <c r="A58" t="str">
        <f t="shared" si="4"/>
        <v>E111</v>
      </c>
      <c r="B58">
        <v>1</v>
      </c>
      <c r="C58" t="str">
        <f t="shared" si="5"/>
        <v>32040</v>
      </c>
      <c r="D58" t="str">
        <f t="shared" si="6"/>
        <v>5610</v>
      </c>
      <c r="E58" t="str">
        <f t="shared" si="7"/>
        <v>850LOS</v>
      </c>
      <c r="F58" t="str">
        <f>""</f>
        <v/>
      </c>
      <c r="G58" t="str">
        <f>""</f>
        <v/>
      </c>
      <c r="H58" s="1">
        <v>41513</v>
      </c>
      <c r="I58" t="str">
        <f>"85271205"</f>
        <v>85271205</v>
      </c>
      <c r="J58" t="str">
        <f t="shared" si="8"/>
        <v>NP52205S</v>
      </c>
      <c r="K58" t="str">
        <f t="shared" si="9"/>
        <v>INEI</v>
      </c>
      <c r="L58" t="s">
        <v>36</v>
      </c>
      <c r="M58">
        <v>363.75</v>
      </c>
    </row>
    <row r="59" spans="1:13" x14ac:dyDescent="0.25">
      <c r="A59" t="str">
        <f t="shared" si="4"/>
        <v>E111</v>
      </c>
      <c r="B59">
        <v>1</v>
      </c>
      <c r="C59" t="str">
        <f t="shared" si="5"/>
        <v>32040</v>
      </c>
      <c r="D59" t="str">
        <f t="shared" si="6"/>
        <v>5610</v>
      </c>
      <c r="E59" t="str">
        <f t="shared" si="7"/>
        <v>850LOS</v>
      </c>
      <c r="F59" t="str">
        <f>""</f>
        <v/>
      </c>
      <c r="G59" t="str">
        <f>""</f>
        <v/>
      </c>
      <c r="H59" s="1">
        <v>41513</v>
      </c>
      <c r="I59" t="str">
        <f>"85588602"</f>
        <v>85588602</v>
      </c>
      <c r="J59" t="str">
        <f t="shared" si="8"/>
        <v>NP52205S</v>
      </c>
      <c r="K59" t="str">
        <f t="shared" si="9"/>
        <v>INEI</v>
      </c>
      <c r="L59" t="s">
        <v>36</v>
      </c>
      <c r="M59">
        <v>921.54</v>
      </c>
    </row>
    <row r="60" spans="1:13" x14ac:dyDescent="0.25">
      <c r="A60" t="str">
        <f t="shared" si="4"/>
        <v>E111</v>
      </c>
      <c r="B60">
        <v>1</v>
      </c>
      <c r="C60" t="str">
        <f t="shared" si="5"/>
        <v>32040</v>
      </c>
      <c r="D60" t="str">
        <f t="shared" si="6"/>
        <v>5610</v>
      </c>
      <c r="E60" t="str">
        <f t="shared" si="7"/>
        <v>850LOS</v>
      </c>
      <c r="F60" t="str">
        <f>""</f>
        <v/>
      </c>
      <c r="G60" t="str">
        <f>""</f>
        <v/>
      </c>
      <c r="H60" s="1">
        <v>41534</v>
      </c>
      <c r="I60" t="str">
        <f>"3K001344"</f>
        <v>3K001344</v>
      </c>
      <c r="J60" t="str">
        <f t="shared" ref="J60:J65" si="10">"NP52205T"</f>
        <v>NP52205T</v>
      </c>
      <c r="K60" t="str">
        <f t="shared" si="9"/>
        <v>INEI</v>
      </c>
      <c r="L60" t="s">
        <v>2474</v>
      </c>
      <c r="M60">
        <v>175.01</v>
      </c>
    </row>
    <row r="61" spans="1:13" x14ac:dyDescent="0.25">
      <c r="A61" t="str">
        <f t="shared" si="4"/>
        <v>E111</v>
      </c>
      <c r="B61">
        <v>1</v>
      </c>
      <c r="C61" t="str">
        <f t="shared" si="5"/>
        <v>32040</v>
      </c>
      <c r="D61" t="str">
        <f t="shared" si="6"/>
        <v>5610</v>
      </c>
      <c r="E61" t="str">
        <f t="shared" si="7"/>
        <v>850LOS</v>
      </c>
      <c r="F61" t="str">
        <f>""</f>
        <v/>
      </c>
      <c r="G61" t="str">
        <f>""</f>
        <v/>
      </c>
      <c r="H61" s="1">
        <v>41534</v>
      </c>
      <c r="I61" t="str">
        <f>"3K001717"</f>
        <v>3K001717</v>
      </c>
      <c r="J61" t="str">
        <f t="shared" si="10"/>
        <v>NP52205T</v>
      </c>
      <c r="K61" t="str">
        <f t="shared" si="9"/>
        <v>INEI</v>
      </c>
      <c r="L61" t="s">
        <v>2474</v>
      </c>
      <c r="M61">
        <v>268.37</v>
      </c>
    </row>
    <row r="62" spans="1:13" x14ac:dyDescent="0.25">
      <c r="A62" t="str">
        <f t="shared" si="4"/>
        <v>E111</v>
      </c>
      <c r="B62">
        <v>1</v>
      </c>
      <c r="C62" t="str">
        <f t="shared" si="5"/>
        <v>32040</v>
      </c>
      <c r="D62" t="str">
        <f t="shared" si="6"/>
        <v>5610</v>
      </c>
      <c r="E62" t="str">
        <f t="shared" si="7"/>
        <v>850LOS</v>
      </c>
      <c r="F62" t="str">
        <f>""</f>
        <v/>
      </c>
      <c r="G62" t="str">
        <f>""</f>
        <v/>
      </c>
      <c r="H62" s="1">
        <v>41536</v>
      </c>
      <c r="I62" t="str">
        <f>"84608401"</f>
        <v>84608401</v>
      </c>
      <c r="J62" t="str">
        <f t="shared" si="10"/>
        <v>NP52205T</v>
      </c>
      <c r="K62" t="str">
        <f t="shared" si="9"/>
        <v>INEI</v>
      </c>
      <c r="L62" t="s">
        <v>2474</v>
      </c>
      <c r="M62">
        <v>313.67</v>
      </c>
    </row>
    <row r="63" spans="1:13" x14ac:dyDescent="0.25">
      <c r="A63" t="str">
        <f t="shared" si="4"/>
        <v>E111</v>
      </c>
      <c r="B63">
        <v>1</v>
      </c>
      <c r="C63" t="str">
        <f t="shared" si="5"/>
        <v>32040</v>
      </c>
      <c r="D63" t="str">
        <f t="shared" si="6"/>
        <v>5610</v>
      </c>
      <c r="E63" t="str">
        <f t="shared" si="7"/>
        <v>850LOS</v>
      </c>
      <c r="F63" t="str">
        <f>""</f>
        <v/>
      </c>
      <c r="G63" t="str">
        <f>""</f>
        <v/>
      </c>
      <c r="H63" s="1">
        <v>41536</v>
      </c>
      <c r="I63" t="str">
        <f>"3K002322"</f>
        <v>3K002322</v>
      </c>
      <c r="J63" t="str">
        <f t="shared" si="10"/>
        <v>NP52205T</v>
      </c>
      <c r="K63" t="str">
        <f t="shared" si="9"/>
        <v>INEI</v>
      </c>
      <c r="L63" t="s">
        <v>2474</v>
      </c>
      <c r="M63" s="2">
        <v>1423.43</v>
      </c>
    </row>
    <row r="64" spans="1:13" x14ac:dyDescent="0.25">
      <c r="A64" t="str">
        <f t="shared" si="4"/>
        <v>E111</v>
      </c>
      <c r="B64">
        <v>1</v>
      </c>
      <c r="C64" t="str">
        <f t="shared" si="5"/>
        <v>32040</v>
      </c>
      <c r="D64" t="str">
        <f t="shared" si="6"/>
        <v>5610</v>
      </c>
      <c r="E64" t="str">
        <f t="shared" si="7"/>
        <v>850LOS</v>
      </c>
      <c r="F64" t="str">
        <f>""</f>
        <v/>
      </c>
      <c r="G64" t="str">
        <f>""</f>
        <v/>
      </c>
      <c r="H64" s="1">
        <v>41536</v>
      </c>
      <c r="I64" t="str">
        <f>"3K002323"</f>
        <v>3K002323</v>
      </c>
      <c r="J64" t="str">
        <f t="shared" si="10"/>
        <v>NP52205T</v>
      </c>
      <c r="K64" t="str">
        <f t="shared" si="9"/>
        <v>INEI</v>
      </c>
      <c r="L64" t="s">
        <v>2474</v>
      </c>
      <c r="M64">
        <v>321.75</v>
      </c>
    </row>
    <row r="65" spans="1:13" x14ac:dyDescent="0.25">
      <c r="A65" t="str">
        <f t="shared" si="4"/>
        <v>E111</v>
      </c>
      <c r="B65">
        <v>1</v>
      </c>
      <c r="C65" t="str">
        <f t="shared" si="5"/>
        <v>32040</v>
      </c>
      <c r="D65" t="str">
        <f t="shared" si="6"/>
        <v>5610</v>
      </c>
      <c r="E65" t="str">
        <f t="shared" si="7"/>
        <v>850LOS</v>
      </c>
      <c r="F65" t="str">
        <f>""</f>
        <v/>
      </c>
      <c r="G65" t="str">
        <f>""</f>
        <v/>
      </c>
      <c r="H65" s="1">
        <v>41536</v>
      </c>
      <c r="I65" t="str">
        <f>"3K002148"</f>
        <v>3K002148</v>
      </c>
      <c r="J65" t="str">
        <f t="shared" si="10"/>
        <v>NP52205T</v>
      </c>
      <c r="K65" t="str">
        <f t="shared" si="9"/>
        <v>INEI</v>
      </c>
      <c r="L65" t="s">
        <v>2474</v>
      </c>
      <c r="M65">
        <v>431.5</v>
      </c>
    </row>
    <row r="66" spans="1:13" x14ac:dyDescent="0.25">
      <c r="A66" t="str">
        <f t="shared" si="4"/>
        <v>E111</v>
      </c>
      <c r="B66">
        <v>1</v>
      </c>
      <c r="C66" t="str">
        <f t="shared" si="5"/>
        <v>32040</v>
      </c>
      <c r="D66" t="str">
        <f t="shared" si="6"/>
        <v>5610</v>
      </c>
      <c r="E66" t="str">
        <f t="shared" si="7"/>
        <v>850LOS</v>
      </c>
      <c r="F66" t="str">
        <f>""</f>
        <v/>
      </c>
      <c r="G66" t="str">
        <f>""</f>
        <v/>
      </c>
      <c r="H66" s="1">
        <v>41639</v>
      </c>
      <c r="I66" t="str">
        <f>"PCD00636"</f>
        <v>PCD00636</v>
      </c>
      <c r="J66" t="str">
        <f>"207852"</f>
        <v>207852</v>
      </c>
      <c r="K66" t="str">
        <f>"AS89"</f>
        <v>AS89</v>
      </c>
      <c r="L66" t="s">
        <v>2475</v>
      </c>
      <c r="M66">
        <v>454.75</v>
      </c>
    </row>
    <row r="67" spans="1:13" x14ac:dyDescent="0.25">
      <c r="A67" t="str">
        <f t="shared" si="4"/>
        <v>E111</v>
      </c>
      <c r="B67">
        <v>1</v>
      </c>
      <c r="C67" t="str">
        <f t="shared" si="5"/>
        <v>32040</v>
      </c>
      <c r="D67" t="str">
        <f t="shared" si="6"/>
        <v>5610</v>
      </c>
      <c r="E67" t="str">
        <f t="shared" si="7"/>
        <v>850LOS</v>
      </c>
      <c r="F67" t="str">
        <f>""</f>
        <v/>
      </c>
      <c r="G67" t="str">
        <f>""</f>
        <v/>
      </c>
      <c r="H67" s="1">
        <v>41690</v>
      </c>
      <c r="I67" t="str">
        <f>"3K006792"</f>
        <v>3K006792</v>
      </c>
      <c r="J67" t="str">
        <f t="shared" ref="J67:J82" si="11">"NP52205T"</f>
        <v>NP52205T</v>
      </c>
      <c r="K67" t="str">
        <f t="shared" ref="K67:K98" si="12">"INEI"</f>
        <v>INEI</v>
      </c>
      <c r="L67" t="s">
        <v>2474</v>
      </c>
      <c r="M67" s="2">
        <v>1519.28</v>
      </c>
    </row>
    <row r="68" spans="1:13" x14ac:dyDescent="0.25">
      <c r="A68" t="str">
        <f t="shared" si="4"/>
        <v>E111</v>
      </c>
      <c r="B68">
        <v>1</v>
      </c>
      <c r="C68" t="str">
        <f t="shared" si="5"/>
        <v>32040</v>
      </c>
      <c r="D68" t="str">
        <f t="shared" si="6"/>
        <v>5610</v>
      </c>
      <c r="E68" t="str">
        <f t="shared" si="7"/>
        <v>850LOS</v>
      </c>
      <c r="F68" t="str">
        <f>""</f>
        <v/>
      </c>
      <c r="G68" t="str">
        <f>""</f>
        <v/>
      </c>
      <c r="H68" s="1">
        <v>41690</v>
      </c>
      <c r="I68" t="str">
        <f>"3K012459"</f>
        <v>3K012459</v>
      </c>
      <c r="J68" t="str">
        <f t="shared" si="11"/>
        <v>NP52205T</v>
      </c>
      <c r="K68" t="str">
        <f t="shared" si="12"/>
        <v>INEI</v>
      </c>
      <c r="L68" t="s">
        <v>2474</v>
      </c>
      <c r="M68" s="2">
        <v>2429.4499999999998</v>
      </c>
    </row>
    <row r="69" spans="1:13" x14ac:dyDescent="0.25">
      <c r="A69" t="str">
        <f t="shared" si="4"/>
        <v>E111</v>
      </c>
      <c r="B69">
        <v>1</v>
      </c>
      <c r="C69" t="str">
        <f t="shared" si="5"/>
        <v>32040</v>
      </c>
      <c r="D69" t="str">
        <f t="shared" si="6"/>
        <v>5610</v>
      </c>
      <c r="E69" t="str">
        <f t="shared" si="7"/>
        <v>850LOS</v>
      </c>
      <c r="F69" t="str">
        <f>""</f>
        <v/>
      </c>
      <c r="G69" t="str">
        <f>""</f>
        <v/>
      </c>
      <c r="H69" s="1">
        <v>41690</v>
      </c>
      <c r="I69" t="str">
        <f>"3K012627"</f>
        <v>3K012627</v>
      </c>
      <c r="J69" t="str">
        <f t="shared" si="11"/>
        <v>NP52205T</v>
      </c>
      <c r="K69" t="str">
        <f t="shared" si="12"/>
        <v>INEI</v>
      </c>
      <c r="L69" t="s">
        <v>2474</v>
      </c>
      <c r="M69" s="2">
        <v>1380.49</v>
      </c>
    </row>
    <row r="70" spans="1:13" x14ac:dyDescent="0.25">
      <c r="A70" t="str">
        <f t="shared" si="4"/>
        <v>E111</v>
      </c>
      <c r="B70">
        <v>1</v>
      </c>
      <c r="C70" t="str">
        <f t="shared" si="5"/>
        <v>32040</v>
      </c>
      <c r="D70" t="str">
        <f t="shared" si="6"/>
        <v>5610</v>
      </c>
      <c r="E70" t="str">
        <f t="shared" si="7"/>
        <v>850LOS</v>
      </c>
      <c r="F70" t="str">
        <f>""</f>
        <v/>
      </c>
      <c r="G70" t="str">
        <f>""</f>
        <v/>
      </c>
      <c r="H70" s="1">
        <v>41690</v>
      </c>
      <c r="I70" t="str">
        <f>"3K015431"</f>
        <v>3K015431</v>
      </c>
      <c r="J70" t="str">
        <f t="shared" si="11"/>
        <v>NP52205T</v>
      </c>
      <c r="K70" t="str">
        <f t="shared" si="12"/>
        <v>INEI</v>
      </c>
      <c r="L70" t="s">
        <v>2474</v>
      </c>
      <c r="M70" s="2">
        <v>4464.09</v>
      </c>
    </row>
    <row r="71" spans="1:13" x14ac:dyDescent="0.25">
      <c r="A71" t="str">
        <f t="shared" si="4"/>
        <v>E111</v>
      </c>
      <c r="B71">
        <v>1</v>
      </c>
      <c r="C71" t="str">
        <f t="shared" si="5"/>
        <v>32040</v>
      </c>
      <c r="D71" t="str">
        <f t="shared" si="6"/>
        <v>5610</v>
      </c>
      <c r="E71" t="str">
        <f t="shared" si="7"/>
        <v>850LOS</v>
      </c>
      <c r="F71" t="str">
        <f>""</f>
        <v/>
      </c>
      <c r="G71" t="str">
        <f>""</f>
        <v/>
      </c>
      <c r="H71" s="1">
        <v>41690</v>
      </c>
      <c r="I71" t="str">
        <f>"3K013162"</f>
        <v>3K013162</v>
      </c>
      <c r="J71" t="str">
        <f t="shared" si="11"/>
        <v>NP52205T</v>
      </c>
      <c r="K71" t="str">
        <f t="shared" si="12"/>
        <v>INEI</v>
      </c>
      <c r="L71" t="s">
        <v>2474</v>
      </c>
      <c r="M71" s="2">
        <v>1567.45</v>
      </c>
    </row>
    <row r="72" spans="1:13" x14ac:dyDescent="0.25">
      <c r="A72" t="str">
        <f t="shared" si="4"/>
        <v>E111</v>
      </c>
      <c r="B72">
        <v>1</v>
      </c>
      <c r="C72" t="str">
        <f t="shared" si="5"/>
        <v>32040</v>
      </c>
      <c r="D72" t="str">
        <f t="shared" si="6"/>
        <v>5610</v>
      </c>
      <c r="E72" t="str">
        <f t="shared" si="7"/>
        <v>850LOS</v>
      </c>
      <c r="F72" t="str">
        <f>""</f>
        <v/>
      </c>
      <c r="G72" t="str">
        <f>""</f>
        <v/>
      </c>
      <c r="H72" s="1">
        <v>41690</v>
      </c>
      <c r="I72" t="str">
        <f>"3K004881"</f>
        <v>3K004881</v>
      </c>
      <c r="J72" t="str">
        <f t="shared" si="11"/>
        <v>NP52205T</v>
      </c>
      <c r="K72" t="str">
        <f t="shared" si="12"/>
        <v>INEI</v>
      </c>
      <c r="L72" t="s">
        <v>2474</v>
      </c>
      <c r="M72" s="2">
        <v>1897.9</v>
      </c>
    </row>
    <row r="73" spans="1:13" x14ac:dyDescent="0.25">
      <c r="A73" t="str">
        <f t="shared" si="4"/>
        <v>E111</v>
      </c>
      <c r="B73">
        <v>1</v>
      </c>
      <c r="C73" t="str">
        <f t="shared" si="5"/>
        <v>32040</v>
      </c>
      <c r="D73" t="str">
        <f t="shared" si="6"/>
        <v>5610</v>
      </c>
      <c r="E73" t="str">
        <f t="shared" si="7"/>
        <v>850LOS</v>
      </c>
      <c r="F73" t="str">
        <f>""</f>
        <v/>
      </c>
      <c r="G73" t="str">
        <f>""</f>
        <v/>
      </c>
      <c r="H73" s="1">
        <v>41690</v>
      </c>
      <c r="I73" t="str">
        <f>"3K003977"</f>
        <v>3K003977</v>
      </c>
      <c r="J73" t="str">
        <f t="shared" si="11"/>
        <v>NP52205T</v>
      </c>
      <c r="K73" t="str">
        <f t="shared" si="12"/>
        <v>INEI</v>
      </c>
      <c r="L73" t="s">
        <v>2474</v>
      </c>
      <c r="M73">
        <v>868.4</v>
      </c>
    </row>
    <row r="74" spans="1:13" x14ac:dyDescent="0.25">
      <c r="A74" t="str">
        <f t="shared" ref="A74:A105" si="13">"E111"</f>
        <v>E111</v>
      </c>
      <c r="B74">
        <v>1</v>
      </c>
      <c r="C74" t="str">
        <f t="shared" si="5"/>
        <v>32040</v>
      </c>
      <c r="D74" t="str">
        <f t="shared" si="6"/>
        <v>5610</v>
      </c>
      <c r="E74" t="str">
        <f t="shared" si="7"/>
        <v>850LOS</v>
      </c>
      <c r="F74" t="str">
        <f>""</f>
        <v/>
      </c>
      <c r="G74" t="str">
        <f>""</f>
        <v/>
      </c>
      <c r="H74" s="1">
        <v>41690</v>
      </c>
      <c r="I74" t="str">
        <f>"3K003975"</f>
        <v>3K003975</v>
      </c>
      <c r="J74" t="str">
        <f t="shared" si="11"/>
        <v>NP52205T</v>
      </c>
      <c r="K74" t="str">
        <f t="shared" si="12"/>
        <v>INEI</v>
      </c>
      <c r="L74" t="s">
        <v>2474</v>
      </c>
      <c r="M74">
        <v>141.63999999999999</v>
      </c>
    </row>
    <row r="75" spans="1:13" x14ac:dyDescent="0.25">
      <c r="A75" t="str">
        <f t="shared" si="13"/>
        <v>E111</v>
      </c>
      <c r="B75">
        <v>1</v>
      </c>
      <c r="C75" t="str">
        <f t="shared" si="5"/>
        <v>32040</v>
      </c>
      <c r="D75" t="str">
        <f t="shared" si="6"/>
        <v>5610</v>
      </c>
      <c r="E75" t="str">
        <f t="shared" si="7"/>
        <v>850LOS</v>
      </c>
      <c r="F75" t="str">
        <f>""</f>
        <v/>
      </c>
      <c r="G75" t="str">
        <f>""</f>
        <v/>
      </c>
      <c r="H75" s="1">
        <v>41690</v>
      </c>
      <c r="I75" t="str">
        <f>"3K003974"</f>
        <v>3K003974</v>
      </c>
      <c r="J75" t="str">
        <f t="shared" si="11"/>
        <v>NP52205T</v>
      </c>
      <c r="K75" t="str">
        <f t="shared" si="12"/>
        <v>INEI</v>
      </c>
      <c r="L75" t="s">
        <v>2474</v>
      </c>
      <c r="M75">
        <v>101.96</v>
      </c>
    </row>
    <row r="76" spans="1:13" x14ac:dyDescent="0.25">
      <c r="A76" t="str">
        <f t="shared" si="13"/>
        <v>E111</v>
      </c>
      <c r="B76">
        <v>1</v>
      </c>
      <c r="C76" t="str">
        <f t="shared" si="5"/>
        <v>32040</v>
      </c>
      <c r="D76" t="str">
        <f t="shared" si="6"/>
        <v>5610</v>
      </c>
      <c r="E76" t="str">
        <f t="shared" si="7"/>
        <v>850LOS</v>
      </c>
      <c r="F76" t="str">
        <f>""</f>
        <v/>
      </c>
      <c r="G76" t="str">
        <f>""</f>
        <v/>
      </c>
      <c r="H76" s="1">
        <v>41690</v>
      </c>
      <c r="I76" t="str">
        <f>"3K006118"</f>
        <v>3K006118</v>
      </c>
      <c r="J76" t="str">
        <f t="shared" si="11"/>
        <v>NP52205T</v>
      </c>
      <c r="K76" t="str">
        <f t="shared" si="12"/>
        <v>INEI</v>
      </c>
      <c r="L76" t="s">
        <v>2474</v>
      </c>
      <c r="M76">
        <v>741.23</v>
      </c>
    </row>
    <row r="77" spans="1:13" x14ac:dyDescent="0.25">
      <c r="A77" t="str">
        <f t="shared" si="13"/>
        <v>E111</v>
      </c>
      <c r="B77">
        <v>1</v>
      </c>
      <c r="C77" t="str">
        <f t="shared" si="5"/>
        <v>32040</v>
      </c>
      <c r="D77" t="str">
        <f t="shared" si="6"/>
        <v>5610</v>
      </c>
      <c r="E77" t="str">
        <f t="shared" si="7"/>
        <v>850LOS</v>
      </c>
      <c r="F77" t="str">
        <f>""</f>
        <v/>
      </c>
      <c r="G77" t="str">
        <f>""</f>
        <v/>
      </c>
      <c r="H77" s="1">
        <v>41690</v>
      </c>
      <c r="I77" t="str">
        <f>"3K009841"</f>
        <v>3K009841</v>
      </c>
      <c r="J77" t="str">
        <f t="shared" si="11"/>
        <v>NP52205T</v>
      </c>
      <c r="K77" t="str">
        <f t="shared" si="12"/>
        <v>INEI</v>
      </c>
      <c r="L77" t="s">
        <v>2474</v>
      </c>
      <c r="M77">
        <v>429.26</v>
      </c>
    </row>
    <row r="78" spans="1:13" x14ac:dyDescent="0.25">
      <c r="A78" t="str">
        <f t="shared" si="13"/>
        <v>E111</v>
      </c>
      <c r="B78">
        <v>1</v>
      </c>
      <c r="C78" t="str">
        <f t="shared" ref="C78:C109" si="14">"32040"</f>
        <v>32040</v>
      </c>
      <c r="D78" t="str">
        <f t="shared" ref="D78:D109" si="15">"5610"</f>
        <v>5610</v>
      </c>
      <c r="E78" t="str">
        <f t="shared" ref="E78:E109" si="16">"850LOS"</f>
        <v>850LOS</v>
      </c>
      <c r="F78" t="str">
        <f>""</f>
        <v/>
      </c>
      <c r="G78" t="str">
        <f>""</f>
        <v/>
      </c>
      <c r="H78" s="1">
        <v>41690</v>
      </c>
      <c r="I78" t="str">
        <f>"3K011660"</f>
        <v>3K011660</v>
      </c>
      <c r="J78" t="str">
        <f t="shared" si="11"/>
        <v>NP52205T</v>
      </c>
      <c r="K78" t="str">
        <f t="shared" si="12"/>
        <v>INEI</v>
      </c>
      <c r="L78" t="s">
        <v>2474</v>
      </c>
      <c r="M78">
        <v>537.97</v>
      </c>
    </row>
    <row r="79" spans="1:13" x14ac:dyDescent="0.25">
      <c r="A79" t="str">
        <f t="shared" si="13"/>
        <v>E111</v>
      </c>
      <c r="B79">
        <v>1</v>
      </c>
      <c r="C79" t="str">
        <f t="shared" si="14"/>
        <v>32040</v>
      </c>
      <c r="D79" t="str">
        <f t="shared" si="15"/>
        <v>5610</v>
      </c>
      <c r="E79" t="str">
        <f t="shared" si="16"/>
        <v>850LOS</v>
      </c>
      <c r="F79" t="str">
        <f>""</f>
        <v/>
      </c>
      <c r="G79" t="str">
        <f>""</f>
        <v/>
      </c>
      <c r="H79" s="1">
        <v>41690</v>
      </c>
      <c r="I79" t="str">
        <f>"3K012626"</f>
        <v>3K012626</v>
      </c>
      <c r="J79" t="str">
        <f t="shared" si="11"/>
        <v>NP52205T</v>
      </c>
      <c r="K79" t="str">
        <f t="shared" si="12"/>
        <v>INEI</v>
      </c>
      <c r="L79" t="s">
        <v>2474</v>
      </c>
      <c r="M79">
        <v>690.14</v>
      </c>
    </row>
    <row r="80" spans="1:13" x14ac:dyDescent="0.25">
      <c r="A80" t="str">
        <f t="shared" si="13"/>
        <v>E111</v>
      </c>
      <c r="B80">
        <v>1</v>
      </c>
      <c r="C80" t="str">
        <f t="shared" si="14"/>
        <v>32040</v>
      </c>
      <c r="D80" t="str">
        <f t="shared" si="15"/>
        <v>5610</v>
      </c>
      <c r="E80" t="str">
        <f t="shared" si="16"/>
        <v>850LOS</v>
      </c>
      <c r="F80" t="str">
        <f>""</f>
        <v/>
      </c>
      <c r="G80" t="str">
        <f>""</f>
        <v/>
      </c>
      <c r="H80" s="1">
        <v>41690</v>
      </c>
      <c r="I80" t="str">
        <f>"3K015432"</f>
        <v>3K015432</v>
      </c>
      <c r="J80" t="str">
        <f t="shared" si="11"/>
        <v>NP52205T</v>
      </c>
      <c r="K80" t="str">
        <f t="shared" si="12"/>
        <v>INEI</v>
      </c>
      <c r="L80" t="s">
        <v>2474</v>
      </c>
      <c r="M80">
        <v>480.53</v>
      </c>
    </row>
    <row r="81" spans="1:13" x14ac:dyDescent="0.25">
      <c r="A81" t="str">
        <f t="shared" si="13"/>
        <v>E111</v>
      </c>
      <c r="B81">
        <v>1</v>
      </c>
      <c r="C81" t="str">
        <f t="shared" si="14"/>
        <v>32040</v>
      </c>
      <c r="D81" t="str">
        <f t="shared" si="15"/>
        <v>5610</v>
      </c>
      <c r="E81" t="str">
        <f t="shared" si="16"/>
        <v>850LOS</v>
      </c>
      <c r="F81" t="str">
        <f>""</f>
        <v/>
      </c>
      <c r="G81" t="str">
        <f>""</f>
        <v/>
      </c>
      <c r="H81" s="1">
        <v>41690</v>
      </c>
      <c r="I81" t="str">
        <f>"3K013163"</f>
        <v>3K013163</v>
      </c>
      <c r="J81" t="str">
        <f t="shared" si="11"/>
        <v>NP52205T</v>
      </c>
      <c r="K81" t="str">
        <f t="shared" si="12"/>
        <v>INEI</v>
      </c>
      <c r="L81" t="s">
        <v>2474</v>
      </c>
      <c r="M81">
        <v>640.24</v>
      </c>
    </row>
    <row r="82" spans="1:13" x14ac:dyDescent="0.25">
      <c r="A82" t="str">
        <f t="shared" si="13"/>
        <v>E111</v>
      </c>
      <c r="B82">
        <v>1</v>
      </c>
      <c r="C82" t="str">
        <f t="shared" si="14"/>
        <v>32040</v>
      </c>
      <c r="D82" t="str">
        <f t="shared" si="15"/>
        <v>5610</v>
      </c>
      <c r="E82" t="str">
        <f t="shared" si="16"/>
        <v>850LOS</v>
      </c>
      <c r="F82" t="str">
        <f>""</f>
        <v/>
      </c>
      <c r="G82" t="str">
        <f>""</f>
        <v/>
      </c>
      <c r="H82" s="1">
        <v>41690</v>
      </c>
      <c r="I82" t="str">
        <f>"3K014332"</f>
        <v>3K014332</v>
      </c>
      <c r="J82" t="str">
        <f t="shared" si="11"/>
        <v>NP52205T</v>
      </c>
      <c r="K82" t="str">
        <f t="shared" si="12"/>
        <v>INEI</v>
      </c>
      <c r="L82" t="s">
        <v>2474</v>
      </c>
      <c r="M82">
        <v>468.84</v>
      </c>
    </row>
    <row r="83" spans="1:13" x14ac:dyDescent="0.25">
      <c r="A83" t="str">
        <f t="shared" si="13"/>
        <v>E111</v>
      </c>
      <c r="B83">
        <v>1</v>
      </c>
      <c r="C83" t="str">
        <f t="shared" si="14"/>
        <v>32040</v>
      </c>
      <c r="D83" t="str">
        <f t="shared" si="15"/>
        <v>5610</v>
      </c>
      <c r="E83" t="str">
        <f t="shared" si="16"/>
        <v>850LOS</v>
      </c>
      <c r="F83" t="str">
        <f>""</f>
        <v/>
      </c>
      <c r="G83" t="str">
        <f>""</f>
        <v/>
      </c>
      <c r="H83" s="1">
        <v>41691</v>
      </c>
      <c r="I83" t="str">
        <f>"3K015671"</f>
        <v>3K015671</v>
      </c>
      <c r="J83" t="str">
        <f t="shared" ref="J83:J120" si="17">"NP52205U"</f>
        <v>NP52205U</v>
      </c>
      <c r="K83" t="str">
        <f t="shared" si="12"/>
        <v>INEI</v>
      </c>
      <c r="L83" t="s">
        <v>2474</v>
      </c>
      <c r="M83" s="2">
        <v>1085.1300000000001</v>
      </c>
    </row>
    <row r="84" spans="1:13" x14ac:dyDescent="0.25">
      <c r="A84" t="str">
        <f t="shared" si="13"/>
        <v>E111</v>
      </c>
      <c r="B84">
        <v>1</v>
      </c>
      <c r="C84" t="str">
        <f t="shared" si="14"/>
        <v>32040</v>
      </c>
      <c r="D84" t="str">
        <f t="shared" si="15"/>
        <v>5610</v>
      </c>
      <c r="E84" t="str">
        <f t="shared" si="16"/>
        <v>850LOS</v>
      </c>
      <c r="F84" t="str">
        <f>""</f>
        <v/>
      </c>
      <c r="G84" t="str">
        <f>""</f>
        <v/>
      </c>
      <c r="H84" s="1">
        <v>41691</v>
      </c>
      <c r="I84" t="str">
        <f>"3K018815"</f>
        <v>3K018815</v>
      </c>
      <c r="J84" t="str">
        <f t="shared" si="17"/>
        <v>NP52205U</v>
      </c>
      <c r="K84" t="str">
        <f t="shared" si="12"/>
        <v>INEI</v>
      </c>
      <c r="L84" t="s">
        <v>2474</v>
      </c>
      <c r="M84" s="2">
        <v>1293.05</v>
      </c>
    </row>
    <row r="85" spans="1:13" x14ac:dyDescent="0.25">
      <c r="A85" t="str">
        <f t="shared" si="13"/>
        <v>E111</v>
      </c>
      <c r="B85">
        <v>1</v>
      </c>
      <c r="C85" t="str">
        <f t="shared" si="14"/>
        <v>32040</v>
      </c>
      <c r="D85" t="str">
        <f t="shared" si="15"/>
        <v>5610</v>
      </c>
      <c r="E85" t="str">
        <f t="shared" si="16"/>
        <v>850LOS</v>
      </c>
      <c r="F85" t="str">
        <f>""</f>
        <v/>
      </c>
      <c r="G85" t="str">
        <f>""</f>
        <v/>
      </c>
      <c r="H85" s="1">
        <v>41691</v>
      </c>
      <c r="I85" t="str">
        <f>"3K018816"</f>
        <v>3K018816</v>
      </c>
      <c r="J85" t="str">
        <f t="shared" si="17"/>
        <v>NP52205U</v>
      </c>
      <c r="K85" t="str">
        <f t="shared" si="12"/>
        <v>INEI</v>
      </c>
      <c r="L85" t="s">
        <v>2474</v>
      </c>
      <c r="M85">
        <v>666</v>
      </c>
    </row>
    <row r="86" spans="1:13" x14ac:dyDescent="0.25">
      <c r="A86" t="str">
        <f t="shared" si="13"/>
        <v>E111</v>
      </c>
      <c r="B86">
        <v>1</v>
      </c>
      <c r="C86" t="str">
        <f t="shared" si="14"/>
        <v>32040</v>
      </c>
      <c r="D86" t="str">
        <f t="shared" si="15"/>
        <v>5610</v>
      </c>
      <c r="E86" t="str">
        <f t="shared" si="16"/>
        <v>850LOS</v>
      </c>
      <c r="F86" t="str">
        <f>""</f>
        <v/>
      </c>
      <c r="G86" t="str">
        <f>""</f>
        <v/>
      </c>
      <c r="H86" s="1">
        <v>41709</v>
      </c>
      <c r="I86" t="str">
        <f>"3K020761"</f>
        <v>3K020761</v>
      </c>
      <c r="J86" t="str">
        <f t="shared" si="17"/>
        <v>NP52205U</v>
      </c>
      <c r="K86" t="str">
        <f t="shared" si="12"/>
        <v>INEI</v>
      </c>
      <c r="L86" t="s">
        <v>2474</v>
      </c>
      <c r="M86">
        <v>873.42</v>
      </c>
    </row>
    <row r="87" spans="1:13" x14ac:dyDescent="0.25">
      <c r="A87" t="str">
        <f t="shared" si="13"/>
        <v>E111</v>
      </c>
      <c r="B87">
        <v>1</v>
      </c>
      <c r="C87" t="str">
        <f t="shared" si="14"/>
        <v>32040</v>
      </c>
      <c r="D87" t="str">
        <f t="shared" si="15"/>
        <v>5610</v>
      </c>
      <c r="E87" t="str">
        <f t="shared" si="16"/>
        <v>850LOS</v>
      </c>
      <c r="F87" t="str">
        <f>""</f>
        <v/>
      </c>
      <c r="G87" t="str">
        <f>""</f>
        <v/>
      </c>
      <c r="H87" s="1">
        <v>41709</v>
      </c>
      <c r="I87" t="str">
        <f>"3K020534"</f>
        <v>3K020534</v>
      </c>
      <c r="J87" t="str">
        <f t="shared" si="17"/>
        <v>NP52205U</v>
      </c>
      <c r="K87" t="str">
        <f t="shared" si="12"/>
        <v>INEI</v>
      </c>
      <c r="L87" t="s">
        <v>2474</v>
      </c>
      <c r="M87">
        <v>466.86</v>
      </c>
    </row>
    <row r="88" spans="1:13" x14ac:dyDescent="0.25">
      <c r="A88" t="str">
        <f t="shared" si="13"/>
        <v>E111</v>
      </c>
      <c r="B88">
        <v>1</v>
      </c>
      <c r="C88" t="str">
        <f t="shared" si="14"/>
        <v>32040</v>
      </c>
      <c r="D88" t="str">
        <f t="shared" si="15"/>
        <v>5610</v>
      </c>
      <c r="E88" t="str">
        <f t="shared" si="16"/>
        <v>850LOS</v>
      </c>
      <c r="F88" t="str">
        <f>""</f>
        <v/>
      </c>
      <c r="G88" t="str">
        <f>""</f>
        <v/>
      </c>
      <c r="H88" s="1">
        <v>41709</v>
      </c>
      <c r="I88" t="str">
        <f>"3K021671"</f>
        <v>3K021671</v>
      </c>
      <c r="J88" t="str">
        <f t="shared" si="17"/>
        <v>NP52205U</v>
      </c>
      <c r="K88" t="str">
        <f t="shared" si="12"/>
        <v>INEI</v>
      </c>
      <c r="L88" t="s">
        <v>2474</v>
      </c>
      <c r="M88">
        <v>170.31</v>
      </c>
    </row>
    <row r="89" spans="1:13" x14ac:dyDescent="0.25">
      <c r="A89" t="str">
        <f t="shared" si="13"/>
        <v>E111</v>
      </c>
      <c r="B89">
        <v>1</v>
      </c>
      <c r="C89" t="str">
        <f t="shared" si="14"/>
        <v>32040</v>
      </c>
      <c r="D89" t="str">
        <f t="shared" si="15"/>
        <v>5610</v>
      </c>
      <c r="E89" t="str">
        <f t="shared" si="16"/>
        <v>850LOS</v>
      </c>
      <c r="F89" t="str">
        <f>""</f>
        <v/>
      </c>
      <c r="G89" t="str">
        <f>""</f>
        <v/>
      </c>
      <c r="H89" s="1">
        <v>41709</v>
      </c>
      <c r="I89" t="str">
        <f>"3K021845"</f>
        <v>3K021845</v>
      </c>
      <c r="J89" t="str">
        <f t="shared" si="17"/>
        <v>NP52205U</v>
      </c>
      <c r="K89" t="str">
        <f t="shared" si="12"/>
        <v>INEI</v>
      </c>
      <c r="L89" t="s">
        <v>2474</v>
      </c>
      <c r="M89">
        <v>114.96</v>
      </c>
    </row>
    <row r="90" spans="1:13" x14ac:dyDescent="0.25">
      <c r="A90" t="str">
        <f t="shared" si="13"/>
        <v>E111</v>
      </c>
      <c r="B90">
        <v>1</v>
      </c>
      <c r="C90" t="str">
        <f t="shared" si="14"/>
        <v>32040</v>
      </c>
      <c r="D90" t="str">
        <f t="shared" si="15"/>
        <v>5610</v>
      </c>
      <c r="E90" t="str">
        <f t="shared" si="16"/>
        <v>850LOS</v>
      </c>
      <c r="F90" t="str">
        <f>""</f>
        <v/>
      </c>
      <c r="G90" t="str">
        <f>""</f>
        <v/>
      </c>
      <c r="H90" s="1">
        <v>41709</v>
      </c>
      <c r="I90" t="str">
        <f>"3K022019"</f>
        <v>3K022019</v>
      </c>
      <c r="J90" t="str">
        <f t="shared" si="17"/>
        <v>NP52205U</v>
      </c>
      <c r="K90" t="str">
        <f t="shared" si="12"/>
        <v>INEI</v>
      </c>
      <c r="L90" t="s">
        <v>2474</v>
      </c>
      <c r="M90">
        <v>802.97</v>
      </c>
    </row>
    <row r="91" spans="1:13" x14ac:dyDescent="0.25">
      <c r="A91" t="str">
        <f t="shared" si="13"/>
        <v>E111</v>
      </c>
      <c r="B91">
        <v>1</v>
      </c>
      <c r="C91" t="str">
        <f t="shared" si="14"/>
        <v>32040</v>
      </c>
      <c r="D91" t="str">
        <f t="shared" si="15"/>
        <v>5610</v>
      </c>
      <c r="E91" t="str">
        <f t="shared" si="16"/>
        <v>850LOS</v>
      </c>
      <c r="F91" t="str">
        <f>""</f>
        <v/>
      </c>
      <c r="G91" t="str">
        <f>""</f>
        <v/>
      </c>
      <c r="H91" s="1">
        <v>41709</v>
      </c>
      <c r="I91" t="str">
        <f>"3K022020"</f>
        <v>3K022020</v>
      </c>
      <c r="J91" t="str">
        <f t="shared" si="17"/>
        <v>NP52205U</v>
      </c>
      <c r="K91" t="str">
        <f t="shared" si="12"/>
        <v>INEI</v>
      </c>
      <c r="L91" t="s">
        <v>2474</v>
      </c>
      <c r="M91">
        <v>370.74</v>
      </c>
    </row>
    <row r="92" spans="1:13" x14ac:dyDescent="0.25">
      <c r="A92" t="str">
        <f t="shared" si="13"/>
        <v>E111</v>
      </c>
      <c r="B92">
        <v>1</v>
      </c>
      <c r="C92" t="str">
        <f t="shared" si="14"/>
        <v>32040</v>
      </c>
      <c r="D92" t="str">
        <f t="shared" si="15"/>
        <v>5610</v>
      </c>
      <c r="E92" t="str">
        <f t="shared" si="16"/>
        <v>850LOS</v>
      </c>
      <c r="F92" t="str">
        <f>""</f>
        <v/>
      </c>
      <c r="G92" t="str">
        <f>""</f>
        <v/>
      </c>
      <c r="H92" s="1">
        <v>41717</v>
      </c>
      <c r="I92" t="str">
        <f>"3K023763"</f>
        <v>3K023763</v>
      </c>
      <c r="J92" t="str">
        <f t="shared" si="17"/>
        <v>NP52205U</v>
      </c>
      <c r="K92" t="str">
        <f t="shared" si="12"/>
        <v>INEI</v>
      </c>
      <c r="L92" t="s">
        <v>2474</v>
      </c>
      <c r="M92">
        <v>669.16</v>
      </c>
    </row>
    <row r="93" spans="1:13" x14ac:dyDescent="0.25">
      <c r="A93" t="str">
        <f t="shared" si="13"/>
        <v>E111</v>
      </c>
      <c r="B93">
        <v>1</v>
      </c>
      <c r="C93" t="str">
        <f t="shared" si="14"/>
        <v>32040</v>
      </c>
      <c r="D93" t="str">
        <f t="shared" si="15"/>
        <v>5610</v>
      </c>
      <c r="E93" t="str">
        <f t="shared" si="16"/>
        <v>850LOS</v>
      </c>
      <c r="F93" t="str">
        <f>""</f>
        <v/>
      </c>
      <c r="G93" t="str">
        <f>""</f>
        <v/>
      </c>
      <c r="H93" s="1">
        <v>41717</v>
      </c>
      <c r="I93" t="str">
        <f>"3K023764"</f>
        <v>3K023764</v>
      </c>
      <c r="J93" t="str">
        <f t="shared" si="17"/>
        <v>NP52205U</v>
      </c>
      <c r="K93" t="str">
        <f t="shared" si="12"/>
        <v>INEI</v>
      </c>
      <c r="L93" t="s">
        <v>2474</v>
      </c>
      <c r="M93">
        <v>553.33000000000004</v>
      </c>
    </row>
    <row r="94" spans="1:13" x14ac:dyDescent="0.25">
      <c r="A94" t="str">
        <f t="shared" si="13"/>
        <v>E111</v>
      </c>
      <c r="B94">
        <v>1</v>
      </c>
      <c r="C94" t="str">
        <f t="shared" si="14"/>
        <v>32040</v>
      </c>
      <c r="D94" t="str">
        <f t="shared" si="15"/>
        <v>5610</v>
      </c>
      <c r="E94" t="str">
        <f t="shared" si="16"/>
        <v>850LOS</v>
      </c>
      <c r="F94" t="str">
        <f>""</f>
        <v/>
      </c>
      <c r="G94" t="str">
        <f>""</f>
        <v/>
      </c>
      <c r="H94" s="1">
        <v>41717</v>
      </c>
      <c r="I94" t="str">
        <f>"3K023953"</f>
        <v>3K023953</v>
      </c>
      <c r="J94" t="str">
        <f t="shared" si="17"/>
        <v>NP52205U</v>
      </c>
      <c r="K94" t="str">
        <f t="shared" si="12"/>
        <v>INEI</v>
      </c>
      <c r="L94" t="s">
        <v>2474</v>
      </c>
      <c r="M94">
        <v>394.62</v>
      </c>
    </row>
    <row r="95" spans="1:13" x14ac:dyDescent="0.25">
      <c r="A95" t="str">
        <f t="shared" si="13"/>
        <v>E111</v>
      </c>
      <c r="B95">
        <v>1</v>
      </c>
      <c r="C95" t="str">
        <f t="shared" si="14"/>
        <v>32040</v>
      </c>
      <c r="D95" t="str">
        <f t="shared" si="15"/>
        <v>5610</v>
      </c>
      <c r="E95" t="str">
        <f t="shared" si="16"/>
        <v>850LOS</v>
      </c>
      <c r="F95" t="str">
        <f>""</f>
        <v/>
      </c>
      <c r="G95" t="str">
        <f>""</f>
        <v/>
      </c>
      <c r="H95" s="1">
        <v>41717</v>
      </c>
      <c r="I95" t="str">
        <f>"3K023762"</f>
        <v>3K023762</v>
      </c>
      <c r="J95" t="str">
        <f t="shared" si="17"/>
        <v>NP52205U</v>
      </c>
      <c r="K95" t="str">
        <f t="shared" si="12"/>
        <v>INEI</v>
      </c>
      <c r="L95" t="s">
        <v>2474</v>
      </c>
      <c r="M95" s="2">
        <v>4069.27</v>
      </c>
    </row>
    <row r="96" spans="1:13" x14ac:dyDescent="0.25">
      <c r="A96" t="str">
        <f t="shared" si="13"/>
        <v>E111</v>
      </c>
      <c r="B96">
        <v>1</v>
      </c>
      <c r="C96" t="str">
        <f t="shared" si="14"/>
        <v>32040</v>
      </c>
      <c r="D96" t="str">
        <f t="shared" si="15"/>
        <v>5610</v>
      </c>
      <c r="E96" t="str">
        <f t="shared" si="16"/>
        <v>850LOS</v>
      </c>
      <c r="F96" t="str">
        <f>""</f>
        <v/>
      </c>
      <c r="G96" t="str">
        <f>""</f>
        <v/>
      </c>
      <c r="H96" s="1">
        <v>41717</v>
      </c>
      <c r="I96" t="str">
        <f>"3K023765"</f>
        <v>3K023765</v>
      </c>
      <c r="J96" t="str">
        <f t="shared" si="17"/>
        <v>NP52205U</v>
      </c>
      <c r="K96" t="str">
        <f t="shared" si="12"/>
        <v>INEI</v>
      </c>
      <c r="L96" t="s">
        <v>2474</v>
      </c>
      <c r="M96" s="2">
        <v>1280.49</v>
      </c>
    </row>
    <row r="97" spans="1:13" x14ac:dyDescent="0.25">
      <c r="A97" t="str">
        <f t="shared" si="13"/>
        <v>E111</v>
      </c>
      <c r="B97">
        <v>1</v>
      </c>
      <c r="C97" t="str">
        <f t="shared" si="14"/>
        <v>32040</v>
      </c>
      <c r="D97" t="str">
        <f t="shared" si="15"/>
        <v>5610</v>
      </c>
      <c r="E97" t="str">
        <f t="shared" si="16"/>
        <v>850LOS</v>
      </c>
      <c r="F97" t="str">
        <f>""</f>
        <v/>
      </c>
      <c r="G97" t="str">
        <f>""</f>
        <v/>
      </c>
      <c r="H97" s="1">
        <v>41724</v>
      </c>
      <c r="I97" t="str">
        <f>"3K024705"</f>
        <v>3K024705</v>
      </c>
      <c r="J97" t="str">
        <f t="shared" si="17"/>
        <v>NP52205U</v>
      </c>
      <c r="K97" t="str">
        <f t="shared" si="12"/>
        <v>INEI</v>
      </c>
      <c r="L97" t="s">
        <v>2474</v>
      </c>
      <c r="M97">
        <v>446.28</v>
      </c>
    </row>
    <row r="98" spans="1:13" x14ac:dyDescent="0.25">
      <c r="A98" t="str">
        <f t="shared" si="13"/>
        <v>E111</v>
      </c>
      <c r="B98">
        <v>1</v>
      </c>
      <c r="C98" t="str">
        <f t="shared" si="14"/>
        <v>32040</v>
      </c>
      <c r="D98" t="str">
        <f t="shared" si="15"/>
        <v>5610</v>
      </c>
      <c r="E98" t="str">
        <f t="shared" si="16"/>
        <v>850LOS</v>
      </c>
      <c r="F98" t="str">
        <f>""</f>
        <v/>
      </c>
      <c r="G98" t="str">
        <f>""</f>
        <v/>
      </c>
      <c r="H98" s="1">
        <v>41724</v>
      </c>
      <c r="I98" t="str">
        <f>"3K024704"</f>
        <v>3K024704</v>
      </c>
      <c r="J98" t="str">
        <f t="shared" si="17"/>
        <v>NP52205U</v>
      </c>
      <c r="K98" t="str">
        <f t="shared" si="12"/>
        <v>INEI</v>
      </c>
      <c r="L98" t="s">
        <v>2474</v>
      </c>
      <c r="M98" s="2">
        <v>1099.3499999999999</v>
      </c>
    </row>
    <row r="99" spans="1:13" x14ac:dyDescent="0.25">
      <c r="A99" t="str">
        <f t="shared" si="13"/>
        <v>E111</v>
      </c>
      <c r="B99">
        <v>1</v>
      </c>
      <c r="C99" t="str">
        <f t="shared" si="14"/>
        <v>32040</v>
      </c>
      <c r="D99" t="str">
        <f t="shared" si="15"/>
        <v>5610</v>
      </c>
      <c r="E99" t="str">
        <f t="shared" si="16"/>
        <v>850LOS</v>
      </c>
      <c r="F99" t="str">
        <f>""</f>
        <v/>
      </c>
      <c r="G99" t="str">
        <f>""</f>
        <v/>
      </c>
      <c r="H99" s="1">
        <v>41736</v>
      </c>
      <c r="I99" t="str">
        <f>"3K025795"</f>
        <v>3K025795</v>
      </c>
      <c r="J99" t="str">
        <f t="shared" si="17"/>
        <v>NP52205U</v>
      </c>
      <c r="K99" t="str">
        <f t="shared" ref="K99:K120" si="18">"INEI"</f>
        <v>INEI</v>
      </c>
      <c r="L99" t="s">
        <v>2474</v>
      </c>
      <c r="M99">
        <v>328.38</v>
      </c>
    </row>
    <row r="100" spans="1:13" x14ac:dyDescent="0.25">
      <c r="A100" t="str">
        <f t="shared" si="13"/>
        <v>E111</v>
      </c>
      <c r="B100">
        <v>1</v>
      </c>
      <c r="C100" t="str">
        <f t="shared" si="14"/>
        <v>32040</v>
      </c>
      <c r="D100" t="str">
        <f t="shared" si="15"/>
        <v>5610</v>
      </c>
      <c r="E100" t="str">
        <f t="shared" si="16"/>
        <v>850LOS</v>
      </c>
      <c r="F100" t="str">
        <f>""</f>
        <v/>
      </c>
      <c r="G100" t="str">
        <f>""</f>
        <v/>
      </c>
      <c r="H100" s="1">
        <v>41736</v>
      </c>
      <c r="I100" t="str">
        <f>"3K025797"</f>
        <v>3K025797</v>
      </c>
      <c r="J100" t="str">
        <f t="shared" si="17"/>
        <v>NP52205U</v>
      </c>
      <c r="K100" t="str">
        <f t="shared" si="18"/>
        <v>INEI</v>
      </c>
      <c r="L100" t="s">
        <v>2474</v>
      </c>
      <c r="M100">
        <v>140.97</v>
      </c>
    </row>
    <row r="101" spans="1:13" x14ac:dyDescent="0.25">
      <c r="A101" t="str">
        <f t="shared" si="13"/>
        <v>E111</v>
      </c>
      <c r="B101">
        <v>1</v>
      </c>
      <c r="C101" t="str">
        <f t="shared" si="14"/>
        <v>32040</v>
      </c>
      <c r="D101" t="str">
        <f t="shared" si="15"/>
        <v>5610</v>
      </c>
      <c r="E101" t="str">
        <f t="shared" si="16"/>
        <v>850LOS</v>
      </c>
      <c r="F101" t="str">
        <f>""</f>
        <v/>
      </c>
      <c r="G101" t="str">
        <f>""</f>
        <v/>
      </c>
      <c r="H101" s="1">
        <v>41736</v>
      </c>
      <c r="I101" t="str">
        <f>"3K025796"</f>
        <v>3K025796</v>
      </c>
      <c r="J101" t="str">
        <f t="shared" si="17"/>
        <v>NP52205U</v>
      </c>
      <c r="K101" t="str">
        <f t="shared" si="18"/>
        <v>INEI</v>
      </c>
      <c r="L101" t="s">
        <v>2474</v>
      </c>
      <c r="M101">
        <v>122.2</v>
      </c>
    </row>
    <row r="102" spans="1:13" x14ac:dyDescent="0.25">
      <c r="A102" t="str">
        <f t="shared" si="13"/>
        <v>E111</v>
      </c>
      <c r="B102">
        <v>1</v>
      </c>
      <c r="C102" t="str">
        <f t="shared" si="14"/>
        <v>32040</v>
      </c>
      <c r="D102" t="str">
        <f t="shared" si="15"/>
        <v>5610</v>
      </c>
      <c r="E102" t="str">
        <f t="shared" si="16"/>
        <v>850LOS</v>
      </c>
      <c r="F102" t="str">
        <f>""</f>
        <v/>
      </c>
      <c r="G102" t="str">
        <f>""</f>
        <v/>
      </c>
      <c r="H102" s="1">
        <v>41736</v>
      </c>
      <c r="I102" t="str">
        <f>"3K025794"</f>
        <v>3K025794</v>
      </c>
      <c r="J102" t="str">
        <f t="shared" si="17"/>
        <v>NP52205U</v>
      </c>
      <c r="K102" t="str">
        <f t="shared" si="18"/>
        <v>INEI</v>
      </c>
      <c r="L102" t="s">
        <v>2474</v>
      </c>
      <c r="M102">
        <v>774.14</v>
      </c>
    </row>
    <row r="103" spans="1:13" x14ac:dyDescent="0.25">
      <c r="A103" t="str">
        <f t="shared" si="13"/>
        <v>E111</v>
      </c>
      <c r="B103">
        <v>1</v>
      </c>
      <c r="C103" t="str">
        <f t="shared" si="14"/>
        <v>32040</v>
      </c>
      <c r="D103" t="str">
        <f t="shared" si="15"/>
        <v>5610</v>
      </c>
      <c r="E103" t="str">
        <f t="shared" si="16"/>
        <v>850LOS</v>
      </c>
      <c r="F103" t="str">
        <f>""</f>
        <v/>
      </c>
      <c r="G103" t="str">
        <f>""</f>
        <v/>
      </c>
      <c r="H103" s="1">
        <v>41736</v>
      </c>
      <c r="I103" t="str">
        <f>"3K025944"</f>
        <v>3K025944</v>
      </c>
      <c r="J103" t="str">
        <f t="shared" si="17"/>
        <v>NP52205U</v>
      </c>
      <c r="K103" t="str">
        <f t="shared" si="18"/>
        <v>INEI</v>
      </c>
      <c r="L103" t="s">
        <v>2474</v>
      </c>
      <c r="M103" s="2">
        <v>3969.45</v>
      </c>
    </row>
    <row r="104" spans="1:13" x14ac:dyDescent="0.25">
      <c r="A104" t="str">
        <f t="shared" si="13"/>
        <v>E111</v>
      </c>
      <c r="B104">
        <v>1</v>
      </c>
      <c r="C104" t="str">
        <f t="shared" si="14"/>
        <v>32040</v>
      </c>
      <c r="D104" t="str">
        <f t="shared" si="15"/>
        <v>5610</v>
      </c>
      <c r="E104" t="str">
        <f t="shared" si="16"/>
        <v>850LOS</v>
      </c>
      <c r="F104" t="str">
        <f>""</f>
        <v/>
      </c>
      <c r="G104" t="str">
        <f>""</f>
        <v/>
      </c>
      <c r="H104" s="1">
        <v>41736</v>
      </c>
      <c r="I104" t="str">
        <f>"3K025945"</f>
        <v>3K025945</v>
      </c>
      <c r="J104" t="str">
        <f t="shared" si="17"/>
        <v>NP52205U</v>
      </c>
      <c r="K104" t="str">
        <f t="shared" si="18"/>
        <v>INEI</v>
      </c>
      <c r="L104" t="s">
        <v>2474</v>
      </c>
      <c r="M104" s="2">
        <v>1965.8</v>
      </c>
    </row>
    <row r="105" spans="1:13" x14ac:dyDescent="0.25">
      <c r="A105" t="str">
        <f t="shared" si="13"/>
        <v>E111</v>
      </c>
      <c r="B105">
        <v>1</v>
      </c>
      <c r="C105" t="str">
        <f t="shared" si="14"/>
        <v>32040</v>
      </c>
      <c r="D105" t="str">
        <f t="shared" si="15"/>
        <v>5610</v>
      </c>
      <c r="E105" t="str">
        <f t="shared" si="16"/>
        <v>850LOS</v>
      </c>
      <c r="F105" t="str">
        <f>""</f>
        <v/>
      </c>
      <c r="G105" t="str">
        <f>""</f>
        <v/>
      </c>
      <c r="H105" s="1">
        <v>41747</v>
      </c>
      <c r="I105" t="str">
        <f>"3K027306"</f>
        <v>3K027306</v>
      </c>
      <c r="J105" t="str">
        <f t="shared" si="17"/>
        <v>NP52205U</v>
      </c>
      <c r="K105" t="str">
        <f t="shared" si="18"/>
        <v>INEI</v>
      </c>
      <c r="L105" t="s">
        <v>2474</v>
      </c>
      <c r="M105" s="2">
        <v>2066.89</v>
      </c>
    </row>
    <row r="106" spans="1:13" x14ac:dyDescent="0.25">
      <c r="A106" t="str">
        <f t="shared" ref="A106:A137" si="19">"E111"</f>
        <v>E111</v>
      </c>
      <c r="B106">
        <v>1</v>
      </c>
      <c r="C106" t="str">
        <f t="shared" si="14"/>
        <v>32040</v>
      </c>
      <c r="D106" t="str">
        <f t="shared" si="15"/>
        <v>5610</v>
      </c>
      <c r="E106" t="str">
        <f t="shared" si="16"/>
        <v>850LOS</v>
      </c>
      <c r="F106" t="str">
        <f>""</f>
        <v/>
      </c>
      <c r="G106" t="str">
        <f>""</f>
        <v/>
      </c>
      <c r="H106" s="1">
        <v>41759</v>
      </c>
      <c r="I106" t="str">
        <f>"3K028897"</f>
        <v>3K028897</v>
      </c>
      <c r="J106" t="str">
        <f t="shared" si="17"/>
        <v>NP52205U</v>
      </c>
      <c r="K106" t="str">
        <f t="shared" si="18"/>
        <v>INEI</v>
      </c>
      <c r="L106" t="s">
        <v>2474</v>
      </c>
      <c r="M106">
        <v>719.99</v>
      </c>
    </row>
    <row r="107" spans="1:13" x14ac:dyDescent="0.25">
      <c r="A107" t="str">
        <f t="shared" si="19"/>
        <v>E111</v>
      </c>
      <c r="B107">
        <v>1</v>
      </c>
      <c r="C107" t="str">
        <f t="shared" si="14"/>
        <v>32040</v>
      </c>
      <c r="D107" t="str">
        <f t="shared" si="15"/>
        <v>5610</v>
      </c>
      <c r="E107" t="str">
        <f t="shared" si="16"/>
        <v>850LOS</v>
      </c>
      <c r="F107" t="str">
        <f>""</f>
        <v/>
      </c>
      <c r="G107" t="str">
        <f>""</f>
        <v/>
      </c>
      <c r="H107" s="1">
        <v>41759</v>
      </c>
      <c r="I107" t="str">
        <f>"3K029044"</f>
        <v>3K029044</v>
      </c>
      <c r="J107" t="str">
        <f t="shared" si="17"/>
        <v>NP52205U</v>
      </c>
      <c r="K107" t="str">
        <f t="shared" si="18"/>
        <v>INEI</v>
      </c>
      <c r="L107" t="s">
        <v>2474</v>
      </c>
      <c r="M107">
        <v>364.36</v>
      </c>
    </row>
    <row r="108" spans="1:13" x14ac:dyDescent="0.25">
      <c r="A108" t="str">
        <f t="shared" si="19"/>
        <v>E111</v>
      </c>
      <c r="B108">
        <v>1</v>
      </c>
      <c r="C108" t="str">
        <f t="shared" si="14"/>
        <v>32040</v>
      </c>
      <c r="D108" t="str">
        <f t="shared" si="15"/>
        <v>5610</v>
      </c>
      <c r="E108" t="str">
        <f t="shared" si="16"/>
        <v>850LOS</v>
      </c>
      <c r="F108" t="str">
        <f>""</f>
        <v/>
      </c>
      <c r="G108" t="str">
        <f>""</f>
        <v/>
      </c>
      <c r="H108" s="1">
        <v>41759</v>
      </c>
      <c r="I108" t="str">
        <f>"3K028428"</f>
        <v>3K028428</v>
      </c>
      <c r="J108" t="str">
        <f t="shared" si="17"/>
        <v>NP52205U</v>
      </c>
      <c r="K108" t="str">
        <f t="shared" si="18"/>
        <v>INEI</v>
      </c>
      <c r="L108" t="s">
        <v>2474</v>
      </c>
      <c r="M108">
        <v>696.03</v>
      </c>
    </row>
    <row r="109" spans="1:13" x14ac:dyDescent="0.25">
      <c r="A109" t="str">
        <f t="shared" si="19"/>
        <v>E111</v>
      </c>
      <c r="B109">
        <v>1</v>
      </c>
      <c r="C109" t="str">
        <f t="shared" si="14"/>
        <v>32040</v>
      </c>
      <c r="D109" t="str">
        <f t="shared" si="15"/>
        <v>5610</v>
      </c>
      <c r="E109" t="str">
        <f t="shared" si="16"/>
        <v>850LOS</v>
      </c>
      <c r="F109" t="str">
        <f>""</f>
        <v/>
      </c>
      <c r="G109" t="str">
        <f>""</f>
        <v/>
      </c>
      <c r="H109" s="1">
        <v>41779</v>
      </c>
      <c r="I109" t="str">
        <f>"3K029681"</f>
        <v>3K029681</v>
      </c>
      <c r="J109" t="str">
        <f t="shared" si="17"/>
        <v>NP52205U</v>
      </c>
      <c r="K109" t="str">
        <f t="shared" si="18"/>
        <v>INEI</v>
      </c>
      <c r="L109" t="s">
        <v>2474</v>
      </c>
      <c r="M109">
        <v>100.87</v>
      </c>
    </row>
    <row r="110" spans="1:13" x14ac:dyDescent="0.25">
      <c r="A110" t="str">
        <f t="shared" si="19"/>
        <v>E111</v>
      </c>
      <c r="B110">
        <v>1</v>
      </c>
      <c r="C110" t="str">
        <f t="shared" ref="C110:C140" si="20">"32040"</f>
        <v>32040</v>
      </c>
      <c r="D110" t="str">
        <f t="shared" ref="D110:D120" si="21">"5610"</f>
        <v>5610</v>
      </c>
      <c r="E110" t="str">
        <f t="shared" ref="E110:E140" si="22">"850LOS"</f>
        <v>850LOS</v>
      </c>
      <c r="F110" t="str">
        <f>""</f>
        <v/>
      </c>
      <c r="G110" t="str">
        <f>""</f>
        <v/>
      </c>
      <c r="H110" s="1">
        <v>41779</v>
      </c>
      <c r="I110" t="str">
        <f>"3K030326"</f>
        <v>3K030326</v>
      </c>
      <c r="J110" t="str">
        <f t="shared" si="17"/>
        <v>NP52205U</v>
      </c>
      <c r="K110" t="str">
        <f t="shared" si="18"/>
        <v>INEI</v>
      </c>
      <c r="L110" t="s">
        <v>2474</v>
      </c>
      <c r="M110">
        <v>159.02000000000001</v>
      </c>
    </row>
    <row r="111" spans="1:13" x14ac:dyDescent="0.25">
      <c r="A111" t="str">
        <f t="shared" si="19"/>
        <v>E111</v>
      </c>
      <c r="B111">
        <v>1</v>
      </c>
      <c r="C111" t="str">
        <f t="shared" si="20"/>
        <v>32040</v>
      </c>
      <c r="D111" t="str">
        <f t="shared" si="21"/>
        <v>5610</v>
      </c>
      <c r="E111" t="str">
        <f t="shared" si="22"/>
        <v>850LOS</v>
      </c>
      <c r="F111" t="str">
        <f>""</f>
        <v/>
      </c>
      <c r="G111" t="str">
        <f>""</f>
        <v/>
      </c>
      <c r="H111" s="1">
        <v>41779</v>
      </c>
      <c r="I111" t="str">
        <f>"3K030650"</f>
        <v>3K030650</v>
      </c>
      <c r="J111" t="str">
        <f t="shared" si="17"/>
        <v>NP52205U</v>
      </c>
      <c r="K111" t="str">
        <f t="shared" si="18"/>
        <v>INEI</v>
      </c>
      <c r="L111" t="s">
        <v>2474</v>
      </c>
      <c r="M111">
        <v>156.66</v>
      </c>
    </row>
    <row r="112" spans="1:13" x14ac:dyDescent="0.25">
      <c r="A112" t="str">
        <f t="shared" si="19"/>
        <v>E111</v>
      </c>
      <c r="B112">
        <v>1</v>
      </c>
      <c r="C112" t="str">
        <f t="shared" si="20"/>
        <v>32040</v>
      </c>
      <c r="D112" t="str">
        <f t="shared" si="21"/>
        <v>5610</v>
      </c>
      <c r="E112" t="str">
        <f t="shared" si="22"/>
        <v>850LOS</v>
      </c>
      <c r="F112" t="str">
        <f>""</f>
        <v/>
      </c>
      <c r="G112" t="str">
        <f>""</f>
        <v/>
      </c>
      <c r="H112" s="1">
        <v>41780</v>
      </c>
      <c r="I112" t="str">
        <f>"3K031112"</f>
        <v>3K031112</v>
      </c>
      <c r="J112" t="str">
        <f t="shared" si="17"/>
        <v>NP52205U</v>
      </c>
      <c r="K112" t="str">
        <f t="shared" si="18"/>
        <v>INEI</v>
      </c>
      <c r="L112" t="s">
        <v>2474</v>
      </c>
      <c r="M112">
        <v>728.96</v>
      </c>
    </row>
    <row r="113" spans="1:13" x14ac:dyDescent="0.25">
      <c r="A113" t="str">
        <f t="shared" si="19"/>
        <v>E111</v>
      </c>
      <c r="B113">
        <v>1</v>
      </c>
      <c r="C113" t="str">
        <f t="shared" si="20"/>
        <v>32040</v>
      </c>
      <c r="D113" t="str">
        <f t="shared" si="21"/>
        <v>5610</v>
      </c>
      <c r="E113" t="str">
        <f t="shared" si="22"/>
        <v>850LOS</v>
      </c>
      <c r="F113" t="str">
        <f>""</f>
        <v/>
      </c>
      <c r="G113" t="str">
        <f>""</f>
        <v/>
      </c>
      <c r="H113" s="1">
        <v>41780</v>
      </c>
      <c r="I113" t="str">
        <f>"3K030649"</f>
        <v>3K030649</v>
      </c>
      <c r="J113" t="str">
        <f t="shared" si="17"/>
        <v>NP52205U</v>
      </c>
      <c r="K113" t="str">
        <f t="shared" si="18"/>
        <v>INEI</v>
      </c>
      <c r="L113" t="s">
        <v>2474</v>
      </c>
      <c r="M113">
        <v>359.33</v>
      </c>
    </row>
    <row r="114" spans="1:13" x14ac:dyDescent="0.25">
      <c r="A114" t="str">
        <f t="shared" si="19"/>
        <v>E111</v>
      </c>
      <c r="B114">
        <v>1</v>
      </c>
      <c r="C114" t="str">
        <f t="shared" si="20"/>
        <v>32040</v>
      </c>
      <c r="D114" t="str">
        <f t="shared" si="21"/>
        <v>5610</v>
      </c>
      <c r="E114" t="str">
        <f t="shared" si="22"/>
        <v>850LOS</v>
      </c>
      <c r="F114" t="str">
        <f>""</f>
        <v/>
      </c>
      <c r="G114" t="str">
        <f>""</f>
        <v/>
      </c>
      <c r="H114" s="1">
        <v>41780</v>
      </c>
      <c r="I114" t="str">
        <f>"3K030467"</f>
        <v>3K030467</v>
      </c>
      <c r="J114" t="str">
        <f t="shared" si="17"/>
        <v>NP52205U</v>
      </c>
      <c r="K114" t="str">
        <f t="shared" si="18"/>
        <v>INEI</v>
      </c>
      <c r="L114" t="s">
        <v>2474</v>
      </c>
      <c r="M114">
        <v>218.55</v>
      </c>
    </row>
    <row r="115" spans="1:13" x14ac:dyDescent="0.25">
      <c r="A115" t="str">
        <f t="shared" si="19"/>
        <v>E111</v>
      </c>
      <c r="B115">
        <v>1</v>
      </c>
      <c r="C115" t="str">
        <f t="shared" si="20"/>
        <v>32040</v>
      </c>
      <c r="D115" t="str">
        <f t="shared" si="21"/>
        <v>5610</v>
      </c>
      <c r="E115" t="str">
        <f t="shared" si="22"/>
        <v>850LOS</v>
      </c>
      <c r="F115" t="str">
        <f>""</f>
        <v/>
      </c>
      <c r="G115" t="str">
        <f>""</f>
        <v/>
      </c>
      <c r="H115" s="1">
        <v>41780</v>
      </c>
      <c r="I115" t="str">
        <f>"3K030468"</f>
        <v>3K030468</v>
      </c>
      <c r="J115" t="str">
        <f t="shared" si="17"/>
        <v>NP52205U</v>
      </c>
      <c r="K115" t="str">
        <f t="shared" si="18"/>
        <v>INEI</v>
      </c>
      <c r="L115" t="s">
        <v>2474</v>
      </c>
      <c r="M115">
        <v>438.76</v>
      </c>
    </row>
    <row r="116" spans="1:13" x14ac:dyDescent="0.25">
      <c r="A116" t="str">
        <f t="shared" si="19"/>
        <v>E111</v>
      </c>
      <c r="B116">
        <v>1</v>
      </c>
      <c r="C116" t="str">
        <f t="shared" si="20"/>
        <v>32040</v>
      </c>
      <c r="D116" t="str">
        <f t="shared" si="21"/>
        <v>5610</v>
      </c>
      <c r="E116" t="str">
        <f t="shared" si="22"/>
        <v>850LOS</v>
      </c>
      <c r="F116" t="str">
        <f>""</f>
        <v/>
      </c>
      <c r="G116" t="str">
        <f>""</f>
        <v/>
      </c>
      <c r="H116" s="1">
        <v>41780</v>
      </c>
      <c r="I116" t="str">
        <f>"3K029683"</f>
        <v>3K029683</v>
      </c>
      <c r="J116" t="str">
        <f t="shared" si="17"/>
        <v>NP52205U</v>
      </c>
      <c r="K116" t="str">
        <f t="shared" si="18"/>
        <v>INEI</v>
      </c>
      <c r="L116" t="s">
        <v>2474</v>
      </c>
      <c r="M116">
        <v>218.9</v>
      </c>
    </row>
    <row r="117" spans="1:13" x14ac:dyDescent="0.25">
      <c r="A117" t="str">
        <f t="shared" si="19"/>
        <v>E111</v>
      </c>
      <c r="B117">
        <v>1</v>
      </c>
      <c r="C117" t="str">
        <f t="shared" si="20"/>
        <v>32040</v>
      </c>
      <c r="D117" t="str">
        <f t="shared" si="21"/>
        <v>5610</v>
      </c>
      <c r="E117" t="str">
        <f t="shared" si="22"/>
        <v>850LOS</v>
      </c>
      <c r="F117" t="str">
        <f>""</f>
        <v/>
      </c>
      <c r="G117" t="str">
        <f>""</f>
        <v/>
      </c>
      <c r="H117" s="1">
        <v>41815</v>
      </c>
      <c r="I117" t="str">
        <f>"3K034568"</f>
        <v>3K034568</v>
      </c>
      <c r="J117" t="str">
        <f t="shared" si="17"/>
        <v>NP52205U</v>
      </c>
      <c r="K117" t="str">
        <f t="shared" si="18"/>
        <v>INEI</v>
      </c>
      <c r="L117" t="s">
        <v>2474</v>
      </c>
      <c r="M117" s="2">
        <v>5209.3599999999997</v>
      </c>
    </row>
    <row r="118" spans="1:13" x14ac:dyDescent="0.25">
      <c r="A118" t="str">
        <f t="shared" si="19"/>
        <v>E111</v>
      </c>
      <c r="B118">
        <v>1</v>
      </c>
      <c r="C118" t="str">
        <f t="shared" si="20"/>
        <v>32040</v>
      </c>
      <c r="D118" t="str">
        <f t="shared" si="21"/>
        <v>5610</v>
      </c>
      <c r="E118" t="str">
        <f t="shared" si="22"/>
        <v>850LOS</v>
      </c>
      <c r="F118" t="str">
        <f>""</f>
        <v/>
      </c>
      <c r="G118" t="str">
        <f>""</f>
        <v/>
      </c>
      <c r="H118" s="1">
        <v>41815</v>
      </c>
      <c r="I118" t="str">
        <f>"3K033826"</f>
        <v>3K033826</v>
      </c>
      <c r="J118" t="str">
        <f t="shared" si="17"/>
        <v>NP52205U</v>
      </c>
      <c r="K118" t="str">
        <f t="shared" si="18"/>
        <v>INEI</v>
      </c>
      <c r="L118" t="s">
        <v>2474</v>
      </c>
      <c r="M118">
        <v>419.41</v>
      </c>
    </row>
    <row r="119" spans="1:13" x14ac:dyDescent="0.25">
      <c r="A119" t="str">
        <f t="shared" si="19"/>
        <v>E111</v>
      </c>
      <c r="B119">
        <v>1</v>
      </c>
      <c r="C119" t="str">
        <f t="shared" si="20"/>
        <v>32040</v>
      </c>
      <c r="D119" t="str">
        <f t="shared" si="21"/>
        <v>5610</v>
      </c>
      <c r="E119" t="str">
        <f t="shared" si="22"/>
        <v>850LOS</v>
      </c>
      <c r="F119" t="str">
        <f>""</f>
        <v/>
      </c>
      <c r="G119" t="str">
        <f>""</f>
        <v/>
      </c>
      <c r="H119" s="1">
        <v>41815</v>
      </c>
      <c r="I119" t="str">
        <f>"3K033497"</f>
        <v>3K033497</v>
      </c>
      <c r="J119" t="str">
        <f t="shared" si="17"/>
        <v>NP52205U</v>
      </c>
      <c r="K119" t="str">
        <f t="shared" si="18"/>
        <v>INEI</v>
      </c>
      <c r="L119" t="s">
        <v>2474</v>
      </c>
      <c r="M119">
        <v>306.07</v>
      </c>
    </row>
    <row r="120" spans="1:13" x14ac:dyDescent="0.25">
      <c r="A120" t="str">
        <f t="shared" si="19"/>
        <v>E111</v>
      </c>
      <c r="B120">
        <v>1</v>
      </c>
      <c r="C120" t="str">
        <f t="shared" si="20"/>
        <v>32040</v>
      </c>
      <c r="D120" t="str">
        <f t="shared" si="21"/>
        <v>5610</v>
      </c>
      <c r="E120" t="str">
        <f t="shared" si="22"/>
        <v>850LOS</v>
      </c>
      <c r="F120" t="str">
        <f>""</f>
        <v/>
      </c>
      <c r="G120" t="str">
        <f>""</f>
        <v/>
      </c>
      <c r="H120" s="1">
        <v>41815</v>
      </c>
      <c r="I120" t="str">
        <f>"3K034017"</f>
        <v>3K034017</v>
      </c>
      <c r="J120" t="str">
        <f t="shared" si="17"/>
        <v>NP52205U</v>
      </c>
      <c r="K120" t="str">
        <f t="shared" si="18"/>
        <v>INEI</v>
      </c>
      <c r="L120" t="s">
        <v>2474</v>
      </c>
      <c r="M120">
        <v>561.51</v>
      </c>
    </row>
    <row r="121" spans="1:13" x14ac:dyDescent="0.25">
      <c r="A121" t="str">
        <f t="shared" si="19"/>
        <v>E111</v>
      </c>
      <c r="B121">
        <v>1</v>
      </c>
      <c r="C121" t="str">
        <f t="shared" si="20"/>
        <v>32040</v>
      </c>
      <c r="D121" t="str">
        <f t="shared" ref="D121:D147" si="23">"5620"</f>
        <v>5620</v>
      </c>
      <c r="E121" t="str">
        <f t="shared" si="22"/>
        <v>850LOS</v>
      </c>
      <c r="F121" t="str">
        <f>""</f>
        <v/>
      </c>
      <c r="G121" t="str">
        <f>""</f>
        <v/>
      </c>
      <c r="H121" s="1">
        <v>41764</v>
      </c>
      <c r="I121" t="str">
        <f>"J0008508"</f>
        <v>J0008508</v>
      </c>
      <c r="J121" t="str">
        <f>""</f>
        <v/>
      </c>
      <c r="K121" t="str">
        <f>"J079"</f>
        <v>J079</v>
      </c>
      <c r="L121" t="s">
        <v>2200</v>
      </c>
      <c r="M121" s="2">
        <v>63294.96</v>
      </c>
    </row>
    <row r="122" spans="1:13" x14ac:dyDescent="0.25">
      <c r="A122" t="str">
        <f t="shared" si="19"/>
        <v>E111</v>
      </c>
      <c r="B122">
        <v>1</v>
      </c>
      <c r="C122" t="str">
        <f t="shared" si="20"/>
        <v>32040</v>
      </c>
      <c r="D122" t="str">
        <f t="shared" si="23"/>
        <v>5620</v>
      </c>
      <c r="E122" t="str">
        <f t="shared" si="22"/>
        <v>850LOS</v>
      </c>
      <c r="F122" t="str">
        <f>""</f>
        <v/>
      </c>
      <c r="G122" t="str">
        <f>""</f>
        <v/>
      </c>
      <c r="H122" s="1">
        <v>41779</v>
      </c>
      <c r="I122" t="str">
        <f>"3K029682"</f>
        <v>3K029682</v>
      </c>
      <c r="J122" t="str">
        <f t="shared" ref="J122:J139" si="24">"NP52205U"</f>
        <v>NP52205U</v>
      </c>
      <c r="K122" t="str">
        <f t="shared" ref="K122:K139" si="25">"INEI"</f>
        <v>INEI</v>
      </c>
      <c r="L122" t="s">
        <v>2474</v>
      </c>
      <c r="M122">
        <v>268.75</v>
      </c>
    </row>
    <row r="123" spans="1:13" x14ac:dyDescent="0.25">
      <c r="A123" t="str">
        <f t="shared" si="19"/>
        <v>E111</v>
      </c>
      <c r="B123">
        <v>1</v>
      </c>
      <c r="C123" t="str">
        <f t="shared" si="20"/>
        <v>32040</v>
      </c>
      <c r="D123" t="str">
        <f t="shared" si="23"/>
        <v>5620</v>
      </c>
      <c r="E123" t="str">
        <f t="shared" si="22"/>
        <v>850LOS</v>
      </c>
      <c r="F123" t="str">
        <f>""</f>
        <v/>
      </c>
      <c r="G123" t="str">
        <f>""</f>
        <v/>
      </c>
      <c r="H123" s="1">
        <v>41779</v>
      </c>
      <c r="I123" t="str">
        <f>"3K029681"</f>
        <v>3K029681</v>
      </c>
      <c r="J123" t="str">
        <f t="shared" si="24"/>
        <v>NP52205U</v>
      </c>
      <c r="K123" t="str">
        <f t="shared" si="25"/>
        <v>INEI</v>
      </c>
      <c r="L123" t="s">
        <v>2474</v>
      </c>
      <c r="M123">
        <v>362.74</v>
      </c>
    </row>
    <row r="124" spans="1:13" x14ac:dyDescent="0.25">
      <c r="A124" t="str">
        <f t="shared" si="19"/>
        <v>E111</v>
      </c>
      <c r="B124">
        <v>1</v>
      </c>
      <c r="C124" t="str">
        <f t="shared" si="20"/>
        <v>32040</v>
      </c>
      <c r="D124" t="str">
        <f t="shared" si="23"/>
        <v>5620</v>
      </c>
      <c r="E124" t="str">
        <f t="shared" si="22"/>
        <v>850LOS</v>
      </c>
      <c r="F124" t="str">
        <f>""</f>
        <v/>
      </c>
      <c r="G124" t="str">
        <f>""</f>
        <v/>
      </c>
      <c r="H124" s="1">
        <v>41779</v>
      </c>
      <c r="I124" t="str">
        <f>"3K030016"</f>
        <v>3K030016</v>
      </c>
      <c r="J124" t="str">
        <f t="shared" si="24"/>
        <v>NP52205U</v>
      </c>
      <c r="K124" t="str">
        <f t="shared" si="25"/>
        <v>INEI</v>
      </c>
      <c r="L124" t="s">
        <v>2474</v>
      </c>
      <c r="M124">
        <v>300.86</v>
      </c>
    </row>
    <row r="125" spans="1:13" x14ac:dyDescent="0.25">
      <c r="A125" t="str">
        <f t="shared" si="19"/>
        <v>E111</v>
      </c>
      <c r="B125">
        <v>1</v>
      </c>
      <c r="C125" t="str">
        <f t="shared" si="20"/>
        <v>32040</v>
      </c>
      <c r="D125" t="str">
        <f t="shared" si="23"/>
        <v>5620</v>
      </c>
      <c r="E125" t="str">
        <f t="shared" si="22"/>
        <v>850LOS</v>
      </c>
      <c r="F125" t="str">
        <f>""</f>
        <v/>
      </c>
      <c r="G125" t="str">
        <f>""</f>
        <v/>
      </c>
      <c r="H125" s="1">
        <v>41779</v>
      </c>
      <c r="I125" t="str">
        <f>"3K030326"</f>
        <v>3K030326</v>
      </c>
      <c r="J125" t="str">
        <f t="shared" si="24"/>
        <v>NP52205U</v>
      </c>
      <c r="K125" t="str">
        <f t="shared" si="25"/>
        <v>INEI</v>
      </c>
      <c r="L125" t="s">
        <v>2474</v>
      </c>
      <c r="M125">
        <v>571.79</v>
      </c>
    </row>
    <row r="126" spans="1:13" x14ac:dyDescent="0.25">
      <c r="A126" t="str">
        <f t="shared" si="19"/>
        <v>E111</v>
      </c>
      <c r="B126">
        <v>1</v>
      </c>
      <c r="C126" t="str">
        <f t="shared" si="20"/>
        <v>32040</v>
      </c>
      <c r="D126" t="str">
        <f t="shared" si="23"/>
        <v>5620</v>
      </c>
      <c r="E126" t="str">
        <f t="shared" si="22"/>
        <v>850LOS</v>
      </c>
      <c r="F126" t="str">
        <f>""</f>
        <v/>
      </c>
      <c r="G126" t="str">
        <f>""</f>
        <v/>
      </c>
      <c r="H126" s="1">
        <v>41779</v>
      </c>
      <c r="I126" t="str">
        <f>"3K030650"</f>
        <v>3K030650</v>
      </c>
      <c r="J126" t="str">
        <f t="shared" si="24"/>
        <v>NP52205U</v>
      </c>
      <c r="K126" t="str">
        <f t="shared" si="25"/>
        <v>INEI</v>
      </c>
      <c r="L126" t="s">
        <v>2474</v>
      </c>
      <c r="M126">
        <v>563.33000000000004</v>
      </c>
    </row>
    <row r="127" spans="1:13" x14ac:dyDescent="0.25">
      <c r="A127" t="str">
        <f t="shared" si="19"/>
        <v>E111</v>
      </c>
      <c r="B127">
        <v>1</v>
      </c>
      <c r="C127" t="str">
        <f t="shared" si="20"/>
        <v>32040</v>
      </c>
      <c r="D127" t="str">
        <f t="shared" si="23"/>
        <v>5620</v>
      </c>
      <c r="E127" t="str">
        <f t="shared" si="22"/>
        <v>850LOS</v>
      </c>
      <c r="F127" t="str">
        <f>""</f>
        <v/>
      </c>
      <c r="G127" t="str">
        <f>""</f>
        <v/>
      </c>
      <c r="H127" s="1">
        <v>41779</v>
      </c>
      <c r="I127" t="str">
        <f>"3K031589"</f>
        <v>3K031589</v>
      </c>
      <c r="J127" t="str">
        <f t="shared" si="24"/>
        <v>NP52205U</v>
      </c>
      <c r="K127" t="str">
        <f t="shared" si="25"/>
        <v>INEI</v>
      </c>
      <c r="L127" t="s">
        <v>2474</v>
      </c>
      <c r="M127">
        <v>122.09</v>
      </c>
    </row>
    <row r="128" spans="1:13" x14ac:dyDescent="0.25">
      <c r="A128" t="str">
        <f t="shared" si="19"/>
        <v>E111</v>
      </c>
      <c r="B128">
        <v>1</v>
      </c>
      <c r="C128" t="str">
        <f t="shared" si="20"/>
        <v>32040</v>
      </c>
      <c r="D128" t="str">
        <f t="shared" si="23"/>
        <v>5620</v>
      </c>
      <c r="E128" t="str">
        <f t="shared" si="22"/>
        <v>850LOS</v>
      </c>
      <c r="F128" t="str">
        <f>""</f>
        <v/>
      </c>
      <c r="G128" t="str">
        <f>""</f>
        <v/>
      </c>
      <c r="H128" s="1">
        <v>41780</v>
      </c>
      <c r="I128" t="str">
        <f>"3K031112"</f>
        <v>3K031112</v>
      </c>
      <c r="J128" t="str">
        <f t="shared" si="24"/>
        <v>NP52205U</v>
      </c>
      <c r="K128" t="str">
        <f t="shared" si="25"/>
        <v>INEI</v>
      </c>
      <c r="L128" t="s">
        <v>2474</v>
      </c>
      <c r="M128" s="2">
        <v>2621.17</v>
      </c>
    </row>
    <row r="129" spans="1:13" x14ac:dyDescent="0.25">
      <c r="A129" t="str">
        <f t="shared" si="19"/>
        <v>E111</v>
      </c>
      <c r="B129">
        <v>1</v>
      </c>
      <c r="C129" t="str">
        <f t="shared" si="20"/>
        <v>32040</v>
      </c>
      <c r="D129" t="str">
        <f t="shared" si="23"/>
        <v>5620</v>
      </c>
      <c r="E129" t="str">
        <f t="shared" si="22"/>
        <v>850LOS</v>
      </c>
      <c r="F129" t="str">
        <f>""</f>
        <v/>
      </c>
      <c r="G129" t="str">
        <f>""</f>
        <v/>
      </c>
      <c r="H129" s="1">
        <v>41780</v>
      </c>
      <c r="I129" t="str">
        <f>"3K030649"</f>
        <v>3K030649</v>
      </c>
      <c r="J129" t="str">
        <f t="shared" si="24"/>
        <v>NP52205U</v>
      </c>
      <c r="K129" t="str">
        <f t="shared" si="25"/>
        <v>INEI</v>
      </c>
      <c r="L129" t="s">
        <v>2474</v>
      </c>
      <c r="M129" s="2">
        <v>1292.04</v>
      </c>
    </row>
    <row r="130" spans="1:13" x14ac:dyDescent="0.25">
      <c r="A130" t="str">
        <f t="shared" si="19"/>
        <v>E111</v>
      </c>
      <c r="B130">
        <v>1</v>
      </c>
      <c r="C130" t="str">
        <f t="shared" si="20"/>
        <v>32040</v>
      </c>
      <c r="D130" t="str">
        <f t="shared" si="23"/>
        <v>5620</v>
      </c>
      <c r="E130" t="str">
        <f t="shared" si="22"/>
        <v>850LOS</v>
      </c>
      <c r="F130" t="str">
        <f>""</f>
        <v/>
      </c>
      <c r="G130" t="str">
        <f>""</f>
        <v/>
      </c>
      <c r="H130" s="1">
        <v>41780</v>
      </c>
      <c r="I130" t="str">
        <f>"3K030467"</f>
        <v>3K030467</v>
      </c>
      <c r="J130" t="str">
        <f t="shared" si="24"/>
        <v>NP52205U</v>
      </c>
      <c r="K130" t="str">
        <f t="shared" si="25"/>
        <v>INEI</v>
      </c>
      <c r="L130" t="s">
        <v>2474</v>
      </c>
      <c r="M130">
        <v>785.84</v>
      </c>
    </row>
    <row r="131" spans="1:13" x14ac:dyDescent="0.25">
      <c r="A131" t="str">
        <f t="shared" si="19"/>
        <v>E111</v>
      </c>
      <c r="B131">
        <v>1</v>
      </c>
      <c r="C131" t="str">
        <f t="shared" si="20"/>
        <v>32040</v>
      </c>
      <c r="D131" t="str">
        <f t="shared" si="23"/>
        <v>5620</v>
      </c>
      <c r="E131" t="str">
        <f t="shared" si="22"/>
        <v>850LOS</v>
      </c>
      <c r="F131" t="str">
        <f>""</f>
        <v/>
      </c>
      <c r="G131" t="str">
        <f>""</f>
        <v/>
      </c>
      <c r="H131" s="1">
        <v>41780</v>
      </c>
      <c r="I131" t="str">
        <f>"3K030468"</f>
        <v>3K030468</v>
      </c>
      <c r="J131" t="str">
        <f t="shared" si="24"/>
        <v>NP52205U</v>
      </c>
      <c r="K131" t="str">
        <f t="shared" si="25"/>
        <v>INEI</v>
      </c>
      <c r="L131" t="s">
        <v>2474</v>
      </c>
      <c r="M131" s="2">
        <v>1577.63</v>
      </c>
    </row>
    <row r="132" spans="1:13" x14ac:dyDescent="0.25">
      <c r="A132" t="str">
        <f t="shared" si="19"/>
        <v>E111</v>
      </c>
      <c r="B132">
        <v>1</v>
      </c>
      <c r="C132" t="str">
        <f t="shared" si="20"/>
        <v>32040</v>
      </c>
      <c r="D132" t="str">
        <f t="shared" si="23"/>
        <v>5620</v>
      </c>
      <c r="E132" t="str">
        <f t="shared" si="22"/>
        <v>850LOS</v>
      </c>
      <c r="F132" t="str">
        <f>""</f>
        <v/>
      </c>
      <c r="G132" t="str">
        <f>""</f>
        <v/>
      </c>
      <c r="H132" s="1">
        <v>41780</v>
      </c>
      <c r="I132" t="str">
        <f>"3K029683"</f>
        <v>3K029683</v>
      </c>
      <c r="J132" t="str">
        <f t="shared" si="24"/>
        <v>NP52205U</v>
      </c>
      <c r="K132" t="str">
        <f t="shared" si="25"/>
        <v>INEI</v>
      </c>
      <c r="L132" t="s">
        <v>2474</v>
      </c>
      <c r="M132">
        <v>787.12</v>
      </c>
    </row>
    <row r="133" spans="1:13" x14ac:dyDescent="0.25">
      <c r="A133" t="str">
        <f t="shared" si="19"/>
        <v>E111</v>
      </c>
      <c r="B133">
        <v>1</v>
      </c>
      <c r="C133" t="str">
        <f t="shared" si="20"/>
        <v>32040</v>
      </c>
      <c r="D133" t="str">
        <f t="shared" si="23"/>
        <v>5620</v>
      </c>
      <c r="E133" t="str">
        <f t="shared" si="22"/>
        <v>850LOS</v>
      </c>
      <c r="F133" t="str">
        <f>""</f>
        <v/>
      </c>
      <c r="G133" t="str">
        <f>""</f>
        <v/>
      </c>
      <c r="H133" s="1">
        <v>41815</v>
      </c>
      <c r="I133" t="str">
        <f>"3K034568"</f>
        <v>3K034568</v>
      </c>
      <c r="J133" t="str">
        <f t="shared" si="24"/>
        <v>NP52205U</v>
      </c>
      <c r="K133" t="str">
        <f t="shared" si="25"/>
        <v>INEI</v>
      </c>
      <c r="L133" t="s">
        <v>2474</v>
      </c>
      <c r="M133" s="2">
        <v>18731.5</v>
      </c>
    </row>
    <row r="134" spans="1:13" x14ac:dyDescent="0.25">
      <c r="A134" t="str">
        <f t="shared" si="19"/>
        <v>E111</v>
      </c>
      <c r="B134">
        <v>1</v>
      </c>
      <c r="C134" t="str">
        <f t="shared" si="20"/>
        <v>32040</v>
      </c>
      <c r="D134" t="str">
        <f t="shared" si="23"/>
        <v>5620</v>
      </c>
      <c r="E134" t="str">
        <f t="shared" si="22"/>
        <v>850LOS</v>
      </c>
      <c r="F134" t="str">
        <f>""</f>
        <v/>
      </c>
      <c r="G134" t="str">
        <f>""</f>
        <v/>
      </c>
      <c r="H134" s="1">
        <v>41815</v>
      </c>
      <c r="I134" t="str">
        <f>"3K033826"</f>
        <v>3K033826</v>
      </c>
      <c r="J134" t="str">
        <f t="shared" si="24"/>
        <v>NP52205U</v>
      </c>
      <c r="K134" t="str">
        <f t="shared" si="25"/>
        <v>INEI</v>
      </c>
      <c r="L134" t="s">
        <v>2474</v>
      </c>
      <c r="M134" s="2">
        <v>1508.06</v>
      </c>
    </row>
    <row r="135" spans="1:13" x14ac:dyDescent="0.25">
      <c r="A135" t="str">
        <f t="shared" si="19"/>
        <v>E111</v>
      </c>
      <c r="B135">
        <v>1</v>
      </c>
      <c r="C135" t="str">
        <f t="shared" si="20"/>
        <v>32040</v>
      </c>
      <c r="D135" t="str">
        <f t="shared" si="23"/>
        <v>5620</v>
      </c>
      <c r="E135" t="str">
        <f t="shared" si="22"/>
        <v>850LOS</v>
      </c>
      <c r="F135" t="str">
        <f>""</f>
        <v/>
      </c>
      <c r="G135" t="str">
        <f>""</f>
        <v/>
      </c>
      <c r="H135" s="1">
        <v>41815</v>
      </c>
      <c r="I135" t="str">
        <f>"3K033497"</f>
        <v>3K033497</v>
      </c>
      <c r="J135" t="str">
        <f t="shared" si="24"/>
        <v>NP52205U</v>
      </c>
      <c r="K135" t="str">
        <f t="shared" si="25"/>
        <v>INEI</v>
      </c>
      <c r="L135" t="s">
        <v>2474</v>
      </c>
      <c r="M135" s="2">
        <v>1100.51</v>
      </c>
    </row>
    <row r="136" spans="1:13" x14ac:dyDescent="0.25">
      <c r="A136" t="str">
        <f t="shared" si="19"/>
        <v>E111</v>
      </c>
      <c r="B136">
        <v>1</v>
      </c>
      <c r="C136" t="str">
        <f t="shared" si="20"/>
        <v>32040</v>
      </c>
      <c r="D136" t="str">
        <f t="shared" si="23"/>
        <v>5620</v>
      </c>
      <c r="E136" t="str">
        <f t="shared" si="22"/>
        <v>850LOS</v>
      </c>
      <c r="F136" t="str">
        <f>""</f>
        <v/>
      </c>
      <c r="G136" t="str">
        <f>""</f>
        <v/>
      </c>
      <c r="H136" s="1">
        <v>41815</v>
      </c>
      <c r="I136" t="str">
        <f>"3K034017"</f>
        <v>3K034017</v>
      </c>
      <c r="J136" t="str">
        <f t="shared" si="24"/>
        <v>NP52205U</v>
      </c>
      <c r="K136" t="str">
        <f t="shared" si="25"/>
        <v>INEI</v>
      </c>
      <c r="L136" t="s">
        <v>2474</v>
      </c>
      <c r="M136" s="2">
        <v>2019.03</v>
      </c>
    </row>
    <row r="137" spans="1:13" x14ac:dyDescent="0.25">
      <c r="A137" t="str">
        <f t="shared" si="19"/>
        <v>E111</v>
      </c>
      <c r="B137">
        <v>1</v>
      </c>
      <c r="C137" t="str">
        <f t="shared" si="20"/>
        <v>32040</v>
      </c>
      <c r="D137" t="str">
        <f t="shared" si="23"/>
        <v>5620</v>
      </c>
      <c r="E137" t="str">
        <f t="shared" si="22"/>
        <v>850LOS</v>
      </c>
      <c r="F137" t="str">
        <f>""</f>
        <v/>
      </c>
      <c r="G137" t="str">
        <f>""</f>
        <v/>
      </c>
      <c r="H137" s="1">
        <v>41815</v>
      </c>
      <c r="I137" t="str">
        <f>"3K033496"</f>
        <v>3K033496</v>
      </c>
      <c r="J137" t="str">
        <f t="shared" si="24"/>
        <v>NP52205U</v>
      </c>
      <c r="K137" t="str">
        <f t="shared" si="25"/>
        <v>INEI</v>
      </c>
      <c r="L137" t="s">
        <v>2474</v>
      </c>
      <c r="M137">
        <v>183.7</v>
      </c>
    </row>
    <row r="138" spans="1:13" x14ac:dyDescent="0.25">
      <c r="A138" t="str">
        <f t="shared" ref="A138:A172" si="26">"E111"</f>
        <v>E111</v>
      </c>
      <c r="B138">
        <v>1</v>
      </c>
      <c r="C138" t="str">
        <f t="shared" si="20"/>
        <v>32040</v>
      </c>
      <c r="D138" t="str">
        <f t="shared" si="23"/>
        <v>5620</v>
      </c>
      <c r="E138" t="str">
        <f t="shared" si="22"/>
        <v>850LOS</v>
      </c>
      <c r="F138" t="str">
        <f>""</f>
        <v/>
      </c>
      <c r="G138" t="str">
        <f>""</f>
        <v/>
      </c>
      <c r="H138" s="1">
        <v>41815</v>
      </c>
      <c r="I138" t="str">
        <f>"3K034018"</f>
        <v>3K034018</v>
      </c>
      <c r="J138" t="str">
        <f t="shared" si="24"/>
        <v>NP52205U</v>
      </c>
      <c r="K138" t="str">
        <f t="shared" si="25"/>
        <v>INEI</v>
      </c>
      <c r="L138" t="s">
        <v>2474</v>
      </c>
      <c r="M138">
        <v>221.13</v>
      </c>
    </row>
    <row r="139" spans="1:13" x14ac:dyDescent="0.25">
      <c r="A139" t="str">
        <f t="shared" si="26"/>
        <v>E111</v>
      </c>
      <c r="B139">
        <v>1</v>
      </c>
      <c r="C139" t="str">
        <f t="shared" si="20"/>
        <v>32040</v>
      </c>
      <c r="D139" t="str">
        <f t="shared" si="23"/>
        <v>5620</v>
      </c>
      <c r="E139" t="str">
        <f t="shared" si="22"/>
        <v>850LOS</v>
      </c>
      <c r="F139" t="str">
        <f>""</f>
        <v/>
      </c>
      <c r="G139" t="str">
        <f>""</f>
        <v/>
      </c>
      <c r="H139" s="1">
        <v>41820</v>
      </c>
      <c r="I139" t="str">
        <f>"3K036003"</f>
        <v>3K036003</v>
      </c>
      <c r="J139" t="str">
        <f t="shared" si="24"/>
        <v>NP52205U</v>
      </c>
      <c r="K139" t="str">
        <f t="shared" si="25"/>
        <v>INEI</v>
      </c>
      <c r="L139" t="s">
        <v>2474</v>
      </c>
      <c r="M139" s="2">
        <v>1178.31</v>
      </c>
    </row>
    <row r="140" spans="1:13" x14ac:dyDescent="0.25">
      <c r="A140" t="str">
        <f t="shared" si="26"/>
        <v>E111</v>
      </c>
      <c r="B140">
        <v>1</v>
      </c>
      <c r="C140" t="str">
        <f t="shared" si="20"/>
        <v>32040</v>
      </c>
      <c r="D140" t="str">
        <f t="shared" si="23"/>
        <v>5620</v>
      </c>
      <c r="E140" t="str">
        <f t="shared" si="22"/>
        <v>850LOS</v>
      </c>
      <c r="F140" t="str">
        <f>""</f>
        <v/>
      </c>
      <c r="G140" t="str">
        <f>""</f>
        <v/>
      </c>
      <c r="H140" s="1">
        <v>41820</v>
      </c>
      <c r="I140" t="str">
        <f>"J0010520"</f>
        <v>J0010520</v>
      </c>
      <c r="J140" t="str">
        <f>""</f>
        <v/>
      </c>
      <c r="K140" t="str">
        <f>"J079"</f>
        <v>J079</v>
      </c>
      <c r="L140" t="s">
        <v>2199</v>
      </c>
      <c r="M140" s="2">
        <v>8938.8700000000008</v>
      </c>
    </row>
    <row r="141" spans="1:13" x14ac:dyDescent="0.25">
      <c r="A141" t="str">
        <f t="shared" si="26"/>
        <v>E111</v>
      </c>
      <c r="B141">
        <v>1</v>
      </c>
      <c r="C141" t="str">
        <f t="shared" ref="C141:C166" si="27">"43000"</f>
        <v>43000</v>
      </c>
      <c r="D141" t="str">
        <f t="shared" si="23"/>
        <v>5620</v>
      </c>
      <c r="E141" t="str">
        <f>"850ALT"</f>
        <v>850ALT</v>
      </c>
      <c r="F141" t="str">
        <f>""</f>
        <v/>
      </c>
      <c r="G141" t="str">
        <f>""</f>
        <v/>
      </c>
      <c r="H141" s="1">
        <v>41820</v>
      </c>
      <c r="I141" t="str">
        <f>"J0009360"</f>
        <v>J0009360</v>
      </c>
      <c r="J141" t="str">
        <f>""</f>
        <v/>
      </c>
      <c r="K141" t="str">
        <f>"J096"</f>
        <v>J096</v>
      </c>
      <c r="L141" t="s">
        <v>2197</v>
      </c>
      <c r="M141">
        <v>250</v>
      </c>
    </row>
    <row r="142" spans="1:13" x14ac:dyDescent="0.25">
      <c r="A142" t="str">
        <f t="shared" si="26"/>
        <v>E111</v>
      </c>
      <c r="B142">
        <v>1</v>
      </c>
      <c r="C142" t="str">
        <f t="shared" si="27"/>
        <v>43000</v>
      </c>
      <c r="D142" t="str">
        <f t="shared" si="23"/>
        <v>5620</v>
      </c>
      <c r="E142" t="str">
        <f>"850LOS"</f>
        <v>850LOS</v>
      </c>
      <c r="F142" t="str">
        <f>"PKOLOT"</f>
        <v>PKOLOT</v>
      </c>
      <c r="G142" t="str">
        <f>""</f>
        <v/>
      </c>
      <c r="H142" s="1">
        <v>41820</v>
      </c>
      <c r="I142" t="str">
        <f>"PCD00670"</f>
        <v>PCD00670</v>
      </c>
      <c r="J142" t="str">
        <f>""</f>
        <v/>
      </c>
      <c r="K142" t="str">
        <f>"AS89"</f>
        <v>AS89</v>
      </c>
      <c r="L142" t="s">
        <v>2473</v>
      </c>
      <c r="M142">
        <v>174.08</v>
      </c>
    </row>
    <row r="143" spans="1:13" x14ac:dyDescent="0.25">
      <c r="A143" t="str">
        <f t="shared" si="26"/>
        <v>E111</v>
      </c>
      <c r="B143">
        <v>1</v>
      </c>
      <c r="C143" t="str">
        <f t="shared" si="27"/>
        <v>43000</v>
      </c>
      <c r="D143" t="str">
        <f t="shared" si="23"/>
        <v>5620</v>
      </c>
      <c r="E143" t="str">
        <f>"850LOS"</f>
        <v>850LOS</v>
      </c>
      <c r="F143" t="str">
        <f>""</f>
        <v/>
      </c>
      <c r="G143" t="str">
        <f>""</f>
        <v/>
      </c>
      <c r="H143" s="1">
        <v>41820</v>
      </c>
      <c r="I143" t="str">
        <f>"J0010489"</f>
        <v>J0010489</v>
      </c>
      <c r="J143" t="str">
        <f>""</f>
        <v/>
      </c>
      <c r="K143" t="str">
        <f>"J079"</f>
        <v>J079</v>
      </c>
      <c r="L143" t="s">
        <v>2209</v>
      </c>
      <c r="M143" s="2">
        <v>5441.93</v>
      </c>
    </row>
    <row r="144" spans="1:13" x14ac:dyDescent="0.25">
      <c r="A144" t="str">
        <f t="shared" si="26"/>
        <v>E111</v>
      </c>
      <c r="B144">
        <v>1</v>
      </c>
      <c r="C144" t="str">
        <f t="shared" si="27"/>
        <v>43000</v>
      </c>
      <c r="D144" t="str">
        <f t="shared" si="23"/>
        <v>5620</v>
      </c>
      <c r="E144" t="str">
        <f>"850PAY"</f>
        <v>850PAY</v>
      </c>
      <c r="F144" t="str">
        <f>""</f>
        <v/>
      </c>
      <c r="G144" t="str">
        <f>""</f>
        <v/>
      </c>
      <c r="H144" s="1">
        <v>41820</v>
      </c>
      <c r="I144" t="str">
        <f>"J0008501"</f>
        <v>J0008501</v>
      </c>
      <c r="J144" t="str">
        <f>""</f>
        <v/>
      </c>
      <c r="K144" t="str">
        <f>"J096"</f>
        <v>J096</v>
      </c>
      <c r="L144" t="s">
        <v>2196</v>
      </c>
      <c r="M144" s="2">
        <v>2462.8200000000002</v>
      </c>
    </row>
    <row r="145" spans="1:13" x14ac:dyDescent="0.25">
      <c r="A145" t="str">
        <f t="shared" si="26"/>
        <v>E111</v>
      </c>
      <c r="B145">
        <v>1</v>
      </c>
      <c r="C145" t="str">
        <f t="shared" si="27"/>
        <v>43000</v>
      </c>
      <c r="D145" t="str">
        <f t="shared" si="23"/>
        <v>5620</v>
      </c>
      <c r="E145" t="str">
        <f>"850PAY"</f>
        <v>850PAY</v>
      </c>
      <c r="F145" t="str">
        <f>""</f>
        <v/>
      </c>
      <c r="G145" t="str">
        <f>""</f>
        <v/>
      </c>
      <c r="H145" s="1">
        <v>41820</v>
      </c>
      <c r="I145" t="str">
        <f>"J0009229"</f>
        <v>J0009229</v>
      </c>
      <c r="J145" t="str">
        <f>""</f>
        <v/>
      </c>
      <c r="K145" t="str">
        <f>"J096"</f>
        <v>J096</v>
      </c>
      <c r="L145" t="s">
        <v>2208</v>
      </c>
      <c r="M145">
        <v>600.09</v>
      </c>
    </row>
    <row r="146" spans="1:13" x14ac:dyDescent="0.25">
      <c r="A146" t="str">
        <f t="shared" si="26"/>
        <v>E111</v>
      </c>
      <c r="B146">
        <v>1</v>
      </c>
      <c r="C146" t="str">
        <f t="shared" si="27"/>
        <v>43000</v>
      </c>
      <c r="D146" t="str">
        <f t="shared" si="23"/>
        <v>5620</v>
      </c>
      <c r="E146" t="str">
        <f>"850PAY"</f>
        <v>850PAY</v>
      </c>
      <c r="F146" t="str">
        <f>""</f>
        <v/>
      </c>
      <c r="G146" t="str">
        <f>""</f>
        <v/>
      </c>
      <c r="H146" s="1">
        <v>41820</v>
      </c>
      <c r="I146" t="str">
        <f>"PCD00670"</f>
        <v>PCD00670</v>
      </c>
      <c r="J146" t="str">
        <f>""</f>
        <v/>
      </c>
      <c r="K146" t="str">
        <f>"AS89"</f>
        <v>AS89</v>
      </c>
      <c r="L146" t="s">
        <v>2472</v>
      </c>
      <c r="M146">
        <v>513.42999999999995</v>
      </c>
    </row>
    <row r="147" spans="1:13" x14ac:dyDescent="0.25">
      <c r="A147" t="str">
        <f t="shared" si="26"/>
        <v>E111</v>
      </c>
      <c r="B147">
        <v>1</v>
      </c>
      <c r="C147" t="str">
        <f t="shared" si="27"/>
        <v>43000</v>
      </c>
      <c r="D147" t="str">
        <f t="shared" si="23"/>
        <v>5620</v>
      </c>
      <c r="E147" t="str">
        <f>"850PKE"</f>
        <v>850PKE</v>
      </c>
      <c r="F147" t="str">
        <f>""</f>
        <v/>
      </c>
      <c r="G147" t="str">
        <f>""</f>
        <v/>
      </c>
      <c r="H147" s="1">
        <v>41820</v>
      </c>
      <c r="I147" t="str">
        <f>"220957"</f>
        <v>220957</v>
      </c>
      <c r="J147" t="str">
        <f>""</f>
        <v/>
      </c>
      <c r="K147" t="str">
        <f>"INNI"</f>
        <v>INNI</v>
      </c>
      <c r="L147" t="s">
        <v>229</v>
      </c>
      <c r="M147" s="2">
        <v>1255.06</v>
      </c>
    </row>
    <row r="148" spans="1:13" x14ac:dyDescent="0.25">
      <c r="A148" t="str">
        <f t="shared" si="26"/>
        <v>E111</v>
      </c>
      <c r="B148">
        <v>1</v>
      </c>
      <c r="C148" t="str">
        <f t="shared" si="27"/>
        <v>43000</v>
      </c>
      <c r="D148" t="str">
        <f t="shared" ref="D148:D166" si="28">"5740"</f>
        <v>5740</v>
      </c>
      <c r="E148" t="str">
        <f t="shared" ref="E148:E163" si="29">"850LOS"</f>
        <v>850LOS</v>
      </c>
      <c r="F148" t="str">
        <f>"PKOLOT"</f>
        <v>PKOLOT</v>
      </c>
      <c r="G148" t="str">
        <f>""</f>
        <v/>
      </c>
      <c r="H148" s="1">
        <v>41486</v>
      </c>
      <c r="I148" t="str">
        <f>"PCD00610"</f>
        <v>PCD00610</v>
      </c>
      <c r="J148" t="str">
        <f>"198216"</f>
        <v>198216</v>
      </c>
      <c r="K148" t="str">
        <f t="shared" ref="K148:K171" si="30">"AS89"</f>
        <v>AS89</v>
      </c>
      <c r="L148" t="s">
        <v>2471</v>
      </c>
      <c r="M148">
        <v>288.35000000000002</v>
      </c>
    </row>
    <row r="149" spans="1:13" x14ac:dyDescent="0.25">
      <c r="A149" t="str">
        <f t="shared" si="26"/>
        <v>E111</v>
      </c>
      <c r="B149">
        <v>1</v>
      </c>
      <c r="C149" t="str">
        <f t="shared" si="27"/>
        <v>43000</v>
      </c>
      <c r="D149" t="str">
        <f t="shared" si="28"/>
        <v>5740</v>
      </c>
      <c r="E149" t="str">
        <f t="shared" si="29"/>
        <v>850LOS</v>
      </c>
      <c r="F149" t="str">
        <f>"PKOLOT"</f>
        <v>PKOLOT</v>
      </c>
      <c r="G149" t="str">
        <f>""</f>
        <v/>
      </c>
      <c r="H149" s="1">
        <v>41516</v>
      </c>
      <c r="I149" t="str">
        <f>"PCD00615"</f>
        <v>PCD00615</v>
      </c>
      <c r="J149" t="str">
        <f>"198979"</f>
        <v>198979</v>
      </c>
      <c r="K149" t="str">
        <f t="shared" si="30"/>
        <v>AS89</v>
      </c>
      <c r="L149" t="s">
        <v>2470</v>
      </c>
      <c r="M149">
        <v>230.07</v>
      </c>
    </row>
    <row r="150" spans="1:13" x14ac:dyDescent="0.25">
      <c r="A150" t="str">
        <f t="shared" si="26"/>
        <v>E111</v>
      </c>
      <c r="B150">
        <v>1</v>
      </c>
      <c r="C150" t="str">
        <f t="shared" si="27"/>
        <v>43000</v>
      </c>
      <c r="D150" t="str">
        <f t="shared" si="28"/>
        <v>5740</v>
      </c>
      <c r="E150" t="str">
        <f t="shared" si="29"/>
        <v>850LOS</v>
      </c>
      <c r="F150" t="str">
        <f>"PKOLOT"</f>
        <v>PKOLOT</v>
      </c>
      <c r="G150" t="str">
        <f>""</f>
        <v/>
      </c>
      <c r="H150" s="1">
        <v>41516</v>
      </c>
      <c r="I150" t="str">
        <f>"PCD00615"</f>
        <v>PCD00615</v>
      </c>
      <c r="J150" t="str">
        <f>"199716"</f>
        <v>199716</v>
      </c>
      <c r="K150" t="str">
        <f t="shared" si="30"/>
        <v>AS89</v>
      </c>
      <c r="L150" t="s">
        <v>2469</v>
      </c>
      <c r="M150">
        <v>427.39</v>
      </c>
    </row>
    <row r="151" spans="1:13" x14ac:dyDescent="0.25">
      <c r="A151" t="str">
        <f t="shared" si="26"/>
        <v>E111</v>
      </c>
      <c r="B151">
        <v>1</v>
      </c>
      <c r="C151" t="str">
        <f t="shared" si="27"/>
        <v>43000</v>
      </c>
      <c r="D151" t="str">
        <f t="shared" si="28"/>
        <v>5740</v>
      </c>
      <c r="E151" t="str">
        <f t="shared" si="29"/>
        <v>850LOS</v>
      </c>
      <c r="F151" t="str">
        <f>"PKOLOT"</f>
        <v>PKOLOT</v>
      </c>
      <c r="G151" t="str">
        <f>""</f>
        <v/>
      </c>
      <c r="H151" s="1">
        <v>41578</v>
      </c>
      <c r="I151" t="str">
        <f>"PCD00626"</f>
        <v>PCD00626</v>
      </c>
      <c r="J151" t="str">
        <f>"203882"</f>
        <v>203882</v>
      </c>
      <c r="K151" t="str">
        <f t="shared" si="30"/>
        <v>AS89</v>
      </c>
      <c r="L151" t="s">
        <v>2468</v>
      </c>
      <c r="M151">
        <v>157.30000000000001</v>
      </c>
    </row>
    <row r="152" spans="1:13" x14ac:dyDescent="0.25">
      <c r="A152" t="str">
        <f t="shared" si="26"/>
        <v>E111</v>
      </c>
      <c r="B152">
        <v>1</v>
      </c>
      <c r="C152" t="str">
        <f t="shared" si="27"/>
        <v>43000</v>
      </c>
      <c r="D152" t="str">
        <f t="shared" si="28"/>
        <v>5740</v>
      </c>
      <c r="E152" t="str">
        <f t="shared" si="29"/>
        <v>850LOS</v>
      </c>
      <c r="F152" t="str">
        <f>"PKOLOT"</f>
        <v>PKOLOT</v>
      </c>
      <c r="G152" t="str">
        <f>""</f>
        <v/>
      </c>
      <c r="H152" s="1">
        <v>41790</v>
      </c>
      <c r="I152" t="str">
        <f>"PCD00665"</f>
        <v>PCD00665</v>
      </c>
      <c r="J152" t="str">
        <f>""</f>
        <v/>
      </c>
      <c r="K152" t="str">
        <f t="shared" si="30"/>
        <v>AS89</v>
      </c>
      <c r="L152" t="s">
        <v>2467</v>
      </c>
      <c r="M152">
        <v>265.48</v>
      </c>
    </row>
    <row r="153" spans="1:13" x14ac:dyDescent="0.25">
      <c r="A153" t="str">
        <f t="shared" si="26"/>
        <v>E111</v>
      </c>
      <c r="B153">
        <v>1</v>
      </c>
      <c r="C153" t="str">
        <f t="shared" si="27"/>
        <v>43000</v>
      </c>
      <c r="D153" t="str">
        <f t="shared" si="28"/>
        <v>5740</v>
      </c>
      <c r="E153" t="str">
        <f t="shared" si="29"/>
        <v>850LOS</v>
      </c>
      <c r="F153" t="str">
        <f>""</f>
        <v/>
      </c>
      <c r="G153" t="str">
        <f>""</f>
        <v/>
      </c>
      <c r="H153" s="1">
        <v>41486</v>
      </c>
      <c r="I153" t="str">
        <f>"PCD00610"</f>
        <v>PCD00610</v>
      </c>
      <c r="J153" t="str">
        <f>"197332"</f>
        <v>197332</v>
      </c>
      <c r="K153" t="str">
        <f t="shared" si="30"/>
        <v>AS89</v>
      </c>
      <c r="L153" t="s">
        <v>2466</v>
      </c>
      <c r="M153">
        <v>106.09</v>
      </c>
    </row>
    <row r="154" spans="1:13" x14ac:dyDescent="0.25">
      <c r="A154" t="str">
        <f t="shared" si="26"/>
        <v>E111</v>
      </c>
      <c r="B154">
        <v>1</v>
      </c>
      <c r="C154" t="str">
        <f t="shared" si="27"/>
        <v>43000</v>
      </c>
      <c r="D154" t="str">
        <f t="shared" si="28"/>
        <v>5740</v>
      </c>
      <c r="E154" t="str">
        <f t="shared" si="29"/>
        <v>850LOS</v>
      </c>
      <c r="F154" t="str">
        <f>""</f>
        <v/>
      </c>
      <c r="G154" t="str">
        <f>""</f>
        <v/>
      </c>
      <c r="H154" s="1">
        <v>41544</v>
      </c>
      <c r="I154" t="str">
        <f>"PCD00620"</f>
        <v>PCD00620</v>
      </c>
      <c r="J154" t="str">
        <f>"201988"</f>
        <v>201988</v>
      </c>
      <c r="K154" t="str">
        <f t="shared" si="30"/>
        <v>AS89</v>
      </c>
      <c r="L154" t="s">
        <v>2465</v>
      </c>
      <c r="M154">
        <v>184.86</v>
      </c>
    </row>
    <row r="155" spans="1:13" x14ac:dyDescent="0.25">
      <c r="A155" t="str">
        <f t="shared" si="26"/>
        <v>E111</v>
      </c>
      <c r="B155">
        <v>1</v>
      </c>
      <c r="C155" t="str">
        <f t="shared" si="27"/>
        <v>43000</v>
      </c>
      <c r="D155" t="str">
        <f t="shared" si="28"/>
        <v>5740</v>
      </c>
      <c r="E155" t="str">
        <f t="shared" si="29"/>
        <v>850LOS</v>
      </c>
      <c r="F155" t="str">
        <f>""</f>
        <v/>
      </c>
      <c r="G155" t="str">
        <f>""</f>
        <v/>
      </c>
      <c r="H155" s="1">
        <v>41547</v>
      </c>
      <c r="I155" t="str">
        <f>"BKS01390"</f>
        <v>BKS01390</v>
      </c>
      <c r="J155" t="str">
        <f>"759193"</f>
        <v>759193</v>
      </c>
      <c r="K155" t="str">
        <f t="shared" si="30"/>
        <v>AS89</v>
      </c>
      <c r="L155" t="s">
        <v>746</v>
      </c>
      <c r="M155">
        <v>235.54</v>
      </c>
    </row>
    <row r="156" spans="1:13" x14ac:dyDescent="0.25">
      <c r="A156" t="str">
        <f t="shared" si="26"/>
        <v>E111</v>
      </c>
      <c r="B156">
        <v>1</v>
      </c>
      <c r="C156" t="str">
        <f t="shared" si="27"/>
        <v>43000</v>
      </c>
      <c r="D156" t="str">
        <f t="shared" si="28"/>
        <v>5740</v>
      </c>
      <c r="E156" t="str">
        <f t="shared" si="29"/>
        <v>850LOS</v>
      </c>
      <c r="F156" t="str">
        <f>""</f>
        <v/>
      </c>
      <c r="G156" t="str">
        <f>""</f>
        <v/>
      </c>
      <c r="H156" s="1">
        <v>41639</v>
      </c>
      <c r="I156" t="str">
        <f>"PCD00636"</f>
        <v>PCD00636</v>
      </c>
      <c r="J156" t="str">
        <f>"207553"</f>
        <v>207553</v>
      </c>
      <c r="K156" t="str">
        <f t="shared" si="30"/>
        <v>AS89</v>
      </c>
      <c r="L156" t="s">
        <v>2464</v>
      </c>
      <c r="M156">
        <v>327.25</v>
      </c>
    </row>
    <row r="157" spans="1:13" x14ac:dyDescent="0.25">
      <c r="A157" t="str">
        <f t="shared" si="26"/>
        <v>E111</v>
      </c>
      <c r="B157">
        <v>1</v>
      </c>
      <c r="C157" t="str">
        <f t="shared" si="27"/>
        <v>43000</v>
      </c>
      <c r="D157" t="str">
        <f t="shared" si="28"/>
        <v>5740</v>
      </c>
      <c r="E157" t="str">
        <f t="shared" si="29"/>
        <v>850LOS</v>
      </c>
      <c r="F157" t="str">
        <f>""</f>
        <v/>
      </c>
      <c r="G157" t="str">
        <f>""</f>
        <v/>
      </c>
      <c r="H157" s="1">
        <v>41639</v>
      </c>
      <c r="I157" t="str">
        <f>"PCD00636"</f>
        <v>PCD00636</v>
      </c>
      <c r="J157" t="str">
        <f>"208718"</f>
        <v>208718</v>
      </c>
      <c r="K157" t="str">
        <f t="shared" si="30"/>
        <v>AS89</v>
      </c>
      <c r="L157" t="s">
        <v>2463</v>
      </c>
      <c r="M157">
        <v>694.16</v>
      </c>
    </row>
    <row r="158" spans="1:13" x14ac:dyDescent="0.25">
      <c r="A158" t="str">
        <f t="shared" si="26"/>
        <v>E111</v>
      </c>
      <c r="B158">
        <v>1</v>
      </c>
      <c r="C158" t="str">
        <f t="shared" si="27"/>
        <v>43000</v>
      </c>
      <c r="D158" t="str">
        <f t="shared" si="28"/>
        <v>5740</v>
      </c>
      <c r="E158" t="str">
        <f t="shared" si="29"/>
        <v>850LOS</v>
      </c>
      <c r="F158" t="str">
        <f>""</f>
        <v/>
      </c>
      <c r="G158" t="str">
        <f>""</f>
        <v/>
      </c>
      <c r="H158" s="1">
        <v>41639</v>
      </c>
      <c r="I158" t="str">
        <f>"PCD00636"</f>
        <v>PCD00636</v>
      </c>
      <c r="J158" t="str">
        <f>"208818"</f>
        <v>208818</v>
      </c>
      <c r="K158" t="str">
        <f t="shared" si="30"/>
        <v>AS89</v>
      </c>
      <c r="L158" t="s">
        <v>2462</v>
      </c>
      <c r="M158">
        <v>660.97</v>
      </c>
    </row>
    <row r="159" spans="1:13" x14ac:dyDescent="0.25">
      <c r="A159" t="str">
        <f t="shared" si="26"/>
        <v>E111</v>
      </c>
      <c r="B159">
        <v>1</v>
      </c>
      <c r="C159" t="str">
        <f t="shared" si="27"/>
        <v>43000</v>
      </c>
      <c r="D159" t="str">
        <f t="shared" si="28"/>
        <v>5740</v>
      </c>
      <c r="E159" t="str">
        <f t="shared" si="29"/>
        <v>850LOS</v>
      </c>
      <c r="F159" t="str">
        <f>""</f>
        <v/>
      </c>
      <c r="G159" t="str">
        <f>""</f>
        <v/>
      </c>
      <c r="H159" s="1">
        <v>41639</v>
      </c>
      <c r="I159" t="str">
        <f>"PCD00636"</f>
        <v>PCD00636</v>
      </c>
      <c r="J159" t="str">
        <f>"208902"</f>
        <v>208902</v>
      </c>
      <c r="K159" t="str">
        <f t="shared" si="30"/>
        <v>AS89</v>
      </c>
      <c r="L159" t="s">
        <v>2461</v>
      </c>
      <c r="M159">
        <v>155</v>
      </c>
    </row>
    <row r="160" spans="1:13" x14ac:dyDescent="0.25">
      <c r="A160" t="str">
        <f t="shared" si="26"/>
        <v>E111</v>
      </c>
      <c r="B160">
        <v>1</v>
      </c>
      <c r="C160" t="str">
        <f t="shared" si="27"/>
        <v>43000</v>
      </c>
      <c r="D160" t="str">
        <f t="shared" si="28"/>
        <v>5740</v>
      </c>
      <c r="E160" t="str">
        <f t="shared" si="29"/>
        <v>850LOS</v>
      </c>
      <c r="F160" t="str">
        <f>""</f>
        <v/>
      </c>
      <c r="G160" t="str">
        <f>""</f>
        <v/>
      </c>
      <c r="H160" s="1">
        <v>41679</v>
      </c>
      <c r="I160" t="str">
        <f>"PCD00644"</f>
        <v>PCD00644</v>
      </c>
      <c r="J160" t="str">
        <f>"212084"</f>
        <v>212084</v>
      </c>
      <c r="K160" t="str">
        <f t="shared" si="30"/>
        <v>AS89</v>
      </c>
      <c r="L160" t="s">
        <v>2460</v>
      </c>
      <c r="M160">
        <v>129.12</v>
      </c>
    </row>
    <row r="161" spans="1:13" x14ac:dyDescent="0.25">
      <c r="A161" t="str">
        <f t="shared" si="26"/>
        <v>E111</v>
      </c>
      <c r="B161">
        <v>1</v>
      </c>
      <c r="C161" t="str">
        <f t="shared" si="27"/>
        <v>43000</v>
      </c>
      <c r="D161" t="str">
        <f t="shared" si="28"/>
        <v>5740</v>
      </c>
      <c r="E161" t="str">
        <f t="shared" si="29"/>
        <v>850LOS</v>
      </c>
      <c r="F161" t="str">
        <f>""</f>
        <v/>
      </c>
      <c r="G161" t="str">
        <f>""</f>
        <v/>
      </c>
      <c r="H161" s="1">
        <v>41698</v>
      </c>
      <c r="I161" t="str">
        <f>"PCD00648"</f>
        <v>PCD00648</v>
      </c>
      <c r="J161" t="str">
        <f>""</f>
        <v/>
      </c>
      <c r="K161" t="str">
        <f t="shared" si="30"/>
        <v>AS89</v>
      </c>
      <c r="L161" t="s">
        <v>2459</v>
      </c>
      <c r="M161">
        <v>340.41</v>
      </c>
    </row>
    <row r="162" spans="1:13" x14ac:dyDescent="0.25">
      <c r="A162" t="str">
        <f t="shared" si="26"/>
        <v>E111</v>
      </c>
      <c r="B162">
        <v>1</v>
      </c>
      <c r="C162" t="str">
        <f t="shared" si="27"/>
        <v>43000</v>
      </c>
      <c r="D162" t="str">
        <f t="shared" si="28"/>
        <v>5740</v>
      </c>
      <c r="E162" t="str">
        <f t="shared" si="29"/>
        <v>850LOS</v>
      </c>
      <c r="F162" t="str">
        <f>""</f>
        <v/>
      </c>
      <c r="G162" t="str">
        <f>""</f>
        <v/>
      </c>
      <c r="H162" s="1">
        <v>41709</v>
      </c>
      <c r="I162" t="str">
        <f>"PCD00650"</f>
        <v>PCD00650</v>
      </c>
      <c r="J162" t="str">
        <f>""</f>
        <v/>
      </c>
      <c r="K162" t="str">
        <f t="shared" si="30"/>
        <v>AS89</v>
      </c>
      <c r="L162" t="s">
        <v>2459</v>
      </c>
      <c r="M162">
        <v>340.41</v>
      </c>
    </row>
    <row r="163" spans="1:13" x14ac:dyDescent="0.25">
      <c r="A163" t="str">
        <f t="shared" si="26"/>
        <v>E111</v>
      </c>
      <c r="B163">
        <v>1</v>
      </c>
      <c r="C163" t="str">
        <f t="shared" si="27"/>
        <v>43000</v>
      </c>
      <c r="D163" t="str">
        <f t="shared" si="28"/>
        <v>5740</v>
      </c>
      <c r="E163" t="str">
        <f t="shared" si="29"/>
        <v>850LOS</v>
      </c>
      <c r="F163" t="str">
        <f>""</f>
        <v/>
      </c>
      <c r="G163" t="str">
        <f>""</f>
        <v/>
      </c>
      <c r="H163" s="1">
        <v>41759</v>
      </c>
      <c r="I163" t="str">
        <f>"PCD00660"</f>
        <v>PCD00660</v>
      </c>
      <c r="J163" t="str">
        <f>""</f>
        <v/>
      </c>
      <c r="K163" t="str">
        <f t="shared" si="30"/>
        <v>AS89</v>
      </c>
      <c r="L163" t="s">
        <v>2458</v>
      </c>
      <c r="M163">
        <v>174.18</v>
      </c>
    </row>
    <row r="164" spans="1:13" x14ac:dyDescent="0.25">
      <c r="A164" t="str">
        <f t="shared" si="26"/>
        <v>E111</v>
      </c>
      <c r="B164">
        <v>1</v>
      </c>
      <c r="C164" t="str">
        <f t="shared" si="27"/>
        <v>43000</v>
      </c>
      <c r="D164" t="str">
        <f t="shared" si="28"/>
        <v>5740</v>
      </c>
      <c r="E164" t="str">
        <f>"850PKE"</f>
        <v>850PKE</v>
      </c>
      <c r="F164" t="str">
        <f>""</f>
        <v/>
      </c>
      <c r="G164" t="str">
        <f>""</f>
        <v/>
      </c>
      <c r="H164" s="1">
        <v>41578</v>
      </c>
      <c r="I164" t="str">
        <f>"PCD00626"</f>
        <v>PCD00626</v>
      </c>
      <c r="J164" t="str">
        <f>"204964"</f>
        <v>204964</v>
      </c>
      <c r="K164" t="str">
        <f t="shared" si="30"/>
        <v>AS89</v>
      </c>
      <c r="L164" t="s">
        <v>2457</v>
      </c>
      <c r="M164">
        <v>425.81</v>
      </c>
    </row>
    <row r="165" spans="1:13" x14ac:dyDescent="0.25">
      <c r="A165" t="str">
        <f t="shared" si="26"/>
        <v>E111</v>
      </c>
      <c r="B165">
        <v>1</v>
      </c>
      <c r="C165" t="str">
        <f t="shared" si="27"/>
        <v>43000</v>
      </c>
      <c r="D165" t="str">
        <f t="shared" si="28"/>
        <v>5740</v>
      </c>
      <c r="E165" t="str">
        <f>"850PKE"</f>
        <v>850PKE</v>
      </c>
      <c r="F165" t="str">
        <f>""</f>
        <v/>
      </c>
      <c r="G165" t="str">
        <f>""</f>
        <v/>
      </c>
      <c r="H165" s="1">
        <v>41670</v>
      </c>
      <c r="I165" t="str">
        <f>"PCD00641"</f>
        <v>PCD00641</v>
      </c>
      <c r="J165" t="str">
        <f>"210089"</f>
        <v>210089</v>
      </c>
      <c r="K165" t="str">
        <f t="shared" si="30"/>
        <v>AS89</v>
      </c>
      <c r="L165" t="s">
        <v>2456</v>
      </c>
      <c r="M165">
        <v>776.8</v>
      </c>
    </row>
    <row r="166" spans="1:13" x14ac:dyDescent="0.25">
      <c r="A166" t="str">
        <f t="shared" si="26"/>
        <v>E111</v>
      </c>
      <c r="B166">
        <v>1</v>
      </c>
      <c r="C166" t="str">
        <f t="shared" si="27"/>
        <v>43000</v>
      </c>
      <c r="D166" t="str">
        <f t="shared" si="28"/>
        <v>5740</v>
      </c>
      <c r="E166" t="str">
        <f>"850PKE"</f>
        <v>850PKE</v>
      </c>
      <c r="F166" t="str">
        <f>""</f>
        <v/>
      </c>
      <c r="G166" t="str">
        <f>""</f>
        <v/>
      </c>
      <c r="H166" s="1">
        <v>41759</v>
      </c>
      <c r="I166" t="str">
        <f>"PCD00660"</f>
        <v>PCD00660</v>
      </c>
      <c r="J166" t="str">
        <f>""</f>
        <v/>
      </c>
      <c r="K166" t="str">
        <f t="shared" si="30"/>
        <v>AS89</v>
      </c>
      <c r="L166" t="s">
        <v>2455</v>
      </c>
      <c r="M166">
        <v>985.26</v>
      </c>
    </row>
    <row r="167" spans="1:13" x14ac:dyDescent="0.25">
      <c r="A167" t="str">
        <f t="shared" si="26"/>
        <v>E111</v>
      </c>
      <c r="B167">
        <v>1</v>
      </c>
      <c r="C167" t="str">
        <f>"43001"</f>
        <v>43001</v>
      </c>
      <c r="D167" t="str">
        <f>"5741"</f>
        <v>5741</v>
      </c>
      <c r="E167" t="str">
        <f>"850LOS"</f>
        <v>850LOS</v>
      </c>
      <c r="F167" t="str">
        <f>""</f>
        <v/>
      </c>
      <c r="G167" t="str">
        <f>""</f>
        <v/>
      </c>
      <c r="H167" s="1">
        <v>41547</v>
      </c>
      <c r="I167" t="str">
        <f>"BKS01390"</f>
        <v>BKS01390</v>
      </c>
      <c r="J167" t="str">
        <f>"758438"</f>
        <v>758438</v>
      </c>
      <c r="K167" t="str">
        <f t="shared" si="30"/>
        <v>AS89</v>
      </c>
      <c r="L167" t="s">
        <v>746</v>
      </c>
      <c r="M167">
        <v>250</v>
      </c>
    </row>
    <row r="168" spans="1:13" x14ac:dyDescent="0.25">
      <c r="A168" t="str">
        <f t="shared" si="26"/>
        <v>E111</v>
      </c>
      <c r="B168">
        <v>1</v>
      </c>
      <c r="C168" t="str">
        <f>"43003"</f>
        <v>43003</v>
      </c>
      <c r="D168" t="str">
        <f>"5740"</f>
        <v>5740</v>
      </c>
      <c r="E168" t="str">
        <f>"850LOS"</f>
        <v>850LOS</v>
      </c>
      <c r="F168" t="str">
        <f>""</f>
        <v/>
      </c>
      <c r="G168" t="str">
        <f>""</f>
        <v/>
      </c>
      <c r="H168" s="1">
        <v>41544</v>
      </c>
      <c r="I168" t="str">
        <f>"PCD00620"</f>
        <v>PCD00620</v>
      </c>
      <c r="J168" t="str">
        <f>"202191"</f>
        <v>202191</v>
      </c>
      <c r="K168" t="str">
        <f t="shared" si="30"/>
        <v>AS89</v>
      </c>
      <c r="L168" t="s">
        <v>2454</v>
      </c>
      <c r="M168">
        <v>665.29</v>
      </c>
    </row>
    <row r="169" spans="1:13" x14ac:dyDescent="0.25">
      <c r="A169" t="str">
        <f t="shared" si="26"/>
        <v>E111</v>
      </c>
      <c r="B169">
        <v>1</v>
      </c>
      <c r="C169" t="str">
        <f>"43003"</f>
        <v>43003</v>
      </c>
      <c r="D169" t="str">
        <f>"5740"</f>
        <v>5740</v>
      </c>
      <c r="E169" t="str">
        <f>"850LOS"</f>
        <v>850LOS</v>
      </c>
      <c r="F169" t="str">
        <f>""</f>
        <v/>
      </c>
      <c r="G169" t="str">
        <f>""</f>
        <v/>
      </c>
      <c r="H169" s="1">
        <v>41547</v>
      </c>
      <c r="I169" t="str">
        <f>"PCD00621"</f>
        <v>PCD00621</v>
      </c>
      <c r="J169" t="str">
        <f>"202671"</f>
        <v>202671</v>
      </c>
      <c r="K169" t="str">
        <f t="shared" si="30"/>
        <v>AS89</v>
      </c>
      <c r="L169" t="s">
        <v>2453</v>
      </c>
      <c r="M169">
        <v>772.84</v>
      </c>
    </row>
    <row r="170" spans="1:13" x14ac:dyDescent="0.25">
      <c r="A170" t="str">
        <f t="shared" si="26"/>
        <v>E111</v>
      </c>
      <c r="B170">
        <v>1</v>
      </c>
      <c r="C170" t="str">
        <f>"43003"</f>
        <v>43003</v>
      </c>
      <c r="D170" t="str">
        <f>"5740"</f>
        <v>5740</v>
      </c>
      <c r="E170" t="str">
        <f>"850LOS"</f>
        <v>850LOS</v>
      </c>
      <c r="F170" t="str">
        <f>""</f>
        <v/>
      </c>
      <c r="G170" t="str">
        <f>""</f>
        <v/>
      </c>
      <c r="H170" s="1">
        <v>41639</v>
      </c>
      <c r="I170" t="str">
        <f>"PCD00636"</f>
        <v>PCD00636</v>
      </c>
      <c r="J170" t="str">
        <f>"208910"</f>
        <v>208910</v>
      </c>
      <c r="K170" t="str">
        <f t="shared" si="30"/>
        <v>AS89</v>
      </c>
      <c r="L170" t="s">
        <v>2452</v>
      </c>
      <c r="M170">
        <v>645.66</v>
      </c>
    </row>
    <row r="171" spans="1:13" x14ac:dyDescent="0.25">
      <c r="A171" t="str">
        <f t="shared" si="26"/>
        <v>E111</v>
      </c>
      <c r="B171">
        <v>1</v>
      </c>
      <c r="C171" t="str">
        <f>"43003"</f>
        <v>43003</v>
      </c>
      <c r="D171" t="str">
        <f>"5740"</f>
        <v>5740</v>
      </c>
      <c r="E171" t="str">
        <f>"850LOS"</f>
        <v>850LOS</v>
      </c>
      <c r="F171" t="str">
        <f>""</f>
        <v/>
      </c>
      <c r="G171" t="str">
        <f>""</f>
        <v/>
      </c>
      <c r="H171" s="1">
        <v>41759</v>
      </c>
      <c r="I171" t="str">
        <f>"PCD00660"</f>
        <v>PCD00660</v>
      </c>
      <c r="J171" t="str">
        <f>""</f>
        <v/>
      </c>
      <c r="K171" t="str">
        <f t="shared" si="30"/>
        <v>AS89</v>
      </c>
      <c r="L171" t="s">
        <v>2451</v>
      </c>
      <c r="M171">
        <v>600.09</v>
      </c>
    </row>
    <row r="172" spans="1:13" x14ac:dyDescent="0.25">
      <c r="A172" t="str">
        <f t="shared" si="26"/>
        <v>E111</v>
      </c>
      <c r="B172">
        <v>1</v>
      </c>
      <c r="C172" t="str">
        <f>"55781"</f>
        <v>55781</v>
      </c>
      <c r="D172" t="str">
        <f>"5620"</f>
        <v>5620</v>
      </c>
      <c r="E172" t="str">
        <f>"111ZAA"</f>
        <v>111ZAA</v>
      </c>
      <c r="F172" t="str">
        <f>""</f>
        <v/>
      </c>
      <c r="G172" t="str">
        <f>""</f>
        <v/>
      </c>
      <c r="H172" s="1">
        <v>41548</v>
      </c>
      <c r="I172" t="str">
        <f>"J0005690"</f>
        <v>J0005690</v>
      </c>
      <c r="J172" t="str">
        <f>""</f>
        <v/>
      </c>
      <c r="K172" t="str">
        <f>"J096"</f>
        <v>J096</v>
      </c>
      <c r="L172" t="s">
        <v>2450</v>
      </c>
      <c r="M172">
        <v>500</v>
      </c>
    </row>
    <row r="173" spans="1:13" x14ac:dyDescent="0.25">
      <c r="A173" t="str">
        <f>"E114"</f>
        <v>E114</v>
      </c>
      <c r="B173">
        <v>1</v>
      </c>
      <c r="C173" t="str">
        <f>"23275"</f>
        <v>23275</v>
      </c>
      <c r="D173" t="str">
        <f>"5620"</f>
        <v>5620</v>
      </c>
      <c r="E173" t="str">
        <f>"063STF"</f>
        <v>063STF</v>
      </c>
      <c r="F173" t="str">
        <f>""</f>
        <v/>
      </c>
      <c r="G173" t="str">
        <f>""</f>
        <v/>
      </c>
      <c r="H173" s="1">
        <v>41816</v>
      </c>
      <c r="I173" t="str">
        <f>"J0009784"</f>
        <v>J0009784</v>
      </c>
      <c r="J173" t="str">
        <f>""</f>
        <v/>
      </c>
      <c r="K173" t="str">
        <f>"J079"</f>
        <v>J079</v>
      </c>
      <c r="L173" t="s">
        <v>2226</v>
      </c>
      <c r="M173">
        <v>232.4</v>
      </c>
    </row>
    <row r="174" spans="1:13" x14ac:dyDescent="0.25">
      <c r="A174" t="str">
        <f>"E120"</f>
        <v>E120</v>
      </c>
      <c r="B174">
        <v>1</v>
      </c>
      <c r="C174" t="str">
        <f t="shared" ref="C174:C187" si="31">"43000"</f>
        <v>43000</v>
      </c>
      <c r="D174" t="str">
        <f>"5620"</f>
        <v>5620</v>
      </c>
      <c r="E174" t="str">
        <f t="shared" ref="E174:E187" si="32">"850LOS"</f>
        <v>850LOS</v>
      </c>
      <c r="F174" t="str">
        <f>""</f>
        <v/>
      </c>
      <c r="G174" t="str">
        <f>""</f>
        <v/>
      </c>
      <c r="H174" s="1">
        <v>41820</v>
      </c>
      <c r="I174" t="str">
        <f>"J0010489"</f>
        <v>J0010489</v>
      </c>
      <c r="J174" t="str">
        <f>""</f>
        <v/>
      </c>
      <c r="K174" t="str">
        <f>"J079"</f>
        <v>J079</v>
      </c>
      <c r="L174" t="s">
        <v>2209</v>
      </c>
      <c r="M174" s="2">
        <v>9748.98</v>
      </c>
    </row>
    <row r="175" spans="1:13" x14ac:dyDescent="0.25">
      <c r="A175" t="str">
        <f>"E120"</f>
        <v>E120</v>
      </c>
      <c r="B175">
        <v>1</v>
      </c>
      <c r="C175" t="str">
        <f t="shared" si="31"/>
        <v>43000</v>
      </c>
      <c r="D175" t="str">
        <f>"5740"</f>
        <v>5740</v>
      </c>
      <c r="E175" t="str">
        <f t="shared" si="32"/>
        <v>850LOS</v>
      </c>
      <c r="F175" t="str">
        <f>""</f>
        <v/>
      </c>
      <c r="G175" t="str">
        <f>""</f>
        <v/>
      </c>
      <c r="H175" s="1">
        <v>41473</v>
      </c>
      <c r="I175" t="str">
        <f>"00147625"</f>
        <v>00147625</v>
      </c>
      <c r="J175" t="str">
        <f>"N138274C"</f>
        <v>N138274C</v>
      </c>
      <c r="K175" t="str">
        <f>"INEI"</f>
        <v>INEI</v>
      </c>
      <c r="L175" t="s">
        <v>1396</v>
      </c>
      <c r="M175" s="2">
        <v>8071.74</v>
      </c>
    </row>
    <row r="176" spans="1:13" x14ac:dyDescent="0.25">
      <c r="A176" t="str">
        <f>"E120"</f>
        <v>E120</v>
      </c>
      <c r="B176">
        <v>1</v>
      </c>
      <c r="C176" t="str">
        <f t="shared" si="31"/>
        <v>43000</v>
      </c>
      <c r="D176" t="str">
        <f>"5740"</f>
        <v>5740</v>
      </c>
      <c r="E176" t="str">
        <f t="shared" si="32"/>
        <v>850LOS</v>
      </c>
      <c r="F176" t="str">
        <f>""</f>
        <v/>
      </c>
      <c r="G176" t="str">
        <f>""</f>
        <v/>
      </c>
      <c r="H176" s="1">
        <v>41689</v>
      </c>
      <c r="I176" t="str">
        <f>"00148681"</f>
        <v>00148681</v>
      </c>
      <c r="J176" t="str">
        <f>"N138274C"</f>
        <v>N138274C</v>
      </c>
      <c r="K176" t="str">
        <f>"INEI"</f>
        <v>INEI</v>
      </c>
      <c r="L176" t="s">
        <v>1396</v>
      </c>
      <c r="M176" s="2">
        <v>1178.31</v>
      </c>
    </row>
    <row r="177" spans="1:13" x14ac:dyDescent="0.25">
      <c r="A177" t="str">
        <f>"E120"</f>
        <v>E120</v>
      </c>
      <c r="B177">
        <v>1</v>
      </c>
      <c r="C177" t="str">
        <f t="shared" si="31"/>
        <v>43000</v>
      </c>
      <c r="D177" t="str">
        <f>"5740"</f>
        <v>5740</v>
      </c>
      <c r="E177" t="str">
        <f t="shared" si="32"/>
        <v>850LOS</v>
      </c>
      <c r="F177" t="str">
        <f>""</f>
        <v/>
      </c>
      <c r="G177" t="str">
        <f>""</f>
        <v/>
      </c>
      <c r="H177" s="1">
        <v>41691</v>
      </c>
      <c r="I177" t="str">
        <f>"00148645"</f>
        <v>00148645</v>
      </c>
      <c r="J177" t="str">
        <f>"N138274C"</f>
        <v>N138274C</v>
      </c>
      <c r="K177" t="str">
        <f>"INEI"</f>
        <v>INEI</v>
      </c>
      <c r="L177" t="s">
        <v>1396</v>
      </c>
      <c r="M177">
        <v>498.93</v>
      </c>
    </row>
    <row r="178" spans="1:13" x14ac:dyDescent="0.25">
      <c r="A178" t="str">
        <f t="shared" ref="A178:A187" si="33">"E121"</f>
        <v>E121</v>
      </c>
      <c r="B178">
        <v>1</v>
      </c>
      <c r="C178" t="str">
        <f t="shared" si="31"/>
        <v>43000</v>
      </c>
      <c r="D178" t="str">
        <f>"5620"</f>
        <v>5620</v>
      </c>
      <c r="E178" t="str">
        <f t="shared" si="32"/>
        <v>850LOS</v>
      </c>
      <c r="F178" t="str">
        <f>""</f>
        <v/>
      </c>
      <c r="G178" t="str">
        <f>""</f>
        <v/>
      </c>
      <c r="H178" s="1">
        <v>41820</v>
      </c>
      <c r="I178" t="str">
        <f>"J0010489"</f>
        <v>J0010489</v>
      </c>
      <c r="J178" t="str">
        <f>""</f>
        <v/>
      </c>
      <c r="K178" t="str">
        <f>"J079"</f>
        <v>J079</v>
      </c>
      <c r="L178" t="s">
        <v>2209</v>
      </c>
      <c r="M178" s="2">
        <v>3283.84</v>
      </c>
    </row>
    <row r="179" spans="1:13" x14ac:dyDescent="0.25">
      <c r="A179" t="str">
        <f t="shared" si="33"/>
        <v>E121</v>
      </c>
      <c r="B179">
        <v>1</v>
      </c>
      <c r="C179" t="str">
        <f t="shared" si="31"/>
        <v>43000</v>
      </c>
      <c r="D179" t="str">
        <f t="shared" ref="D179:D187" si="34">"5740"</f>
        <v>5740</v>
      </c>
      <c r="E179" t="str">
        <f t="shared" si="32"/>
        <v>850LOS</v>
      </c>
      <c r="F179" t="str">
        <f>"PKOLOT"</f>
        <v>PKOLOT</v>
      </c>
      <c r="G179" t="str">
        <f>""</f>
        <v/>
      </c>
      <c r="H179" s="1">
        <v>41759</v>
      </c>
      <c r="I179" t="str">
        <f>"PCD00660"</f>
        <v>PCD00660</v>
      </c>
      <c r="J179" t="str">
        <f>""</f>
        <v/>
      </c>
      <c r="K179" t="str">
        <f t="shared" ref="K179:K187" si="35">"AS89"</f>
        <v>AS89</v>
      </c>
      <c r="L179" t="s">
        <v>2449</v>
      </c>
      <c r="M179">
        <v>234</v>
      </c>
    </row>
    <row r="180" spans="1:13" x14ac:dyDescent="0.25">
      <c r="A180" t="str">
        <f t="shared" si="33"/>
        <v>E121</v>
      </c>
      <c r="B180">
        <v>1</v>
      </c>
      <c r="C180" t="str">
        <f t="shared" si="31"/>
        <v>43000</v>
      </c>
      <c r="D180" t="str">
        <f t="shared" si="34"/>
        <v>5740</v>
      </c>
      <c r="E180" t="str">
        <f t="shared" si="32"/>
        <v>850LOS</v>
      </c>
      <c r="F180" t="str">
        <f>""</f>
        <v/>
      </c>
      <c r="G180" t="str">
        <f>""</f>
        <v/>
      </c>
      <c r="H180" s="1">
        <v>41486</v>
      </c>
      <c r="I180" t="str">
        <f>"PCD00610"</f>
        <v>PCD00610</v>
      </c>
      <c r="J180" t="str">
        <f>"197605"</f>
        <v>197605</v>
      </c>
      <c r="K180" t="str">
        <f t="shared" si="35"/>
        <v>AS89</v>
      </c>
      <c r="L180" t="s">
        <v>2448</v>
      </c>
      <c r="M180">
        <v>205</v>
      </c>
    </row>
    <row r="181" spans="1:13" x14ac:dyDescent="0.25">
      <c r="A181" t="str">
        <f t="shared" si="33"/>
        <v>E121</v>
      </c>
      <c r="B181">
        <v>1</v>
      </c>
      <c r="C181" t="str">
        <f t="shared" si="31"/>
        <v>43000</v>
      </c>
      <c r="D181" t="str">
        <f t="shared" si="34"/>
        <v>5740</v>
      </c>
      <c r="E181" t="str">
        <f t="shared" si="32"/>
        <v>850LOS</v>
      </c>
      <c r="F181" t="str">
        <f>""</f>
        <v/>
      </c>
      <c r="G181" t="str">
        <f>""</f>
        <v/>
      </c>
      <c r="H181" s="1">
        <v>41544</v>
      </c>
      <c r="I181" t="str">
        <f>"PCD00620"</f>
        <v>PCD00620</v>
      </c>
      <c r="J181" t="str">
        <f>"201068"</f>
        <v>201068</v>
      </c>
      <c r="K181" t="str">
        <f t="shared" si="35"/>
        <v>AS89</v>
      </c>
      <c r="L181" t="s">
        <v>2447</v>
      </c>
      <c r="M181">
        <v>425</v>
      </c>
    </row>
    <row r="182" spans="1:13" x14ac:dyDescent="0.25">
      <c r="A182" t="str">
        <f t="shared" si="33"/>
        <v>E121</v>
      </c>
      <c r="B182">
        <v>1</v>
      </c>
      <c r="C182" t="str">
        <f t="shared" si="31"/>
        <v>43000</v>
      </c>
      <c r="D182" t="str">
        <f t="shared" si="34"/>
        <v>5740</v>
      </c>
      <c r="E182" t="str">
        <f t="shared" si="32"/>
        <v>850LOS</v>
      </c>
      <c r="F182" t="str">
        <f>""</f>
        <v/>
      </c>
      <c r="G182" t="str">
        <f>""</f>
        <v/>
      </c>
      <c r="H182" s="1">
        <v>41578</v>
      </c>
      <c r="I182" t="str">
        <f>"PCD00626"</f>
        <v>PCD00626</v>
      </c>
      <c r="J182" t="str">
        <f>"204700"</f>
        <v>204700</v>
      </c>
      <c r="K182" t="str">
        <f t="shared" si="35"/>
        <v>AS89</v>
      </c>
      <c r="L182" t="s">
        <v>2446</v>
      </c>
      <c r="M182">
        <v>169</v>
      </c>
    </row>
    <row r="183" spans="1:13" x14ac:dyDescent="0.25">
      <c r="A183" t="str">
        <f t="shared" si="33"/>
        <v>E121</v>
      </c>
      <c r="B183">
        <v>1</v>
      </c>
      <c r="C183" t="str">
        <f t="shared" si="31"/>
        <v>43000</v>
      </c>
      <c r="D183" t="str">
        <f t="shared" si="34"/>
        <v>5740</v>
      </c>
      <c r="E183" t="str">
        <f t="shared" si="32"/>
        <v>850LOS</v>
      </c>
      <c r="F183" t="str">
        <f>""</f>
        <v/>
      </c>
      <c r="G183" t="str">
        <f>""</f>
        <v/>
      </c>
      <c r="H183" s="1">
        <v>41639</v>
      </c>
      <c r="I183" t="str">
        <f>"PCD00636"</f>
        <v>PCD00636</v>
      </c>
      <c r="J183" t="str">
        <f>"208928"</f>
        <v>208928</v>
      </c>
      <c r="K183" t="str">
        <f t="shared" si="35"/>
        <v>AS89</v>
      </c>
      <c r="L183" t="s">
        <v>2445</v>
      </c>
      <c r="M183">
        <v>461</v>
      </c>
    </row>
    <row r="184" spans="1:13" x14ac:dyDescent="0.25">
      <c r="A184" t="str">
        <f t="shared" si="33"/>
        <v>E121</v>
      </c>
      <c r="B184">
        <v>1</v>
      </c>
      <c r="C184" t="str">
        <f t="shared" si="31"/>
        <v>43000</v>
      </c>
      <c r="D184" t="str">
        <f t="shared" si="34"/>
        <v>5740</v>
      </c>
      <c r="E184" t="str">
        <f t="shared" si="32"/>
        <v>850LOS</v>
      </c>
      <c r="F184" t="str">
        <f>""</f>
        <v/>
      </c>
      <c r="G184" t="str">
        <f>""</f>
        <v/>
      </c>
      <c r="H184" s="1">
        <v>41639</v>
      </c>
      <c r="I184" t="str">
        <f>"PCD00636"</f>
        <v>PCD00636</v>
      </c>
      <c r="J184" t="str">
        <f>"208929"</f>
        <v>208929</v>
      </c>
      <c r="K184" t="str">
        <f t="shared" si="35"/>
        <v>AS89</v>
      </c>
      <c r="L184" t="s">
        <v>2445</v>
      </c>
      <c r="M184">
        <v>116</v>
      </c>
    </row>
    <row r="185" spans="1:13" x14ac:dyDescent="0.25">
      <c r="A185" t="str">
        <f t="shared" si="33"/>
        <v>E121</v>
      </c>
      <c r="B185">
        <v>1</v>
      </c>
      <c r="C185" t="str">
        <f t="shared" si="31"/>
        <v>43000</v>
      </c>
      <c r="D185" t="str">
        <f t="shared" si="34"/>
        <v>5740</v>
      </c>
      <c r="E185" t="str">
        <f t="shared" si="32"/>
        <v>850LOS</v>
      </c>
      <c r="F185" t="str">
        <f>""</f>
        <v/>
      </c>
      <c r="G185" t="str">
        <f>""</f>
        <v/>
      </c>
      <c r="H185" s="1">
        <v>41670</v>
      </c>
      <c r="I185" t="str">
        <f>"PCD00641"</f>
        <v>PCD00641</v>
      </c>
      <c r="J185" t="str">
        <f>"210914"</f>
        <v>210914</v>
      </c>
      <c r="K185" t="str">
        <f t="shared" si="35"/>
        <v>AS89</v>
      </c>
      <c r="L185" t="s">
        <v>2444</v>
      </c>
      <c r="M185">
        <v>164</v>
      </c>
    </row>
    <row r="186" spans="1:13" x14ac:dyDescent="0.25">
      <c r="A186" t="str">
        <f t="shared" si="33"/>
        <v>E121</v>
      </c>
      <c r="B186">
        <v>1</v>
      </c>
      <c r="C186" t="str">
        <f t="shared" si="31"/>
        <v>43000</v>
      </c>
      <c r="D186" t="str">
        <f t="shared" si="34"/>
        <v>5740</v>
      </c>
      <c r="E186" t="str">
        <f t="shared" si="32"/>
        <v>850LOS</v>
      </c>
      <c r="F186" t="str">
        <f>""</f>
        <v/>
      </c>
      <c r="G186" t="str">
        <f>""</f>
        <v/>
      </c>
      <c r="H186" s="1">
        <v>41790</v>
      </c>
      <c r="I186" t="str">
        <f>"PCD00665"</f>
        <v>PCD00665</v>
      </c>
      <c r="J186" t="str">
        <f>""</f>
        <v/>
      </c>
      <c r="K186" t="str">
        <f t="shared" si="35"/>
        <v>AS89</v>
      </c>
      <c r="L186" t="s">
        <v>2443</v>
      </c>
      <c r="M186" s="2">
        <v>1247</v>
      </c>
    </row>
    <row r="187" spans="1:13" x14ac:dyDescent="0.25">
      <c r="A187" t="str">
        <f t="shared" si="33"/>
        <v>E121</v>
      </c>
      <c r="B187">
        <v>1</v>
      </c>
      <c r="C187" t="str">
        <f t="shared" si="31"/>
        <v>43000</v>
      </c>
      <c r="D187" t="str">
        <f t="shared" si="34"/>
        <v>5740</v>
      </c>
      <c r="E187" t="str">
        <f t="shared" si="32"/>
        <v>850LOS</v>
      </c>
      <c r="F187" t="str">
        <f>""</f>
        <v/>
      </c>
      <c r="G187" t="str">
        <f>""</f>
        <v/>
      </c>
      <c r="H187" s="1">
        <v>41790</v>
      </c>
      <c r="I187" t="str">
        <f>"PCD00665"</f>
        <v>PCD00665</v>
      </c>
      <c r="J187" t="str">
        <f>""</f>
        <v/>
      </c>
      <c r="K187" t="str">
        <f t="shared" si="35"/>
        <v>AS89</v>
      </c>
      <c r="L187" t="s">
        <v>2442</v>
      </c>
      <c r="M187">
        <v>108.49</v>
      </c>
    </row>
    <row r="188" spans="1:13" x14ac:dyDescent="0.25">
      <c r="A188" t="str">
        <f t="shared" ref="A188:A219" si="36">"E131"</f>
        <v>E131</v>
      </c>
      <c r="B188">
        <v>1</v>
      </c>
      <c r="C188" t="str">
        <f t="shared" ref="C188:C208" si="37">"10200"</f>
        <v>10200</v>
      </c>
      <c r="D188" t="str">
        <f t="shared" ref="D188:D209" si="38">"5620"</f>
        <v>5620</v>
      </c>
      <c r="E188" t="str">
        <f t="shared" ref="E188:E208" si="39">"094OMS"</f>
        <v>094OMS</v>
      </c>
      <c r="F188" t="str">
        <f>""</f>
        <v/>
      </c>
      <c r="G188" t="str">
        <f>""</f>
        <v/>
      </c>
      <c r="H188" s="1">
        <v>41487</v>
      </c>
      <c r="I188" t="str">
        <f>"08502559"</f>
        <v>08502559</v>
      </c>
      <c r="J188" t="str">
        <f>"N138254D"</f>
        <v>N138254D</v>
      </c>
      <c r="K188" t="str">
        <f>"INEI"</f>
        <v>INEI</v>
      </c>
      <c r="L188" t="s">
        <v>1382</v>
      </c>
      <c r="M188">
        <v>115.11</v>
      </c>
    </row>
    <row r="189" spans="1:13" x14ac:dyDescent="0.25">
      <c r="A189" t="str">
        <f t="shared" si="36"/>
        <v>E131</v>
      </c>
      <c r="B189">
        <v>1</v>
      </c>
      <c r="C189" t="str">
        <f t="shared" si="37"/>
        <v>10200</v>
      </c>
      <c r="D189" t="str">
        <f t="shared" si="38"/>
        <v>5620</v>
      </c>
      <c r="E189" t="str">
        <f t="shared" si="39"/>
        <v>094OMS</v>
      </c>
      <c r="F189" t="str">
        <f>""</f>
        <v/>
      </c>
      <c r="G189" t="str">
        <f>""</f>
        <v/>
      </c>
      <c r="H189" s="1">
        <v>41522</v>
      </c>
      <c r="I189" t="str">
        <f>"10181797"</f>
        <v>10181797</v>
      </c>
      <c r="J189" t="str">
        <f>"N138254D"</f>
        <v>N138254D</v>
      </c>
      <c r="K189" t="str">
        <f>"INEI"</f>
        <v>INEI</v>
      </c>
      <c r="L189" t="s">
        <v>1382</v>
      </c>
      <c r="M189">
        <v>115.29</v>
      </c>
    </row>
    <row r="190" spans="1:13" x14ac:dyDescent="0.25">
      <c r="A190" t="str">
        <f t="shared" si="36"/>
        <v>E131</v>
      </c>
      <c r="B190">
        <v>1</v>
      </c>
      <c r="C190" t="str">
        <f t="shared" si="37"/>
        <v>10200</v>
      </c>
      <c r="D190" t="str">
        <f t="shared" si="38"/>
        <v>5620</v>
      </c>
      <c r="E190" t="str">
        <f t="shared" si="39"/>
        <v>094OMS</v>
      </c>
      <c r="F190" t="str">
        <f>""</f>
        <v/>
      </c>
      <c r="G190" t="str">
        <f>""</f>
        <v/>
      </c>
      <c r="H190" s="1">
        <v>41547</v>
      </c>
      <c r="I190" t="str">
        <f>"TEL00630"</f>
        <v>TEL00630</v>
      </c>
      <c r="J190" t="str">
        <f>""</f>
        <v/>
      </c>
      <c r="K190" t="str">
        <f>"AS89"</f>
        <v>AS89</v>
      </c>
      <c r="L190" t="s">
        <v>2436</v>
      </c>
      <c r="M190">
        <v>124.55</v>
      </c>
    </row>
    <row r="191" spans="1:13" x14ac:dyDescent="0.25">
      <c r="A191" t="str">
        <f t="shared" si="36"/>
        <v>E131</v>
      </c>
      <c r="B191">
        <v>1</v>
      </c>
      <c r="C191" t="str">
        <f t="shared" si="37"/>
        <v>10200</v>
      </c>
      <c r="D191" t="str">
        <f t="shared" si="38"/>
        <v>5620</v>
      </c>
      <c r="E191" t="str">
        <f t="shared" si="39"/>
        <v>094OMS</v>
      </c>
      <c r="F191" t="str">
        <f>""</f>
        <v/>
      </c>
      <c r="G191" t="str">
        <f>""</f>
        <v/>
      </c>
      <c r="H191" s="1">
        <v>41550</v>
      </c>
      <c r="I191" t="str">
        <f>"11860626"</f>
        <v>11860626</v>
      </c>
      <c r="J191" t="str">
        <f>"N138254D"</f>
        <v>N138254D</v>
      </c>
      <c r="K191" t="str">
        <f>"INEI"</f>
        <v>INEI</v>
      </c>
      <c r="L191" t="s">
        <v>1382</v>
      </c>
      <c r="M191">
        <v>115.33</v>
      </c>
    </row>
    <row r="192" spans="1:13" x14ac:dyDescent="0.25">
      <c r="A192" t="str">
        <f t="shared" si="36"/>
        <v>E131</v>
      </c>
      <c r="B192">
        <v>1</v>
      </c>
      <c r="C192" t="str">
        <f t="shared" si="37"/>
        <v>10200</v>
      </c>
      <c r="D192" t="str">
        <f t="shared" si="38"/>
        <v>5620</v>
      </c>
      <c r="E192" t="str">
        <f t="shared" si="39"/>
        <v>094OMS</v>
      </c>
      <c r="F192" t="str">
        <f>""</f>
        <v/>
      </c>
      <c r="G192" t="str">
        <f>""</f>
        <v/>
      </c>
      <c r="H192" s="1">
        <v>41578</v>
      </c>
      <c r="I192" t="str">
        <f>"TEL00631"</f>
        <v>TEL00631</v>
      </c>
      <c r="J192" t="str">
        <f>""</f>
        <v/>
      </c>
      <c r="K192" t="str">
        <f>"AS89"</f>
        <v>AS89</v>
      </c>
      <c r="L192" t="s">
        <v>2435</v>
      </c>
      <c r="M192">
        <v>122.3</v>
      </c>
    </row>
    <row r="193" spans="1:13" x14ac:dyDescent="0.25">
      <c r="A193" t="str">
        <f t="shared" si="36"/>
        <v>E131</v>
      </c>
      <c r="B193">
        <v>1</v>
      </c>
      <c r="C193" t="str">
        <f t="shared" si="37"/>
        <v>10200</v>
      </c>
      <c r="D193" t="str">
        <f t="shared" si="38"/>
        <v>5620</v>
      </c>
      <c r="E193" t="str">
        <f t="shared" si="39"/>
        <v>094OMS</v>
      </c>
      <c r="F193" t="str">
        <f>""</f>
        <v/>
      </c>
      <c r="G193" t="str">
        <f>""</f>
        <v/>
      </c>
      <c r="H193" s="1">
        <v>41585</v>
      </c>
      <c r="I193" t="str">
        <f>"13554143"</f>
        <v>13554143</v>
      </c>
      <c r="J193" t="str">
        <f>"N138254D"</f>
        <v>N138254D</v>
      </c>
      <c r="K193" t="str">
        <f>"INEI"</f>
        <v>INEI</v>
      </c>
      <c r="L193" t="s">
        <v>1382</v>
      </c>
      <c r="M193">
        <v>115.38</v>
      </c>
    </row>
    <row r="194" spans="1:13" x14ac:dyDescent="0.25">
      <c r="A194" t="str">
        <f t="shared" si="36"/>
        <v>E131</v>
      </c>
      <c r="B194">
        <v>1</v>
      </c>
      <c r="C194" t="str">
        <f t="shared" si="37"/>
        <v>10200</v>
      </c>
      <c r="D194" t="str">
        <f t="shared" si="38"/>
        <v>5620</v>
      </c>
      <c r="E194" t="str">
        <f t="shared" si="39"/>
        <v>094OMS</v>
      </c>
      <c r="F194" t="str">
        <f>""</f>
        <v/>
      </c>
      <c r="G194" t="str">
        <f>""</f>
        <v/>
      </c>
      <c r="H194" s="1">
        <v>41608</v>
      </c>
      <c r="I194" t="str">
        <f>"TEL00632"</f>
        <v>TEL00632</v>
      </c>
      <c r="J194" t="str">
        <f>""</f>
        <v/>
      </c>
      <c r="K194" t="str">
        <f>"AS89"</f>
        <v>AS89</v>
      </c>
      <c r="L194" t="s">
        <v>2434</v>
      </c>
      <c r="M194">
        <v>105.37</v>
      </c>
    </row>
    <row r="195" spans="1:13" x14ac:dyDescent="0.25">
      <c r="A195" t="str">
        <f t="shared" si="36"/>
        <v>E131</v>
      </c>
      <c r="B195">
        <v>1</v>
      </c>
      <c r="C195" t="str">
        <f t="shared" si="37"/>
        <v>10200</v>
      </c>
      <c r="D195" t="str">
        <f t="shared" si="38"/>
        <v>5620</v>
      </c>
      <c r="E195" t="str">
        <f t="shared" si="39"/>
        <v>094OMS</v>
      </c>
      <c r="F195" t="str">
        <f>""</f>
        <v/>
      </c>
      <c r="G195" t="str">
        <f>""</f>
        <v/>
      </c>
      <c r="H195" s="1">
        <v>41617</v>
      </c>
      <c r="I195" t="str">
        <f>"15256529"</f>
        <v>15256529</v>
      </c>
      <c r="J195" t="str">
        <f>"N138254D"</f>
        <v>N138254D</v>
      </c>
      <c r="K195" t="str">
        <f>"INEI"</f>
        <v>INEI</v>
      </c>
      <c r="L195" t="s">
        <v>1382</v>
      </c>
      <c r="M195">
        <v>115.38</v>
      </c>
    </row>
    <row r="196" spans="1:13" x14ac:dyDescent="0.25">
      <c r="A196" t="str">
        <f t="shared" si="36"/>
        <v>E131</v>
      </c>
      <c r="B196">
        <v>1</v>
      </c>
      <c r="C196" t="str">
        <f t="shared" si="37"/>
        <v>10200</v>
      </c>
      <c r="D196" t="str">
        <f t="shared" si="38"/>
        <v>5620</v>
      </c>
      <c r="E196" t="str">
        <f t="shared" si="39"/>
        <v>094OMS</v>
      </c>
      <c r="F196" t="str">
        <f>""</f>
        <v/>
      </c>
      <c r="G196" t="str">
        <f>""</f>
        <v/>
      </c>
      <c r="H196" s="1">
        <v>41639</v>
      </c>
      <c r="I196" t="str">
        <f>"TEL00633"</f>
        <v>TEL00633</v>
      </c>
      <c r="J196" t="str">
        <f>""</f>
        <v/>
      </c>
      <c r="K196" t="str">
        <f>"AS89"</f>
        <v>AS89</v>
      </c>
      <c r="L196" t="s">
        <v>2433</v>
      </c>
      <c r="M196">
        <v>109.7</v>
      </c>
    </row>
    <row r="197" spans="1:13" x14ac:dyDescent="0.25">
      <c r="A197" t="str">
        <f t="shared" si="36"/>
        <v>E131</v>
      </c>
      <c r="B197">
        <v>1</v>
      </c>
      <c r="C197" t="str">
        <f t="shared" si="37"/>
        <v>10200</v>
      </c>
      <c r="D197" t="str">
        <f t="shared" si="38"/>
        <v>5620</v>
      </c>
      <c r="E197" t="str">
        <f t="shared" si="39"/>
        <v>094OMS</v>
      </c>
      <c r="F197" t="str">
        <f>""</f>
        <v/>
      </c>
      <c r="G197" t="str">
        <f>""</f>
        <v/>
      </c>
      <c r="H197" s="1">
        <v>41648</v>
      </c>
      <c r="I197" t="str">
        <f>"16966933"</f>
        <v>16966933</v>
      </c>
      <c r="J197" t="str">
        <f>"N138254D"</f>
        <v>N138254D</v>
      </c>
      <c r="K197" t="str">
        <f>"INEI"</f>
        <v>INEI</v>
      </c>
      <c r="L197" t="s">
        <v>1382</v>
      </c>
      <c r="M197">
        <v>115.54</v>
      </c>
    </row>
    <row r="198" spans="1:13" x14ac:dyDescent="0.25">
      <c r="A198" t="str">
        <f t="shared" si="36"/>
        <v>E131</v>
      </c>
      <c r="B198">
        <v>1</v>
      </c>
      <c r="C198" t="str">
        <f t="shared" si="37"/>
        <v>10200</v>
      </c>
      <c r="D198" t="str">
        <f t="shared" si="38"/>
        <v>5620</v>
      </c>
      <c r="E198" t="str">
        <f t="shared" si="39"/>
        <v>094OMS</v>
      </c>
      <c r="F198" t="str">
        <f>""</f>
        <v/>
      </c>
      <c r="G198" t="str">
        <f>""</f>
        <v/>
      </c>
      <c r="H198" s="1">
        <v>41670</v>
      </c>
      <c r="I198" t="str">
        <f>"TEL00634"</f>
        <v>TEL00634</v>
      </c>
      <c r="J198" t="str">
        <f>""</f>
        <v/>
      </c>
      <c r="K198" t="str">
        <f>"AS89"</f>
        <v>AS89</v>
      </c>
      <c r="L198" t="s">
        <v>2432</v>
      </c>
      <c r="M198">
        <v>110.65</v>
      </c>
    </row>
    <row r="199" spans="1:13" x14ac:dyDescent="0.25">
      <c r="A199" t="str">
        <f t="shared" si="36"/>
        <v>E131</v>
      </c>
      <c r="B199">
        <v>1</v>
      </c>
      <c r="C199" t="str">
        <f t="shared" si="37"/>
        <v>10200</v>
      </c>
      <c r="D199" t="str">
        <f t="shared" si="38"/>
        <v>5620</v>
      </c>
      <c r="E199" t="str">
        <f t="shared" si="39"/>
        <v>094OMS</v>
      </c>
      <c r="F199" t="str">
        <f>""</f>
        <v/>
      </c>
      <c r="G199" t="str">
        <f>""</f>
        <v/>
      </c>
      <c r="H199" s="1">
        <v>41676</v>
      </c>
      <c r="I199" t="str">
        <f>"18678644"</f>
        <v>18678644</v>
      </c>
      <c r="J199" t="str">
        <f>"N138254D"</f>
        <v>N138254D</v>
      </c>
      <c r="K199" t="str">
        <f>"INEI"</f>
        <v>INEI</v>
      </c>
      <c r="L199" t="s">
        <v>1382</v>
      </c>
      <c r="M199">
        <v>115.65</v>
      </c>
    </row>
    <row r="200" spans="1:13" x14ac:dyDescent="0.25">
      <c r="A200" t="str">
        <f t="shared" si="36"/>
        <v>E131</v>
      </c>
      <c r="B200">
        <v>1</v>
      </c>
      <c r="C200" t="str">
        <f t="shared" si="37"/>
        <v>10200</v>
      </c>
      <c r="D200" t="str">
        <f t="shared" si="38"/>
        <v>5620</v>
      </c>
      <c r="E200" t="str">
        <f t="shared" si="39"/>
        <v>094OMS</v>
      </c>
      <c r="F200" t="str">
        <f>""</f>
        <v/>
      </c>
      <c r="G200" t="str">
        <f>""</f>
        <v/>
      </c>
      <c r="H200" s="1">
        <v>41698</v>
      </c>
      <c r="I200" t="str">
        <f>"TEL00635"</f>
        <v>TEL00635</v>
      </c>
      <c r="J200" t="str">
        <f>""</f>
        <v/>
      </c>
      <c r="K200" t="str">
        <f>"AS89"</f>
        <v>AS89</v>
      </c>
      <c r="L200" t="s">
        <v>2431</v>
      </c>
      <c r="M200">
        <v>119.83</v>
      </c>
    </row>
    <row r="201" spans="1:13" x14ac:dyDescent="0.25">
      <c r="A201" t="str">
        <f t="shared" si="36"/>
        <v>E131</v>
      </c>
      <c r="B201">
        <v>1</v>
      </c>
      <c r="C201" t="str">
        <f t="shared" si="37"/>
        <v>10200</v>
      </c>
      <c r="D201" t="str">
        <f t="shared" si="38"/>
        <v>5620</v>
      </c>
      <c r="E201" t="str">
        <f t="shared" si="39"/>
        <v>094OMS</v>
      </c>
      <c r="F201" t="str">
        <f>""</f>
        <v/>
      </c>
      <c r="G201" t="str">
        <f>""</f>
        <v/>
      </c>
      <c r="H201" s="1">
        <v>41704</v>
      </c>
      <c r="I201" t="str">
        <f>"20388694"</f>
        <v>20388694</v>
      </c>
      <c r="J201" t="str">
        <f>"N138254D"</f>
        <v>N138254D</v>
      </c>
      <c r="K201" t="str">
        <f>"INEI"</f>
        <v>INEI</v>
      </c>
      <c r="L201" t="s">
        <v>1382</v>
      </c>
      <c r="M201">
        <v>115.67</v>
      </c>
    </row>
    <row r="202" spans="1:13" x14ac:dyDescent="0.25">
      <c r="A202" t="str">
        <f t="shared" si="36"/>
        <v>E131</v>
      </c>
      <c r="B202">
        <v>1</v>
      </c>
      <c r="C202" t="str">
        <f t="shared" si="37"/>
        <v>10200</v>
      </c>
      <c r="D202" t="str">
        <f t="shared" si="38"/>
        <v>5620</v>
      </c>
      <c r="E202" t="str">
        <f t="shared" si="39"/>
        <v>094OMS</v>
      </c>
      <c r="F202" t="str">
        <f>""</f>
        <v/>
      </c>
      <c r="G202" t="str">
        <f>""</f>
        <v/>
      </c>
      <c r="H202" s="1">
        <v>41729</v>
      </c>
      <c r="I202" t="str">
        <f>"TEL00636"</f>
        <v>TEL00636</v>
      </c>
      <c r="J202" t="str">
        <f>""</f>
        <v/>
      </c>
      <c r="K202" t="str">
        <f>"AS89"</f>
        <v>AS89</v>
      </c>
      <c r="L202" t="s">
        <v>2430</v>
      </c>
      <c r="M202">
        <v>109.14</v>
      </c>
    </row>
    <row r="203" spans="1:13" x14ac:dyDescent="0.25">
      <c r="A203" t="str">
        <f t="shared" si="36"/>
        <v>E131</v>
      </c>
      <c r="B203">
        <v>1</v>
      </c>
      <c r="C203" t="str">
        <f t="shared" si="37"/>
        <v>10200</v>
      </c>
      <c r="D203" t="str">
        <f t="shared" si="38"/>
        <v>5620</v>
      </c>
      <c r="E203" t="str">
        <f t="shared" si="39"/>
        <v>094OMS</v>
      </c>
      <c r="F203" t="str">
        <f>""</f>
        <v/>
      </c>
      <c r="G203" t="str">
        <f>""</f>
        <v/>
      </c>
      <c r="H203" s="1">
        <v>41736</v>
      </c>
      <c r="I203" t="str">
        <f>"I0108582"</f>
        <v>I0108582</v>
      </c>
      <c r="J203" t="str">
        <f>"N138254D"</f>
        <v>N138254D</v>
      </c>
      <c r="K203" t="str">
        <f>"INEI"</f>
        <v>INEI</v>
      </c>
      <c r="L203" t="s">
        <v>1382</v>
      </c>
      <c r="M203">
        <v>115.69</v>
      </c>
    </row>
    <row r="204" spans="1:13" x14ac:dyDescent="0.25">
      <c r="A204" t="str">
        <f t="shared" si="36"/>
        <v>E131</v>
      </c>
      <c r="B204">
        <v>1</v>
      </c>
      <c r="C204" t="str">
        <f t="shared" si="37"/>
        <v>10200</v>
      </c>
      <c r="D204" t="str">
        <f t="shared" si="38"/>
        <v>5620</v>
      </c>
      <c r="E204" t="str">
        <f t="shared" si="39"/>
        <v>094OMS</v>
      </c>
      <c r="F204" t="str">
        <f>""</f>
        <v/>
      </c>
      <c r="G204" t="str">
        <f>""</f>
        <v/>
      </c>
      <c r="H204" s="1">
        <v>41759</v>
      </c>
      <c r="I204" t="str">
        <f>"TEL00637"</f>
        <v>TEL00637</v>
      </c>
      <c r="J204" t="str">
        <f>""</f>
        <v/>
      </c>
      <c r="K204" t="str">
        <f>"AS89"</f>
        <v>AS89</v>
      </c>
      <c r="L204" t="s">
        <v>2441</v>
      </c>
      <c r="M204">
        <v>127.91</v>
      </c>
    </row>
    <row r="205" spans="1:13" x14ac:dyDescent="0.25">
      <c r="A205" t="str">
        <f t="shared" si="36"/>
        <v>E131</v>
      </c>
      <c r="B205">
        <v>1</v>
      </c>
      <c r="C205" t="str">
        <f t="shared" si="37"/>
        <v>10200</v>
      </c>
      <c r="D205" t="str">
        <f t="shared" si="38"/>
        <v>5620</v>
      </c>
      <c r="E205" t="str">
        <f t="shared" si="39"/>
        <v>094OMS</v>
      </c>
      <c r="F205" t="str">
        <f>""</f>
        <v/>
      </c>
      <c r="G205" t="str">
        <f>""</f>
        <v/>
      </c>
      <c r="H205" s="1">
        <v>41767</v>
      </c>
      <c r="I205" t="str">
        <f>"I0109151"</f>
        <v>I0109151</v>
      </c>
      <c r="J205" t="str">
        <f>"N138254D"</f>
        <v>N138254D</v>
      </c>
      <c r="K205" t="str">
        <f>"INEI"</f>
        <v>INEI</v>
      </c>
      <c r="L205" t="s">
        <v>1382</v>
      </c>
      <c r="M205">
        <v>115.68</v>
      </c>
    </row>
    <row r="206" spans="1:13" x14ac:dyDescent="0.25">
      <c r="A206" t="str">
        <f t="shared" si="36"/>
        <v>E131</v>
      </c>
      <c r="B206">
        <v>1</v>
      </c>
      <c r="C206" t="str">
        <f t="shared" si="37"/>
        <v>10200</v>
      </c>
      <c r="D206" t="str">
        <f t="shared" si="38"/>
        <v>5620</v>
      </c>
      <c r="E206" t="str">
        <f t="shared" si="39"/>
        <v>094OMS</v>
      </c>
      <c r="F206" t="str">
        <f>""</f>
        <v/>
      </c>
      <c r="G206" t="str">
        <f>""</f>
        <v/>
      </c>
      <c r="H206" s="1">
        <v>41795</v>
      </c>
      <c r="I206" t="str">
        <f>"I0109580"</f>
        <v>I0109580</v>
      </c>
      <c r="J206" t="str">
        <f>"N138254D"</f>
        <v>N138254D</v>
      </c>
      <c r="K206" t="str">
        <f>"INEI"</f>
        <v>INEI</v>
      </c>
      <c r="L206" t="s">
        <v>1382</v>
      </c>
      <c r="M206">
        <v>115.68</v>
      </c>
    </row>
    <row r="207" spans="1:13" x14ac:dyDescent="0.25">
      <c r="A207" t="str">
        <f t="shared" si="36"/>
        <v>E131</v>
      </c>
      <c r="B207">
        <v>1</v>
      </c>
      <c r="C207" t="str">
        <f t="shared" si="37"/>
        <v>10200</v>
      </c>
      <c r="D207" t="str">
        <f t="shared" si="38"/>
        <v>5620</v>
      </c>
      <c r="E207" t="str">
        <f t="shared" si="39"/>
        <v>094OMS</v>
      </c>
      <c r="F207" t="str">
        <f>""</f>
        <v/>
      </c>
      <c r="G207" t="str">
        <f>""</f>
        <v/>
      </c>
      <c r="H207" s="1">
        <v>41820</v>
      </c>
      <c r="I207" t="str">
        <f>"I0110072"</f>
        <v>I0110072</v>
      </c>
      <c r="J207" t="str">
        <f>"N138254D"</f>
        <v>N138254D</v>
      </c>
      <c r="K207" t="str">
        <f>"INEI"</f>
        <v>INEI</v>
      </c>
      <c r="L207" t="s">
        <v>1382</v>
      </c>
      <c r="M207">
        <v>115.72</v>
      </c>
    </row>
    <row r="208" spans="1:13" x14ac:dyDescent="0.25">
      <c r="A208" t="str">
        <f t="shared" si="36"/>
        <v>E131</v>
      </c>
      <c r="B208">
        <v>1</v>
      </c>
      <c r="C208" t="str">
        <f t="shared" si="37"/>
        <v>10200</v>
      </c>
      <c r="D208" t="str">
        <f t="shared" si="38"/>
        <v>5620</v>
      </c>
      <c r="E208" t="str">
        <f t="shared" si="39"/>
        <v>094OMS</v>
      </c>
      <c r="F208" t="str">
        <f>""</f>
        <v/>
      </c>
      <c r="G208" t="str">
        <f>""</f>
        <v/>
      </c>
      <c r="H208" s="1">
        <v>41820</v>
      </c>
      <c r="I208" t="str">
        <f>"TEL00639"</f>
        <v>TEL00639</v>
      </c>
      <c r="J208" t="str">
        <f>""</f>
        <v/>
      </c>
      <c r="K208" t="str">
        <f>"AS89"</f>
        <v>AS89</v>
      </c>
      <c r="L208" t="s">
        <v>2439</v>
      </c>
      <c r="M208">
        <v>523.35</v>
      </c>
    </row>
    <row r="209" spans="1:13" x14ac:dyDescent="0.25">
      <c r="A209" t="str">
        <f t="shared" si="36"/>
        <v>E131</v>
      </c>
      <c r="B209">
        <v>1</v>
      </c>
      <c r="C209" t="str">
        <f t="shared" ref="C209:C220" si="40">"23275"</f>
        <v>23275</v>
      </c>
      <c r="D209" t="str">
        <f t="shared" si="38"/>
        <v>5620</v>
      </c>
      <c r="E209" t="str">
        <f t="shared" ref="E209:E220" si="41">"063STF"</f>
        <v>063STF</v>
      </c>
      <c r="F209" t="str">
        <f>""</f>
        <v/>
      </c>
      <c r="G209" t="str">
        <f>""</f>
        <v/>
      </c>
      <c r="H209" s="1">
        <v>41816</v>
      </c>
      <c r="I209" t="str">
        <f>"J0009784"</f>
        <v>J0009784</v>
      </c>
      <c r="J209" t="str">
        <f>""</f>
        <v/>
      </c>
      <c r="K209" t="str">
        <f>"J079"</f>
        <v>J079</v>
      </c>
      <c r="L209" t="s">
        <v>2226</v>
      </c>
      <c r="M209" s="2">
        <v>1536.77</v>
      </c>
    </row>
    <row r="210" spans="1:13" x14ac:dyDescent="0.25">
      <c r="A210" t="str">
        <f t="shared" si="36"/>
        <v>E131</v>
      </c>
      <c r="B210">
        <v>1</v>
      </c>
      <c r="C210" t="str">
        <f t="shared" si="40"/>
        <v>23275</v>
      </c>
      <c r="D210" t="str">
        <f t="shared" ref="D210:D220" si="42">"5741"</f>
        <v>5741</v>
      </c>
      <c r="E210" t="str">
        <f t="shared" si="41"/>
        <v>063STF</v>
      </c>
      <c r="F210" t="str">
        <f>""</f>
        <v/>
      </c>
      <c r="G210" t="str">
        <f>""</f>
        <v/>
      </c>
      <c r="H210" s="1">
        <v>41486</v>
      </c>
      <c r="I210" t="str">
        <f>"TEL00628"</f>
        <v>TEL00628</v>
      </c>
      <c r="J210" t="str">
        <f>""</f>
        <v/>
      </c>
      <c r="K210" t="str">
        <f t="shared" ref="K210:K232" si="43">"AS89"</f>
        <v>AS89</v>
      </c>
      <c r="L210" t="s">
        <v>2438</v>
      </c>
      <c r="M210">
        <v>143.19999999999999</v>
      </c>
    </row>
    <row r="211" spans="1:13" x14ac:dyDescent="0.25">
      <c r="A211" t="str">
        <f t="shared" si="36"/>
        <v>E131</v>
      </c>
      <c r="B211">
        <v>1</v>
      </c>
      <c r="C211" t="str">
        <f t="shared" si="40"/>
        <v>23275</v>
      </c>
      <c r="D211" t="str">
        <f t="shared" si="42"/>
        <v>5741</v>
      </c>
      <c r="E211" t="str">
        <f t="shared" si="41"/>
        <v>063STF</v>
      </c>
      <c r="F211" t="str">
        <f>""</f>
        <v/>
      </c>
      <c r="G211" t="str">
        <f>""</f>
        <v/>
      </c>
      <c r="H211" s="1">
        <v>41517</v>
      </c>
      <c r="I211" t="str">
        <f>"TEL00629"</f>
        <v>TEL00629</v>
      </c>
      <c r="J211" t="str">
        <f>""</f>
        <v/>
      </c>
      <c r="K211" t="str">
        <f t="shared" si="43"/>
        <v>AS89</v>
      </c>
      <c r="L211" t="s">
        <v>2437</v>
      </c>
      <c r="M211">
        <v>144.52000000000001</v>
      </c>
    </row>
    <row r="212" spans="1:13" x14ac:dyDescent="0.25">
      <c r="A212" t="str">
        <f t="shared" si="36"/>
        <v>E131</v>
      </c>
      <c r="B212">
        <v>1</v>
      </c>
      <c r="C212" t="str">
        <f t="shared" si="40"/>
        <v>23275</v>
      </c>
      <c r="D212" t="str">
        <f t="shared" si="42"/>
        <v>5741</v>
      </c>
      <c r="E212" t="str">
        <f t="shared" si="41"/>
        <v>063STF</v>
      </c>
      <c r="F212" t="str">
        <f>""</f>
        <v/>
      </c>
      <c r="G212" t="str">
        <f>""</f>
        <v/>
      </c>
      <c r="H212" s="1">
        <v>41547</v>
      </c>
      <c r="I212" t="str">
        <f>"TEL00630"</f>
        <v>TEL00630</v>
      </c>
      <c r="J212" t="str">
        <f>""</f>
        <v/>
      </c>
      <c r="K212" t="str">
        <f t="shared" si="43"/>
        <v>AS89</v>
      </c>
      <c r="L212" t="s">
        <v>2436</v>
      </c>
      <c r="M212">
        <v>141.57</v>
      </c>
    </row>
    <row r="213" spans="1:13" x14ac:dyDescent="0.25">
      <c r="A213" t="str">
        <f t="shared" si="36"/>
        <v>E131</v>
      </c>
      <c r="B213">
        <v>1</v>
      </c>
      <c r="C213" t="str">
        <f t="shared" si="40"/>
        <v>23275</v>
      </c>
      <c r="D213" t="str">
        <f t="shared" si="42"/>
        <v>5741</v>
      </c>
      <c r="E213" t="str">
        <f t="shared" si="41"/>
        <v>063STF</v>
      </c>
      <c r="F213" t="str">
        <f>""</f>
        <v/>
      </c>
      <c r="G213" t="str">
        <f>""</f>
        <v/>
      </c>
      <c r="H213" s="1">
        <v>41578</v>
      </c>
      <c r="I213" t="str">
        <f>"TEL00631"</f>
        <v>TEL00631</v>
      </c>
      <c r="J213" t="str">
        <f>""</f>
        <v/>
      </c>
      <c r="K213" t="str">
        <f t="shared" si="43"/>
        <v>AS89</v>
      </c>
      <c r="L213" t="s">
        <v>2435</v>
      </c>
      <c r="M213">
        <v>141.93</v>
      </c>
    </row>
    <row r="214" spans="1:13" x14ac:dyDescent="0.25">
      <c r="A214" t="str">
        <f t="shared" si="36"/>
        <v>E131</v>
      </c>
      <c r="B214">
        <v>1</v>
      </c>
      <c r="C214" t="str">
        <f t="shared" si="40"/>
        <v>23275</v>
      </c>
      <c r="D214" t="str">
        <f t="shared" si="42"/>
        <v>5741</v>
      </c>
      <c r="E214" t="str">
        <f t="shared" si="41"/>
        <v>063STF</v>
      </c>
      <c r="F214" t="str">
        <f>""</f>
        <v/>
      </c>
      <c r="G214" t="str">
        <f>""</f>
        <v/>
      </c>
      <c r="H214" s="1">
        <v>41608</v>
      </c>
      <c r="I214" t="str">
        <f>"TEL00632"</f>
        <v>TEL00632</v>
      </c>
      <c r="J214" t="str">
        <f>""</f>
        <v/>
      </c>
      <c r="K214" t="str">
        <f t="shared" si="43"/>
        <v>AS89</v>
      </c>
      <c r="L214" t="s">
        <v>2434</v>
      </c>
      <c r="M214">
        <v>139.74</v>
      </c>
    </row>
    <row r="215" spans="1:13" x14ac:dyDescent="0.25">
      <c r="A215" t="str">
        <f t="shared" si="36"/>
        <v>E131</v>
      </c>
      <c r="B215">
        <v>1</v>
      </c>
      <c r="C215" t="str">
        <f t="shared" si="40"/>
        <v>23275</v>
      </c>
      <c r="D215" t="str">
        <f t="shared" si="42"/>
        <v>5741</v>
      </c>
      <c r="E215" t="str">
        <f t="shared" si="41"/>
        <v>063STF</v>
      </c>
      <c r="F215" t="str">
        <f>""</f>
        <v/>
      </c>
      <c r="G215" t="str">
        <f>""</f>
        <v/>
      </c>
      <c r="H215" s="1">
        <v>41639</v>
      </c>
      <c r="I215" t="str">
        <f>"TEL00633"</f>
        <v>TEL00633</v>
      </c>
      <c r="J215" t="str">
        <f>""</f>
        <v/>
      </c>
      <c r="K215" t="str">
        <f t="shared" si="43"/>
        <v>AS89</v>
      </c>
      <c r="L215" t="s">
        <v>2433</v>
      </c>
      <c r="M215">
        <v>140.66</v>
      </c>
    </row>
    <row r="216" spans="1:13" x14ac:dyDescent="0.25">
      <c r="A216" t="str">
        <f t="shared" si="36"/>
        <v>E131</v>
      </c>
      <c r="B216">
        <v>1</v>
      </c>
      <c r="C216" t="str">
        <f t="shared" si="40"/>
        <v>23275</v>
      </c>
      <c r="D216" t="str">
        <f t="shared" si="42"/>
        <v>5741</v>
      </c>
      <c r="E216" t="str">
        <f t="shared" si="41"/>
        <v>063STF</v>
      </c>
      <c r="F216" t="str">
        <f>""</f>
        <v/>
      </c>
      <c r="G216" t="str">
        <f>""</f>
        <v/>
      </c>
      <c r="H216" s="1">
        <v>41670</v>
      </c>
      <c r="I216" t="str">
        <f>"TEL00634"</f>
        <v>TEL00634</v>
      </c>
      <c r="J216" t="str">
        <f>""</f>
        <v/>
      </c>
      <c r="K216" t="str">
        <f t="shared" si="43"/>
        <v>AS89</v>
      </c>
      <c r="L216" t="s">
        <v>2432</v>
      </c>
      <c r="M216">
        <v>139.66</v>
      </c>
    </row>
    <row r="217" spans="1:13" x14ac:dyDescent="0.25">
      <c r="A217" t="str">
        <f t="shared" si="36"/>
        <v>E131</v>
      </c>
      <c r="B217">
        <v>1</v>
      </c>
      <c r="C217" t="str">
        <f t="shared" si="40"/>
        <v>23275</v>
      </c>
      <c r="D217" t="str">
        <f t="shared" si="42"/>
        <v>5741</v>
      </c>
      <c r="E217" t="str">
        <f t="shared" si="41"/>
        <v>063STF</v>
      </c>
      <c r="F217" t="str">
        <f>""</f>
        <v/>
      </c>
      <c r="G217" t="str">
        <f>""</f>
        <v/>
      </c>
      <c r="H217" s="1">
        <v>41698</v>
      </c>
      <c r="I217" t="str">
        <f>"TEL00635"</f>
        <v>TEL00635</v>
      </c>
      <c r="J217" t="str">
        <f>""</f>
        <v/>
      </c>
      <c r="K217" t="str">
        <f t="shared" si="43"/>
        <v>AS89</v>
      </c>
      <c r="L217" t="s">
        <v>2431</v>
      </c>
      <c r="M217">
        <v>144.88</v>
      </c>
    </row>
    <row r="218" spans="1:13" x14ac:dyDescent="0.25">
      <c r="A218" t="str">
        <f t="shared" si="36"/>
        <v>E131</v>
      </c>
      <c r="B218">
        <v>1</v>
      </c>
      <c r="C218" t="str">
        <f t="shared" si="40"/>
        <v>23275</v>
      </c>
      <c r="D218" t="str">
        <f t="shared" si="42"/>
        <v>5741</v>
      </c>
      <c r="E218" t="str">
        <f t="shared" si="41"/>
        <v>063STF</v>
      </c>
      <c r="F218" t="str">
        <f>""</f>
        <v/>
      </c>
      <c r="G218" t="str">
        <f>""</f>
        <v/>
      </c>
      <c r="H218" s="1">
        <v>41729</v>
      </c>
      <c r="I218" t="str">
        <f>"TEL00636"</f>
        <v>TEL00636</v>
      </c>
      <c r="J218" t="str">
        <f>""</f>
        <v/>
      </c>
      <c r="K218" t="str">
        <f t="shared" si="43"/>
        <v>AS89</v>
      </c>
      <c r="L218" t="s">
        <v>2430</v>
      </c>
      <c r="M218">
        <v>139.41999999999999</v>
      </c>
    </row>
    <row r="219" spans="1:13" x14ac:dyDescent="0.25">
      <c r="A219" t="str">
        <f t="shared" si="36"/>
        <v>E131</v>
      </c>
      <c r="B219">
        <v>1</v>
      </c>
      <c r="C219" t="str">
        <f t="shared" si="40"/>
        <v>23275</v>
      </c>
      <c r="D219" t="str">
        <f t="shared" si="42"/>
        <v>5741</v>
      </c>
      <c r="E219" t="str">
        <f t="shared" si="41"/>
        <v>063STF</v>
      </c>
      <c r="F219" t="str">
        <f>""</f>
        <v/>
      </c>
      <c r="G219" t="str">
        <f>""</f>
        <v/>
      </c>
      <c r="H219" s="1">
        <v>41759</v>
      </c>
      <c r="I219" t="str">
        <f>"TEL00637"</f>
        <v>TEL00637</v>
      </c>
      <c r="J219" t="str">
        <f>""</f>
        <v/>
      </c>
      <c r="K219" t="str">
        <f t="shared" si="43"/>
        <v>AS89</v>
      </c>
      <c r="L219" t="s">
        <v>2441</v>
      </c>
      <c r="M219">
        <v>143.47</v>
      </c>
    </row>
    <row r="220" spans="1:13" x14ac:dyDescent="0.25">
      <c r="A220" t="str">
        <f t="shared" ref="A220:A251" si="44">"E131"</f>
        <v>E131</v>
      </c>
      <c r="B220">
        <v>1</v>
      </c>
      <c r="C220" t="str">
        <f t="shared" si="40"/>
        <v>23275</v>
      </c>
      <c r="D220" t="str">
        <f t="shared" si="42"/>
        <v>5741</v>
      </c>
      <c r="E220" t="str">
        <f t="shared" si="41"/>
        <v>063STF</v>
      </c>
      <c r="F220" t="str">
        <f>""</f>
        <v/>
      </c>
      <c r="G220" t="str">
        <f>""</f>
        <v/>
      </c>
      <c r="H220" s="1">
        <v>41790</v>
      </c>
      <c r="I220" t="str">
        <f>"TEL00638"</f>
        <v>TEL00638</v>
      </c>
      <c r="J220" t="str">
        <f>""</f>
        <v/>
      </c>
      <c r="K220" t="str">
        <f t="shared" si="43"/>
        <v>AS89</v>
      </c>
      <c r="L220" t="s">
        <v>2440</v>
      </c>
      <c r="M220">
        <v>117.72</v>
      </c>
    </row>
    <row r="221" spans="1:13" x14ac:dyDescent="0.25">
      <c r="A221" t="str">
        <f t="shared" si="44"/>
        <v>E131</v>
      </c>
      <c r="B221">
        <v>1</v>
      </c>
      <c r="C221" t="str">
        <f t="shared" ref="C221:C234" si="45">"32040"</f>
        <v>32040</v>
      </c>
      <c r="D221" t="str">
        <f t="shared" ref="D221:D232" si="46">"5610"</f>
        <v>5610</v>
      </c>
      <c r="E221" t="str">
        <f t="shared" ref="E221:E234" si="47">"850LOS"</f>
        <v>850LOS</v>
      </c>
      <c r="F221" t="str">
        <f>""</f>
        <v/>
      </c>
      <c r="G221" t="str">
        <f>""</f>
        <v/>
      </c>
      <c r="H221" s="1">
        <v>41486</v>
      </c>
      <c r="I221" t="str">
        <f>"TEL00628"</f>
        <v>TEL00628</v>
      </c>
      <c r="J221" t="str">
        <f>""</f>
        <v/>
      </c>
      <c r="K221" t="str">
        <f t="shared" si="43"/>
        <v>AS89</v>
      </c>
      <c r="L221" t="s">
        <v>2438</v>
      </c>
      <c r="M221">
        <v>205.68</v>
      </c>
    </row>
    <row r="222" spans="1:13" x14ac:dyDescent="0.25">
      <c r="A222" t="str">
        <f t="shared" si="44"/>
        <v>E131</v>
      </c>
      <c r="B222">
        <v>1</v>
      </c>
      <c r="C222" t="str">
        <f t="shared" si="45"/>
        <v>32040</v>
      </c>
      <c r="D222" t="str">
        <f t="shared" si="46"/>
        <v>5610</v>
      </c>
      <c r="E222" t="str">
        <f t="shared" si="47"/>
        <v>850LOS</v>
      </c>
      <c r="F222" t="str">
        <f>""</f>
        <v/>
      </c>
      <c r="G222" t="str">
        <f>""</f>
        <v/>
      </c>
      <c r="H222" s="1">
        <v>41517</v>
      </c>
      <c r="I222" t="str">
        <f>"TEL00629"</f>
        <v>TEL00629</v>
      </c>
      <c r="J222" t="str">
        <f>""</f>
        <v/>
      </c>
      <c r="K222" t="str">
        <f t="shared" si="43"/>
        <v>AS89</v>
      </c>
      <c r="L222" t="s">
        <v>2437</v>
      </c>
      <c r="M222">
        <v>187.79</v>
      </c>
    </row>
    <row r="223" spans="1:13" x14ac:dyDescent="0.25">
      <c r="A223" t="str">
        <f t="shared" si="44"/>
        <v>E131</v>
      </c>
      <c r="B223">
        <v>1</v>
      </c>
      <c r="C223" t="str">
        <f t="shared" si="45"/>
        <v>32040</v>
      </c>
      <c r="D223" t="str">
        <f t="shared" si="46"/>
        <v>5610</v>
      </c>
      <c r="E223" t="str">
        <f t="shared" si="47"/>
        <v>850LOS</v>
      </c>
      <c r="F223" t="str">
        <f>""</f>
        <v/>
      </c>
      <c r="G223" t="str">
        <f>""</f>
        <v/>
      </c>
      <c r="H223" s="1">
        <v>41547</v>
      </c>
      <c r="I223" t="str">
        <f>"TEL00630"</f>
        <v>TEL00630</v>
      </c>
      <c r="J223" t="str">
        <f>""</f>
        <v/>
      </c>
      <c r="K223" t="str">
        <f t="shared" si="43"/>
        <v>AS89</v>
      </c>
      <c r="L223" t="s">
        <v>2436</v>
      </c>
      <c r="M223">
        <v>185.45</v>
      </c>
    </row>
    <row r="224" spans="1:13" x14ac:dyDescent="0.25">
      <c r="A224" t="str">
        <f t="shared" si="44"/>
        <v>E131</v>
      </c>
      <c r="B224">
        <v>1</v>
      </c>
      <c r="C224" t="str">
        <f t="shared" si="45"/>
        <v>32040</v>
      </c>
      <c r="D224" t="str">
        <f t="shared" si="46"/>
        <v>5610</v>
      </c>
      <c r="E224" t="str">
        <f t="shared" si="47"/>
        <v>850LOS</v>
      </c>
      <c r="F224" t="str">
        <f>""</f>
        <v/>
      </c>
      <c r="G224" t="str">
        <f>""</f>
        <v/>
      </c>
      <c r="H224" s="1">
        <v>41578</v>
      </c>
      <c r="I224" t="str">
        <f>"TEL00631"</f>
        <v>TEL00631</v>
      </c>
      <c r="J224" t="str">
        <f>""</f>
        <v/>
      </c>
      <c r="K224" t="str">
        <f t="shared" si="43"/>
        <v>AS89</v>
      </c>
      <c r="L224" t="s">
        <v>2435</v>
      </c>
      <c r="M224">
        <v>190.23</v>
      </c>
    </row>
    <row r="225" spans="1:13" x14ac:dyDescent="0.25">
      <c r="A225" t="str">
        <f t="shared" si="44"/>
        <v>E131</v>
      </c>
      <c r="B225">
        <v>1</v>
      </c>
      <c r="C225" t="str">
        <f t="shared" si="45"/>
        <v>32040</v>
      </c>
      <c r="D225" t="str">
        <f t="shared" si="46"/>
        <v>5610</v>
      </c>
      <c r="E225" t="str">
        <f t="shared" si="47"/>
        <v>850LOS</v>
      </c>
      <c r="F225" t="str">
        <f>""</f>
        <v/>
      </c>
      <c r="G225" t="str">
        <f>""</f>
        <v/>
      </c>
      <c r="H225" s="1">
        <v>41608</v>
      </c>
      <c r="I225" t="str">
        <f>"TEL00632"</f>
        <v>TEL00632</v>
      </c>
      <c r="J225" t="str">
        <f>""</f>
        <v/>
      </c>
      <c r="K225" t="str">
        <f t="shared" si="43"/>
        <v>AS89</v>
      </c>
      <c r="L225" t="s">
        <v>2434</v>
      </c>
      <c r="M225">
        <v>183.9</v>
      </c>
    </row>
    <row r="226" spans="1:13" x14ac:dyDescent="0.25">
      <c r="A226" t="str">
        <f t="shared" si="44"/>
        <v>E131</v>
      </c>
      <c r="B226">
        <v>1</v>
      </c>
      <c r="C226" t="str">
        <f t="shared" si="45"/>
        <v>32040</v>
      </c>
      <c r="D226" t="str">
        <f t="shared" si="46"/>
        <v>5610</v>
      </c>
      <c r="E226" t="str">
        <f t="shared" si="47"/>
        <v>850LOS</v>
      </c>
      <c r="F226" t="str">
        <f>""</f>
        <v/>
      </c>
      <c r="G226" t="str">
        <f>""</f>
        <v/>
      </c>
      <c r="H226" s="1">
        <v>41639</v>
      </c>
      <c r="I226" t="str">
        <f>"TEL00633"</f>
        <v>TEL00633</v>
      </c>
      <c r="J226" t="str">
        <f>""</f>
        <v/>
      </c>
      <c r="K226" t="str">
        <f t="shared" si="43"/>
        <v>AS89</v>
      </c>
      <c r="L226" t="s">
        <v>2433</v>
      </c>
      <c r="M226">
        <v>184.45</v>
      </c>
    </row>
    <row r="227" spans="1:13" x14ac:dyDescent="0.25">
      <c r="A227" t="str">
        <f t="shared" si="44"/>
        <v>E131</v>
      </c>
      <c r="B227">
        <v>1</v>
      </c>
      <c r="C227" t="str">
        <f t="shared" si="45"/>
        <v>32040</v>
      </c>
      <c r="D227" t="str">
        <f t="shared" si="46"/>
        <v>5610</v>
      </c>
      <c r="E227" t="str">
        <f t="shared" si="47"/>
        <v>850LOS</v>
      </c>
      <c r="F227" t="str">
        <f>""</f>
        <v/>
      </c>
      <c r="G227" t="str">
        <f>""</f>
        <v/>
      </c>
      <c r="H227" s="1">
        <v>41670</v>
      </c>
      <c r="I227" t="str">
        <f>"TEL00634"</f>
        <v>TEL00634</v>
      </c>
      <c r="J227" t="str">
        <f>""</f>
        <v/>
      </c>
      <c r="K227" t="str">
        <f t="shared" si="43"/>
        <v>AS89</v>
      </c>
      <c r="L227" t="s">
        <v>2432</v>
      </c>
      <c r="M227">
        <v>184.43</v>
      </c>
    </row>
    <row r="228" spans="1:13" x14ac:dyDescent="0.25">
      <c r="A228" t="str">
        <f t="shared" si="44"/>
        <v>E131</v>
      </c>
      <c r="B228">
        <v>1</v>
      </c>
      <c r="C228" t="str">
        <f t="shared" si="45"/>
        <v>32040</v>
      </c>
      <c r="D228" t="str">
        <f t="shared" si="46"/>
        <v>5610</v>
      </c>
      <c r="E228" t="str">
        <f t="shared" si="47"/>
        <v>850LOS</v>
      </c>
      <c r="F228" t="str">
        <f>""</f>
        <v/>
      </c>
      <c r="G228" t="str">
        <f>""</f>
        <v/>
      </c>
      <c r="H228" s="1">
        <v>41698</v>
      </c>
      <c r="I228" t="str">
        <f>"TEL00635"</f>
        <v>TEL00635</v>
      </c>
      <c r="J228" t="str">
        <f>""</f>
        <v/>
      </c>
      <c r="K228" t="str">
        <f t="shared" si="43"/>
        <v>AS89</v>
      </c>
      <c r="L228" t="s">
        <v>2431</v>
      </c>
      <c r="M228">
        <v>183</v>
      </c>
    </row>
    <row r="229" spans="1:13" x14ac:dyDescent="0.25">
      <c r="A229" t="str">
        <f t="shared" si="44"/>
        <v>E131</v>
      </c>
      <c r="B229">
        <v>1</v>
      </c>
      <c r="C229" t="str">
        <f t="shared" si="45"/>
        <v>32040</v>
      </c>
      <c r="D229" t="str">
        <f t="shared" si="46"/>
        <v>5610</v>
      </c>
      <c r="E229" t="str">
        <f t="shared" si="47"/>
        <v>850LOS</v>
      </c>
      <c r="F229" t="str">
        <f>""</f>
        <v/>
      </c>
      <c r="G229" t="str">
        <f>""</f>
        <v/>
      </c>
      <c r="H229" s="1">
        <v>41729</v>
      </c>
      <c r="I229" t="str">
        <f>"TEL00636"</f>
        <v>TEL00636</v>
      </c>
      <c r="J229" t="str">
        <f>""</f>
        <v/>
      </c>
      <c r="K229" t="str">
        <f t="shared" si="43"/>
        <v>AS89</v>
      </c>
      <c r="L229" t="s">
        <v>2430</v>
      </c>
      <c r="M229">
        <v>190.84</v>
      </c>
    </row>
    <row r="230" spans="1:13" x14ac:dyDescent="0.25">
      <c r="A230" t="str">
        <f t="shared" si="44"/>
        <v>E131</v>
      </c>
      <c r="B230">
        <v>1</v>
      </c>
      <c r="C230" t="str">
        <f t="shared" si="45"/>
        <v>32040</v>
      </c>
      <c r="D230" t="str">
        <f t="shared" si="46"/>
        <v>5610</v>
      </c>
      <c r="E230" t="str">
        <f t="shared" si="47"/>
        <v>850LOS</v>
      </c>
      <c r="F230" t="str">
        <f>""</f>
        <v/>
      </c>
      <c r="G230" t="str">
        <f>""</f>
        <v/>
      </c>
      <c r="H230" s="1">
        <v>41759</v>
      </c>
      <c r="I230" t="str">
        <f>"TEL00637"</f>
        <v>TEL00637</v>
      </c>
      <c r="J230" t="str">
        <f>""</f>
        <v/>
      </c>
      <c r="K230" t="str">
        <f t="shared" si="43"/>
        <v>AS89</v>
      </c>
      <c r="L230" t="s">
        <v>2441</v>
      </c>
      <c r="M230">
        <v>185.13</v>
      </c>
    </row>
    <row r="231" spans="1:13" x14ac:dyDescent="0.25">
      <c r="A231" t="str">
        <f t="shared" si="44"/>
        <v>E131</v>
      </c>
      <c r="B231">
        <v>1</v>
      </c>
      <c r="C231" t="str">
        <f t="shared" si="45"/>
        <v>32040</v>
      </c>
      <c r="D231" t="str">
        <f t="shared" si="46"/>
        <v>5610</v>
      </c>
      <c r="E231" t="str">
        <f t="shared" si="47"/>
        <v>850LOS</v>
      </c>
      <c r="F231" t="str">
        <f>""</f>
        <v/>
      </c>
      <c r="G231" t="str">
        <f>""</f>
        <v/>
      </c>
      <c r="H231" s="1">
        <v>41790</v>
      </c>
      <c r="I231" t="str">
        <f>"TEL00638"</f>
        <v>TEL00638</v>
      </c>
      <c r="J231" t="str">
        <f>""</f>
        <v/>
      </c>
      <c r="K231" t="str">
        <f t="shared" si="43"/>
        <v>AS89</v>
      </c>
      <c r="L231" t="s">
        <v>2440</v>
      </c>
      <c r="M231">
        <v>183</v>
      </c>
    </row>
    <row r="232" spans="1:13" x14ac:dyDescent="0.25">
      <c r="A232" t="str">
        <f t="shared" si="44"/>
        <v>E131</v>
      </c>
      <c r="B232">
        <v>1</v>
      </c>
      <c r="C232" t="str">
        <f t="shared" si="45"/>
        <v>32040</v>
      </c>
      <c r="D232" t="str">
        <f t="shared" si="46"/>
        <v>5610</v>
      </c>
      <c r="E232" t="str">
        <f t="shared" si="47"/>
        <v>850LOS</v>
      </c>
      <c r="F232" t="str">
        <f>""</f>
        <v/>
      </c>
      <c r="G232" t="str">
        <f>""</f>
        <v/>
      </c>
      <c r="H232" s="1">
        <v>41820</v>
      </c>
      <c r="I232" t="str">
        <f>"TEL00639"</f>
        <v>TEL00639</v>
      </c>
      <c r="J232" t="str">
        <f>""</f>
        <v/>
      </c>
      <c r="K232" t="str">
        <f t="shared" si="43"/>
        <v>AS89</v>
      </c>
      <c r="L232" t="s">
        <v>2439</v>
      </c>
      <c r="M232">
        <v>183.93</v>
      </c>
    </row>
    <row r="233" spans="1:13" x14ac:dyDescent="0.25">
      <c r="A233" t="str">
        <f t="shared" si="44"/>
        <v>E131</v>
      </c>
      <c r="B233">
        <v>1</v>
      </c>
      <c r="C233" t="str">
        <f t="shared" si="45"/>
        <v>32040</v>
      </c>
      <c r="D233" t="str">
        <f t="shared" ref="D233:D241" si="48">"5620"</f>
        <v>5620</v>
      </c>
      <c r="E233" t="str">
        <f t="shared" si="47"/>
        <v>850LOS</v>
      </c>
      <c r="F233" t="str">
        <f>""</f>
        <v/>
      </c>
      <c r="G233" t="str">
        <f>""</f>
        <v/>
      </c>
      <c r="H233" s="1">
        <v>41764</v>
      </c>
      <c r="I233" t="str">
        <f>"J0008508"</f>
        <v>J0008508</v>
      </c>
      <c r="J233" t="str">
        <f>""</f>
        <v/>
      </c>
      <c r="K233" t="str">
        <f>"J079"</f>
        <v>J079</v>
      </c>
      <c r="L233" t="s">
        <v>2200</v>
      </c>
      <c r="M233" s="2">
        <v>1880.9</v>
      </c>
    </row>
    <row r="234" spans="1:13" x14ac:dyDescent="0.25">
      <c r="A234" t="str">
        <f t="shared" si="44"/>
        <v>E131</v>
      </c>
      <c r="B234">
        <v>1</v>
      </c>
      <c r="C234" t="str">
        <f t="shared" si="45"/>
        <v>32040</v>
      </c>
      <c r="D234" t="str">
        <f t="shared" si="48"/>
        <v>5620</v>
      </c>
      <c r="E234" t="str">
        <f t="shared" si="47"/>
        <v>850LOS</v>
      </c>
      <c r="F234" t="str">
        <f>""</f>
        <v/>
      </c>
      <c r="G234" t="str">
        <f>""</f>
        <v/>
      </c>
      <c r="H234" s="1">
        <v>41820</v>
      </c>
      <c r="I234" t="str">
        <f>"J0010520"</f>
        <v>J0010520</v>
      </c>
      <c r="J234" t="str">
        <f>""</f>
        <v/>
      </c>
      <c r="K234" t="str">
        <f>"J079"</f>
        <v>J079</v>
      </c>
      <c r="L234" t="s">
        <v>2199</v>
      </c>
      <c r="M234">
        <v>366.93</v>
      </c>
    </row>
    <row r="235" spans="1:13" x14ac:dyDescent="0.25">
      <c r="A235" t="str">
        <f t="shared" si="44"/>
        <v>E131</v>
      </c>
      <c r="B235">
        <v>1</v>
      </c>
      <c r="C235" t="str">
        <f t="shared" ref="C235:C266" si="49">"43000"</f>
        <v>43000</v>
      </c>
      <c r="D235" t="str">
        <f t="shared" si="48"/>
        <v>5620</v>
      </c>
      <c r="E235" t="str">
        <f>"850ALT"</f>
        <v>850ALT</v>
      </c>
      <c r="F235" t="str">
        <f>""</f>
        <v/>
      </c>
      <c r="G235" t="str">
        <f>""</f>
        <v/>
      </c>
      <c r="H235" s="1">
        <v>41759</v>
      </c>
      <c r="I235" t="str">
        <f>"TEL00637"</f>
        <v>TEL00637</v>
      </c>
      <c r="J235" t="str">
        <f>""</f>
        <v/>
      </c>
      <c r="K235" t="str">
        <f>"AS89"</f>
        <v>AS89</v>
      </c>
      <c r="L235" t="s">
        <v>2441</v>
      </c>
      <c r="M235">
        <v>123.22</v>
      </c>
    </row>
    <row r="236" spans="1:13" x14ac:dyDescent="0.25">
      <c r="A236" t="str">
        <f t="shared" si="44"/>
        <v>E131</v>
      </c>
      <c r="B236">
        <v>1</v>
      </c>
      <c r="C236" t="str">
        <f t="shared" si="49"/>
        <v>43000</v>
      </c>
      <c r="D236" t="str">
        <f t="shared" si="48"/>
        <v>5620</v>
      </c>
      <c r="E236" t="str">
        <f>"850ALT"</f>
        <v>850ALT</v>
      </c>
      <c r="F236" t="str">
        <f>""</f>
        <v/>
      </c>
      <c r="G236" t="str">
        <f>""</f>
        <v/>
      </c>
      <c r="H236" s="1">
        <v>41790</v>
      </c>
      <c r="I236" t="str">
        <f>"TEL00638"</f>
        <v>TEL00638</v>
      </c>
      <c r="J236" t="str">
        <f>""</f>
        <v/>
      </c>
      <c r="K236" t="str">
        <f>"AS89"</f>
        <v>AS89</v>
      </c>
      <c r="L236" t="s">
        <v>2440</v>
      </c>
      <c r="M236">
        <v>122.86</v>
      </c>
    </row>
    <row r="237" spans="1:13" x14ac:dyDescent="0.25">
      <c r="A237" t="str">
        <f t="shared" si="44"/>
        <v>E131</v>
      </c>
      <c r="B237">
        <v>1</v>
      </c>
      <c r="C237" t="str">
        <f t="shared" si="49"/>
        <v>43000</v>
      </c>
      <c r="D237" t="str">
        <f t="shared" si="48"/>
        <v>5620</v>
      </c>
      <c r="E237" t="str">
        <f>"850ALT"</f>
        <v>850ALT</v>
      </c>
      <c r="F237" t="str">
        <f>""</f>
        <v/>
      </c>
      <c r="G237" t="str">
        <f>""</f>
        <v/>
      </c>
      <c r="H237" s="1">
        <v>41820</v>
      </c>
      <c r="I237" t="str">
        <f>"J0009360"</f>
        <v>J0009360</v>
      </c>
      <c r="J237" t="str">
        <f>""</f>
        <v/>
      </c>
      <c r="K237" t="str">
        <f>"J096"</f>
        <v>J096</v>
      </c>
      <c r="L237" t="s">
        <v>2197</v>
      </c>
      <c r="M237" s="2">
        <v>1133.4000000000001</v>
      </c>
    </row>
    <row r="238" spans="1:13" x14ac:dyDescent="0.25">
      <c r="A238" t="str">
        <f t="shared" si="44"/>
        <v>E131</v>
      </c>
      <c r="B238">
        <v>1</v>
      </c>
      <c r="C238" t="str">
        <f t="shared" si="49"/>
        <v>43000</v>
      </c>
      <c r="D238" t="str">
        <f t="shared" si="48"/>
        <v>5620</v>
      </c>
      <c r="E238" t="str">
        <f>"850ALT"</f>
        <v>850ALT</v>
      </c>
      <c r="F238" t="str">
        <f>""</f>
        <v/>
      </c>
      <c r="G238" t="str">
        <f>""</f>
        <v/>
      </c>
      <c r="H238" s="1">
        <v>41820</v>
      </c>
      <c r="I238" t="str">
        <f>"TEL00639"</f>
        <v>TEL00639</v>
      </c>
      <c r="J238" t="str">
        <f>""</f>
        <v/>
      </c>
      <c r="K238" t="str">
        <f>"AS89"</f>
        <v>AS89</v>
      </c>
      <c r="L238" t="s">
        <v>2439</v>
      </c>
      <c r="M238">
        <v>123.25</v>
      </c>
    </row>
    <row r="239" spans="1:13" x14ac:dyDescent="0.25">
      <c r="A239" t="str">
        <f t="shared" si="44"/>
        <v>E131</v>
      </c>
      <c r="B239">
        <v>1</v>
      </c>
      <c r="C239" t="str">
        <f t="shared" si="49"/>
        <v>43000</v>
      </c>
      <c r="D239" t="str">
        <f t="shared" si="48"/>
        <v>5620</v>
      </c>
      <c r="E239" t="str">
        <f>"850LOS"</f>
        <v>850LOS</v>
      </c>
      <c r="F239" t="str">
        <f>""</f>
        <v/>
      </c>
      <c r="G239" t="str">
        <f>""</f>
        <v/>
      </c>
      <c r="H239" s="1">
        <v>41820</v>
      </c>
      <c r="I239" t="str">
        <f>"J0010489"</f>
        <v>J0010489</v>
      </c>
      <c r="J239" t="str">
        <f>""</f>
        <v/>
      </c>
      <c r="K239" t="str">
        <f>"J079"</f>
        <v>J079</v>
      </c>
      <c r="L239" t="s">
        <v>2209</v>
      </c>
      <c r="M239" s="2">
        <v>6576.52</v>
      </c>
    </row>
    <row r="240" spans="1:13" x14ac:dyDescent="0.25">
      <c r="A240" t="str">
        <f t="shared" si="44"/>
        <v>E131</v>
      </c>
      <c r="B240">
        <v>1</v>
      </c>
      <c r="C240" t="str">
        <f t="shared" si="49"/>
        <v>43000</v>
      </c>
      <c r="D240" t="str">
        <f t="shared" si="48"/>
        <v>5620</v>
      </c>
      <c r="E240" t="str">
        <f>"850PAY"</f>
        <v>850PAY</v>
      </c>
      <c r="F240" t="str">
        <f>""</f>
        <v/>
      </c>
      <c r="G240" t="str">
        <f>""</f>
        <v/>
      </c>
      <c r="H240" s="1">
        <v>41820</v>
      </c>
      <c r="I240" t="str">
        <f>"J0008501"</f>
        <v>J0008501</v>
      </c>
      <c r="J240" t="str">
        <f>""</f>
        <v/>
      </c>
      <c r="K240" t="str">
        <f>"J096"</f>
        <v>J096</v>
      </c>
      <c r="L240" t="s">
        <v>2196</v>
      </c>
      <c r="M240">
        <v>427.48</v>
      </c>
    </row>
    <row r="241" spans="1:13" x14ac:dyDescent="0.25">
      <c r="A241" t="str">
        <f t="shared" si="44"/>
        <v>E131</v>
      </c>
      <c r="B241">
        <v>1</v>
      </c>
      <c r="C241" t="str">
        <f t="shared" si="49"/>
        <v>43000</v>
      </c>
      <c r="D241" t="str">
        <f t="shared" si="48"/>
        <v>5620</v>
      </c>
      <c r="E241" t="str">
        <f>"850PKE"</f>
        <v>850PKE</v>
      </c>
      <c r="F241" t="str">
        <f>""</f>
        <v/>
      </c>
      <c r="G241" t="str">
        <f>""</f>
        <v/>
      </c>
      <c r="H241" s="1">
        <v>41820</v>
      </c>
      <c r="I241" t="str">
        <f>"I0110383"</f>
        <v>I0110383</v>
      </c>
      <c r="J241" t="str">
        <f>"N218284"</f>
        <v>N218284</v>
      </c>
      <c r="K241" t="str">
        <f>"INEI"</f>
        <v>INEI</v>
      </c>
      <c r="L241" t="s">
        <v>2352</v>
      </c>
      <c r="M241">
        <v>247.2</v>
      </c>
    </row>
    <row r="242" spans="1:13" x14ac:dyDescent="0.25">
      <c r="A242" t="str">
        <f t="shared" si="44"/>
        <v>E131</v>
      </c>
      <c r="B242">
        <v>1</v>
      </c>
      <c r="C242" t="str">
        <f t="shared" si="49"/>
        <v>43000</v>
      </c>
      <c r="D242" t="str">
        <f t="shared" ref="D242:D266" si="50">"5740"</f>
        <v>5740</v>
      </c>
      <c r="E242" t="str">
        <f t="shared" ref="E242:E253" si="51">"850LOS"</f>
        <v>850LOS</v>
      </c>
      <c r="F242" t="str">
        <f>""</f>
        <v/>
      </c>
      <c r="G242" t="str">
        <f>""</f>
        <v/>
      </c>
      <c r="H242" s="1">
        <v>41486</v>
      </c>
      <c r="I242" t="str">
        <f>"TEL00628"</f>
        <v>TEL00628</v>
      </c>
      <c r="J242" t="str">
        <f>""</f>
        <v/>
      </c>
      <c r="K242" t="str">
        <f t="shared" ref="K242:K254" si="52">"AS89"</f>
        <v>AS89</v>
      </c>
      <c r="L242" t="s">
        <v>2438</v>
      </c>
      <c r="M242">
        <v>525.78</v>
      </c>
    </row>
    <row r="243" spans="1:13" x14ac:dyDescent="0.25">
      <c r="A243" t="str">
        <f t="shared" si="44"/>
        <v>E131</v>
      </c>
      <c r="B243">
        <v>1</v>
      </c>
      <c r="C243" t="str">
        <f t="shared" si="49"/>
        <v>43000</v>
      </c>
      <c r="D243" t="str">
        <f t="shared" si="50"/>
        <v>5740</v>
      </c>
      <c r="E243" t="str">
        <f t="shared" si="51"/>
        <v>850LOS</v>
      </c>
      <c r="F243" t="str">
        <f>""</f>
        <v/>
      </c>
      <c r="G243" t="str">
        <f>""</f>
        <v/>
      </c>
      <c r="H243" s="1">
        <v>41517</v>
      </c>
      <c r="I243" t="str">
        <f>"TEL00629"</f>
        <v>TEL00629</v>
      </c>
      <c r="J243" t="str">
        <f>""</f>
        <v/>
      </c>
      <c r="K243" t="str">
        <f t="shared" si="52"/>
        <v>AS89</v>
      </c>
      <c r="L243" t="s">
        <v>2437</v>
      </c>
      <c r="M243">
        <v>518.45000000000005</v>
      </c>
    </row>
    <row r="244" spans="1:13" x14ac:dyDescent="0.25">
      <c r="A244" t="str">
        <f t="shared" si="44"/>
        <v>E131</v>
      </c>
      <c r="B244">
        <v>1</v>
      </c>
      <c r="C244" t="str">
        <f t="shared" si="49"/>
        <v>43000</v>
      </c>
      <c r="D244" t="str">
        <f t="shared" si="50"/>
        <v>5740</v>
      </c>
      <c r="E244" t="str">
        <f t="shared" si="51"/>
        <v>850LOS</v>
      </c>
      <c r="F244" t="str">
        <f>""</f>
        <v/>
      </c>
      <c r="G244" t="str">
        <f>""</f>
        <v/>
      </c>
      <c r="H244" s="1">
        <v>41547</v>
      </c>
      <c r="I244" t="str">
        <f>"TEL00630"</f>
        <v>TEL00630</v>
      </c>
      <c r="J244" t="str">
        <f>""</f>
        <v/>
      </c>
      <c r="K244" t="str">
        <f t="shared" si="52"/>
        <v>AS89</v>
      </c>
      <c r="L244" t="s">
        <v>2436</v>
      </c>
      <c r="M244">
        <v>528.70000000000005</v>
      </c>
    </row>
    <row r="245" spans="1:13" x14ac:dyDescent="0.25">
      <c r="A245" t="str">
        <f t="shared" si="44"/>
        <v>E131</v>
      </c>
      <c r="B245">
        <v>1</v>
      </c>
      <c r="C245" t="str">
        <f t="shared" si="49"/>
        <v>43000</v>
      </c>
      <c r="D245" t="str">
        <f t="shared" si="50"/>
        <v>5740</v>
      </c>
      <c r="E245" t="str">
        <f t="shared" si="51"/>
        <v>850LOS</v>
      </c>
      <c r="F245" t="str">
        <f>""</f>
        <v/>
      </c>
      <c r="G245" t="str">
        <f>""</f>
        <v/>
      </c>
      <c r="H245" s="1">
        <v>41578</v>
      </c>
      <c r="I245" t="str">
        <f>"TEL00631"</f>
        <v>TEL00631</v>
      </c>
      <c r="J245" t="str">
        <f>""</f>
        <v/>
      </c>
      <c r="K245" t="str">
        <f t="shared" si="52"/>
        <v>AS89</v>
      </c>
      <c r="L245" t="s">
        <v>2435</v>
      </c>
      <c r="M245">
        <v>543.83000000000004</v>
      </c>
    </row>
    <row r="246" spans="1:13" x14ac:dyDescent="0.25">
      <c r="A246" t="str">
        <f t="shared" si="44"/>
        <v>E131</v>
      </c>
      <c r="B246">
        <v>1</v>
      </c>
      <c r="C246" t="str">
        <f t="shared" si="49"/>
        <v>43000</v>
      </c>
      <c r="D246" t="str">
        <f t="shared" si="50"/>
        <v>5740</v>
      </c>
      <c r="E246" t="str">
        <f t="shared" si="51"/>
        <v>850LOS</v>
      </c>
      <c r="F246" t="str">
        <f>""</f>
        <v/>
      </c>
      <c r="G246" t="str">
        <f>""</f>
        <v/>
      </c>
      <c r="H246" s="1">
        <v>41608</v>
      </c>
      <c r="I246" t="str">
        <f>"TEL00632"</f>
        <v>TEL00632</v>
      </c>
      <c r="J246" t="str">
        <f>""</f>
        <v/>
      </c>
      <c r="K246" t="str">
        <f t="shared" si="52"/>
        <v>AS89</v>
      </c>
      <c r="L246" t="s">
        <v>2434</v>
      </c>
      <c r="M246">
        <v>583.41999999999996</v>
      </c>
    </row>
    <row r="247" spans="1:13" x14ac:dyDescent="0.25">
      <c r="A247" t="str">
        <f t="shared" si="44"/>
        <v>E131</v>
      </c>
      <c r="B247">
        <v>1</v>
      </c>
      <c r="C247" t="str">
        <f t="shared" si="49"/>
        <v>43000</v>
      </c>
      <c r="D247" t="str">
        <f t="shared" si="50"/>
        <v>5740</v>
      </c>
      <c r="E247" t="str">
        <f t="shared" si="51"/>
        <v>850LOS</v>
      </c>
      <c r="F247" t="str">
        <f>""</f>
        <v/>
      </c>
      <c r="G247" t="str">
        <f>""</f>
        <v/>
      </c>
      <c r="H247" s="1">
        <v>41639</v>
      </c>
      <c r="I247" t="str">
        <f>"TEL00633"</f>
        <v>TEL00633</v>
      </c>
      <c r="J247" t="str">
        <f>""</f>
        <v/>
      </c>
      <c r="K247" t="str">
        <f t="shared" si="52"/>
        <v>AS89</v>
      </c>
      <c r="L247" t="s">
        <v>2433</v>
      </c>
      <c r="M247">
        <v>586.04</v>
      </c>
    </row>
    <row r="248" spans="1:13" x14ac:dyDescent="0.25">
      <c r="A248" t="str">
        <f t="shared" si="44"/>
        <v>E131</v>
      </c>
      <c r="B248">
        <v>1</v>
      </c>
      <c r="C248" t="str">
        <f t="shared" si="49"/>
        <v>43000</v>
      </c>
      <c r="D248" t="str">
        <f t="shared" si="50"/>
        <v>5740</v>
      </c>
      <c r="E248" t="str">
        <f t="shared" si="51"/>
        <v>850LOS</v>
      </c>
      <c r="F248" t="str">
        <f>""</f>
        <v/>
      </c>
      <c r="G248" t="str">
        <f>""</f>
        <v/>
      </c>
      <c r="H248" s="1">
        <v>41670</v>
      </c>
      <c r="I248" t="str">
        <f>"TEL00634"</f>
        <v>TEL00634</v>
      </c>
      <c r="J248" t="str">
        <f>""</f>
        <v/>
      </c>
      <c r="K248" t="str">
        <f t="shared" si="52"/>
        <v>AS89</v>
      </c>
      <c r="L248" t="s">
        <v>2432</v>
      </c>
      <c r="M248">
        <v>623.74</v>
      </c>
    </row>
    <row r="249" spans="1:13" x14ac:dyDescent="0.25">
      <c r="A249" t="str">
        <f t="shared" si="44"/>
        <v>E131</v>
      </c>
      <c r="B249">
        <v>1</v>
      </c>
      <c r="C249" t="str">
        <f t="shared" si="49"/>
        <v>43000</v>
      </c>
      <c r="D249" t="str">
        <f t="shared" si="50"/>
        <v>5740</v>
      </c>
      <c r="E249" t="str">
        <f t="shared" si="51"/>
        <v>850LOS</v>
      </c>
      <c r="F249" t="str">
        <f>""</f>
        <v/>
      </c>
      <c r="G249" t="str">
        <f>""</f>
        <v/>
      </c>
      <c r="H249" s="1">
        <v>41698</v>
      </c>
      <c r="I249" t="str">
        <f>"TEL00635"</f>
        <v>TEL00635</v>
      </c>
      <c r="J249" t="str">
        <f>""</f>
        <v/>
      </c>
      <c r="K249" t="str">
        <f t="shared" si="52"/>
        <v>AS89</v>
      </c>
      <c r="L249" t="s">
        <v>2431</v>
      </c>
      <c r="M249">
        <v>541.21</v>
      </c>
    </row>
    <row r="250" spans="1:13" x14ac:dyDescent="0.25">
      <c r="A250" t="str">
        <f t="shared" si="44"/>
        <v>E131</v>
      </c>
      <c r="B250">
        <v>1</v>
      </c>
      <c r="C250" t="str">
        <f t="shared" si="49"/>
        <v>43000</v>
      </c>
      <c r="D250" t="str">
        <f t="shared" si="50"/>
        <v>5740</v>
      </c>
      <c r="E250" t="str">
        <f t="shared" si="51"/>
        <v>850LOS</v>
      </c>
      <c r="F250" t="str">
        <f>""</f>
        <v/>
      </c>
      <c r="G250" t="str">
        <f>""</f>
        <v/>
      </c>
      <c r="H250" s="1">
        <v>41729</v>
      </c>
      <c r="I250" t="str">
        <f>"TEL00636"</f>
        <v>TEL00636</v>
      </c>
      <c r="J250" t="str">
        <f>""</f>
        <v/>
      </c>
      <c r="K250" t="str">
        <f t="shared" si="52"/>
        <v>AS89</v>
      </c>
      <c r="L250" t="s">
        <v>2430</v>
      </c>
      <c r="M250">
        <v>541.12</v>
      </c>
    </row>
    <row r="251" spans="1:13" x14ac:dyDescent="0.25">
      <c r="A251" t="str">
        <f t="shared" si="44"/>
        <v>E131</v>
      </c>
      <c r="B251">
        <v>1</v>
      </c>
      <c r="C251" t="str">
        <f t="shared" si="49"/>
        <v>43000</v>
      </c>
      <c r="D251" t="str">
        <f t="shared" si="50"/>
        <v>5740</v>
      </c>
      <c r="E251" t="str">
        <f t="shared" si="51"/>
        <v>850LOS</v>
      </c>
      <c r="F251" t="str">
        <f>""</f>
        <v/>
      </c>
      <c r="G251" t="str">
        <f>""</f>
        <v/>
      </c>
      <c r="H251" s="1">
        <v>41759</v>
      </c>
      <c r="I251" t="str">
        <f>"TEL00637"</f>
        <v>TEL00637</v>
      </c>
      <c r="J251" t="str">
        <f>""</f>
        <v/>
      </c>
      <c r="K251" t="str">
        <f t="shared" si="52"/>
        <v>AS89</v>
      </c>
      <c r="L251" t="s">
        <v>2441</v>
      </c>
      <c r="M251">
        <v>535.33000000000004</v>
      </c>
    </row>
    <row r="252" spans="1:13" x14ac:dyDescent="0.25">
      <c r="A252" t="str">
        <f t="shared" ref="A252:A275" si="53">"E131"</f>
        <v>E131</v>
      </c>
      <c r="B252">
        <v>1</v>
      </c>
      <c r="C252" t="str">
        <f t="shared" si="49"/>
        <v>43000</v>
      </c>
      <c r="D252" t="str">
        <f t="shared" si="50"/>
        <v>5740</v>
      </c>
      <c r="E252" t="str">
        <f t="shared" si="51"/>
        <v>850LOS</v>
      </c>
      <c r="F252" t="str">
        <f>""</f>
        <v/>
      </c>
      <c r="G252" t="str">
        <f>""</f>
        <v/>
      </c>
      <c r="H252" s="1">
        <v>41790</v>
      </c>
      <c r="I252" t="str">
        <f>"TEL00638"</f>
        <v>TEL00638</v>
      </c>
      <c r="J252" t="str">
        <f>""</f>
        <v/>
      </c>
      <c r="K252" t="str">
        <f t="shared" si="52"/>
        <v>AS89</v>
      </c>
      <c r="L252" t="s">
        <v>2440</v>
      </c>
      <c r="M252">
        <v>524.08000000000004</v>
      </c>
    </row>
    <row r="253" spans="1:13" x14ac:dyDescent="0.25">
      <c r="A253" t="str">
        <f t="shared" si="53"/>
        <v>E131</v>
      </c>
      <c r="B253">
        <v>1</v>
      </c>
      <c r="C253" t="str">
        <f t="shared" si="49"/>
        <v>43000</v>
      </c>
      <c r="D253" t="str">
        <f t="shared" si="50"/>
        <v>5740</v>
      </c>
      <c r="E253" t="str">
        <f t="shared" si="51"/>
        <v>850LOS</v>
      </c>
      <c r="F253" t="str">
        <f>""</f>
        <v/>
      </c>
      <c r="G253" t="str">
        <f>""</f>
        <v/>
      </c>
      <c r="H253" s="1">
        <v>41820</v>
      </c>
      <c r="I253" t="str">
        <f>"TEL00639"</f>
        <v>TEL00639</v>
      </c>
      <c r="J253" t="str">
        <f>""</f>
        <v/>
      </c>
      <c r="K253" t="str">
        <f t="shared" si="52"/>
        <v>AS89</v>
      </c>
      <c r="L253" t="s">
        <v>2439</v>
      </c>
      <c r="M253">
        <v>524.82000000000005</v>
      </c>
    </row>
    <row r="254" spans="1:13" x14ac:dyDescent="0.25">
      <c r="A254" t="str">
        <f t="shared" si="53"/>
        <v>E131</v>
      </c>
      <c r="B254">
        <v>1</v>
      </c>
      <c r="C254" t="str">
        <f t="shared" si="49"/>
        <v>43000</v>
      </c>
      <c r="D254" t="str">
        <f t="shared" si="50"/>
        <v>5740</v>
      </c>
      <c r="E254" t="str">
        <f t="shared" ref="E254:E266" si="54">"850PKE"</f>
        <v>850PKE</v>
      </c>
      <c r="F254" t="str">
        <f>""</f>
        <v/>
      </c>
      <c r="G254" t="str">
        <f>""</f>
        <v/>
      </c>
      <c r="H254" s="1">
        <v>41472</v>
      </c>
      <c r="I254" t="str">
        <f>"ACG02319"</f>
        <v>ACG02319</v>
      </c>
      <c r="J254" t="str">
        <f>"07117411"</f>
        <v>07117411</v>
      </c>
      <c r="K254" t="str">
        <f t="shared" si="52"/>
        <v>AS89</v>
      </c>
      <c r="L254" t="s">
        <v>2094</v>
      </c>
      <c r="M254">
        <v>253.35</v>
      </c>
    </row>
    <row r="255" spans="1:13" x14ac:dyDescent="0.25">
      <c r="A255" t="str">
        <f t="shared" si="53"/>
        <v>E131</v>
      </c>
      <c r="B255">
        <v>1</v>
      </c>
      <c r="C255" t="str">
        <f t="shared" si="49"/>
        <v>43000</v>
      </c>
      <c r="D255" t="str">
        <f t="shared" si="50"/>
        <v>5740</v>
      </c>
      <c r="E255" t="str">
        <f t="shared" si="54"/>
        <v>850PKE</v>
      </c>
      <c r="F255" t="str">
        <f>""</f>
        <v/>
      </c>
      <c r="G255" t="str">
        <f>""</f>
        <v/>
      </c>
      <c r="H255" s="1">
        <v>41492</v>
      </c>
      <c r="I255" t="str">
        <f>"08758813"</f>
        <v>08758813</v>
      </c>
      <c r="J255" t="str">
        <f>"N210974"</f>
        <v>N210974</v>
      </c>
      <c r="K255" t="str">
        <f>"INEI"</f>
        <v>INEI</v>
      </c>
      <c r="L255" t="s">
        <v>1382</v>
      </c>
      <c r="M255">
        <v>299.2</v>
      </c>
    </row>
    <row r="256" spans="1:13" x14ac:dyDescent="0.25">
      <c r="A256" t="str">
        <f t="shared" si="53"/>
        <v>E131</v>
      </c>
      <c r="B256">
        <v>1</v>
      </c>
      <c r="C256" t="str">
        <f t="shared" si="49"/>
        <v>43000</v>
      </c>
      <c r="D256" t="str">
        <f t="shared" si="50"/>
        <v>5740</v>
      </c>
      <c r="E256" t="str">
        <f t="shared" si="54"/>
        <v>850PKE</v>
      </c>
      <c r="F256" t="str">
        <f>""</f>
        <v/>
      </c>
      <c r="G256" t="str">
        <f>""</f>
        <v/>
      </c>
      <c r="H256" s="1">
        <v>41522</v>
      </c>
      <c r="I256" t="str">
        <f>"10428222"</f>
        <v>10428222</v>
      </c>
      <c r="J256" t="str">
        <f>"N210974"</f>
        <v>N210974</v>
      </c>
      <c r="K256" t="str">
        <f>"INEI"</f>
        <v>INEI</v>
      </c>
      <c r="L256" t="s">
        <v>1382</v>
      </c>
      <c r="M256">
        <v>299.45</v>
      </c>
    </row>
    <row r="257" spans="1:13" x14ac:dyDescent="0.25">
      <c r="A257" t="str">
        <f t="shared" si="53"/>
        <v>E131</v>
      </c>
      <c r="B257">
        <v>1</v>
      </c>
      <c r="C257" t="str">
        <f t="shared" si="49"/>
        <v>43000</v>
      </c>
      <c r="D257" t="str">
        <f t="shared" si="50"/>
        <v>5740</v>
      </c>
      <c r="E257" t="str">
        <f t="shared" si="54"/>
        <v>850PKE</v>
      </c>
      <c r="F257" t="str">
        <f>""</f>
        <v/>
      </c>
      <c r="G257" t="str">
        <f>""</f>
        <v/>
      </c>
      <c r="H257" s="1">
        <v>41557</v>
      </c>
      <c r="I257" t="str">
        <f>"12105282"</f>
        <v>12105282</v>
      </c>
      <c r="J257" t="str">
        <f>"N210974"</f>
        <v>N210974</v>
      </c>
      <c r="K257" t="str">
        <f>"INEI"</f>
        <v>INEI</v>
      </c>
      <c r="L257" t="s">
        <v>1382</v>
      </c>
      <c r="M257">
        <v>299.45</v>
      </c>
    </row>
    <row r="258" spans="1:13" x14ac:dyDescent="0.25">
      <c r="A258" t="str">
        <f t="shared" si="53"/>
        <v>E131</v>
      </c>
      <c r="B258">
        <v>1</v>
      </c>
      <c r="C258" t="str">
        <f t="shared" si="49"/>
        <v>43000</v>
      </c>
      <c r="D258" t="str">
        <f t="shared" si="50"/>
        <v>5740</v>
      </c>
      <c r="E258" t="str">
        <f t="shared" si="54"/>
        <v>850PKE</v>
      </c>
      <c r="F258" t="str">
        <f>""</f>
        <v/>
      </c>
      <c r="G258" t="str">
        <f>""</f>
        <v/>
      </c>
      <c r="H258" s="1">
        <v>41585</v>
      </c>
      <c r="I258" t="str">
        <f>"13798957"</f>
        <v>13798957</v>
      </c>
      <c r="J258" t="str">
        <f>"N210974"</f>
        <v>N210974</v>
      </c>
      <c r="K258" t="str">
        <f>"INEI"</f>
        <v>INEI</v>
      </c>
      <c r="L258" t="s">
        <v>1382</v>
      </c>
      <c r="M258">
        <v>299.60000000000002</v>
      </c>
    </row>
    <row r="259" spans="1:13" x14ac:dyDescent="0.25">
      <c r="A259" t="str">
        <f t="shared" si="53"/>
        <v>E131</v>
      </c>
      <c r="B259">
        <v>1</v>
      </c>
      <c r="C259" t="str">
        <f t="shared" si="49"/>
        <v>43000</v>
      </c>
      <c r="D259" t="str">
        <f t="shared" si="50"/>
        <v>5740</v>
      </c>
      <c r="E259" t="str">
        <f t="shared" si="54"/>
        <v>850PKE</v>
      </c>
      <c r="F259" t="str">
        <f>""</f>
        <v/>
      </c>
      <c r="G259" t="str">
        <f>""</f>
        <v/>
      </c>
      <c r="H259" s="1">
        <v>41608</v>
      </c>
      <c r="I259" t="str">
        <f>"TEL00632"</f>
        <v>TEL00632</v>
      </c>
      <c r="J259" t="str">
        <f>""</f>
        <v/>
      </c>
      <c r="K259" t="str">
        <f>"AS89"</f>
        <v>AS89</v>
      </c>
      <c r="L259" t="s">
        <v>2434</v>
      </c>
      <c r="M259">
        <v>137.68</v>
      </c>
    </row>
    <row r="260" spans="1:13" x14ac:dyDescent="0.25">
      <c r="A260" t="str">
        <f t="shared" si="53"/>
        <v>E131</v>
      </c>
      <c r="B260">
        <v>1</v>
      </c>
      <c r="C260" t="str">
        <f t="shared" si="49"/>
        <v>43000</v>
      </c>
      <c r="D260" t="str">
        <f t="shared" si="50"/>
        <v>5740</v>
      </c>
      <c r="E260" t="str">
        <f t="shared" si="54"/>
        <v>850PKE</v>
      </c>
      <c r="F260" t="str">
        <f>""</f>
        <v/>
      </c>
      <c r="G260" t="str">
        <f>""</f>
        <v/>
      </c>
      <c r="H260" s="1">
        <v>41617</v>
      </c>
      <c r="I260" t="str">
        <f>"15501288"</f>
        <v>15501288</v>
      </c>
      <c r="J260" t="str">
        <f t="shared" ref="J260:J266" si="55">"N210974"</f>
        <v>N210974</v>
      </c>
      <c r="K260" t="str">
        <f t="shared" ref="K260:K266" si="56">"INEI"</f>
        <v>INEI</v>
      </c>
      <c r="L260" t="s">
        <v>1382</v>
      </c>
      <c r="M260">
        <v>299.39999999999998</v>
      </c>
    </row>
    <row r="261" spans="1:13" x14ac:dyDescent="0.25">
      <c r="A261" t="str">
        <f t="shared" si="53"/>
        <v>E131</v>
      </c>
      <c r="B261">
        <v>1</v>
      </c>
      <c r="C261" t="str">
        <f t="shared" si="49"/>
        <v>43000</v>
      </c>
      <c r="D261" t="str">
        <f t="shared" si="50"/>
        <v>5740</v>
      </c>
      <c r="E261" t="str">
        <f t="shared" si="54"/>
        <v>850PKE</v>
      </c>
      <c r="F261" t="str">
        <f>""</f>
        <v/>
      </c>
      <c r="G261" t="str">
        <f>""</f>
        <v/>
      </c>
      <c r="H261" s="1">
        <v>41648</v>
      </c>
      <c r="I261" t="str">
        <f>"17211722"</f>
        <v>17211722</v>
      </c>
      <c r="J261" t="str">
        <f t="shared" si="55"/>
        <v>N210974</v>
      </c>
      <c r="K261" t="str">
        <f t="shared" si="56"/>
        <v>INEI</v>
      </c>
      <c r="L261" t="s">
        <v>1382</v>
      </c>
      <c r="M261">
        <v>299.39999999999998</v>
      </c>
    </row>
    <row r="262" spans="1:13" x14ac:dyDescent="0.25">
      <c r="A262" t="str">
        <f t="shared" si="53"/>
        <v>E131</v>
      </c>
      <c r="B262">
        <v>1</v>
      </c>
      <c r="C262" t="str">
        <f t="shared" si="49"/>
        <v>43000</v>
      </c>
      <c r="D262" t="str">
        <f t="shared" si="50"/>
        <v>5740</v>
      </c>
      <c r="E262" t="str">
        <f t="shared" si="54"/>
        <v>850PKE</v>
      </c>
      <c r="F262" t="str">
        <f>""</f>
        <v/>
      </c>
      <c r="G262" t="str">
        <f>""</f>
        <v/>
      </c>
      <c r="H262" s="1">
        <v>41683</v>
      </c>
      <c r="I262" t="str">
        <f>"18923739"</f>
        <v>18923739</v>
      </c>
      <c r="J262" t="str">
        <f t="shared" si="55"/>
        <v>N210974</v>
      </c>
      <c r="K262" t="str">
        <f t="shared" si="56"/>
        <v>INEI</v>
      </c>
      <c r="L262" t="s">
        <v>1382</v>
      </c>
      <c r="M262">
        <v>299.89999999999998</v>
      </c>
    </row>
    <row r="263" spans="1:13" x14ac:dyDescent="0.25">
      <c r="A263" t="str">
        <f t="shared" si="53"/>
        <v>E131</v>
      </c>
      <c r="B263">
        <v>1</v>
      </c>
      <c r="C263" t="str">
        <f t="shared" si="49"/>
        <v>43000</v>
      </c>
      <c r="D263" t="str">
        <f t="shared" si="50"/>
        <v>5740</v>
      </c>
      <c r="E263" t="str">
        <f t="shared" si="54"/>
        <v>850PKE</v>
      </c>
      <c r="F263" t="str">
        <f>""</f>
        <v/>
      </c>
      <c r="G263" t="str">
        <f>""</f>
        <v/>
      </c>
      <c r="H263" s="1">
        <v>41711</v>
      </c>
      <c r="I263" t="str">
        <f>"I0108197"</f>
        <v>I0108197</v>
      </c>
      <c r="J263" t="str">
        <f t="shared" si="55"/>
        <v>N210974</v>
      </c>
      <c r="K263" t="str">
        <f t="shared" si="56"/>
        <v>INEI</v>
      </c>
      <c r="L263" t="s">
        <v>1382</v>
      </c>
      <c r="M263">
        <v>299.89999999999998</v>
      </c>
    </row>
    <row r="264" spans="1:13" x14ac:dyDescent="0.25">
      <c r="A264" t="str">
        <f t="shared" si="53"/>
        <v>E131</v>
      </c>
      <c r="B264">
        <v>1</v>
      </c>
      <c r="C264" t="str">
        <f t="shared" si="49"/>
        <v>43000</v>
      </c>
      <c r="D264" t="str">
        <f t="shared" si="50"/>
        <v>5740</v>
      </c>
      <c r="E264" t="str">
        <f t="shared" si="54"/>
        <v>850PKE</v>
      </c>
      <c r="F264" t="str">
        <f>""</f>
        <v/>
      </c>
      <c r="G264" t="str">
        <f>""</f>
        <v/>
      </c>
      <c r="H264" s="1">
        <v>41754</v>
      </c>
      <c r="I264" t="str">
        <f>"I0108911"</f>
        <v>I0108911</v>
      </c>
      <c r="J264" t="str">
        <f t="shared" si="55"/>
        <v>N210974</v>
      </c>
      <c r="K264" t="str">
        <f t="shared" si="56"/>
        <v>INEI</v>
      </c>
      <c r="L264" t="s">
        <v>1382</v>
      </c>
      <c r="M264">
        <v>299.89999999999998</v>
      </c>
    </row>
    <row r="265" spans="1:13" x14ac:dyDescent="0.25">
      <c r="A265" t="str">
        <f t="shared" si="53"/>
        <v>E131</v>
      </c>
      <c r="B265">
        <v>1</v>
      </c>
      <c r="C265" t="str">
        <f t="shared" si="49"/>
        <v>43000</v>
      </c>
      <c r="D265" t="str">
        <f t="shared" si="50"/>
        <v>5740</v>
      </c>
      <c r="E265" t="str">
        <f t="shared" si="54"/>
        <v>850PKE</v>
      </c>
      <c r="F265" t="str">
        <f>""</f>
        <v/>
      </c>
      <c r="G265" t="str">
        <f>""</f>
        <v/>
      </c>
      <c r="H265" s="1">
        <v>41778</v>
      </c>
      <c r="I265" t="str">
        <f>"I0109242"</f>
        <v>I0109242</v>
      </c>
      <c r="J265" t="str">
        <f t="shared" si="55"/>
        <v>N210974</v>
      </c>
      <c r="K265" t="str">
        <f t="shared" si="56"/>
        <v>INEI</v>
      </c>
      <c r="L265" t="s">
        <v>1382</v>
      </c>
      <c r="M265">
        <v>300.10000000000002</v>
      </c>
    </row>
    <row r="266" spans="1:13" x14ac:dyDescent="0.25">
      <c r="A266" t="str">
        <f t="shared" si="53"/>
        <v>E131</v>
      </c>
      <c r="B266">
        <v>1</v>
      </c>
      <c r="C266" t="str">
        <f t="shared" si="49"/>
        <v>43000</v>
      </c>
      <c r="D266" t="str">
        <f t="shared" si="50"/>
        <v>5740</v>
      </c>
      <c r="E266" t="str">
        <f t="shared" si="54"/>
        <v>850PKE</v>
      </c>
      <c r="F266" t="str">
        <f>""</f>
        <v/>
      </c>
      <c r="G266" t="str">
        <f>""</f>
        <v/>
      </c>
      <c r="H266" s="1">
        <v>41806</v>
      </c>
      <c r="I266" t="str">
        <f>"I0109739"</f>
        <v>I0109739</v>
      </c>
      <c r="J266" t="str">
        <f t="shared" si="55"/>
        <v>N210974</v>
      </c>
      <c r="K266" t="str">
        <f t="shared" si="56"/>
        <v>INEI</v>
      </c>
      <c r="L266" t="s">
        <v>1382</v>
      </c>
      <c r="M266">
        <v>300.10000000000002</v>
      </c>
    </row>
    <row r="267" spans="1:13" x14ac:dyDescent="0.25">
      <c r="A267" t="str">
        <f t="shared" si="53"/>
        <v>E131</v>
      </c>
      <c r="B267">
        <v>1</v>
      </c>
      <c r="C267" t="str">
        <f t="shared" ref="C267:C275" si="57">"43001"</f>
        <v>43001</v>
      </c>
      <c r="D267" t="str">
        <f t="shared" ref="D267:D275" si="58">"5741"</f>
        <v>5741</v>
      </c>
      <c r="E267" t="str">
        <f t="shared" ref="E267:E276" si="59">"850LOS"</f>
        <v>850LOS</v>
      </c>
      <c r="F267" t="str">
        <f>""</f>
        <v/>
      </c>
      <c r="G267" t="str">
        <f>""</f>
        <v/>
      </c>
      <c r="H267" s="1">
        <v>41486</v>
      </c>
      <c r="I267" t="str">
        <f>"TEL00628"</f>
        <v>TEL00628</v>
      </c>
      <c r="J267" t="str">
        <f>""</f>
        <v/>
      </c>
      <c r="K267" t="str">
        <f t="shared" ref="K267:K275" si="60">"AS89"</f>
        <v>AS89</v>
      </c>
      <c r="L267" t="s">
        <v>2438</v>
      </c>
      <c r="M267">
        <v>122.1</v>
      </c>
    </row>
    <row r="268" spans="1:13" x14ac:dyDescent="0.25">
      <c r="A268" t="str">
        <f t="shared" si="53"/>
        <v>E131</v>
      </c>
      <c r="B268">
        <v>1</v>
      </c>
      <c r="C268" t="str">
        <f t="shared" si="57"/>
        <v>43001</v>
      </c>
      <c r="D268" t="str">
        <f t="shared" si="58"/>
        <v>5741</v>
      </c>
      <c r="E268" t="str">
        <f t="shared" si="59"/>
        <v>850LOS</v>
      </c>
      <c r="F268" t="str">
        <f>""</f>
        <v/>
      </c>
      <c r="G268" t="str">
        <f>""</f>
        <v/>
      </c>
      <c r="H268" s="1">
        <v>41517</v>
      </c>
      <c r="I268" t="str">
        <f>"TEL00629"</f>
        <v>TEL00629</v>
      </c>
      <c r="J268" t="str">
        <f>""</f>
        <v/>
      </c>
      <c r="K268" t="str">
        <f t="shared" si="60"/>
        <v>AS89</v>
      </c>
      <c r="L268" t="s">
        <v>2437</v>
      </c>
      <c r="M268">
        <v>123.03</v>
      </c>
    </row>
    <row r="269" spans="1:13" x14ac:dyDescent="0.25">
      <c r="A269" t="str">
        <f t="shared" si="53"/>
        <v>E131</v>
      </c>
      <c r="B269">
        <v>1</v>
      </c>
      <c r="C269" t="str">
        <f t="shared" si="57"/>
        <v>43001</v>
      </c>
      <c r="D269" t="str">
        <f t="shared" si="58"/>
        <v>5741</v>
      </c>
      <c r="E269" t="str">
        <f t="shared" si="59"/>
        <v>850LOS</v>
      </c>
      <c r="F269" t="str">
        <f>""</f>
        <v/>
      </c>
      <c r="G269" t="str">
        <f>""</f>
        <v/>
      </c>
      <c r="H269" s="1">
        <v>41547</v>
      </c>
      <c r="I269" t="str">
        <f>"TEL00630"</f>
        <v>TEL00630</v>
      </c>
      <c r="J269" t="str">
        <f>""</f>
        <v/>
      </c>
      <c r="K269" t="str">
        <f t="shared" si="60"/>
        <v>AS89</v>
      </c>
      <c r="L269" t="s">
        <v>2436</v>
      </c>
      <c r="M269">
        <v>126.69</v>
      </c>
    </row>
    <row r="270" spans="1:13" x14ac:dyDescent="0.25">
      <c r="A270" t="str">
        <f t="shared" si="53"/>
        <v>E131</v>
      </c>
      <c r="B270">
        <v>1</v>
      </c>
      <c r="C270" t="str">
        <f t="shared" si="57"/>
        <v>43001</v>
      </c>
      <c r="D270" t="str">
        <f t="shared" si="58"/>
        <v>5741</v>
      </c>
      <c r="E270" t="str">
        <f t="shared" si="59"/>
        <v>850LOS</v>
      </c>
      <c r="F270" t="str">
        <f>""</f>
        <v/>
      </c>
      <c r="G270" t="str">
        <f>""</f>
        <v/>
      </c>
      <c r="H270" s="1">
        <v>41578</v>
      </c>
      <c r="I270" t="str">
        <f>"TEL00631"</f>
        <v>TEL00631</v>
      </c>
      <c r="J270" t="str">
        <f>""</f>
        <v/>
      </c>
      <c r="K270" t="str">
        <f t="shared" si="60"/>
        <v>AS89</v>
      </c>
      <c r="L270" t="s">
        <v>2435</v>
      </c>
      <c r="M270">
        <v>124.97</v>
      </c>
    </row>
    <row r="271" spans="1:13" x14ac:dyDescent="0.25">
      <c r="A271" t="str">
        <f t="shared" si="53"/>
        <v>E131</v>
      </c>
      <c r="B271">
        <v>1</v>
      </c>
      <c r="C271" t="str">
        <f t="shared" si="57"/>
        <v>43001</v>
      </c>
      <c r="D271" t="str">
        <f t="shared" si="58"/>
        <v>5741</v>
      </c>
      <c r="E271" t="str">
        <f t="shared" si="59"/>
        <v>850LOS</v>
      </c>
      <c r="F271" t="str">
        <f>""</f>
        <v/>
      </c>
      <c r="G271" t="str">
        <f>""</f>
        <v/>
      </c>
      <c r="H271" s="1">
        <v>41608</v>
      </c>
      <c r="I271" t="str">
        <f>"TEL00632"</f>
        <v>TEL00632</v>
      </c>
      <c r="J271" t="str">
        <f>""</f>
        <v/>
      </c>
      <c r="K271" t="str">
        <f t="shared" si="60"/>
        <v>AS89</v>
      </c>
      <c r="L271" t="s">
        <v>2434</v>
      </c>
      <c r="M271">
        <v>122.1</v>
      </c>
    </row>
    <row r="272" spans="1:13" x14ac:dyDescent="0.25">
      <c r="A272" t="str">
        <f t="shared" si="53"/>
        <v>E131</v>
      </c>
      <c r="B272">
        <v>1</v>
      </c>
      <c r="C272" t="str">
        <f t="shared" si="57"/>
        <v>43001</v>
      </c>
      <c r="D272" t="str">
        <f t="shared" si="58"/>
        <v>5741</v>
      </c>
      <c r="E272" t="str">
        <f t="shared" si="59"/>
        <v>850LOS</v>
      </c>
      <c r="F272" t="str">
        <f>""</f>
        <v/>
      </c>
      <c r="G272" t="str">
        <f>""</f>
        <v/>
      </c>
      <c r="H272" s="1">
        <v>41639</v>
      </c>
      <c r="I272" t="str">
        <f>"TEL00633"</f>
        <v>TEL00633</v>
      </c>
      <c r="J272" t="str">
        <f>""</f>
        <v/>
      </c>
      <c r="K272" t="str">
        <f t="shared" si="60"/>
        <v>AS89</v>
      </c>
      <c r="L272" t="s">
        <v>2433</v>
      </c>
      <c r="M272">
        <v>129.13999999999999</v>
      </c>
    </row>
    <row r="273" spans="1:13" x14ac:dyDescent="0.25">
      <c r="A273" t="str">
        <f t="shared" si="53"/>
        <v>E131</v>
      </c>
      <c r="B273">
        <v>1</v>
      </c>
      <c r="C273" t="str">
        <f t="shared" si="57"/>
        <v>43001</v>
      </c>
      <c r="D273" t="str">
        <f t="shared" si="58"/>
        <v>5741</v>
      </c>
      <c r="E273" t="str">
        <f t="shared" si="59"/>
        <v>850LOS</v>
      </c>
      <c r="F273" t="str">
        <f>""</f>
        <v/>
      </c>
      <c r="G273" t="str">
        <f>""</f>
        <v/>
      </c>
      <c r="H273" s="1">
        <v>41670</v>
      </c>
      <c r="I273" t="str">
        <f>"TEL00634"</f>
        <v>TEL00634</v>
      </c>
      <c r="J273" t="str">
        <f>""</f>
        <v/>
      </c>
      <c r="K273" t="str">
        <f t="shared" si="60"/>
        <v>AS89</v>
      </c>
      <c r="L273" t="s">
        <v>2432</v>
      </c>
      <c r="M273">
        <v>140.12</v>
      </c>
    </row>
    <row r="274" spans="1:13" x14ac:dyDescent="0.25">
      <c r="A274" t="str">
        <f t="shared" si="53"/>
        <v>E131</v>
      </c>
      <c r="B274">
        <v>1</v>
      </c>
      <c r="C274" t="str">
        <f t="shared" si="57"/>
        <v>43001</v>
      </c>
      <c r="D274" t="str">
        <f t="shared" si="58"/>
        <v>5741</v>
      </c>
      <c r="E274" t="str">
        <f t="shared" si="59"/>
        <v>850LOS</v>
      </c>
      <c r="F274" t="str">
        <f>""</f>
        <v/>
      </c>
      <c r="G274" t="str">
        <f>""</f>
        <v/>
      </c>
      <c r="H274" s="1">
        <v>41698</v>
      </c>
      <c r="I274" t="str">
        <f>"TEL00635"</f>
        <v>TEL00635</v>
      </c>
      <c r="J274" t="str">
        <f>""</f>
        <v/>
      </c>
      <c r="K274" t="str">
        <f t="shared" si="60"/>
        <v>AS89</v>
      </c>
      <c r="L274" t="s">
        <v>2431</v>
      </c>
      <c r="M274">
        <v>122.48</v>
      </c>
    </row>
    <row r="275" spans="1:13" x14ac:dyDescent="0.25">
      <c r="A275" t="str">
        <f t="shared" si="53"/>
        <v>E131</v>
      </c>
      <c r="B275">
        <v>1</v>
      </c>
      <c r="C275" t="str">
        <f t="shared" si="57"/>
        <v>43001</v>
      </c>
      <c r="D275" t="str">
        <f t="shared" si="58"/>
        <v>5741</v>
      </c>
      <c r="E275" t="str">
        <f t="shared" si="59"/>
        <v>850LOS</v>
      </c>
      <c r="F275" t="str">
        <f>""</f>
        <v/>
      </c>
      <c r="G275" t="str">
        <f>""</f>
        <v/>
      </c>
      <c r="H275" s="1">
        <v>41729</v>
      </c>
      <c r="I275" t="str">
        <f>"TEL00636"</f>
        <v>TEL00636</v>
      </c>
      <c r="J275" t="str">
        <f>""</f>
        <v/>
      </c>
      <c r="K275" t="str">
        <f t="shared" si="60"/>
        <v>AS89</v>
      </c>
      <c r="L275" t="s">
        <v>2430</v>
      </c>
      <c r="M275">
        <v>122.77</v>
      </c>
    </row>
    <row r="276" spans="1:13" x14ac:dyDescent="0.25">
      <c r="A276" t="str">
        <f>"E132"</f>
        <v>E132</v>
      </c>
      <c r="B276">
        <v>1</v>
      </c>
      <c r="C276" t="str">
        <f>"43000"</f>
        <v>43000</v>
      </c>
      <c r="D276" t="str">
        <f t="shared" ref="D276:D291" si="61">"5620"</f>
        <v>5620</v>
      </c>
      <c r="E276" t="str">
        <f t="shared" si="59"/>
        <v>850LOS</v>
      </c>
      <c r="F276" t="str">
        <f>""</f>
        <v/>
      </c>
      <c r="G276" t="str">
        <f>""</f>
        <v/>
      </c>
      <c r="H276" s="1">
        <v>41820</v>
      </c>
      <c r="I276" t="str">
        <f>"J0010489"</f>
        <v>J0010489</v>
      </c>
      <c r="J276" t="str">
        <f>""</f>
        <v/>
      </c>
      <c r="K276" t="str">
        <f>"J079"</f>
        <v>J079</v>
      </c>
      <c r="L276" t="s">
        <v>2209</v>
      </c>
      <c r="M276">
        <v>141.27000000000001</v>
      </c>
    </row>
    <row r="277" spans="1:13" x14ac:dyDescent="0.25">
      <c r="A277" t="str">
        <f t="shared" ref="A277:A303" si="62">"E133"</f>
        <v>E133</v>
      </c>
      <c r="B277">
        <v>1</v>
      </c>
      <c r="C277" t="str">
        <f t="shared" ref="C277:C288" si="63">"10200"</f>
        <v>10200</v>
      </c>
      <c r="D277" t="str">
        <f t="shared" si="61"/>
        <v>5620</v>
      </c>
      <c r="E277" t="str">
        <f t="shared" ref="E277:E288" si="64">"094OMS"</f>
        <v>094OMS</v>
      </c>
      <c r="F277" t="str">
        <f>""</f>
        <v/>
      </c>
      <c r="G277" t="str">
        <f>""</f>
        <v/>
      </c>
      <c r="H277" s="1">
        <v>41472</v>
      </c>
      <c r="I277" t="str">
        <f>"ACG02319"</f>
        <v>ACG02319</v>
      </c>
      <c r="J277" t="str">
        <f>"06873361"</f>
        <v>06873361</v>
      </c>
      <c r="K277" t="str">
        <f>"AS89"</f>
        <v>AS89</v>
      </c>
      <c r="L277" t="s">
        <v>2094</v>
      </c>
      <c r="M277">
        <v>133.37</v>
      </c>
    </row>
    <row r="278" spans="1:13" x14ac:dyDescent="0.25">
      <c r="A278" t="str">
        <f t="shared" si="62"/>
        <v>E133</v>
      </c>
      <c r="B278">
        <v>1</v>
      </c>
      <c r="C278" t="str">
        <f t="shared" si="63"/>
        <v>10200</v>
      </c>
      <c r="D278" t="str">
        <f t="shared" si="61"/>
        <v>5620</v>
      </c>
      <c r="E278" t="str">
        <f t="shared" si="64"/>
        <v>094OMS</v>
      </c>
      <c r="F278" t="str">
        <f>""</f>
        <v/>
      </c>
      <c r="G278" t="str">
        <f>""</f>
        <v/>
      </c>
      <c r="H278" s="1">
        <v>41487</v>
      </c>
      <c r="I278" t="str">
        <f>"08502565"</f>
        <v>08502565</v>
      </c>
      <c r="J278" t="str">
        <f t="shared" ref="J278:J288" si="65">"N138299D"</f>
        <v>N138299D</v>
      </c>
      <c r="K278" t="str">
        <f t="shared" ref="K278:K290" si="66">"INEI"</f>
        <v>INEI</v>
      </c>
      <c r="L278" t="s">
        <v>1382</v>
      </c>
      <c r="M278">
        <v>200.05</v>
      </c>
    </row>
    <row r="279" spans="1:13" x14ac:dyDescent="0.25">
      <c r="A279" t="str">
        <f t="shared" si="62"/>
        <v>E133</v>
      </c>
      <c r="B279">
        <v>1</v>
      </c>
      <c r="C279" t="str">
        <f t="shared" si="63"/>
        <v>10200</v>
      </c>
      <c r="D279" t="str">
        <f t="shared" si="61"/>
        <v>5620</v>
      </c>
      <c r="E279" t="str">
        <f t="shared" si="64"/>
        <v>094OMS</v>
      </c>
      <c r="F279" t="str">
        <f>""</f>
        <v/>
      </c>
      <c r="G279" t="str">
        <f>""</f>
        <v/>
      </c>
      <c r="H279" s="1">
        <v>41522</v>
      </c>
      <c r="I279" t="str">
        <f>"10181803"</f>
        <v>10181803</v>
      </c>
      <c r="J279" t="str">
        <f t="shared" si="65"/>
        <v>N138299D</v>
      </c>
      <c r="K279" t="str">
        <f t="shared" si="66"/>
        <v>INEI</v>
      </c>
      <c r="L279" t="s">
        <v>1382</v>
      </c>
      <c r="M279">
        <v>200.05</v>
      </c>
    </row>
    <row r="280" spans="1:13" x14ac:dyDescent="0.25">
      <c r="A280" t="str">
        <f t="shared" si="62"/>
        <v>E133</v>
      </c>
      <c r="B280">
        <v>1</v>
      </c>
      <c r="C280" t="str">
        <f t="shared" si="63"/>
        <v>10200</v>
      </c>
      <c r="D280" t="str">
        <f t="shared" si="61"/>
        <v>5620</v>
      </c>
      <c r="E280" t="str">
        <f t="shared" si="64"/>
        <v>094OMS</v>
      </c>
      <c r="F280" t="str">
        <f>""</f>
        <v/>
      </c>
      <c r="G280" t="str">
        <f>""</f>
        <v/>
      </c>
      <c r="H280" s="1">
        <v>41550</v>
      </c>
      <c r="I280" t="str">
        <f>"11860632"</f>
        <v>11860632</v>
      </c>
      <c r="J280" t="str">
        <f t="shared" si="65"/>
        <v>N138299D</v>
      </c>
      <c r="K280" t="str">
        <f t="shared" si="66"/>
        <v>INEI</v>
      </c>
      <c r="L280" t="s">
        <v>1382</v>
      </c>
      <c r="M280">
        <v>200.05</v>
      </c>
    </row>
    <row r="281" spans="1:13" x14ac:dyDescent="0.25">
      <c r="A281" t="str">
        <f t="shared" si="62"/>
        <v>E133</v>
      </c>
      <c r="B281">
        <v>1</v>
      </c>
      <c r="C281" t="str">
        <f t="shared" si="63"/>
        <v>10200</v>
      </c>
      <c r="D281" t="str">
        <f t="shared" si="61"/>
        <v>5620</v>
      </c>
      <c r="E281" t="str">
        <f t="shared" si="64"/>
        <v>094OMS</v>
      </c>
      <c r="F281" t="str">
        <f>""</f>
        <v/>
      </c>
      <c r="G281" t="str">
        <f>""</f>
        <v/>
      </c>
      <c r="H281" s="1">
        <v>41585</v>
      </c>
      <c r="I281" t="str">
        <f>"13554149"</f>
        <v>13554149</v>
      </c>
      <c r="J281" t="str">
        <f t="shared" si="65"/>
        <v>N138299D</v>
      </c>
      <c r="K281" t="str">
        <f t="shared" si="66"/>
        <v>INEI</v>
      </c>
      <c r="L281" t="s">
        <v>1382</v>
      </c>
      <c r="M281">
        <v>200.33</v>
      </c>
    </row>
    <row r="282" spans="1:13" x14ac:dyDescent="0.25">
      <c r="A282" t="str">
        <f t="shared" si="62"/>
        <v>E133</v>
      </c>
      <c r="B282">
        <v>1</v>
      </c>
      <c r="C282" t="str">
        <f t="shared" si="63"/>
        <v>10200</v>
      </c>
      <c r="D282" t="str">
        <f t="shared" si="61"/>
        <v>5620</v>
      </c>
      <c r="E282" t="str">
        <f t="shared" si="64"/>
        <v>094OMS</v>
      </c>
      <c r="F282" t="str">
        <f>""</f>
        <v/>
      </c>
      <c r="G282" t="str">
        <f>""</f>
        <v/>
      </c>
      <c r="H282" s="1">
        <v>41617</v>
      </c>
      <c r="I282" t="str">
        <f>"15256535"</f>
        <v>15256535</v>
      </c>
      <c r="J282" t="str">
        <f t="shared" si="65"/>
        <v>N138299D</v>
      </c>
      <c r="K282" t="str">
        <f t="shared" si="66"/>
        <v>INEI</v>
      </c>
      <c r="L282" t="s">
        <v>1382</v>
      </c>
      <c r="M282">
        <v>200.07</v>
      </c>
    </row>
    <row r="283" spans="1:13" x14ac:dyDescent="0.25">
      <c r="A283" t="str">
        <f t="shared" si="62"/>
        <v>E133</v>
      </c>
      <c r="B283">
        <v>1</v>
      </c>
      <c r="C283" t="str">
        <f t="shared" si="63"/>
        <v>10200</v>
      </c>
      <c r="D283" t="str">
        <f t="shared" si="61"/>
        <v>5620</v>
      </c>
      <c r="E283" t="str">
        <f t="shared" si="64"/>
        <v>094OMS</v>
      </c>
      <c r="F283" t="str">
        <f>""</f>
        <v/>
      </c>
      <c r="G283" t="str">
        <f>""</f>
        <v/>
      </c>
      <c r="H283" s="1">
        <v>41648</v>
      </c>
      <c r="I283" t="str">
        <f>"16966939"</f>
        <v>16966939</v>
      </c>
      <c r="J283" t="str">
        <f t="shared" si="65"/>
        <v>N138299D</v>
      </c>
      <c r="K283" t="str">
        <f t="shared" si="66"/>
        <v>INEI</v>
      </c>
      <c r="L283" t="s">
        <v>1382</v>
      </c>
      <c r="M283">
        <v>200.49</v>
      </c>
    </row>
    <row r="284" spans="1:13" x14ac:dyDescent="0.25">
      <c r="A284" t="str">
        <f t="shared" si="62"/>
        <v>E133</v>
      </c>
      <c r="B284">
        <v>1</v>
      </c>
      <c r="C284" t="str">
        <f t="shared" si="63"/>
        <v>10200</v>
      </c>
      <c r="D284" t="str">
        <f t="shared" si="61"/>
        <v>5620</v>
      </c>
      <c r="E284" t="str">
        <f t="shared" si="64"/>
        <v>094OMS</v>
      </c>
      <c r="F284" t="str">
        <f>""</f>
        <v/>
      </c>
      <c r="G284" t="str">
        <f>""</f>
        <v/>
      </c>
      <c r="H284" s="1">
        <v>41676</v>
      </c>
      <c r="I284" t="str">
        <f>"18678650"</f>
        <v>18678650</v>
      </c>
      <c r="J284" t="str">
        <f t="shared" si="65"/>
        <v>N138299D</v>
      </c>
      <c r="K284" t="str">
        <f t="shared" si="66"/>
        <v>INEI</v>
      </c>
      <c r="L284" t="s">
        <v>1382</v>
      </c>
      <c r="M284">
        <v>200.07</v>
      </c>
    </row>
    <row r="285" spans="1:13" x14ac:dyDescent="0.25">
      <c r="A285" t="str">
        <f t="shared" si="62"/>
        <v>E133</v>
      </c>
      <c r="B285">
        <v>1</v>
      </c>
      <c r="C285" t="str">
        <f t="shared" si="63"/>
        <v>10200</v>
      </c>
      <c r="D285" t="str">
        <f t="shared" si="61"/>
        <v>5620</v>
      </c>
      <c r="E285" t="str">
        <f t="shared" si="64"/>
        <v>094OMS</v>
      </c>
      <c r="F285" t="str">
        <f>""</f>
        <v/>
      </c>
      <c r="G285" t="str">
        <f>""</f>
        <v/>
      </c>
      <c r="H285" s="1">
        <v>41736</v>
      </c>
      <c r="I285" t="str">
        <f>"I0108589"</f>
        <v>I0108589</v>
      </c>
      <c r="J285" t="str">
        <f t="shared" si="65"/>
        <v>N138299D</v>
      </c>
      <c r="K285" t="str">
        <f t="shared" si="66"/>
        <v>INEI</v>
      </c>
      <c r="L285" t="s">
        <v>1382</v>
      </c>
      <c r="M285">
        <v>400.14</v>
      </c>
    </row>
    <row r="286" spans="1:13" x14ac:dyDescent="0.25">
      <c r="A286" t="str">
        <f t="shared" si="62"/>
        <v>E133</v>
      </c>
      <c r="B286">
        <v>1</v>
      </c>
      <c r="C286" t="str">
        <f t="shared" si="63"/>
        <v>10200</v>
      </c>
      <c r="D286" t="str">
        <f t="shared" si="61"/>
        <v>5620</v>
      </c>
      <c r="E286" t="str">
        <f t="shared" si="64"/>
        <v>094OMS</v>
      </c>
      <c r="F286" t="str">
        <f>""</f>
        <v/>
      </c>
      <c r="G286" t="str">
        <f>""</f>
        <v/>
      </c>
      <c r="H286" s="1">
        <v>41767</v>
      </c>
      <c r="I286" t="str">
        <f>"I0109157"</f>
        <v>I0109157</v>
      </c>
      <c r="J286" t="str">
        <f t="shared" si="65"/>
        <v>N138299D</v>
      </c>
      <c r="K286" t="str">
        <f t="shared" si="66"/>
        <v>INEI</v>
      </c>
      <c r="L286" t="s">
        <v>1382</v>
      </c>
      <c r="M286">
        <v>200.09</v>
      </c>
    </row>
    <row r="287" spans="1:13" x14ac:dyDescent="0.25">
      <c r="A287" t="str">
        <f t="shared" si="62"/>
        <v>E133</v>
      </c>
      <c r="B287">
        <v>1</v>
      </c>
      <c r="C287" t="str">
        <f t="shared" si="63"/>
        <v>10200</v>
      </c>
      <c r="D287" t="str">
        <f t="shared" si="61"/>
        <v>5620</v>
      </c>
      <c r="E287" t="str">
        <f t="shared" si="64"/>
        <v>094OMS</v>
      </c>
      <c r="F287" t="str">
        <f>""</f>
        <v/>
      </c>
      <c r="G287" t="str">
        <f>""</f>
        <v/>
      </c>
      <c r="H287" s="1">
        <v>41795</v>
      </c>
      <c r="I287" t="str">
        <f>"I0109584"</f>
        <v>I0109584</v>
      </c>
      <c r="J287" t="str">
        <f t="shared" si="65"/>
        <v>N138299D</v>
      </c>
      <c r="K287" t="str">
        <f t="shared" si="66"/>
        <v>INEI</v>
      </c>
      <c r="L287" t="s">
        <v>1382</v>
      </c>
      <c r="M287">
        <v>200.05</v>
      </c>
    </row>
    <row r="288" spans="1:13" x14ac:dyDescent="0.25">
      <c r="A288" t="str">
        <f t="shared" si="62"/>
        <v>E133</v>
      </c>
      <c r="B288">
        <v>1</v>
      </c>
      <c r="C288" t="str">
        <f t="shared" si="63"/>
        <v>10200</v>
      </c>
      <c r="D288" t="str">
        <f t="shared" si="61"/>
        <v>5620</v>
      </c>
      <c r="E288" t="str">
        <f t="shared" si="64"/>
        <v>094OMS</v>
      </c>
      <c r="F288" t="str">
        <f>""</f>
        <v/>
      </c>
      <c r="G288" t="str">
        <f>""</f>
        <v/>
      </c>
      <c r="H288" s="1">
        <v>41820</v>
      </c>
      <c r="I288" t="str">
        <f>"I0110062"</f>
        <v>I0110062</v>
      </c>
      <c r="J288" t="str">
        <f t="shared" si="65"/>
        <v>N138299D</v>
      </c>
      <c r="K288" t="str">
        <f t="shared" si="66"/>
        <v>INEI</v>
      </c>
      <c r="L288" t="s">
        <v>1382</v>
      </c>
      <c r="M288">
        <v>200.07</v>
      </c>
    </row>
    <row r="289" spans="1:13" x14ac:dyDescent="0.25">
      <c r="A289" t="str">
        <f t="shared" si="62"/>
        <v>E133</v>
      </c>
      <c r="B289">
        <v>1</v>
      </c>
      <c r="C289" t="str">
        <f>"43000"</f>
        <v>43000</v>
      </c>
      <c r="D289" t="str">
        <f t="shared" si="61"/>
        <v>5620</v>
      </c>
      <c r="E289" t="str">
        <f>"850PAY"</f>
        <v>850PAY</v>
      </c>
      <c r="F289" t="str">
        <f>""</f>
        <v/>
      </c>
      <c r="G289" t="str">
        <f>""</f>
        <v/>
      </c>
      <c r="H289" s="1">
        <v>41765</v>
      </c>
      <c r="I289" t="str">
        <f>"I0109102"</f>
        <v>I0109102</v>
      </c>
      <c r="J289" t="str">
        <f>"N138259D"</f>
        <v>N138259D</v>
      </c>
      <c r="K289" t="str">
        <f t="shared" si="66"/>
        <v>INEI</v>
      </c>
      <c r="L289" t="s">
        <v>1381</v>
      </c>
      <c r="M289">
        <v>264.58</v>
      </c>
    </row>
    <row r="290" spans="1:13" x14ac:dyDescent="0.25">
      <c r="A290" t="str">
        <f t="shared" si="62"/>
        <v>E133</v>
      </c>
      <c r="B290">
        <v>1</v>
      </c>
      <c r="C290" t="str">
        <f>"43000"</f>
        <v>43000</v>
      </c>
      <c r="D290" t="str">
        <f t="shared" si="61"/>
        <v>5620</v>
      </c>
      <c r="E290" t="str">
        <f>"850PAY"</f>
        <v>850PAY</v>
      </c>
      <c r="F290" t="str">
        <f>""</f>
        <v/>
      </c>
      <c r="G290" t="str">
        <f>""</f>
        <v/>
      </c>
      <c r="H290" s="1">
        <v>41820</v>
      </c>
      <c r="I290" t="str">
        <f>"I0110092"</f>
        <v>I0110092</v>
      </c>
      <c r="J290" t="str">
        <f>"N138259D"</f>
        <v>N138259D</v>
      </c>
      <c r="K290" t="str">
        <f t="shared" si="66"/>
        <v>INEI</v>
      </c>
      <c r="L290" t="s">
        <v>1381</v>
      </c>
      <c r="M290">
        <v>129.69999999999999</v>
      </c>
    </row>
    <row r="291" spans="1:13" x14ac:dyDescent="0.25">
      <c r="A291" t="str">
        <f t="shared" si="62"/>
        <v>E133</v>
      </c>
      <c r="B291">
        <v>1</v>
      </c>
      <c r="C291" t="str">
        <f>"43000"</f>
        <v>43000</v>
      </c>
      <c r="D291" t="str">
        <f t="shared" si="61"/>
        <v>5620</v>
      </c>
      <c r="E291" t="str">
        <f>"850PAY"</f>
        <v>850PAY</v>
      </c>
      <c r="F291" t="str">
        <f>""</f>
        <v/>
      </c>
      <c r="G291" t="str">
        <f>""</f>
        <v/>
      </c>
      <c r="H291" s="1">
        <v>41820</v>
      </c>
      <c r="I291" t="str">
        <f>"J0009229"</f>
        <v>J0009229</v>
      </c>
      <c r="J291" t="str">
        <f>""</f>
        <v/>
      </c>
      <c r="K291" t="str">
        <f>"J096"</f>
        <v>J096</v>
      </c>
      <c r="L291" t="s">
        <v>2208</v>
      </c>
      <c r="M291" s="2">
        <v>9679.09</v>
      </c>
    </row>
    <row r="292" spans="1:13" x14ac:dyDescent="0.25">
      <c r="A292" t="str">
        <f t="shared" si="62"/>
        <v>E133</v>
      </c>
      <c r="B292">
        <v>1</v>
      </c>
      <c r="C292" t="str">
        <f t="shared" ref="C292:C303" si="67">"43003"</f>
        <v>43003</v>
      </c>
      <c r="D292" t="str">
        <f t="shared" ref="D292:D303" si="68">"5740"</f>
        <v>5740</v>
      </c>
      <c r="E292" t="str">
        <f t="shared" ref="E292:E303" si="69">"850LOS"</f>
        <v>850LOS</v>
      </c>
      <c r="F292" t="str">
        <f>""</f>
        <v/>
      </c>
      <c r="G292" t="str">
        <f>""</f>
        <v/>
      </c>
      <c r="H292" s="1">
        <v>41487</v>
      </c>
      <c r="I292" t="str">
        <f>"I0106598"</f>
        <v>I0106598</v>
      </c>
      <c r="J292" t="str">
        <f t="shared" ref="J292:J302" si="70">"N138259D"</f>
        <v>N138259D</v>
      </c>
      <c r="K292" t="str">
        <f t="shared" ref="K292:K302" si="71">"INEI"</f>
        <v>INEI</v>
      </c>
      <c r="L292" t="s">
        <v>1381</v>
      </c>
      <c r="M292">
        <v>481.58</v>
      </c>
    </row>
    <row r="293" spans="1:13" x14ac:dyDescent="0.25">
      <c r="A293" t="str">
        <f t="shared" si="62"/>
        <v>E133</v>
      </c>
      <c r="B293">
        <v>1</v>
      </c>
      <c r="C293" t="str">
        <f t="shared" si="67"/>
        <v>43003</v>
      </c>
      <c r="D293" t="str">
        <f t="shared" si="68"/>
        <v>5740</v>
      </c>
      <c r="E293" t="str">
        <f t="shared" si="69"/>
        <v>850LOS</v>
      </c>
      <c r="F293" t="str">
        <f>""</f>
        <v/>
      </c>
      <c r="G293" t="str">
        <f>""</f>
        <v/>
      </c>
      <c r="H293" s="1">
        <v>41522</v>
      </c>
      <c r="I293" t="str">
        <f>"I0106878"</f>
        <v>I0106878</v>
      </c>
      <c r="J293" t="str">
        <f t="shared" si="70"/>
        <v>N138259D</v>
      </c>
      <c r="K293" t="str">
        <f t="shared" si="71"/>
        <v>INEI</v>
      </c>
      <c r="L293" t="s">
        <v>1381</v>
      </c>
      <c r="M293">
        <v>482.04</v>
      </c>
    </row>
    <row r="294" spans="1:13" x14ac:dyDescent="0.25">
      <c r="A294" t="str">
        <f t="shared" si="62"/>
        <v>E133</v>
      </c>
      <c r="B294">
        <v>1</v>
      </c>
      <c r="C294" t="str">
        <f t="shared" si="67"/>
        <v>43003</v>
      </c>
      <c r="D294" t="str">
        <f t="shared" si="68"/>
        <v>5740</v>
      </c>
      <c r="E294" t="str">
        <f t="shared" si="69"/>
        <v>850LOS</v>
      </c>
      <c r="F294" t="str">
        <f>""</f>
        <v/>
      </c>
      <c r="G294" t="str">
        <f>""</f>
        <v/>
      </c>
      <c r="H294" s="1">
        <v>41551</v>
      </c>
      <c r="I294" t="str">
        <f>"I0107046"</f>
        <v>I0107046</v>
      </c>
      <c r="J294" t="str">
        <f t="shared" si="70"/>
        <v>N138259D</v>
      </c>
      <c r="K294" t="str">
        <f t="shared" si="71"/>
        <v>INEI</v>
      </c>
      <c r="L294" t="s">
        <v>1381</v>
      </c>
      <c r="M294">
        <v>481.58</v>
      </c>
    </row>
    <row r="295" spans="1:13" x14ac:dyDescent="0.25">
      <c r="A295" t="str">
        <f t="shared" si="62"/>
        <v>E133</v>
      </c>
      <c r="B295">
        <v>1</v>
      </c>
      <c r="C295" t="str">
        <f t="shared" si="67"/>
        <v>43003</v>
      </c>
      <c r="D295" t="str">
        <f t="shared" si="68"/>
        <v>5740</v>
      </c>
      <c r="E295" t="str">
        <f t="shared" si="69"/>
        <v>850LOS</v>
      </c>
      <c r="F295" t="str">
        <f>""</f>
        <v/>
      </c>
      <c r="G295" t="str">
        <f>""</f>
        <v/>
      </c>
      <c r="H295" s="1">
        <v>41585</v>
      </c>
      <c r="I295" t="str">
        <f>"I0107332"</f>
        <v>I0107332</v>
      </c>
      <c r="J295" t="str">
        <f t="shared" si="70"/>
        <v>N138259D</v>
      </c>
      <c r="K295" t="str">
        <f t="shared" si="71"/>
        <v>INEI</v>
      </c>
      <c r="L295" t="s">
        <v>1381</v>
      </c>
      <c r="M295">
        <v>482.7</v>
      </c>
    </row>
    <row r="296" spans="1:13" x14ac:dyDescent="0.25">
      <c r="A296" t="str">
        <f t="shared" si="62"/>
        <v>E133</v>
      </c>
      <c r="B296">
        <v>1</v>
      </c>
      <c r="C296" t="str">
        <f t="shared" si="67"/>
        <v>43003</v>
      </c>
      <c r="D296" t="str">
        <f t="shared" si="68"/>
        <v>5740</v>
      </c>
      <c r="E296" t="str">
        <f t="shared" si="69"/>
        <v>850LOS</v>
      </c>
      <c r="F296" t="str">
        <f>""</f>
        <v/>
      </c>
      <c r="G296" t="str">
        <f>""</f>
        <v/>
      </c>
      <c r="H296" s="1">
        <v>41613</v>
      </c>
      <c r="I296" t="str">
        <f>"I0107472"</f>
        <v>I0107472</v>
      </c>
      <c r="J296" t="str">
        <f t="shared" si="70"/>
        <v>N138259D</v>
      </c>
      <c r="K296" t="str">
        <f t="shared" si="71"/>
        <v>INEI</v>
      </c>
      <c r="L296" t="s">
        <v>1381</v>
      </c>
      <c r="M296">
        <v>482.02</v>
      </c>
    </row>
    <row r="297" spans="1:13" x14ac:dyDescent="0.25">
      <c r="A297" t="str">
        <f t="shared" si="62"/>
        <v>E133</v>
      </c>
      <c r="B297">
        <v>1</v>
      </c>
      <c r="C297" t="str">
        <f t="shared" si="67"/>
        <v>43003</v>
      </c>
      <c r="D297" t="str">
        <f t="shared" si="68"/>
        <v>5740</v>
      </c>
      <c r="E297" t="str">
        <f t="shared" si="69"/>
        <v>850LOS</v>
      </c>
      <c r="F297" t="str">
        <f>""</f>
        <v/>
      </c>
      <c r="G297" t="str">
        <f>""</f>
        <v/>
      </c>
      <c r="H297" s="1">
        <v>41648</v>
      </c>
      <c r="I297" t="str">
        <f>"I0107719"</f>
        <v>I0107719</v>
      </c>
      <c r="J297" t="str">
        <f t="shared" si="70"/>
        <v>N138259D</v>
      </c>
      <c r="K297" t="str">
        <f t="shared" si="71"/>
        <v>INEI</v>
      </c>
      <c r="L297" t="s">
        <v>1381</v>
      </c>
      <c r="M297">
        <v>483.12</v>
      </c>
    </row>
    <row r="298" spans="1:13" x14ac:dyDescent="0.25">
      <c r="A298" t="str">
        <f t="shared" si="62"/>
        <v>E133</v>
      </c>
      <c r="B298">
        <v>1</v>
      </c>
      <c r="C298" t="str">
        <f t="shared" si="67"/>
        <v>43003</v>
      </c>
      <c r="D298" t="str">
        <f t="shared" si="68"/>
        <v>5740</v>
      </c>
      <c r="E298" t="str">
        <f t="shared" si="69"/>
        <v>850LOS</v>
      </c>
      <c r="F298" t="str">
        <f>""</f>
        <v/>
      </c>
      <c r="G298" t="str">
        <f>""</f>
        <v/>
      </c>
      <c r="H298" s="1">
        <v>41676</v>
      </c>
      <c r="I298" t="str">
        <f>"I0107884"</f>
        <v>I0107884</v>
      </c>
      <c r="J298" t="str">
        <f t="shared" si="70"/>
        <v>N138259D</v>
      </c>
      <c r="K298" t="str">
        <f t="shared" si="71"/>
        <v>INEI</v>
      </c>
      <c r="L298" t="s">
        <v>1381</v>
      </c>
      <c r="M298">
        <v>478.39</v>
      </c>
    </row>
    <row r="299" spans="1:13" x14ac:dyDescent="0.25">
      <c r="A299" t="str">
        <f t="shared" si="62"/>
        <v>E133</v>
      </c>
      <c r="B299">
        <v>1</v>
      </c>
      <c r="C299" t="str">
        <f t="shared" si="67"/>
        <v>43003</v>
      </c>
      <c r="D299" t="str">
        <f t="shared" si="68"/>
        <v>5740</v>
      </c>
      <c r="E299" t="str">
        <f t="shared" si="69"/>
        <v>850LOS</v>
      </c>
      <c r="F299" t="str">
        <f>""</f>
        <v/>
      </c>
      <c r="G299" t="str">
        <f>""</f>
        <v/>
      </c>
      <c r="H299" s="1">
        <v>41704</v>
      </c>
      <c r="I299" t="str">
        <f>"I0108095"</f>
        <v>I0108095</v>
      </c>
      <c r="J299" t="str">
        <f t="shared" si="70"/>
        <v>N138259D</v>
      </c>
      <c r="K299" t="str">
        <f t="shared" si="71"/>
        <v>INEI</v>
      </c>
      <c r="L299" t="s">
        <v>1381</v>
      </c>
      <c r="M299">
        <v>479.05</v>
      </c>
    </row>
    <row r="300" spans="1:13" x14ac:dyDescent="0.25">
      <c r="A300" t="str">
        <f t="shared" si="62"/>
        <v>E133</v>
      </c>
      <c r="B300">
        <v>1</v>
      </c>
      <c r="C300" t="str">
        <f t="shared" si="67"/>
        <v>43003</v>
      </c>
      <c r="D300" t="str">
        <f t="shared" si="68"/>
        <v>5740</v>
      </c>
      <c r="E300" t="str">
        <f t="shared" si="69"/>
        <v>850LOS</v>
      </c>
      <c r="F300" t="str">
        <f>""</f>
        <v/>
      </c>
      <c r="G300" t="str">
        <f>""</f>
        <v/>
      </c>
      <c r="H300" s="1">
        <v>41739</v>
      </c>
      <c r="I300" t="str">
        <f>"I0108626"</f>
        <v>I0108626</v>
      </c>
      <c r="J300" t="str">
        <f t="shared" si="70"/>
        <v>N138259D</v>
      </c>
      <c r="K300" t="str">
        <f t="shared" si="71"/>
        <v>INEI</v>
      </c>
      <c r="L300" t="s">
        <v>1381</v>
      </c>
      <c r="M300">
        <v>478.39</v>
      </c>
    </row>
    <row r="301" spans="1:13" x14ac:dyDescent="0.25">
      <c r="A301" t="str">
        <f t="shared" si="62"/>
        <v>E133</v>
      </c>
      <c r="B301">
        <v>1</v>
      </c>
      <c r="C301" t="str">
        <f t="shared" si="67"/>
        <v>43003</v>
      </c>
      <c r="D301" t="str">
        <f t="shared" si="68"/>
        <v>5740</v>
      </c>
      <c r="E301" t="str">
        <f t="shared" si="69"/>
        <v>850LOS</v>
      </c>
      <c r="F301" t="str">
        <f>""</f>
        <v/>
      </c>
      <c r="G301" t="str">
        <f>""</f>
        <v/>
      </c>
      <c r="H301" s="1">
        <v>41765</v>
      </c>
      <c r="I301" t="str">
        <f>"I0109102"</f>
        <v>I0109102</v>
      </c>
      <c r="J301" t="str">
        <f t="shared" si="70"/>
        <v>N138259D</v>
      </c>
      <c r="K301" t="str">
        <f t="shared" si="71"/>
        <v>INEI</v>
      </c>
      <c r="L301" t="s">
        <v>1381</v>
      </c>
      <c r="M301">
        <v>685.38</v>
      </c>
    </row>
    <row r="302" spans="1:13" x14ac:dyDescent="0.25">
      <c r="A302" t="str">
        <f t="shared" si="62"/>
        <v>E133</v>
      </c>
      <c r="B302">
        <v>1</v>
      </c>
      <c r="C302" t="str">
        <f t="shared" si="67"/>
        <v>43003</v>
      </c>
      <c r="D302" t="str">
        <f t="shared" si="68"/>
        <v>5740</v>
      </c>
      <c r="E302" t="str">
        <f t="shared" si="69"/>
        <v>850LOS</v>
      </c>
      <c r="F302" t="str">
        <f>""</f>
        <v/>
      </c>
      <c r="G302" t="str">
        <f>""</f>
        <v/>
      </c>
      <c r="H302" s="1">
        <v>41820</v>
      </c>
      <c r="I302" t="str">
        <f>"I0110092"</f>
        <v>I0110092</v>
      </c>
      <c r="J302" t="str">
        <f t="shared" si="70"/>
        <v>N138259D</v>
      </c>
      <c r="K302" t="str">
        <f t="shared" si="71"/>
        <v>INEI</v>
      </c>
      <c r="L302" t="s">
        <v>1381</v>
      </c>
      <c r="M302">
        <v>335.97</v>
      </c>
    </row>
    <row r="303" spans="1:13" x14ac:dyDescent="0.25">
      <c r="A303" t="str">
        <f t="shared" si="62"/>
        <v>E133</v>
      </c>
      <c r="B303">
        <v>1</v>
      </c>
      <c r="C303" t="str">
        <f t="shared" si="67"/>
        <v>43003</v>
      </c>
      <c r="D303" t="str">
        <f t="shared" si="68"/>
        <v>5740</v>
      </c>
      <c r="E303" t="str">
        <f t="shared" si="69"/>
        <v>850LOS</v>
      </c>
      <c r="F303" t="str">
        <f>""</f>
        <v/>
      </c>
      <c r="G303" t="str">
        <f>""</f>
        <v/>
      </c>
      <c r="H303" s="1">
        <v>41820</v>
      </c>
      <c r="I303" t="str">
        <f>"J0008501"</f>
        <v>J0008501</v>
      </c>
      <c r="J303" t="str">
        <f>""</f>
        <v/>
      </c>
      <c r="K303" t="str">
        <f>"J096"</f>
        <v>J096</v>
      </c>
      <c r="L303" t="s">
        <v>2196</v>
      </c>
      <c r="M303" s="2">
        <v>4328.87</v>
      </c>
    </row>
    <row r="304" spans="1:13" x14ac:dyDescent="0.25">
      <c r="A304" t="str">
        <f>"E135"</f>
        <v>E135</v>
      </c>
      <c r="B304">
        <v>1</v>
      </c>
      <c r="C304" t="str">
        <f t="shared" ref="C304:C311" si="72">"10200"</f>
        <v>10200</v>
      </c>
      <c r="D304" t="str">
        <f t="shared" ref="D304:D311" si="73">"5620"</f>
        <v>5620</v>
      </c>
      <c r="E304" t="str">
        <f t="shared" ref="E304:E311" si="74">"094OMS"</f>
        <v>094OMS</v>
      </c>
      <c r="F304" t="str">
        <f>""</f>
        <v/>
      </c>
      <c r="G304" t="str">
        <f>""</f>
        <v/>
      </c>
      <c r="H304" s="1">
        <v>41648</v>
      </c>
      <c r="I304" t="str">
        <f>"0052732"</f>
        <v>0052732</v>
      </c>
      <c r="J304" t="str">
        <f>"N171000U"</f>
        <v>N171000U</v>
      </c>
      <c r="K304" t="str">
        <f>"INEI"</f>
        <v>INEI</v>
      </c>
      <c r="L304" t="s">
        <v>78</v>
      </c>
      <c r="M304" s="2">
        <v>2130</v>
      </c>
    </row>
    <row r="305" spans="1:13" x14ac:dyDescent="0.25">
      <c r="A305" t="str">
        <f>"E135"</f>
        <v>E135</v>
      </c>
      <c r="B305">
        <v>1</v>
      </c>
      <c r="C305" t="str">
        <f t="shared" si="72"/>
        <v>10200</v>
      </c>
      <c r="D305" t="str">
        <f t="shared" si="73"/>
        <v>5620</v>
      </c>
      <c r="E305" t="str">
        <f t="shared" si="74"/>
        <v>094OMS</v>
      </c>
      <c r="F305" t="str">
        <f>""</f>
        <v/>
      </c>
      <c r="G305" t="str">
        <f>""</f>
        <v/>
      </c>
      <c r="H305" s="1">
        <v>41684</v>
      </c>
      <c r="I305" t="str">
        <f>"14005276"</f>
        <v>14005276</v>
      </c>
      <c r="J305" t="str">
        <f>"N171000U"</f>
        <v>N171000U</v>
      </c>
      <c r="K305" t="str">
        <f>"INEI"</f>
        <v>INEI</v>
      </c>
      <c r="L305" t="s">
        <v>78</v>
      </c>
      <c r="M305" s="2">
        <v>1390</v>
      </c>
    </row>
    <row r="306" spans="1:13" x14ac:dyDescent="0.25">
      <c r="A306" t="str">
        <f>"E135"</f>
        <v>E135</v>
      </c>
      <c r="B306">
        <v>1</v>
      </c>
      <c r="C306" t="str">
        <f t="shared" si="72"/>
        <v>10200</v>
      </c>
      <c r="D306" t="str">
        <f t="shared" si="73"/>
        <v>5620</v>
      </c>
      <c r="E306" t="str">
        <f t="shared" si="74"/>
        <v>094OMS</v>
      </c>
      <c r="F306" t="str">
        <f>""</f>
        <v/>
      </c>
      <c r="G306" t="str">
        <f>""</f>
        <v/>
      </c>
      <c r="H306" s="1">
        <v>41730</v>
      </c>
      <c r="I306" t="str">
        <f>"I0108380"</f>
        <v>I0108380</v>
      </c>
      <c r="J306" t="str">
        <f>"N171000U"</f>
        <v>N171000U</v>
      </c>
      <c r="K306" t="str">
        <f>"INEI"</f>
        <v>INEI</v>
      </c>
      <c r="L306" t="s">
        <v>78</v>
      </c>
      <c r="M306" s="2">
        <v>1065</v>
      </c>
    </row>
    <row r="307" spans="1:13" x14ac:dyDescent="0.25">
      <c r="A307" t="str">
        <f>"E135"</f>
        <v>E135</v>
      </c>
      <c r="B307">
        <v>1</v>
      </c>
      <c r="C307" t="str">
        <f t="shared" si="72"/>
        <v>10200</v>
      </c>
      <c r="D307" t="str">
        <f t="shared" si="73"/>
        <v>5620</v>
      </c>
      <c r="E307" t="str">
        <f t="shared" si="74"/>
        <v>094OMS</v>
      </c>
      <c r="F307" t="str">
        <f>""</f>
        <v/>
      </c>
      <c r="G307" t="str">
        <f>""</f>
        <v/>
      </c>
      <c r="H307" s="1">
        <v>41820</v>
      </c>
      <c r="I307" t="str">
        <f>"I0110215"</f>
        <v>I0110215</v>
      </c>
      <c r="J307" t="str">
        <f>"N171000U"</f>
        <v>N171000U</v>
      </c>
      <c r="K307" t="str">
        <f>"INEI"</f>
        <v>INEI</v>
      </c>
      <c r="L307" t="s">
        <v>78</v>
      </c>
      <c r="M307" s="2">
        <v>1065</v>
      </c>
    </row>
    <row r="308" spans="1:13" x14ac:dyDescent="0.25">
      <c r="A308" t="str">
        <f>"E135"</f>
        <v>E135</v>
      </c>
      <c r="B308">
        <v>1</v>
      </c>
      <c r="C308" t="str">
        <f t="shared" si="72"/>
        <v>10200</v>
      </c>
      <c r="D308" t="str">
        <f t="shared" si="73"/>
        <v>5620</v>
      </c>
      <c r="E308" t="str">
        <f t="shared" si="74"/>
        <v>094OMS</v>
      </c>
      <c r="F308" t="str">
        <f>""</f>
        <v/>
      </c>
      <c r="G308" t="str">
        <f>""</f>
        <v/>
      </c>
      <c r="H308" s="1">
        <v>41820</v>
      </c>
      <c r="I308" t="str">
        <f>"I0110321"</f>
        <v>I0110321</v>
      </c>
      <c r="J308" t="str">
        <f>"N171000U"</f>
        <v>N171000U</v>
      </c>
      <c r="K308" t="str">
        <f>"INEI"</f>
        <v>INEI</v>
      </c>
      <c r="L308" t="s">
        <v>78</v>
      </c>
      <c r="M308" s="2">
        <v>1280</v>
      </c>
    </row>
    <row r="309" spans="1:13" x14ac:dyDescent="0.25">
      <c r="A309" t="str">
        <f>"E150"</f>
        <v>E150</v>
      </c>
      <c r="B309">
        <v>1</v>
      </c>
      <c r="C309" t="str">
        <f t="shared" si="72"/>
        <v>10200</v>
      </c>
      <c r="D309" t="str">
        <f t="shared" si="73"/>
        <v>5620</v>
      </c>
      <c r="E309" t="str">
        <f t="shared" si="74"/>
        <v>094OMS</v>
      </c>
      <c r="F309" t="str">
        <f>""</f>
        <v/>
      </c>
      <c r="G309" t="str">
        <f>""</f>
        <v/>
      </c>
      <c r="H309" s="1">
        <v>41522</v>
      </c>
      <c r="I309" t="str">
        <f>"210988"</f>
        <v>210988</v>
      </c>
      <c r="J309" t="str">
        <f>""</f>
        <v/>
      </c>
      <c r="K309" t="str">
        <f>"INNI"</f>
        <v>INNI</v>
      </c>
      <c r="L309" t="s">
        <v>92</v>
      </c>
      <c r="M309" s="2">
        <v>3000</v>
      </c>
    </row>
    <row r="310" spans="1:13" x14ac:dyDescent="0.25">
      <c r="A310" t="str">
        <f>"E150"</f>
        <v>E150</v>
      </c>
      <c r="B310">
        <v>1</v>
      </c>
      <c r="C310" t="str">
        <f t="shared" si="72"/>
        <v>10200</v>
      </c>
      <c r="D310" t="str">
        <f t="shared" si="73"/>
        <v>5620</v>
      </c>
      <c r="E310" t="str">
        <f t="shared" si="74"/>
        <v>094OMS</v>
      </c>
      <c r="F310" t="str">
        <f>""</f>
        <v/>
      </c>
      <c r="G310" t="str">
        <f>""</f>
        <v/>
      </c>
      <c r="H310" s="1">
        <v>41676</v>
      </c>
      <c r="I310" t="str">
        <f>"218290"</f>
        <v>218290</v>
      </c>
      <c r="J310" t="str">
        <f>""</f>
        <v/>
      </c>
      <c r="K310" t="str">
        <f>"INNI"</f>
        <v>INNI</v>
      </c>
      <c r="L310" t="s">
        <v>179</v>
      </c>
      <c r="M310" s="2">
        <v>5042.5</v>
      </c>
    </row>
    <row r="311" spans="1:13" x14ac:dyDescent="0.25">
      <c r="A311" t="str">
        <f>"E150"</f>
        <v>E150</v>
      </c>
      <c r="B311">
        <v>1</v>
      </c>
      <c r="C311" t="str">
        <f t="shared" si="72"/>
        <v>10200</v>
      </c>
      <c r="D311" t="str">
        <f t="shared" si="73"/>
        <v>5620</v>
      </c>
      <c r="E311" t="str">
        <f t="shared" si="74"/>
        <v>094OMS</v>
      </c>
      <c r="F311" t="str">
        <f>""</f>
        <v/>
      </c>
      <c r="G311" t="str">
        <f>""</f>
        <v/>
      </c>
      <c r="H311" s="1">
        <v>41759</v>
      </c>
      <c r="I311" t="str">
        <f>"MPG00438"</f>
        <v>MPG00438</v>
      </c>
      <c r="J311" t="str">
        <f>"0"</f>
        <v>0</v>
      </c>
      <c r="K311" t="str">
        <f>"AS89"</f>
        <v>AS89</v>
      </c>
      <c r="L311" t="s">
        <v>2429</v>
      </c>
      <c r="M311" s="2">
        <v>49200</v>
      </c>
    </row>
    <row r="312" spans="1:13" x14ac:dyDescent="0.25">
      <c r="A312" t="str">
        <f>"E150"</f>
        <v>E150</v>
      </c>
      <c r="B312">
        <v>1</v>
      </c>
      <c r="C312" t="str">
        <f>"32040"</f>
        <v>32040</v>
      </c>
      <c r="D312" t="str">
        <f>"5610"</f>
        <v>5610</v>
      </c>
      <c r="E312" t="str">
        <f>"850LOS"</f>
        <v>850LOS</v>
      </c>
      <c r="F312" t="str">
        <f>""</f>
        <v/>
      </c>
      <c r="G312" t="str">
        <f>""</f>
        <v/>
      </c>
      <c r="H312" s="1">
        <v>41608</v>
      </c>
      <c r="I312" t="str">
        <f>"MPG00433"</f>
        <v>MPG00433</v>
      </c>
      <c r="J312" t="str">
        <f>"0"</f>
        <v>0</v>
      </c>
      <c r="K312" t="str">
        <f>"AS89"</f>
        <v>AS89</v>
      </c>
      <c r="L312" t="s">
        <v>2428</v>
      </c>
      <c r="M312" s="2">
        <v>5500</v>
      </c>
    </row>
    <row r="313" spans="1:13" x14ac:dyDescent="0.25">
      <c r="A313" t="str">
        <f>"E150"</f>
        <v>E150</v>
      </c>
      <c r="B313">
        <v>1</v>
      </c>
      <c r="C313" t="str">
        <f>"32040"</f>
        <v>32040</v>
      </c>
      <c r="D313" t="str">
        <f>"5620"</f>
        <v>5620</v>
      </c>
      <c r="E313" t="str">
        <f>"850LOS"</f>
        <v>850LOS</v>
      </c>
      <c r="F313" t="str">
        <f>""</f>
        <v/>
      </c>
      <c r="G313" t="str">
        <f>""</f>
        <v/>
      </c>
      <c r="H313" s="1">
        <v>41764</v>
      </c>
      <c r="I313" t="str">
        <f>"J0008508"</f>
        <v>J0008508</v>
      </c>
      <c r="J313" t="str">
        <f>""</f>
        <v/>
      </c>
      <c r="K313" t="str">
        <f>"J079"</f>
        <v>J079</v>
      </c>
      <c r="L313" t="s">
        <v>2200</v>
      </c>
      <c r="M313" s="2">
        <v>5500</v>
      </c>
    </row>
    <row r="314" spans="1:13" x14ac:dyDescent="0.25">
      <c r="A314" t="str">
        <f>"E157"</f>
        <v>E157</v>
      </c>
      <c r="B314">
        <v>1</v>
      </c>
      <c r="C314" t="str">
        <f>"10200"</f>
        <v>10200</v>
      </c>
      <c r="D314" t="str">
        <f>"5620"</f>
        <v>5620</v>
      </c>
      <c r="E314" t="str">
        <f>"094OMS"</f>
        <v>094OMS</v>
      </c>
      <c r="F314" t="str">
        <f>""</f>
        <v/>
      </c>
      <c r="G314" t="str">
        <f>""</f>
        <v/>
      </c>
      <c r="H314" s="1">
        <v>41460</v>
      </c>
      <c r="I314" t="str">
        <f>"1300724"</f>
        <v>1300724</v>
      </c>
      <c r="J314" t="str">
        <f>"N076270J"</f>
        <v>N076270J</v>
      </c>
      <c r="K314" t="str">
        <f>"INEI"</f>
        <v>INEI</v>
      </c>
      <c r="L314" t="s">
        <v>226</v>
      </c>
      <c r="M314" s="2">
        <v>4755.63</v>
      </c>
    </row>
    <row r="315" spans="1:13" x14ac:dyDescent="0.25">
      <c r="A315" t="str">
        <f>"E157"</f>
        <v>E157</v>
      </c>
      <c r="B315">
        <v>1</v>
      </c>
      <c r="C315" t="str">
        <f>"24081"</f>
        <v>24081</v>
      </c>
      <c r="D315" t="str">
        <f>"5620"</f>
        <v>5620</v>
      </c>
      <c r="E315" t="str">
        <f>"094OMS"</f>
        <v>094OMS</v>
      </c>
      <c r="F315" t="str">
        <f>""</f>
        <v/>
      </c>
      <c r="G315" t="str">
        <f>""</f>
        <v/>
      </c>
      <c r="H315" s="1">
        <v>41764</v>
      </c>
      <c r="I315" t="str">
        <f>"J0008500"</f>
        <v>J0008500</v>
      </c>
      <c r="J315" t="str">
        <f>""</f>
        <v/>
      </c>
      <c r="K315" t="str">
        <f>"J096"</f>
        <v>J096</v>
      </c>
      <c r="L315" t="s">
        <v>2211</v>
      </c>
      <c r="M315">
        <v>250</v>
      </c>
    </row>
    <row r="316" spans="1:13" x14ac:dyDescent="0.25">
      <c r="A316" t="str">
        <f>"E157"</f>
        <v>E157</v>
      </c>
      <c r="B316">
        <v>1</v>
      </c>
      <c r="C316" t="str">
        <f>"31040"</f>
        <v>31040</v>
      </c>
      <c r="D316" t="str">
        <f>"5620"</f>
        <v>5620</v>
      </c>
      <c r="E316" t="str">
        <f>"094OMS"</f>
        <v>094OMS</v>
      </c>
      <c r="F316" t="str">
        <f>""</f>
        <v/>
      </c>
      <c r="G316" t="str">
        <f>""</f>
        <v/>
      </c>
      <c r="H316" s="1">
        <v>41699</v>
      </c>
      <c r="I316" t="str">
        <f>"J0005900"</f>
        <v>J0005900</v>
      </c>
      <c r="J316" t="str">
        <f>""</f>
        <v/>
      </c>
      <c r="K316" t="str">
        <f>"J096"</f>
        <v>J096</v>
      </c>
      <c r="L316" t="s">
        <v>2427</v>
      </c>
      <c r="M316">
        <v>250</v>
      </c>
    </row>
    <row r="317" spans="1:13" x14ac:dyDescent="0.25">
      <c r="A317" t="str">
        <f>"E157"</f>
        <v>E157</v>
      </c>
      <c r="B317">
        <v>1</v>
      </c>
      <c r="C317" t="str">
        <f>"43000"</f>
        <v>43000</v>
      </c>
      <c r="D317" t="str">
        <f>"5620"</f>
        <v>5620</v>
      </c>
      <c r="E317" t="str">
        <f>"850LOS"</f>
        <v>850LOS</v>
      </c>
      <c r="F317" t="str">
        <f>""</f>
        <v/>
      </c>
      <c r="G317" t="str">
        <f>""</f>
        <v/>
      </c>
      <c r="H317" s="1">
        <v>41820</v>
      </c>
      <c r="I317" t="str">
        <f>"J0010489"</f>
        <v>J0010489</v>
      </c>
      <c r="J317" t="str">
        <f>""</f>
        <v/>
      </c>
      <c r="K317" t="str">
        <f>"J079"</f>
        <v>J079</v>
      </c>
      <c r="L317" t="s">
        <v>2209</v>
      </c>
      <c r="M317">
        <v>250</v>
      </c>
    </row>
    <row r="318" spans="1:13" x14ac:dyDescent="0.25">
      <c r="A318" t="str">
        <f>"E157"</f>
        <v>E157</v>
      </c>
      <c r="B318">
        <v>1</v>
      </c>
      <c r="C318" t="str">
        <f>"43000"</f>
        <v>43000</v>
      </c>
      <c r="D318" t="str">
        <f>"5740"</f>
        <v>5740</v>
      </c>
      <c r="E318" t="str">
        <f>"850LOS"</f>
        <v>850LOS</v>
      </c>
      <c r="F318" t="str">
        <f>""</f>
        <v/>
      </c>
      <c r="G318" t="str">
        <f>""</f>
        <v/>
      </c>
      <c r="H318" s="1">
        <v>41699</v>
      </c>
      <c r="I318" t="str">
        <f>"J0005900"</f>
        <v>J0005900</v>
      </c>
      <c r="J318" t="str">
        <f>""</f>
        <v/>
      </c>
      <c r="K318" t="str">
        <f>"J096"</f>
        <v>J096</v>
      </c>
      <c r="L318" t="s">
        <v>2427</v>
      </c>
      <c r="M318">
        <v>250</v>
      </c>
    </row>
    <row r="319" spans="1:13" x14ac:dyDescent="0.25">
      <c r="A319" t="str">
        <f t="shared" ref="A319:A350" si="75">"E160"</f>
        <v>E160</v>
      </c>
      <c r="B319">
        <v>1</v>
      </c>
      <c r="C319" t="str">
        <f t="shared" ref="C319:C337" si="76">"10200"</f>
        <v>10200</v>
      </c>
      <c r="D319" t="str">
        <f t="shared" ref="D319:D338" si="77">"5620"</f>
        <v>5620</v>
      </c>
      <c r="E319" t="str">
        <f t="shared" ref="E319:E337" si="78">"094OMS"</f>
        <v>094OMS</v>
      </c>
      <c r="F319" t="str">
        <f>""</f>
        <v/>
      </c>
      <c r="G319" t="str">
        <f>""</f>
        <v/>
      </c>
      <c r="H319" s="1">
        <v>41456</v>
      </c>
      <c r="I319" t="str">
        <f>"PHY00611"</f>
        <v>PHY00611</v>
      </c>
      <c r="J319" t="str">
        <f>"W0113226"</f>
        <v>W0113226</v>
      </c>
      <c r="K319" t="str">
        <f t="shared" ref="K319:K325" si="79">"AS89"</f>
        <v>AS89</v>
      </c>
      <c r="L319" t="s">
        <v>2426</v>
      </c>
      <c r="M319">
        <v>255.34</v>
      </c>
    </row>
    <row r="320" spans="1:13" x14ac:dyDescent="0.25">
      <c r="A320" t="str">
        <f t="shared" si="75"/>
        <v>E160</v>
      </c>
      <c r="B320">
        <v>1</v>
      </c>
      <c r="C320" t="str">
        <f t="shared" si="76"/>
        <v>10200</v>
      </c>
      <c r="D320" t="str">
        <f t="shared" si="77"/>
        <v>5620</v>
      </c>
      <c r="E320" t="str">
        <f t="shared" si="78"/>
        <v>094OMS</v>
      </c>
      <c r="F320" t="str">
        <f>""</f>
        <v/>
      </c>
      <c r="G320" t="str">
        <f>""</f>
        <v/>
      </c>
      <c r="H320" s="1">
        <v>41518</v>
      </c>
      <c r="I320" t="str">
        <f>"PHY00615"</f>
        <v>PHY00615</v>
      </c>
      <c r="J320" t="str">
        <f>"W0036764"</f>
        <v>W0036764</v>
      </c>
      <c r="K320" t="str">
        <f t="shared" si="79"/>
        <v>AS89</v>
      </c>
      <c r="L320" t="s">
        <v>1095</v>
      </c>
      <c r="M320">
        <v>109.5</v>
      </c>
    </row>
    <row r="321" spans="1:13" x14ac:dyDescent="0.25">
      <c r="A321" t="str">
        <f t="shared" si="75"/>
        <v>E160</v>
      </c>
      <c r="B321">
        <v>1</v>
      </c>
      <c r="C321" t="str">
        <f t="shared" si="76"/>
        <v>10200</v>
      </c>
      <c r="D321" t="str">
        <f t="shared" si="77"/>
        <v>5620</v>
      </c>
      <c r="E321" t="str">
        <f t="shared" si="78"/>
        <v>094OMS</v>
      </c>
      <c r="F321" t="str">
        <f>""</f>
        <v/>
      </c>
      <c r="G321" t="str">
        <f>""</f>
        <v/>
      </c>
      <c r="H321" s="1">
        <v>41518</v>
      </c>
      <c r="I321" t="str">
        <f>"PHY00615"</f>
        <v>PHY00615</v>
      </c>
      <c r="J321" t="str">
        <f>"W0116922"</f>
        <v>W0116922</v>
      </c>
      <c r="K321" t="str">
        <f t="shared" si="79"/>
        <v>AS89</v>
      </c>
      <c r="L321" t="s">
        <v>2089</v>
      </c>
      <c r="M321">
        <v>162.55000000000001</v>
      </c>
    </row>
    <row r="322" spans="1:13" x14ac:dyDescent="0.25">
      <c r="A322" t="str">
        <f t="shared" si="75"/>
        <v>E160</v>
      </c>
      <c r="B322">
        <v>1</v>
      </c>
      <c r="C322" t="str">
        <f t="shared" si="76"/>
        <v>10200</v>
      </c>
      <c r="D322" t="str">
        <f t="shared" si="77"/>
        <v>5620</v>
      </c>
      <c r="E322" t="str">
        <f t="shared" si="78"/>
        <v>094OMS</v>
      </c>
      <c r="F322" t="str">
        <f>""</f>
        <v/>
      </c>
      <c r="G322" t="str">
        <f>""</f>
        <v/>
      </c>
      <c r="H322" s="1">
        <v>41548</v>
      </c>
      <c r="I322" t="str">
        <f>"PHY00617"</f>
        <v>PHY00617</v>
      </c>
      <c r="J322" t="str">
        <f>"W0036764"</f>
        <v>W0036764</v>
      </c>
      <c r="K322" t="str">
        <f t="shared" si="79"/>
        <v>AS89</v>
      </c>
      <c r="L322" t="s">
        <v>1095</v>
      </c>
      <c r="M322">
        <v>109.51</v>
      </c>
    </row>
    <row r="323" spans="1:13" x14ac:dyDescent="0.25">
      <c r="A323" t="str">
        <f t="shared" si="75"/>
        <v>E160</v>
      </c>
      <c r="B323">
        <v>1</v>
      </c>
      <c r="C323" t="str">
        <f t="shared" si="76"/>
        <v>10200</v>
      </c>
      <c r="D323" t="str">
        <f t="shared" si="77"/>
        <v>5620</v>
      </c>
      <c r="E323" t="str">
        <f t="shared" si="78"/>
        <v>094OMS</v>
      </c>
      <c r="F323" t="str">
        <f>""</f>
        <v/>
      </c>
      <c r="G323" t="str">
        <f>""</f>
        <v/>
      </c>
      <c r="H323" s="1">
        <v>41639</v>
      </c>
      <c r="I323" t="str">
        <f>"PCD00636"</f>
        <v>PCD00636</v>
      </c>
      <c r="J323" t="str">
        <f>"208679"</f>
        <v>208679</v>
      </c>
      <c r="K323" t="str">
        <f t="shared" si="79"/>
        <v>AS89</v>
      </c>
      <c r="L323" t="s">
        <v>2425</v>
      </c>
      <c r="M323">
        <v>619.59</v>
      </c>
    </row>
    <row r="324" spans="1:13" x14ac:dyDescent="0.25">
      <c r="A324" t="str">
        <f t="shared" si="75"/>
        <v>E160</v>
      </c>
      <c r="B324">
        <v>1</v>
      </c>
      <c r="C324" t="str">
        <f t="shared" si="76"/>
        <v>10200</v>
      </c>
      <c r="D324" t="str">
        <f t="shared" si="77"/>
        <v>5620</v>
      </c>
      <c r="E324" t="str">
        <f t="shared" si="78"/>
        <v>094OMS</v>
      </c>
      <c r="F324" t="str">
        <f>""</f>
        <v/>
      </c>
      <c r="G324" t="str">
        <f>""</f>
        <v/>
      </c>
      <c r="H324" s="1">
        <v>41640</v>
      </c>
      <c r="I324" t="str">
        <f>"PHY00623"</f>
        <v>PHY00623</v>
      </c>
      <c r="J324" t="str">
        <f>"W0036764"</f>
        <v>W0036764</v>
      </c>
      <c r="K324" t="str">
        <f t="shared" si="79"/>
        <v>AS89</v>
      </c>
      <c r="L324" t="s">
        <v>1095</v>
      </c>
      <c r="M324">
        <v>148.85</v>
      </c>
    </row>
    <row r="325" spans="1:13" x14ac:dyDescent="0.25">
      <c r="A325" t="str">
        <f t="shared" si="75"/>
        <v>E160</v>
      </c>
      <c r="B325">
        <v>1</v>
      </c>
      <c r="C325" t="str">
        <f t="shared" si="76"/>
        <v>10200</v>
      </c>
      <c r="D325" t="str">
        <f t="shared" si="77"/>
        <v>5620</v>
      </c>
      <c r="E325" t="str">
        <f t="shared" si="78"/>
        <v>094OMS</v>
      </c>
      <c r="F325" t="str">
        <f>""</f>
        <v/>
      </c>
      <c r="G325" t="str">
        <f>""</f>
        <v/>
      </c>
      <c r="H325" s="1">
        <v>41640</v>
      </c>
      <c r="I325" t="str">
        <f>"PHY00623"</f>
        <v>PHY00623</v>
      </c>
      <c r="J325" t="str">
        <f>"W0121706"</f>
        <v>W0121706</v>
      </c>
      <c r="K325" t="str">
        <f t="shared" si="79"/>
        <v>AS89</v>
      </c>
      <c r="L325" t="s">
        <v>2423</v>
      </c>
      <c r="M325">
        <v>120.71</v>
      </c>
    </row>
    <row r="326" spans="1:13" x14ac:dyDescent="0.25">
      <c r="A326" t="str">
        <f t="shared" si="75"/>
        <v>E160</v>
      </c>
      <c r="B326">
        <v>1</v>
      </c>
      <c r="C326" t="str">
        <f t="shared" si="76"/>
        <v>10200</v>
      </c>
      <c r="D326" t="str">
        <f t="shared" si="77"/>
        <v>5620</v>
      </c>
      <c r="E326" t="str">
        <f t="shared" si="78"/>
        <v>094OMS</v>
      </c>
      <c r="F326" t="str">
        <f>""</f>
        <v/>
      </c>
      <c r="G326" t="str">
        <f>""</f>
        <v/>
      </c>
      <c r="H326" s="1">
        <v>41663</v>
      </c>
      <c r="I326" t="str">
        <f>"N0010952"</f>
        <v>N0010952</v>
      </c>
      <c r="J326" t="str">
        <f>"F218286"</f>
        <v>F218286</v>
      </c>
      <c r="K326" t="str">
        <f>"INEI"</f>
        <v>INEI</v>
      </c>
      <c r="L326" t="s">
        <v>2424</v>
      </c>
      <c r="M326">
        <v>876.34</v>
      </c>
    </row>
    <row r="327" spans="1:13" x14ac:dyDescent="0.25">
      <c r="A327" t="str">
        <f t="shared" si="75"/>
        <v>E160</v>
      </c>
      <c r="B327">
        <v>1</v>
      </c>
      <c r="C327" t="str">
        <f t="shared" si="76"/>
        <v>10200</v>
      </c>
      <c r="D327" t="str">
        <f t="shared" si="77"/>
        <v>5620</v>
      </c>
      <c r="E327" t="str">
        <f t="shared" si="78"/>
        <v>094OMS</v>
      </c>
      <c r="F327" t="str">
        <f>""</f>
        <v/>
      </c>
      <c r="G327" t="str">
        <f>""</f>
        <v/>
      </c>
      <c r="H327" s="1">
        <v>41671</v>
      </c>
      <c r="I327" t="str">
        <f>"PHY00625"</f>
        <v>PHY00625</v>
      </c>
      <c r="J327" t="str">
        <f>"W0121706"</f>
        <v>W0121706</v>
      </c>
      <c r="K327" t="str">
        <f>"AS89"</f>
        <v>AS89</v>
      </c>
      <c r="L327" t="s">
        <v>2423</v>
      </c>
      <c r="M327">
        <v>264.69</v>
      </c>
    </row>
    <row r="328" spans="1:13" x14ac:dyDescent="0.25">
      <c r="A328" t="str">
        <f t="shared" si="75"/>
        <v>E160</v>
      </c>
      <c r="B328">
        <v>1</v>
      </c>
      <c r="C328" t="str">
        <f t="shared" si="76"/>
        <v>10200</v>
      </c>
      <c r="D328" t="str">
        <f t="shared" si="77"/>
        <v>5620</v>
      </c>
      <c r="E328" t="str">
        <f t="shared" si="78"/>
        <v>094OMS</v>
      </c>
      <c r="F328" t="str">
        <f>""</f>
        <v/>
      </c>
      <c r="G328" t="str">
        <f>""</f>
        <v/>
      </c>
      <c r="H328" s="1">
        <v>41699</v>
      </c>
      <c r="I328" t="str">
        <f>"PHY00627"</f>
        <v>PHY00627</v>
      </c>
      <c r="J328" t="str">
        <f>"W0036764"</f>
        <v>W0036764</v>
      </c>
      <c r="K328" t="str">
        <f>"AS89"</f>
        <v>AS89</v>
      </c>
      <c r="L328" t="s">
        <v>1095</v>
      </c>
      <c r="M328">
        <v>805.13</v>
      </c>
    </row>
    <row r="329" spans="1:13" x14ac:dyDescent="0.25">
      <c r="A329" t="str">
        <f t="shared" si="75"/>
        <v>E160</v>
      </c>
      <c r="B329">
        <v>1</v>
      </c>
      <c r="C329" t="str">
        <f t="shared" si="76"/>
        <v>10200</v>
      </c>
      <c r="D329" t="str">
        <f t="shared" si="77"/>
        <v>5620</v>
      </c>
      <c r="E329" t="str">
        <f t="shared" si="78"/>
        <v>094OMS</v>
      </c>
      <c r="F329" t="str">
        <f>""</f>
        <v/>
      </c>
      <c r="G329" t="str">
        <f>""</f>
        <v/>
      </c>
      <c r="H329" s="1">
        <v>41699</v>
      </c>
      <c r="I329" t="str">
        <f>"PHY00627"</f>
        <v>PHY00627</v>
      </c>
      <c r="J329" t="str">
        <f>"W0121706"</f>
        <v>W0121706</v>
      </c>
      <c r="K329" t="str">
        <f>"AS89"</f>
        <v>AS89</v>
      </c>
      <c r="L329" t="s">
        <v>2423</v>
      </c>
      <c r="M329" s="2">
        <v>2409.9699999999998</v>
      </c>
    </row>
    <row r="330" spans="1:13" x14ac:dyDescent="0.25">
      <c r="A330" t="str">
        <f t="shared" si="75"/>
        <v>E160</v>
      </c>
      <c r="B330">
        <v>1</v>
      </c>
      <c r="C330" t="str">
        <f t="shared" si="76"/>
        <v>10200</v>
      </c>
      <c r="D330" t="str">
        <f t="shared" si="77"/>
        <v>5620</v>
      </c>
      <c r="E330" t="str">
        <f t="shared" si="78"/>
        <v>094OMS</v>
      </c>
      <c r="F330" t="str">
        <f>""</f>
        <v/>
      </c>
      <c r="G330" t="str">
        <f>""</f>
        <v/>
      </c>
      <c r="H330" s="1">
        <v>41702</v>
      </c>
      <c r="I330" t="str">
        <f>"N0011148"</f>
        <v>N0011148</v>
      </c>
      <c r="J330" t="str">
        <f>"F218286"</f>
        <v>F218286</v>
      </c>
      <c r="K330" t="str">
        <f>"INEI"</f>
        <v>INEI</v>
      </c>
      <c r="L330" t="s">
        <v>2424</v>
      </c>
      <c r="M330">
        <v>110.6</v>
      </c>
    </row>
    <row r="331" spans="1:13" x14ac:dyDescent="0.25">
      <c r="A331" t="str">
        <f t="shared" si="75"/>
        <v>E160</v>
      </c>
      <c r="B331">
        <v>1</v>
      </c>
      <c r="C331" t="str">
        <f t="shared" si="76"/>
        <v>10200</v>
      </c>
      <c r="D331" t="str">
        <f t="shared" si="77"/>
        <v>5620</v>
      </c>
      <c r="E331" t="str">
        <f t="shared" si="78"/>
        <v>094OMS</v>
      </c>
      <c r="F331" t="str">
        <f>""</f>
        <v/>
      </c>
      <c r="G331" t="str">
        <f>""</f>
        <v/>
      </c>
      <c r="H331" s="1">
        <v>41702</v>
      </c>
      <c r="I331" t="str">
        <f>"N0011148"</f>
        <v>N0011148</v>
      </c>
      <c r="J331" t="str">
        <f>"F218286"</f>
        <v>F218286</v>
      </c>
      <c r="K331" t="str">
        <f>"INEI"</f>
        <v>INEI</v>
      </c>
      <c r="L331" t="s">
        <v>2424</v>
      </c>
      <c r="M331">
        <v>292.2</v>
      </c>
    </row>
    <row r="332" spans="1:13" x14ac:dyDescent="0.25">
      <c r="A332" t="str">
        <f t="shared" si="75"/>
        <v>E160</v>
      </c>
      <c r="B332">
        <v>1</v>
      </c>
      <c r="C332" t="str">
        <f t="shared" si="76"/>
        <v>10200</v>
      </c>
      <c r="D332" t="str">
        <f t="shared" si="77"/>
        <v>5620</v>
      </c>
      <c r="E332" t="str">
        <f t="shared" si="78"/>
        <v>094OMS</v>
      </c>
      <c r="F332" t="str">
        <f>""</f>
        <v/>
      </c>
      <c r="G332" t="str">
        <f>""</f>
        <v/>
      </c>
      <c r="H332" s="1">
        <v>41702</v>
      </c>
      <c r="I332" t="str">
        <f>"N0011148"</f>
        <v>N0011148</v>
      </c>
      <c r="J332" t="str">
        <f>"F218286"</f>
        <v>F218286</v>
      </c>
      <c r="K332" t="str">
        <f>"INEI"</f>
        <v>INEI</v>
      </c>
      <c r="L332" t="s">
        <v>2424</v>
      </c>
      <c r="M332">
        <v>109.13</v>
      </c>
    </row>
    <row r="333" spans="1:13" x14ac:dyDescent="0.25">
      <c r="A333" t="str">
        <f t="shared" si="75"/>
        <v>E160</v>
      </c>
      <c r="B333">
        <v>1</v>
      </c>
      <c r="C333" t="str">
        <f t="shared" si="76"/>
        <v>10200</v>
      </c>
      <c r="D333" t="str">
        <f t="shared" si="77"/>
        <v>5620</v>
      </c>
      <c r="E333" t="str">
        <f t="shared" si="78"/>
        <v>094OMS</v>
      </c>
      <c r="F333" t="str">
        <f>""</f>
        <v/>
      </c>
      <c r="G333" t="str">
        <f>""</f>
        <v/>
      </c>
      <c r="H333" s="1">
        <v>41702</v>
      </c>
      <c r="I333" t="str">
        <f>"N0011148"</f>
        <v>N0011148</v>
      </c>
      <c r="J333" t="str">
        <f>"F218286"</f>
        <v>F218286</v>
      </c>
      <c r="K333" t="str">
        <f>"INEI"</f>
        <v>INEI</v>
      </c>
      <c r="L333" t="s">
        <v>2424</v>
      </c>
      <c r="M333">
        <v>363.11</v>
      </c>
    </row>
    <row r="334" spans="1:13" x14ac:dyDescent="0.25">
      <c r="A334" t="str">
        <f t="shared" si="75"/>
        <v>E160</v>
      </c>
      <c r="B334">
        <v>1</v>
      </c>
      <c r="C334" t="str">
        <f t="shared" si="76"/>
        <v>10200</v>
      </c>
      <c r="D334" t="str">
        <f t="shared" si="77"/>
        <v>5620</v>
      </c>
      <c r="E334" t="str">
        <f t="shared" si="78"/>
        <v>094OMS</v>
      </c>
      <c r="F334" t="str">
        <f>""</f>
        <v/>
      </c>
      <c r="G334" t="str">
        <f>""</f>
        <v/>
      </c>
      <c r="H334" s="1">
        <v>41702</v>
      </c>
      <c r="I334" t="str">
        <f>"N0011168"</f>
        <v>N0011168</v>
      </c>
      <c r="J334" t="str">
        <f>"F218286"</f>
        <v>F218286</v>
      </c>
      <c r="K334" t="str">
        <f>"INEI"</f>
        <v>INEI</v>
      </c>
      <c r="L334" t="s">
        <v>2424</v>
      </c>
      <c r="M334" s="2">
        <v>2059.87</v>
      </c>
    </row>
    <row r="335" spans="1:13" x14ac:dyDescent="0.25">
      <c r="A335" t="str">
        <f t="shared" si="75"/>
        <v>E160</v>
      </c>
      <c r="B335">
        <v>1</v>
      </c>
      <c r="C335" t="str">
        <f t="shared" si="76"/>
        <v>10200</v>
      </c>
      <c r="D335" t="str">
        <f t="shared" si="77"/>
        <v>5620</v>
      </c>
      <c r="E335" t="str">
        <f t="shared" si="78"/>
        <v>094OMS</v>
      </c>
      <c r="F335" t="str">
        <f>""</f>
        <v/>
      </c>
      <c r="G335" t="str">
        <f>""</f>
        <v/>
      </c>
      <c r="H335" s="1">
        <v>41730</v>
      </c>
      <c r="I335" t="str">
        <f>"PHY00629"</f>
        <v>PHY00629</v>
      </c>
      <c r="J335" t="str">
        <f>"W0036764"</f>
        <v>W0036764</v>
      </c>
      <c r="K335" t="str">
        <f>"AS89"</f>
        <v>AS89</v>
      </c>
      <c r="L335" t="s">
        <v>1095</v>
      </c>
      <c r="M335">
        <v>180.36</v>
      </c>
    </row>
    <row r="336" spans="1:13" x14ac:dyDescent="0.25">
      <c r="A336" t="str">
        <f t="shared" si="75"/>
        <v>E160</v>
      </c>
      <c r="B336">
        <v>1</v>
      </c>
      <c r="C336" t="str">
        <f t="shared" si="76"/>
        <v>10200</v>
      </c>
      <c r="D336" t="str">
        <f t="shared" si="77"/>
        <v>5620</v>
      </c>
      <c r="E336" t="str">
        <f t="shared" si="78"/>
        <v>094OMS</v>
      </c>
      <c r="F336" t="str">
        <f>""</f>
        <v/>
      </c>
      <c r="G336" t="str">
        <f>""</f>
        <v/>
      </c>
      <c r="H336" s="1">
        <v>41730</v>
      </c>
      <c r="I336" t="str">
        <f>"PHY00629"</f>
        <v>PHY00629</v>
      </c>
      <c r="J336" t="str">
        <f>"W0121706"</f>
        <v>W0121706</v>
      </c>
      <c r="K336" t="str">
        <f>"AS89"</f>
        <v>AS89</v>
      </c>
      <c r="L336" t="s">
        <v>2423</v>
      </c>
      <c r="M336" s="2">
        <v>1527.72</v>
      </c>
    </row>
    <row r="337" spans="1:13" x14ac:dyDescent="0.25">
      <c r="A337" t="str">
        <f t="shared" si="75"/>
        <v>E160</v>
      </c>
      <c r="B337">
        <v>1</v>
      </c>
      <c r="C337" t="str">
        <f t="shared" si="76"/>
        <v>10200</v>
      </c>
      <c r="D337" t="str">
        <f t="shared" si="77"/>
        <v>5620</v>
      </c>
      <c r="E337" t="str">
        <f t="shared" si="78"/>
        <v>094OMS</v>
      </c>
      <c r="F337" t="str">
        <f>""</f>
        <v/>
      </c>
      <c r="G337" t="str">
        <f>""</f>
        <v/>
      </c>
      <c r="H337" s="1">
        <v>41760</v>
      </c>
      <c r="I337" t="str">
        <f>"PHY00631"</f>
        <v>PHY00631</v>
      </c>
      <c r="J337" t="str">
        <f>"W0126015"</f>
        <v>W0126015</v>
      </c>
      <c r="K337" t="str">
        <f>"AS89"</f>
        <v>AS89</v>
      </c>
      <c r="L337" t="s">
        <v>2089</v>
      </c>
      <c r="M337">
        <v>168.06</v>
      </c>
    </row>
    <row r="338" spans="1:13" x14ac:dyDescent="0.25">
      <c r="A338" t="str">
        <f t="shared" si="75"/>
        <v>E160</v>
      </c>
      <c r="B338">
        <v>1</v>
      </c>
      <c r="C338" t="str">
        <f t="shared" ref="C338:C369" si="80">"43000"</f>
        <v>43000</v>
      </c>
      <c r="D338" t="str">
        <f t="shared" si="77"/>
        <v>5620</v>
      </c>
      <c r="E338" t="str">
        <f t="shared" ref="E338:E374" si="81">"850LOS"</f>
        <v>850LOS</v>
      </c>
      <c r="F338" t="str">
        <f>""</f>
        <v/>
      </c>
      <c r="G338" t="str">
        <f>""</f>
        <v/>
      </c>
      <c r="H338" s="1">
        <v>41820</v>
      </c>
      <c r="I338" t="str">
        <f>"J0010489"</f>
        <v>J0010489</v>
      </c>
      <c r="J338" t="str">
        <f>""</f>
        <v/>
      </c>
      <c r="K338" t="str">
        <f>"J079"</f>
        <v>J079</v>
      </c>
      <c r="L338" t="s">
        <v>2209</v>
      </c>
      <c r="M338" s="2">
        <v>28074</v>
      </c>
    </row>
    <row r="339" spans="1:13" x14ac:dyDescent="0.25">
      <c r="A339" t="str">
        <f t="shared" si="75"/>
        <v>E160</v>
      </c>
      <c r="B339">
        <v>1</v>
      </c>
      <c r="C339" t="str">
        <f t="shared" si="80"/>
        <v>43000</v>
      </c>
      <c r="D339" t="str">
        <f t="shared" ref="D339:D370" si="82">"5740"</f>
        <v>5740</v>
      </c>
      <c r="E339" t="str">
        <f t="shared" si="81"/>
        <v>850LOS</v>
      </c>
      <c r="F339" t="str">
        <f>""</f>
        <v/>
      </c>
      <c r="G339" t="str">
        <f>""</f>
        <v/>
      </c>
      <c r="H339" s="1">
        <v>41487</v>
      </c>
      <c r="I339" t="str">
        <f>"PHY00613"</f>
        <v>PHY00613</v>
      </c>
      <c r="J339" t="str">
        <f>"W0114067"</f>
        <v>W0114067</v>
      </c>
      <c r="K339" t="str">
        <f t="shared" ref="K339:K370" si="83">"AS89"</f>
        <v>AS89</v>
      </c>
      <c r="L339" t="s">
        <v>2422</v>
      </c>
      <c r="M339">
        <v>491.9</v>
      </c>
    </row>
    <row r="340" spans="1:13" x14ac:dyDescent="0.25">
      <c r="A340" t="str">
        <f t="shared" si="75"/>
        <v>E160</v>
      </c>
      <c r="B340">
        <v>1</v>
      </c>
      <c r="C340" t="str">
        <f t="shared" si="80"/>
        <v>43000</v>
      </c>
      <c r="D340" t="str">
        <f t="shared" si="82"/>
        <v>5740</v>
      </c>
      <c r="E340" t="str">
        <f t="shared" si="81"/>
        <v>850LOS</v>
      </c>
      <c r="F340" t="str">
        <f>""</f>
        <v/>
      </c>
      <c r="G340" t="str">
        <f>""</f>
        <v/>
      </c>
      <c r="H340" s="1">
        <v>41487</v>
      </c>
      <c r="I340" t="str">
        <f>"PHY00613"</f>
        <v>PHY00613</v>
      </c>
      <c r="J340" t="str">
        <f>"W0115448"</f>
        <v>W0115448</v>
      </c>
      <c r="K340" t="str">
        <f t="shared" si="83"/>
        <v>AS89</v>
      </c>
      <c r="L340" t="s">
        <v>2420</v>
      </c>
      <c r="M340">
        <v>426.29</v>
      </c>
    </row>
    <row r="341" spans="1:13" x14ac:dyDescent="0.25">
      <c r="A341" t="str">
        <f t="shared" si="75"/>
        <v>E160</v>
      </c>
      <c r="B341">
        <v>1</v>
      </c>
      <c r="C341" t="str">
        <f t="shared" si="80"/>
        <v>43000</v>
      </c>
      <c r="D341" t="str">
        <f t="shared" si="82"/>
        <v>5740</v>
      </c>
      <c r="E341" t="str">
        <f t="shared" si="81"/>
        <v>850LOS</v>
      </c>
      <c r="F341" t="str">
        <f>""</f>
        <v/>
      </c>
      <c r="G341" t="str">
        <f>""</f>
        <v/>
      </c>
      <c r="H341" s="1">
        <v>41487</v>
      </c>
      <c r="I341" t="str">
        <f>"PHY00613"</f>
        <v>PHY00613</v>
      </c>
      <c r="J341" t="str">
        <f>"W0115449"</f>
        <v>W0115449</v>
      </c>
      <c r="K341" t="str">
        <f t="shared" si="83"/>
        <v>AS89</v>
      </c>
      <c r="L341" t="s">
        <v>2417</v>
      </c>
      <c r="M341" s="2">
        <v>1081.49</v>
      </c>
    </row>
    <row r="342" spans="1:13" x14ac:dyDescent="0.25">
      <c r="A342" t="str">
        <f t="shared" si="75"/>
        <v>E160</v>
      </c>
      <c r="B342">
        <v>1</v>
      </c>
      <c r="C342" t="str">
        <f t="shared" si="80"/>
        <v>43000</v>
      </c>
      <c r="D342" t="str">
        <f t="shared" si="82"/>
        <v>5740</v>
      </c>
      <c r="E342" t="str">
        <f t="shared" si="81"/>
        <v>850LOS</v>
      </c>
      <c r="F342" t="str">
        <f>""</f>
        <v/>
      </c>
      <c r="G342" t="str">
        <f>""</f>
        <v/>
      </c>
      <c r="H342" s="1">
        <v>41487</v>
      </c>
      <c r="I342" t="str">
        <f>"PHY00613"</f>
        <v>PHY00613</v>
      </c>
      <c r="J342" t="str">
        <f>"W0115948"</f>
        <v>W0115948</v>
      </c>
      <c r="K342" t="str">
        <f t="shared" si="83"/>
        <v>AS89</v>
      </c>
      <c r="L342" t="s">
        <v>2421</v>
      </c>
      <c r="M342">
        <v>354.25</v>
      </c>
    </row>
    <row r="343" spans="1:13" x14ac:dyDescent="0.25">
      <c r="A343" t="str">
        <f t="shared" si="75"/>
        <v>E160</v>
      </c>
      <c r="B343">
        <v>1</v>
      </c>
      <c r="C343" t="str">
        <f t="shared" si="80"/>
        <v>43000</v>
      </c>
      <c r="D343" t="str">
        <f t="shared" si="82"/>
        <v>5740</v>
      </c>
      <c r="E343" t="str">
        <f t="shared" si="81"/>
        <v>850LOS</v>
      </c>
      <c r="F343" t="str">
        <f>""</f>
        <v/>
      </c>
      <c r="G343" t="str">
        <f>""</f>
        <v/>
      </c>
      <c r="H343" s="1">
        <v>41487</v>
      </c>
      <c r="I343" t="str">
        <f>"PHY00613"</f>
        <v>PHY00613</v>
      </c>
      <c r="J343" t="str">
        <f>"W0115952"</f>
        <v>W0115952</v>
      </c>
      <c r="K343" t="str">
        <f t="shared" si="83"/>
        <v>AS89</v>
      </c>
      <c r="L343" t="s">
        <v>715</v>
      </c>
      <c r="M343">
        <v>908.69</v>
      </c>
    </row>
    <row r="344" spans="1:13" x14ac:dyDescent="0.25">
      <c r="A344" t="str">
        <f t="shared" si="75"/>
        <v>E160</v>
      </c>
      <c r="B344">
        <v>1</v>
      </c>
      <c r="C344" t="str">
        <f t="shared" si="80"/>
        <v>43000</v>
      </c>
      <c r="D344" t="str">
        <f t="shared" si="82"/>
        <v>5740</v>
      </c>
      <c r="E344" t="str">
        <f t="shared" si="81"/>
        <v>850LOS</v>
      </c>
      <c r="F344" t="str">
        <f>""</f>
        <v/>
      </c>
      <c r="G344" t="str">
        <f>""</f>
        <v/>
      </c>
      <c r="H344" s="1">
        <v>41518</v>
      </c>
      <c r="I344" t="str">
        <f>"PHY00615"</f>
        <v>PHY00615</v>
      </c>
      <c r="J344" t="str">
        <f>"W0002219"</f>
        <v>W0002219</v>
      </c>
      <c r="K344" t="str">
        <f t="shared" si="83"/>
        <v>AS89</v>
      </c>
      <c r="L344" t="s">
        <v>724</v>
      </c>
      <c r="M344">
        <v>295.41000000000003</v>
      </c>
    </row>
    <row r="345" spans="1:13" x14ac:dyDescent="0.25">
      <c r="A345" t="str">
        <f t="shared" si="75"/>
        <v>E160</v>
      </c>
      <c r="B345">
        <v>1</v>
      </c>
      <c r="C345" t="str">
        <f t="shared" si="80"/>
        <v>43000</v>
      </c>
      <c r="D345" t="str">
        <f t="shared" si="82"/>
        <v>5740</v>
      </c>
      <c r="E345" t="str">
        <f t="shared" si="81"/>
        <v>850LOS</v>
      </c>
      <c r="F345" t="str">
        <f>""</f>
        <v/>
      </c>
      <c r="G345" t="str">
        <f>""</f>
        <v/>
      </c>
      <c r="H345" s="1">
        <v>41518</v>
      </c>
      <c r="I345" t="str">
        <f>"PHY00615"</f>
        <v>PHY00615</v>
      </c>
      <c r="J345" t="str">
        <f>"W0115449"</f>
        <v>W0115449</v>
      </c>
      <c r="K345" t="str">
        <f t="shared" si="83"/>
        <v>AS89</v>
      </c>
      <c r="L345" t="s">
        <v>2417</v>
      </c>
      <c r="M345" s="2">
        <v>1279.47</v>
      </c>
    </row>
    <row r="346" spans="1:13" x14ac:dyDescent="0.25">
      <c r="A346" t="str">
        <f t="shared" si="75"/>
        <v>E160</v>
      </c>
      <c r="B346">
        <v>1</v>
      </c>
      <c r="C346" t="str">
        <f t="shared" si="80"/>
        <v>43000</v>
      </c>
      <c r="D346" t="str">
        <f t="shared" si="82"/>
        <v>5740</v>
      </c>
      <c r="E346" t="str">
        <f t="shared" si="81"/>
        <v>850LOS</v>
      </c>
      <c r="F346" t="str">
        <f>""</f>
        <v/>
      </c>
      <c r="G346" t="str">
        <f>""</f>
        <v/>
      </c>
      <c r="H346" s="1">
        <v>41518</v>
      </c>
      <c r="I346" t="str">
        <f>"PHY00615"</f>
        <v>PHY00615</v>
      </c>
      <c r="J346" t="str">
        <f>"W0115450"</f>
        <v>W0115450</v>
      </c>
      <c r="K346" t="str">
        <f t="shared" si="83"/>
        <v>AS89</v>
      </c>
      <c r="L346" t="s">
        <v>715</v>
      </c>
      <c r="M346">
        <v>537.05999999999995</v>
      </c>
    </row>
    <row r="347" spans="1:13" x14ac:dyDescent="0.25">
      <c r="A347" t="str">
        <f t="shared" si="75"/>
        <v>E160</v>
      </c>
      <c r="B347">
        <v>1</v>
      </c>
      <c r="C347" t="str">
        <f t="shared" si="80"/>
        <v>43000</v>
      </c>
      <c r="D347" t="str">
        <f t="shared" si="82"/>
        <v>5740</v>
      </c>
      <c r="E347" t="str">
        <f t="shared" si="81"/>
        <v>850LOS</v>
      </c>
      <c r="F347" t="str">
        <f>""</f>
        <v/>
      </c>
      <c r="G347" t="str">
        <f>""</f>
        <v/>
      </c>
      <c r="H347" s="1">
        <v>41518</v>
      </c>
      <c r="I347" t="str">
        <f>"PHY00615"</f>
        <v>PHY00615</v>
      </c>
      <c r="J347" t="str">
        <f>"W0115949"</f>
        <v>W0115949</v>
      </c>
      <c r="K347" t="str">
        <f t="shared" si="83"/>
        <v>AS89</v>
      </c>
      <c r="L347" t="s">
        <v>2418</v>
      </c>
      <c r="M347" s="2">
        <v>1300.6400000000001</v>
      </c>
    </row>
    <row r="348" spans="1:13" x14ac:dyDescent="0.25">
      <c r="A348" t="str">
        <f t="shared" si="75"/>
        <v>E160</v>
      </c>
      <c r="B348">
        <v>1</v>
      </c>
      <c r="C348" t="str">
        <f t="shared" si="80"/>
        <v>43000</v>
      </c>
      <c r="D348" t="str">
        <f t="shared" si="82"/>
        <v>5740</v>
      </c>
      <c r="E348" t="str">
        <f t="shared" si="81"/>
        <v>850LOS</v>
      </c>
      <c r="F348" t="str">
        <f>""</f>
        <v/>
      </c>
      <c r="G348" t="str">
        <f>""</f>
        <v/>
      </c>
      <c r="H348" s="1">
        <v>41518</v>
      </c>
      <c r="I348" t="str">
        <f>"PHY00615"</f>
        <v>PHY00615</v>
      </c>
      <c r="J348" t="str">
        <f>"W0115950"</f>
        <v>W0115950</v>
      </c>
      <c r="K348" t="str">
        <f t="shared" si="83"/>
        <v>AS89</v>
      </c>
      <c r="L348" t="s">
        <v>2416</v>
      </c>
      <c r="M348" s="2">
        <v>5769.83</v>
      </c>
    </row>
    <row r="349" spans="1:13" x14ac:dyDescent="0.25">
      <c r="A349" t="str">
        <f t="shared" si="75"/>
        <v>E160</v>
      </c>
      <c r="B349">
        <v>1</v>
      </c>
      <c r="C349" t="str">
        <f t="shared" si="80"/>
        <v>43000</v>
      </c>
      <c r="D349" t="str">
        <f t="shared" si="82"/>
        <v>5740</v>
      </c>
      <c r="E349" t="str">
        <f t="shared" si="81"/>
        <v>850LOS</v>
      </c>
      <c r="F349" t="str">
        <f>""</f>
        <v/>
      </c>
      <c r="G349" t="str">
        <f>""</f>
        <v/>
      </c>
      <c r="H349" s="1">
        <v>41548</v>
      </c>
      <c r="I349" t="str">
        <f>"PHY00617"</f>
        <v>PHY00617</v>
      </c>
      <c r="J349" t="str">
        <f>"W0115448"</f>
        <v>W0115448</v>
      </c>
      <c r="K349" t="str">
        <f t="shared" si="83"/>
        <v>AS89</v>
      </c>
      <c r="L349" t="s">
        <v>2420</v>
      </c>
      <c r="M349">
        <v>121.81</v>
      </c>
    </row>
    <row r="350" spans="1:13" x14ac:dyDescent="0.25">
      <c r="A350" t="str">
        <f t="shared" si="75"/>
        <v>E160</v>
      </c>
      <c r="B350">
        <v>1</v>
      </c>
      <c r="C350" t="str">
        <f t="shared" si="80"/>
        <v>43000</v>
      </c>
      <c r="D350" t="str">
        <f t="shared" si="82"/>
        <v>5740</v>
      </c>
      <c r="E350" t="str">
        <f t="shared" si="81"/>
        <v>850LOS</v>
      </c>
      <c r="F350" t="str">
        <f>""</f>
        <v/>
      </c>
      <c r="G350" t="str">
        <f>""</f>
        <v/>
      </c>
      <c r="H350" s="1">
        <v>41548</v>
      </c>
      <c r="I350" t="str">
        <f>"PHY00617"</f>
        <v>PHY00617</v>
      </c>
      <c r="J350" t="str">
        <f>"W0115449"</f>
        <v>W0115449</v>
      </c>
      <c r="K350" t="str">
        <f t="shared" si="83"/>
        <v>AS89</v>
      </c>
      <c r="L350" t="s">
        <v>2417</v>
      </c>
      <c r="M350">
        <v>411.47</v>
      </c>
    </row>
    <row r="351" spans="1:13" x14ac:dyDescent="0.25">
      <c r="A351" t="str">
        <f t="shared" ref="A351:A382" si="84">"E160"</f>
        <v>E160</v>
      </c>
      <c r="B351">
        <v>1</v>
      </c>
      <c r="C351" t="str">
        <f t="shared" si="80"/>
        <v>43000</v>
      </c>
      <c r="D351" t="str">
        <f t="shared" si="82"/>
        <v>5740</v>
      </c>
      <c r="E351" t="str">
        <f t="shared" si="81"/>
        <v>850LOS</v>
      </c>
      <c r="F351" t="str">
        <f>""</f>
        <v/>
      </c>
      <c r="G351" t="str">
        <f>""</f>
        <v/>
      </c>
      <c r="H351" s="1">
        <v>41548</v>
      </c>
      <c r="I351" t="str">
        <f>"PHY00617"</f>
        <v>PHY00617</v>
      </c>
      <c r="J351" t="str">
        <f>"W0115717"</f>
        <v>W0115717</v>
      </c>
      <c r="K351" t="str">
        <f t="shared" si="83"/>
        <v>AS89</v>
      </c>
      <c r="L351" t="s">
        <v>2419</v>
      </c>
      <c r="M351">
        <v>108.39</v>
      </c>
    </row>
    <row r="352" spans="1:13" x14ac:dyDescent="0.25">
      <c r="A352" t="str">
        <f t="shared" si="84"/>
        <v>E160</v>
      </c>
      <c r="B352">
        <v>1</v>
      </c>
      <c r="C352" t="str">
        <f t="shared" si="80"/>
        <v>43000</v>
      </c>
      <c r="D352" t="str">
        <f t="shared" si="82"/>
        <v>5740</v>
      </c>
      <c r="E352" t="str">
        <f t="shared" si="81"/>
        <v>850LOS</v>
      </c>
      <c r="F352" t="str">
        <f>""</f>
        <v/>
      </c>
      <c r="G352" t="str">
        <f>""</f>
        <v/>
      </c>
      <c r="H352" s="1">
        <v>41548</v>
      </c>
      <c r="I352" t="str">
        <f>"PHY00617"</f>
        <v>PHY00617</v>
      </c>
      <c r="J352" t="str">
        <f>"W0115949"</f>
        <v>W0115949</v>
      </c>
      <c r="K352" t="str">
        <f t="shared" si="83"/>
        <v>AS89</v>
      </c>
      <c r="L352" t="s">
        <v>2418</v>
      </c>
      <c r="M352">
        <v>841.81</v>
      </c>
    </row>
    <row r="353" spans="1:13" x14ac:dyDescent="0.25">
      <c r="A353" t="str">
        <f t="shared" si="84"/>
        <v>E160</v>
      </c>
      <c r="B353">
        <v>1</v>
      </c>
      <c r="C353" t="str">
        <f t="shared" si="80"/>
        <v>43000</v>
      </c>
      <c r="D353" t="str">
        <f t="shared" si="82"/>
        <v>5740</v>
      </c>
      <c r="E353" t="str">
        <f t="shared" si="81"/>
        <v>850LOS</v>
      </c>
      <c r="F353" t="str">
        <f>""</f>
        <v/>
      </c>
      <c r="G353" t="str">
        <f>""</f>
        <v/>
      </c>
      <c r="H353" s="1">
        <v>41548</v>
      </c>
      <c r="I353" t="str">
        <f>"PHY00617"</f>
        <v>PHY00617</v>
      </c>
      <c r="J353" t="str">
        <f>"W0115950"</f>
        <v>W0115950</v>
      </c>
      <c r="K353" t="str">
        <f t="shared" si="83"/>
        <v>AS89</v>
      </c>
      <c r="L353" t="s">
        <v>2416</v>
      </c>
      <c r="M353" s="2">
        <v>4573.76</v>
      </c>
    </row>
    <row r="354" spans="1:13" x14ac:dyDescent="0.25">
      <c r="A354" t="str">
        <f t="shared" si="84"/>
        <v>E160</v>
      </c>
      <c r="B354">
        <v>1</v>
      </c>
      <c r="C354" t="str">
        <f t="shared" si="80"/>
        <v>43000</v>
      </c>
      <c r="D354" t="str">
        <f t="shared" si="82"/>
        <v>5740</v>
      </c>
      <c r="E354" t="str">
        <f t="shared" si="81"/>
        <v>850LOS</v>
      </c>
      <c r="F354" t="str">
        <f>""</f>
        <v/>
      </c>
      <c r="G354" t="str">
        <f>""</f>
        <v/>
      </c>
      <c r="H354" s="1">
        <v>41579</v>
      </c>
      <c r="I354" t="str">
        <f>"PHY00619"</f>
        <v>PHY00619</v>
      </c>
      <c r="J354" t="str">
        <f>"W0115449"</f>
        <v>W0115449</v>
      </c>
      <c r="K354" t="str">
        <f t="shared" si="83"/>
        <v>AS89</v>
      </c>
      <c r="L354" t="s">
        <v>2417</v>
      </c>
      <c r="M354">
        <v>585.75</v>
      </c>
    </row>
    <row r="355" spans="1:13" x14ac:dyDescent="0.25">
      <c r="A355" t="str">
        <f t="shared" si="84"/>
        <v>E160</v>
      </c>
      <c r="B355">
        <v>1</v>
      </c>
      <c r="C355" t="str">
        <f t="shared" si="80"/>
        <v>43000</v>
      </c>
      <c r="D355" t="str">
        <f t="shared" si="82"/>
        <v>5740</v>
      </c>
      <c r="E355" t="str">
        <f t="shared" si="81"/>
        <v>850LOS</v>
      </c>
      <c r="F355" t="str">
        <f>""</f>
        <v/>
      </c>
      <c r="G355" t="str">
        <f>""</f>
        <v/>
      </c>
      <c r="H355" s="1">
        <v>41579</v>
      </c>
      <c r="I355" t="str">
        <f>"PHY00619"</f>
        <v>PHY00619</v>
      </c>
      <c r="J355" t="str">
        <f>"W0115950"</f>
        <v>W0115950</v>
      </c>
      <c r="K355" t="str">
        <f t="shared" si="83"/>
        <v>AS89</v>
      </c>
      <c r="L355" t="s">
        <v>2416</v>
      </c>
      <c r="M355">
        <v>721.37</v>
      </c>
    </row>
    <row r="356" spans="1:13" x14ac:dyDescent="0.25">
      <c r="A356" t="str">
        <f t="shared" si="84"/>
        <v>E160</v>
      </c>
      <c r="B356">
        <v>1</v>
      </c>
      <c r="C356" t="str">
        <f t="shared" si="80"/>
        <v>43000</v>
      </c>
      <c r="D356" t="str">
        <f t="shared" si="82"/>
        <v>5740</v>
      </c>
      <c r="E356" t="str">
        <f t="shared" si="81"/>
        <v>850LOS</v>
      </c>
      <c r="F356" t="str">
        <f>""</f>
        <v/>
      </c>
      <c r="G356" t="str">
        <f>""</f>
        <v/>
      </c>
      <c r="H356" s="1">
        <v>41579</v>
      </c>
      <c r="I356" t="str">
        <f>"PHY00619"</f>
        <v>PHY00619</v>
      </c>
      <c r="J356" t="str">
        <f>"W0120028"</f>
        <v>W0120028</v>
      </c>
      <c r="K356" t="str">
        <f t="shared" si="83"/>
        <v>AS89</v>
      </c>
      <c r="L356" t="s">
        <v>2415</v>
      </c>
      <c r="M356">
        <v>257.63</v>
      </c>
    </row>
    <row r="357" spans="1:13" x14ac:dyDescent="0.25">
      <c r="A357" t="str">
        <f t="shared" si="84"/>
        <v>E160</v>
      </c>
      <c r="B357">
        <v>1</v>
      </c>
      <c r="C357" t="str">
        <f t="shared" si="80"/>
        <v>43000</v>
      </c>
      <c r="D357" t="str">
        <f t="shared" si="82"/>
        <v>5740</v>
      </c>
      <c r="E357" t="str">
        <f t="shared" si="81"/>
        <v>850LOS</v>
      </c>
      <c r="F357" t="str">
        <f>""</f>
        <v/>
      </c>
      <c r="G357" t="str">
        <f>""</f>
        <v/>
      </c>
      <c r="H357" s="1">
        <v>41579</v>
      </c>
      <c r="I357" t="str">
        <f>"PHY00619"</f>
        <v>PHY00619</v>
      </c>
      <c r="J357" t="str">
        <f>"W0120053"</f>
        <v>W0120053</v>
      </c>
      <c r="K357" t="str">
        <f t="shared" si="83"/>
        <v>AS89</v>
      </c>
      <c r="L357" t="s">
        <v>2414</v>
      </c>
      <c r="M357">
        <v>753.63</v>
      </c>
    </row>
    <row r="358" spans="1:13" x14ac:dyDescent="0.25">
      <c r="A358" t="str">
        <f t="shared" si="84"/>
        <v>E160</v>
      </c>
      <c r="B358">
        <v>1</v>
      </c>
      <c r="C358" t="str">
        <f t="shared" si="80"/>
        <v>43000</v>
      </c>
      <c r="D358" t="str">
        <f t="shared" si="82"/>
        <v>5740</v>
      </c>
      <c r="E358" t="str">
        <f t="shared" si="81"/>
        <v>850LOS</v>
      </c>
      <c r="F358" t="str">
        <f>""</f>
        <v/>
      </c>
      <c r="G358" t="str">
        <f>""</f>
        <v/>
      </c>
      <c r="H358" s="1">
        <v>41640</v>
      </c>
      <c r="I358" t="str">
        <f>"PHY00623"</f>
        <v>PHY00623</v>
      </c>
      <c r="J358" t="str">
        <f>"W0002219"</f>
        <v>W0002219</v>
      </c>
      <c r="K358" t="str">
        <f t="shared" si="83"/>
        <v>AS89</v>
      </c>
      <c r="L358" t="s">
        <v>724</v>
      </c>
      <c r="M358">
        <v>272.58999999999997</v>
      </c>
    </row>
    <row r="359" spans="1:13" x14ac:dyDescent="0.25">
      <c r="A359" t="str">
        <f t="shared" si="84"/>
        <v>E160</v>
      </c>
      <c r="B359">
        <v>1</v>
      </c>
      <c r="C359" t="str">
        <f t="shared" si="80"/>
        <v>43000</v>
      </c>
      <c r="D359" t="str">
        <f t="shared" si="82"/>
        <v>5740</v>
      </c>
      <c r="E359" t="str">
        <f t="shared" si="81"/>
        <v>850LOS</v>
      </c>
      <c r="F359" t="str">
        <f>""</f>
        <v/>
      </c>
      <c r="G359" t="str">
        <f>""</f>
        <v/>
      </c>
      <c r="H359" s="1">
        <v>41640</v>
      </c>
      <c r="I359" t="str">
        <f>"PHY00623"</f>
        <v>PHY00623</v>
      </c>
      <c r="J359" t="str">
        <f>"W0002257"</f>
        <v>W0002257</v>
      </c>
      <c r="K359" t="str">
        <f t="shared" si="83"/>
        <v>AS89</v>
      </c>
      <c r="L359" t="s">
        <v>1093</v>
      </c>
      <c r="M359">
        <v>318.74</v>
      </c>
    </row>
    <row r="360" spans="1:13" x14ac:dyDescent="0.25">
      <c r="A360" t="str">
        <f t="shared" si="84"/>
        <v>E160</v>
      </c>
      <c r="B360">
        <v>1</v>
      </c>
      <c r="C360" t="str">
        <f t="shared" si="80"/>
        <v>43000</v>
      </c>
      <c r="D360" t="str">
        <f t="shared" si="82"/>
        <v>5740</v>
      </c>
      <c r="E360" t="str">
        <f t="shared" si="81"/>
        <v>850LOS</v>
      </c>
      <c r="F360" t="str">
        <f>""</f>
        <v/>
      </c>
      <c r="G360" t="str">
        <f>""</f>
        <v/>
      </c>
      <c r="H360" s="1">
        <v>41640</v>
      </c>
      <c r="I360" t="str">
        <f>"PHY00623"</f>
        <v>PHY00623</v>
      </c>
      <c r="J360" t="str">
        <f>"W0121674"</f>
        <v>W0121674</v>
      </c>
      <c r="K360" t="str">
        <f t="shared" si="83"/>
        <v>AS89</v>
      </c>
      <c r="L360" t="s">
        <v>2413</v>
      </c>
      <c r="M360">
        <v>382.97</v>
      </c>
    </row>
    <row r="361" spans="1:13" x14ac:dyDescent="0.25">
      <c r="A361" t="str">
        <f t="shared" si="84"/>
        <v>E160</v>
      </c>
      <c r="B361">
        <v>1</v>
      </c>
      <c r="C361" t="str">
        <f t="shared" si="80"/>
        <v>43000</v>
      </c>
      <c r="D361" t="str">
        <f t="shared" si="82"/>
        <v>5740</v>
      </c>
      <c r="E361" t="str">
        <f t="shared" si="81"/>
        <v>850LOS</v>
      </c>
      <c r="F361" t="str">
        <f>""</f>
        <v/>
      </c>
      <c r="G361" t="str">
        <f>""</f>
        <v/>
      </c>
      <c r="H361" s="1">
        <v>41640</v>
      </c>
      <c r="I361" t="str">
        <f>"PHY00623"</f>
        <v>PHY00623</v>
      </c>
      <c r="J361" t="str">
        <f>"W0122715"</f>
        <v>W0122715</v>
      </c>
      <c r="K361" t="str">
        <f t="shared" si="83"/>
        <v>AS89</v>
      </c>
      <c r="L361" t="s">
        <v>2412</v>
      </c>
      <c r="M361" s="2">
        <v>1098.83</v>
      </c>
    </row>
    <row r="362" spans="1:13" x14ac:dyDescent="0.25">
      <c r="A362" t="str">
        <f t="shared" si="84"/>
        <v>E160</v>
      </c>
      <c r="B362">
        <v>1</v>
      </c>
      <c r="C362" t="str">
        <f t="shared" si="80"/>
        <v>43000</v>
      </c>
      <c r="D362" t="str">
        <f t="shared" si="82"/>
        <v>5740</v>
      </c>
      <c r="E362" t="str">
        <f t="shared" si="81"/>
        <v>850LOS</v>
      </c>
      <c r="F362" t="str">
        <f>""</f>
        <v/>
      </c>
      <c r="G362" t="str">
        <f>""</f>
        <v/>
      </c>
      <c r="H362" s="1">
        <v>41671</v>
      </c>
      <c r="I362" t="str">
        <f>"PHY00625"</f>
        <v>PHY00625</v>
      </c>
      <c r="J362" t="str">
        <f>"W0122715"</f>
        <v>W0122715</v>
      </c>
      <c r="K362" t="str">
        <f t="shared" si="83"/>
        <v>AS89</v>
      </c>
      <c r="L362" t="s">
        <v>2412</v>
      </c>
      <c r="M362">
        <v>121.97</v>
      </c>
    </row>
    <row r="363" spans="1:13" x14ac:dyDescent="0.25">
      <c r="A363" t="str">
        <f t="shared" si="84"/>
        <v>E160</v>
      </c>
      <c r="B363">
        <v>1</v>
      </c>
      <c r="C363" t="str">
        <f t="shared" si="80"/>
        <v>43000</v>
      </c>
      <c r="D363" t="str">
        <f t="shared" si="82"/>
        <v>5740</v>
      </c>
      <c r="E363" t="str">
        <f t="shared" si="81"/>
        <v>850LOS</v>
      </c>
      <c r="F363" t="str">
        <f>""</f>
        <v/>
      </c>
      <c r="G363" t="str">
        <f>""</f>
        <v/>
      </c>
      <c r="H363" s="1">
        <v>41699</v>
      </c>
      <c r="I363" t="str">
        <f>"PHY00627"</f>
        <v>PHY00627</v>
      </c>
      <c r="J363" t="str">
        <f>"W0113575"</f>
        <v>W0113575</v>
      </c>
      <c r="K363" t="str">
        <f t="shared" si="83"/>
        <v>AS89</v>
      </c>
      <c r="L363" t="s">
        <v>2411</v>
      </c>
      <c r="M363" s="2">
        <v>1128.44</v>
      </c>
    </row>
    <row r="364" spans="1:13" x14ac:dyDescent="0.25">
      <c r="A364" t="str">
        <f t="shared" si="84"/>
        <v>E160</v>
      </c>
      <c r="B364">
        <v>1</v>
      </c>
      <c r="C364" t="str">
        <f t="shared" si="80"/>
        <v>43000</v>
      </c>
      <c r="D364" t="str">
        <f t="shared" si="82"/>
        <v>5740</v>
      </c>
      <c r="E364" t="str">
        <f t="shared" si="81"/>
        <v>850LOS</v>
      </c>
      <c r="F364" t="str">
        <f>""</f>
        <v/>
      </c>
      <c r="G364" t="str">
        <f>""</f>
        <v/>
      </c>
      <c r="H364" s="1">
        <v>41699</v>
      </c>
      <c r="I364" t="str">
        <f>"PHY00627"</f>
        <v>PHY00627</v>
      </c>
      <c r="J364" t="str">
        <f>"W0123893"</f>
        <v>W0123893</v>
      </c>
      <c r="K364" t="str">
        <f t="shared" si="83"/>
        <v>AS89</v>
      </c>
      <c r="L364" t="s">
        <v>2410</v>
      </c>
      <c r="M364">
        <v>500.56</v>
      </c>
    </row>
    <row r="365" spans="1:13" x14ac:dyDescent="0.25">
      <c r="A365" t="str">
        <f t="shared" si="84"/>
        <v>E160</v>
      </c>
      <c r="B365">
        <v>1</v>
      </c>
      <c r="C365" t="str">
        <f t="shared" si="80"/>
        <v>43000</v>
      </c>
      <c r="D365" t="str">
        <f t="shared" si="82"/>
        <v>5740</v>
      </c>
      <c r="E365" t="str">
        <f t="shared" si="81"/>
        <v>850LOS</v>
      </c>
      <c r="F365" t="str">
        <f>""</f>
        <v/>
      </c>
      <c r="G365" t="str">
        <f>""</f>
        <v/>
      </c>
      <c r="H365" s="1">
        <v>41699</v>
      </c>
      <c r="I365" t="str">
        <f>"PHY00627"</f>
        <v>PHY00627</v>
      </c>
      <c r="J365" t="str">
        <f>"W0124174"</f>
        <v>W0124174</v>
      </c>
      <c r="K365" t="str">
        <f t="shared" si="83"/>
        <v>AS89</v>
      </c>
      <c r="L365" t="s">
        <v>2409</v>
      </c>
      <c r="M365">
        <v>302.97000000000003</v>
      </c>
    </row>
    <row r="366" spans="1:13" x14ac:dyDescent="0.25">
      <c r="A366" t="str">
        <f t="shared" si="84"/>
        <v>E160</v>
      </c>
      <c r="B366">
        <v>1</v>
      </c>
      <c r="C366" t="str">
        <f t="shared" si="80"/>
        <v>43000</v>
      </c>
      <c r="D366" t="str">
        <f t="shared" si="82"/>
        <v>5740</v>
      </c>
      <c r="E366" t="str">
        <f t="shared" si="81"/>
        <v>850LOS</v>
      </c>
      <c r="F366" t="str">
        <f>""</f>
        <v/>
      </c>
      <c r="G366" t="str">
        <f>""</f>
        <v/>
      </c>
      <c r="H366" s="1">
        <v>41730</v>
      </c>
      <c r="I366" t="str">
        <f>"PHY00629"</f>
        <v>PHY00629</v>
      </c>
      <c r="J366" t="str">
        <f>"W0120743"</f>
        <v>W0120743</v>
      </c>
      <c r="K366" t="str">
        <f t="shared" si="83"/>
        <v>AS89</v>
      </c>
      <c r="L366" t="s">
        <v>2408</v>
      </c>
      <c r="M366">
        <v>128.83000000000001</v>
      </c>
    </row>
    <row r="367" spans="1:13" x14ac:dyDescent="0.25">
      <c r="A367" t="str">
        <f t="shared" si="84"/>
        <v>E160</v>
      </c>
      <c r="B367">
        <v>1</v>
      </c>
      <c r="C367" t="str">
        <f t="shared" si="80"/>
        <v>43000</v>
      </c>
      <c r="D367" t="str">
        <f t="shared" si="82"/>
        <v>5740</v>
      </c>
      <c r="E367" t="str">
        <f t="shared" si="81"/>
        <v>850LOS</v>
      </c>
      <c r="F367" t="str">
        <f>""</f>
        <v/>
      </c>
      <c r="G367" t="str">
        <f>""</f>
        <v/>
      </c>
      <c r="H367" s="1">
        <v>41760</v>
      </c>
      <c r="I367" t="str">
        <f>"PHY00631"</f>
        <v>PHY00631</v>
      </c>
      <c r="J367" t="str">
        <f>"W0120743"</f>
        <v>W0120743</v>
      </c>
      <c r="K367" t="str">
        <f t="shared" si="83"/>
        <v>AS89</v>
      </c>
      <c r="L367" t="s">
        <v>2408</v>
      </c>
      <c r="M367">
        <v>392.35</v>
      </c>
    </row>
    <row r="368" spans="1:13" x14ac:dyDescent="0.25">
      <c r="A368" t="str">
        <f t="shared" si="84"/>
        <v>E160</v>
      </c>
      <c r="B368">
        <v>1</v>
      </c>
      <c r="C368" t="str">
        <f t="shared" si="80"/>
        <v>43000</v>
      </c>
      <c r="D368" t="str">
        <f t="shared" si="82"/>
        <v>5740</v>
      </c>
      <c r="E368" t="str">
        <f t="shared" si="81"/>
        <v>850LOS</v>
      </c>
      <c r="F368" t="str">
        <f>""</f>
        <v/>
      </c>
      <c r="G368" t="str">
        <f>""</f>
        <v/>
      </c>
      <c r="H368" s="1">
        <v>41791</v>
      </c>
      <c r="I368" t="str">
        <f t="shared" ref="I368:I374" si="85">"PHY00633"</f>
        <v>PHY00633</v>
      </c>
      <c r="J368" t="str">
        <f>"W0120743"</f>
        <v>W0120743</v>
      </c>
      <c r="K368" t="str">
        <f t="shared" si="83"/>
        <v>AS89</v>
      </c>
      <c r="L368" t="s">
        <v>2408</v>
      </c>
      <c r="M368" s="2">
        <v>1336.8</v>
      </c>
    </row>
    <row r="369" spans="1:13" x14ac:dyDescent="0.25">
      <c r="A369" t="str">
        <f t="shared" si="84"/>
        <v>E160</v>
      </c>
      <c r="B369">
        <v>1</v>
      </c>
      <c r="C369" t="str">
        <f t="shared" si="80"/>
        <v>43000</v>
      </c>
      <c r="D369" t="str">
        <f t="shared" si="82"/>
        <v>5740</v>
      </c>
      <c r="E369" t="str">
        <f t="shared" si="81"/>
        <v>850LOS</v>
      </c>
      <c r="F369" t="str">
        <f>""</f>
        <v/>
      </c>
      <c r="G369" t="str">
        <f>""</f>
        <v/>
      </c>
      <c r="H369" s="1">
        <v>41791</v>
      </c>
      <c r="I369" t="str">
        <f t="shared" si="85"/>
        <v>PHY00633</v>
      </c>
      <c r="J369" t="str">
        <f>"W0129813"</f>
        <v>W0129813</v>
      </c>
      <c r="K369" t="str">
        <f t="shared" si="83"/>
        <v>AS89</v>
      </c>
      <c r="L369" t="s">
        <v>715</v>
      </c>
      <c r="M369">
        <v>376.16</v>
      </c>
    </row>
    <row r="370" spans="1:13" x14ac:dyDescent="0.25">
      <c r="A370" t="str">
        <f t="shared" si="84"/>
        <v>E160</v>
      </c>
      <c r="B370">
        <v>1</v>
      </c>
      <c r="C370" t="str">
        <f t="shared" ref="C370:C388" si="86">"43000"</f>
        <v>43000</v>
      </c>
      <c r="D370" t="str">
        <f t="shared" si="82"/>
        <v>5740</v>
      </c>
      <c r="E370" t="str">
        <f t="shared" si="81"/>
        <v>850LOS</v>
      </c>
      <c r="F370" t="str">
        <f>""</f>
        <v/>
      </c>
      <c r="G370" t="str">
        <f>""</f>
        <v/>
      </c>
      <c r="H370" s="1">
        <v>41791</v>
      </c>
      <c r="I370" t="str">
        <f t="shared" si="85"/>
        <v>PHY00633</v>
      </c>
      <c r="J370" t="str">
        <f>"W0130005"</f>
        <v>W0130005</v>
      </c>
      <c r="K370" t="str">
        <f t="shared" si="83"/>
        <v>AS89</v>
      </c>
      <c r="L370" t="s">
        <v>2407</v>
      </c>
      <c r="M370">
        <v>309.17</v>
      </c>
    </row>
    <row r="371" spans="1:13" x14ac:dyDescent="0.25">
      <c r="A371" t="str">
        <f t="shared" si="84"/>
        <v>E160</v>
      </c>
      <c r="B371">
        <v>1</v>
      </c>
      <c r="C371" t="str">
        <f t="shared" si="86"/>
        <v>43000</v>
      </c>
      <c r="D371" t="str">
        <f t="shared" ref="D371:D388" si="87">"5740"</f>
        <v>5740</v>
      </c>
      <c r="E371" t="str">
        <f t="shared" si="81"/>
        <v>850LOS</v>
      </c>
      <c r="F371" t="str">
        <f>""</f>
        <v/>
      </c>
      <c r="G371" t="str">
        <f>""</f>
        <v/>
      </c>
      <c r="H371" s="1">
        <v>41791</v>
      </c>
      <c r="I371" t="str">
        <f t="shared" si="85"/>
        <v>PHY00633</v>
      </c>
      <c r="J371" t="str">
        <f>"W0130009"</f>
        <v>W0130009</v>
      </c>
      <c r="K371" t="str">
        <f t="shared" ref="K371:K388" si="88">"AS89"</f>
        <v>AS89</v>
      </c>
      <c r="L371" t="s">
        <v>715</v>
      </c>
      <c r="M371">
        <v>309.17</v>
      </c>
    </row>
    <row r="372" spans="1:13" x14ac:dyDescent="0.25">
      <c r="A372" t="str">
        <f t="shared" si="84"/>
        <v>E160</v>
      </c>
      <c r="B372">
        <v>1</v>
      </c>
      <c r="C372" t="str">
        <f t="shared" si="86"/>
        <v>43000</v>
      </c>
      <c r="D372" t="str">
        <f t="shared" si="87"/>
        <v>5740</v>
      </c>
      <c r="E372" t="str">
        <f t="shared" si="81"/>
        <v>850LOS</v>
      </c>
      <c r="F372" t="str">
        <f>""</f>
        <v/>
      </c>
      <c r="G372" t="str">
        <f>""</f>
        <v/>
      </c>
      <c r="H372" s="1">
        <v>41791</v>
      </c>
      <c r="I372" t="str">
        <f t="shared" si="85"/>
        <v>PHY00633</v>
      </c>
      <c r="J372" t="str">
        <f>"W0130016"</f>
        <v>W0130016</v>
      </c>
      <c r="K372" t="str">
        <f t="shared" si="88"/>
        <v>AS89</v>
      </c>
      <c r="L372" t="s">
        <v>715</v>
      </c>
      <c r="M372">
        <v>141.06</v>
      </c>
    </row>
    <row r="373" spans="1:13" x14ac:dyDescent="0.25">
      <c r="A373" t="str">
        <f t="shared" si="84"/>
        <v>E160</v>
      </c>
      <c r="B373">
        <v>1</v>
      </c>
      <c r="C373" t="str">
        <f t="shared" si="86"/>
        <v>43000</v>
      </c>
      <c r="D373" t="str">
        <f t="shared" si="87"/>
        <v>5740</v>
      </c>
      <c r="E373" t="str">
        <f t="shared" si="81"/>
        <v>850LOS</v>
      </c>
      <c r="F373" t="str">
        <f>""</f>
        <v/>
      </c>
      <c r="G373" t="str">
        <f>""</f>
        <v/>
      </c>
      <c r="H373" s="1">
        <v>41791</v>
      </c>
      <c r="I373" t="str">
        <f t="shared" si="85"/>
        <v>PHY00633</v>
      </c>
      <c r="J373" t="str">
        <f>"W0130078"</f>
        <v>W0130078</v>
      </c>
      <c r="K373" t="str">
        <f t="shared" si="88"/>
        <v>AS89</v>
      </c>
      <c r="L373" t="s">
        <v>715</v>
      </c>
      <c r="M373">
        <v>235.1</v>
      </c>
    </row>
    <row r="374" spans="1:13" x14ac:dyDescent="0.25">
      <c r="A374" t="str">
        <f t="shared" si="84"/>
        <v>E160</v>
      </c>
      <c r="B374">
        <v>1</v>
      </c>
      <c r="C374" t="str">
        <f t="shared" si="86"/>
        <v>43000</v>
      </c>
      <c r="D374" t="str">
        <f t="shared" si="87"/>
        <v>5740</v>
      </c>
      <c r="E374" t="str">
        <f t="shared" si="81"/>
        <v>850LOS</v>
      </c>
      <c r="F374" t="str">
        <f>""</f>
        <v/>
      </c>
      <c r="G374" t="str">
        <f>""</f>
        <v/>
      </c>
      <c r="H374" s="1">
        <v>41791</v>
      </c>
      <c r="I374" t="str">
        <f t="shared" si="85"/>
        <v>PHY00633</v>
      </c>
      <c r="J374" t="str">
        <f>"W0130797"</f>
        <v>W0130797</v>
      </c>
      <c r="K374" t="str">
        <f t="shared" si="88"/>
        <v>AS89</v>
      </c>
      <c r="L374" t="s">
        <v>2406</v>
      </c>
      <c r="M374">
        <v>108.39</v>
      </c>
    </row>
    <row r="375" spans="1:13" x14ac:dyDescent="0.25">
      <c r="A375" t="str">
        <f t="shared" si="84"/>
        <v>E160</v>
      </c>
      <c r="B375">
        <v>1</v>
      </c>
      <c r="C375" t="str">
        <f t="shared" si="86"/>
        <v>43000</v>
      </c>
      <c r="D375" t="str">
        <f t="shared" si="87"/>
        <v>5740</v>
      </c>
      <c r="E375" t="str">
        <f t="shared" ref="E375:E388" si="89">"850PKE"</f>
        <v>850PKE</v>
      </c>
      <c r="F375" t="str">
        <f>""</f>
        <v/>
      </c>
      <c r="G375" t="str">
        <f>""</f>
        <v/>
      </c>
      <c r="H375" s="1">
        <v>41456</v>
      </c>
      <c r="I375" t="str">
        <f>"PHY00611"</f>
        <v>PHY00611</v>
      </c>
      <c r="J375" t="str">
        <f>"W0002153"</f>
        <v>W0002153</v>
      </c>
      <c r="K375" t="str">
        <f t="shared" si="88"/>
        <v>AS89</v>
      </c>
      <c r="L375" t="s">
        <v>719</v>
      </c>
      <c r="M375">
        <v>129.93</v>
      </c>
    </row>
    <row r="376" spans="1:13" x14ac:dyDescent="0.25">
      <c r="A376" t="str">
        <f t="shared" si="84"/>
        <v>E160</v>
      </c>
      <c r="B376">
        <v>1</v>
      </c>
      <c r="C376" t="str">
        <f t="shared" si="86"/>
        <v>43000</v>
      </c>
      <c r="D376" t="str">
        <f t="shared" si="87"/>
        <v>5740</v>
      </c>
      <c r="E376" t="str">
        <f t="shared" si="89"/>
        <v>850PKE</v>
      </c>
      <c r="F376" t="str">
        <f>""</f>
        <v/>
      </c>
      <c r="G376" t="str">
        <f>""</f>
        <v/>
      </c>
      <c r="H376" s="1">
        <v>41487</v>
      </c>
      <c r="I376" t="str">
        <f>"PHY00613"</f>
        <v>PHY00613</v>
      </c>
      <c r="J376" t="str">
        <f>"W0114780"</f>
        <v>W0114780</v>
      </c>
      <c r="K376" t="str">
        <f t="shared" si="88"/>
        <v>AS89</v>
      </c>
      <c r="L376" t="s">
        <v>2405</v>
      </c>
      <c r="M376">
        <v>341.08</v>
      </c>
    </row>
    <row r="377" spans="1:13" x14ac:dyDescent="0.25">
      <c r="A377" t="str">
        <f t="shared" si="84"/>
        <v>E160</v>
      </c>
      <c r="B377">
        <v>1</v>
      </c>
      <c r="C377" t="str">
        <f t="shared" si="86"/>
        <v>43000</v>
      </c>
      <c r="D377" t="str">
        <f t="shared" si="87"/>
        <v>5740</v>
      </c>
      <c r="E377" t="str">
        <f t="shared" si="89"/>
        <v>850PKE</v>
      </c>
      <c r="F377" t="str">
        <f>""</f>
        <v/>
      </c>
      <c r="G377" t="str">
        <f>""</f>
        <v/>
      </c>
      <c r="H377" s="1">
        <v>41548</v>
      </c>
      <c r="I377" t="str">
        <f>"PHY00617"</f>
        <v>PHY00617</v>
      </c>
      <c r="J377" t="str">
        <f>"W0002153"</f>
        <v>W0002153</v>
      </c>
      <c r="K377" t="str">
        <f t="shared" si="88"/>
        <v>AS89</v>
      </c>
      <c r="L377" t="s">
        <v>719</v>
      </c>
      <c r="M377">
        <v>108.38</v>
      </c>
    </row>
    <row r="378" spans="1:13" x14ac:dyDescent="0.25">
      <c r="A378" t="str">
        <f t="shared" si="84"/>
        <v>E160</v>
      </c>
      <c r="B378">
        <v>1</v>
      </c>
      <c r="C378" t="str">
        <f t="shared" si="86"/>
        <v>43000</v>
      </c>
      <c r="D378" t="str">
        <f t="shared" si="87"/>
        <v>5740</v>
      </c>
      <c r="E378" t="str">
        <f t="shared" si="89"/>
        <v>850PKE</v>
      </c>
      <c r="F378" t="str">
        <f>""</f>
        <v/>
      </c>
      <c r="G378" t="str">
        <f>""</f>
        <v/>
      </c>
      <c r="H378" s="1">
        <v>41579</v>
      </c>
      <c r="I378" t="str">
        <f>"PHY00619"</f>
        <v>PHY00619</v>
      </c>
      <c r="J378" t="str">
        <f>"W0002153"</f>
        <v>W0002153</v>
      </c>
      <c r="K378" t="str">
        <f t="shared" si="88"/>
        <v>AS89</v>
      </c>
      <c r="L378" t="s">
        <v>719</v>
      </c>
      <c r="M378">
        <v>302.64</v>
      </c>
    </row>
    <row r="379" spans="1:13" x14ac:dyDescent="0.25">
      <c r="A379" t="str">
        <f t="shared" si="84"/>
        <v>E160</v>
      </c>
      <c r="B379">
        <v>1</v>
      </c>
      <c r="C379" t="str">
        <f t="shared" si="86"/>
        <v>43000</v>
      </c>
      <c r="D379" t="str">
        <f t="shared" si="87"/>
        <v>5740</v>
      </c>
      <c r="E379" t="str">
        <f t="shared" si="89"/>
        <v>850PKE</v>
      </c>
      <c r="F379" t="str">
        <f>""</f>
        <v/>
      </c>
      <c r="G379" t="str">
        <f>""</f>
        <v/>
      </c>
      <c r="H379" s="1">
        <v>41579</v>
      </c>
      <c r="I379" t="str">
        <f>"PHY00619"</f>
        <v>PHY00619</v>
      </c>
      <c r="J379" t="str">
        <f>"W0119529"</f>
        <v>W0119529</v>
      </c>
      <c r="K379" t="str">
        <f t="shared" si="88"/>
        <v>AS89</v>
      </c>
      <c r="L379" t="s">
        <v>2404</v>
      </c>
      <c r="M379">
        <v>226.2</v>
      </c>
    </row>
    <row r="380" spans="1:13" x14ac:dyDescent="0.25">
      <c r="A380" t="str">
        <f t="shared" si="84"/>
        <v>E160</v>
      </c>
      <c r="B380">
        <v>1</v>
      </c>
      <c r="C380" t="str">
        <f t="shared" si="86"/>
        <v>43000</v>
      </c>
      <c r="D380" t="str">
        <f t="shared" si="87"/>
        <v>5740</v>
      </c>
      <c r="E380" t="str">
        <f t="shared" si="89"/>
        <v>850PKE</v>
      </c>
      <c r="F380" t="str">
        <f>""</f>
        <v/>
      </c>
      <c r="G380" t="str">
        <f>""</f>
        <v/>
      </c>
      <c r="H380" s="1">
        <v>41609</v>
      </c>
      <c r="I380" t="str">
        <f>"PHY00621"</f>
        <v>PHY00621</v>
      </c>
      <c r="J380" t="str">
        <f>"W0002153"</f>
        <v>W0002153</v>
      </c>
      <c r="K380" t="str">
        <f t="shared" si="88"/>
        <v>AS89</v>
      </c>
      <c r="L380" t="s">
        <v>719</v>
      </c>
      <c r="M380">
        <v>108.39</v>
      </c>
    </row>
    <row r="381" spans="1:13" x14ac:dyDescent="0.25">
      <c r="A381" t="str">
        <f t="shared" si="84"/>
        <v>E160</v>
      </c>
      <c r="B381">
        <v>1</v>
      </c>
      <c r="C381" t="str">
        <f t="shared" si="86"/>
        <v>43000</v>
      </c>
      <c r="D381" t="str">
        <f t="shared" si="87"/>
        <v>5740</v>
      </c>
      <c r="E381" t="str">
        <f t="shared" si="89"/>
        <v>850PKE</v>
      </c>
      <c r="F381" t="str">
        <f>""</f>
        <v/>
      </c>
      <c r="G381" t="str">
        <f>""</f>
        <v/>
      </c>
      <c r="H381" s="1">
        <v>41640</v>
      </c>
      <c r="I381" t="str">
        <f>"PHY00623"</f>
        <v>PHY00623</v>
      </c>
      <c r="J381" t="str">
        <f>"W0002153"</f>
        <v>W0002153</v>
      </c>
      <c r="K381" t="str">
        <f t="shared" si="88"/>
        <v>AS89</v>
      </c>
      <c r="L381" t="s">
        <v>719</v>
      </c>
      <c r="M381">
        <v>135.47</v>
      </c>
    </row>
    <row r="382" spans="1:13" x14ac:dyDescent="0.25">
      <c r="A382" t="str">
        <f t="shared" si="84"/>
        <v>E160</v>
      </c>
      <c r="B382">
        <v>1</v>
      </c>
      <c r="C382" t="str">
        <f t="shared" si="86"/>
        <v>43000</v>
      </c>
      <c r="D382" t="str">
        <f t="shared" si="87"/>
        <v>5740</v>
      </c>
      <c r="E382" t="str">
        <f t="shared" si="89"/>
        <v>850PKE</v>
      </c>
      <c r="F382" t="str">
        <f>""</f>
        <v/>
      </c>
      <c r="G382" t="str">
        <f>""</f>
        <v/>
      </c>
      <c r="H382" s="1">
        <v>41671</v>
      </c>
      <c r="I382" t="str">
        <f>"PHY00625"</f>
        <v>PHY00625</v>
      </c>
      <c r="J382" t="str">
        <f>"W0002153"</f>
        <v>W0002153</v>
      </c>
      <c r="K382" t="str">
        <f t="shared" si="88"/>
        <v>AS89</v>
      </c>
      <c r="L382" t="s">
        <v>719</v>
      </c>
      <c r="M382">
        <v>330.13</v>
      </c>
    </row>
    <row r="383" spans="1:13" x14ac:dyDescent="0.25">
      <c r="A383" t="str">
        <f t="shared" ref="A383:A391" si="90">"E160"</f>
        <v>E160</v>
      </c>
      <c r="B383">
        <v>1</v>
      </c>
      <c r="C383" t="str">
        <f t="shared" si="86"/>
        <v>43000</v>
      </c>
      <c r="D383" t="str">
        <f t="shared" si="87"/>
        <v>5740</v>
      </c>
      <c r="E383" t="str">
        <f t="shared" si="89"/>
        <v>850PKE</v>
      </c>
      <c r="F383" t="str">
        <f>""</f>
        <v/>
      </c>
      <c r="G383" t="str">
        <f>""</f>
        <v/>
      </c>
      <c r="H383" s="1">
        <v>41699</v>
      </c>
      <c r="I383" t="str">
        <f>"PHY00627"</f>
        <v>PHY00627</v>
      </c>
      <c r="J383" t="str">
        <f>"W0077238"</f>
        <v>W0077238</v>
      </c>
      <c r="K383" t="str">
        <f t="shared" si="88"/>
        <v>AS89</v>
      </c>
      <c r="L383" t="s">
        <v>1585</v>
      </c>
      <c r="M383">
        <v>103.05</v>
      </c>
    </row>
    <row r="384" spans="1:13" x14ac:dyDescent="0.25">
      <c r="A384" t="str">
        <f t="shared" si="90"/>
        <v>E160</v>
      </c>
      <c r="B384">
        <v>1</v>
      </c>
      <c r="C384" t="str">
        <f t="shared" si="86"/>
        <v>43000</v>
      </c>
      <c r="D384" t="str">
        <f t="shared" si="87"/>
        <v>5740</v>
      </c>
      <c r="E384" t="str">
        <f t="shared" si="89"/>
        <v>850PKE</v>
      </c>
      <c r="F384" t="str">
        <f>""</f>
        <v/>
      </c>
      <c r="G384" t="str">
        <f>""</f>
        <v/>
      </c>
      <c r="H384" s="1">
        <v>41699</v>
      </c>
      <c r="I384" t="str">
        <f>"PHY00627"</f>
        <v>PHY00627</v>
      </c>
      <c r="J384" t="str">
        <f>"W0125846"</f>
        <v>W0125846</v>
      </c>
      <c r="K384" t="str">
        <f t="shared" si="88"/>
        <v>AS89</v>
      </c>
      <c r="L384" t="s">
        <v>2403</v>
      </c>
      <c r="M384">
        <v>918.31</v>
      </c>
    </row>
    <row r="385" spans="1:13" x14ac:dyDescent="0.25">
      <c r="A385" t="str">
        <f t="shared" si="90"/>
        <v>E160</v>
      </c>
      <c r="B385">
        <v>1</v>
      </c>
      <c r="C385" t="str">
        <f t="shared" si="86"/>
        <v>43000</v>
      </c>
      <c r="D385" t="str">
        <f t="shared" si="87"/>
        <v>5740</v>
      </c>
      <c r="E385" t="str">
        <f t="shared" si="89"/>
        <v>850PKE</v>
      </c>
      <c r="F385" t="str">
        <f>""</f>
        <v/>
      </c>
      <c r="G385" t="str">
        <f>""</f>
        <v/>
      </c>
      <c r="H385" s="1">
        <v>41760</v>
      </c>
      <c r="I385" t="str">
        <f>"PHY00631"</f>
        <v>PHY00631</v>
      </c>
      <c r="J385" t="str">
        <f>"W0127937"</f>
        <v>W0127937</v>
      </c>
      <c r="K385" t="str">
        <f t="shared" si="88"/>
        <v>AS89</v>
      </c>
      <c r="L385" t="s">
        <v>2402</v>
      </c>
      <c r="M385">
        <v>108.79</v>
      </c>
    </row>
    <row r="386" spans="1:13" x14ac:dyDescent="0.25">
      <c r="A386" t="str">
        <f t="shared" si="90"/>
        <v>E160</v>
      </c>
      <c r="B386">
        <v>1</v>
      </c>
      <c r="C386" t="str">
        <f t="shared" si="86"/>
        <v>43000</v>
      </c>
      <c r="D386" t="str">
        <f t="shared" si="87"/>
        <v>5740</v>
      </c>
      <c r="E386" t="str">
        <f t="shared" si="89"/>
        <v>850PKE</v>
      </c>
      <c r="F386" t="str">
        <f>""</f>
        <v/>
      </c>
      <c r="G386" t="str">
        <f>""</f>
        <v/>
      </c>
      <c r="H386" s="1">
        <v>41791</v>
      </c>
      <c r="I386" t="str">
        <f>"PHY00633"</f>
        <v>PHY00633</v>
      </c>
      <c r="J386" t="str">
        <f>"W0002153"</f>
        <v>W0002153</v>
      </c>
      <c r="K386" t="str">
        <f t="shared" si="88"/>
        <v>AS89</v>
      </c>
      <c r="L386" t="s">
        <v>719</v>
      </c>
      <c r="M386">
        <v>108.39</v>
      </c>
    </row>
    <row r="387" spans="1:13" x14ac:dyDescent="0.25">
      <c r="A387" t="str">
        <f t="shared" si="90"/>
        <v>E160</v>
      </c>
      <c r="B387">
        <v>1</v>
      </c>
      <c r="C387" t="str">
        <f t="shared" si="86"/>
        <v>43000</v>
      </c>
      <c r="D387" t="str">
        <f t="shared" si="87"/>
        <v>5740</v>
      </c>
      <c r="E387" t="str">
        <f t="shared" si="89"/>
        <v>850PKE</v>
      </c>
      <c r="F387" t="str">
        <f>""</f>
        <v/>
      </c>
      <c r="G387" t="str">
        <f>""</f>
        <v/>
      </c>
      <c r="H387" s="1">
        <v>41791</v>
      </c>
      <c r="I387" t="str">
        <f>"PHY00633"</f>
        <v>PHY00633</v>
      </c>
      <c r="J387" t="str">
        <f>"W0127937"</f>
        <v>W0127937</v>
      </c>
      <c r="K387" t="str">
        <f t="shared" si="88"/>
        <v>AS89</v>
      </c>
      <c r="L387" t="s">
        <v>1819</v>
      </c>
      <c r="M387">
        <v>499.2</v>
      </c>
    </row>
    <row r="388" spans="1:13" x14ac:dyDescent="0.25">
      <c r="A388" t="str">
        <f t="shared" si="90"/>
        <v>E160</v>
      </c>
      <c r="B388">
        <v>1</v>
      </c>
      <c r="C388" t="str">
        <f t="shared" si="86"/>
        <v>43000</v>
      </c>
      <c r="D388" t="str">
        <f t="shared" si="87"/>
        <v>5740</v>
      </c>
      <c r="E388" t="str">
        <f t="shared" si="89"/>
        <v>850PKE</v>
      </c>
      <c r="F388" t="str">
        <f>""</f>
        <v/>
      </c>
      <c r="G388" t="str">
        <f>""</f>
        <v/>
      </c>
      <c r="H388" s="1">
        <v>41791</v>
      </c>
      <c r="I388" t="str">
        <f>"PHY00633"</f>
        <v>PHY00633</v>
      </c>
      <c r="J388" t="str">
        <f>"W0130073"</f>
        <v>W0130073</v>
      </c>
      <c r="K388" t="str">
        <f t="shared" si="88"/>
        <v>AS89</v>
      </c>
      <c r="L388" t="s">
        <v>2401</v>
      </c>
      <c r="M388">
        <v>498.91</v>
      </c>
    </row>
    <row r="389" spans="1:13" x14ac:dyDescent="0.25">
      <c r="A389" t="str">
        <f t="shared" si="90"/>
        <v>E160</v>
      </c>
      <c r="B389">
        <v>1</v>
      </c>
      <c r="C389" t="str">
        <f>"43007"</f>
        <v>43007</v>
      </c>
      <c r="D389" t="str">
        <f>"5620"</f>
        <v>5620</v>
      </c>
      <c r="E389" t="str">
        <f t="shared" ref="E389:E398" si="91">"850LOS"</f>
        <v>850LOS</v>
      </c>
      <c r="F389" t="str">
        <f>""</f>
        <v/>
      </c>
      <c r="G389" t="str">
        <f>""</f>
        <v/>
      </c>
      <c r="H389" s="1">
        <v>41806</v>
      </c>
      <c r="I389" t="str">
        <f>"J0009321"</f>
        <v>J0009321</v>
      </c>
      <c r="J389" t="str">
        <f>""</f>
        <v/>
      </c>
      <c r="K389" t="str">
        <f>"J079"</f>
        <v>J079</v>
      </c>
      <c r="L389" t="s">
        <v>2201</v>
      </c>
      <c r="M389">
        <v>571.01</v>
      </c>
    </row>
    <row r="390" spans="1:13" x14ac:dyDescent="0.25">
      <c r="A390" t="str">
        <f t="shared" si="90"/>
        <v>E160</v>
      </c>
      <c r="B390">
        <v>1</v>
      </c>
      <c r="C390" t="str">
        <f>"43007"</f>
        <v>43007</v>
      </c>
      <c r="D390" t="str">
        <f>"5740"</f>
        <v>5740</v>
      </c>
      <c r="E390" t="str">
        <f t="shared" si="91"/>
        <v>850LOS</v>
      </c>
      <c r="F390" t="str">
        <f>""</f>
        <v/>
      </c>
      <c r="G390" t="str">
        <f>""</f>
        <v/>
      </c>
      <c r="H390" s="1">
        <v>41487</v>
      </c>
      <c r="I390" t="str">
        <f>"PHY00613"</f>
        <v>PHY00613</v>
      </c>
      <c r="J390" t="str">
        <f>"W0116659"</f>
        <v>W0116659</v>
      </c>
      <c r="K390" t="str">
        <f>"AS89"</f>
        <v>AS89</v>
      </c>
      <c r="L390" t="s">
        <v>715</v>
      </c>
      <c r="M390">
        <v>100.82</v>
      </c>
    </row>
    <row r="391" spans="1:13" x14ac:dyDescent="0.25">
      <c r="A391" t="str">
        <f t="shared" si="90"/>
        <v>E160</v>
      </c>
      <c r="B391">
        <v>1</v>
      </c>
      <c r="C391" t="str">
        <f>"43007"</f>
        <v>43007</v>
      </c>
      <c r="D391" t="str">
        <f>"5740"</f>
        <v>5740</v>
      </c>
      <c r="E391" t="str">
        <f t="shared" si="91"/>
        <v>850LOS</v>
      </c>
      <c r="F391" t="str">
        <f>""</f>
        <v/>
      </c>
      <c r="G391" t="str">
        <f>""</f>
        <v/>
      </c>
      <c r="H391" s="1">
        <v>41518</v>
      </c>
      <c r="I391" t="str">
        <f>"PHY00615"</f>
        <v>PHY00615</v>
      </c>
      <c r="J391" t="str">
        <f>"W0116658"</f>
        <v>W0116658</v>
      </c>
      <c r="K391" t="str">
        <f>"AS89"</f>
        <v>AS89</v>
      </c>
      <c r="L391" t="s">
        <v>2400</v>
      </c>
      <c r="M391">
        <v>470.19</v>
      </c>
    </row>
    <row r="392" spans="1:13" x14ac:dyDescent="0.25">
      <c r="A392" t="str">
        <f>"E162"</f>
        <v>E162</v>
      </c>
      <c r="B392">
        <v>1</v>
      </c>
      <c r="C392" t="str">
        <f t="shared" ref="C392:C401" si="92">"43000"</f>
        <v>43000</v>
      </c>
      <c r="D392" t="str">
        <f>"5620"</f>
        <v>5620</v>
      </c>
      <c r="E392" t="str">
        <f t="shared" si="91"/>
        <v>850LOS</v>
      </c>
      <c r="F392" t="str">
        <f>""</f>
        <v/>
      </c>
      <c r="G392" t="str">
        <f>""</f>
        <v/>
      </c>
      <c r="H392" s="1">
        <v>41820</v>
      </c>
      <c r="I392" t="str">
        <f>"J0010489"</f>
        <v>J0010489</v>
      </c>
      <c r="J392" t="str">
        <f>""</f>
        <v/>
      </c>
      <c r="K392" t="str">
        <f>"J079"</f>
        <v>J079</v>
      </c>
      <c r="L392" t="s">
        <v>2209</v>
      </c>
      <c r="M392" s="2">
        <v>3600</v>
      </c>
    </row>
    <row r="393" spans="1:13" x14ac:dyDescent="0.25">
      <c r="A393" t="str">
        <f>"E162"</f>
        <v>E162</v>
      </c>
      <c r="B393">
        <v>1</v>
      </c>
      <c r="C393" t="str">
        <f t="shared" si="92"/>
        <v>43000</v>
      </c>
      <c r="D393" t="str">
        <f>"5740"</f>
        <v>5740</v>
      </c>
      <c r="E393" t="str">
        <f t="shared" si="91"/>
        <v>850LOS</v>
      </c>
      <c r="F393" t="str">
        <f>""</f>
        <v/>
      </c>
      <c r="G393" t="str">
        <f>""</f>
        <v/>
      </c>
      <c r="H393" s="1">
        <v>41526</v>
      </c>
      <c r="I393" t="str">
        <f>"ADM00003"</f>
        <v>ADM00003</v>
      </c>
      <c r="J393" t="str">
        <f>""</f>
        <v/>
      </c>
      <c r="K393" t="str">
        <f>"AS89"</f>
        <v>AS89</v>
      </c>
      <c r="L393" t="s">
        <v>1352</v>
      </c>
      <c r="M393">
        <v>900</v>
      </c>
    </row>
    <row r="394" spans="1:13" x14ac:dyDescent="0.25">
      <c r="A394" t="str">
        <f>"E162"</f>
        <v>E162</v>
      </c>
      <c r="B394">
        <v>1</v>
      </c>
      <c r="C394" t="str">
        <f t="shared" si="92"/>
        <v>43000</v>
      </c>
      <c r="D394" t="str">
        <f>"5740"</f>
        <v>5740</v>
      </c>
      <c r="E394" t="str">
        <f t="shared" si="91"/>
        <v>850LOS</v>
      </c>
      <c r="F394" t="str">
        <f>""</f>
        <v/>
      </c>
      <c r="G394" t="str">
        <f>""</f>
        <v/>
      </c>
      <c r="H394" s="1">
        <v>41661</v>
      </c>
      <c r="I394" t="str">
        <f>"ADM00004"</f>
        <v>ADM00004</v>
      </c>
      <c r="J394" t="str">
        <f>""</f>
        <v/>
      </c>
      <c r="K394" t="str">
        <f>"AS89"</f>
        <v>AS89</v>
      </c>
      <c r="L394" t="s">
        <v>1352</v>
      </c>
      <c r="M394">
        <v>900</v>
      </c>
    </row>
    <row r="395" spans="1:13" x14ac:dyDescent="0.25">
      <c r="A395" t="str">
        <f>"E162"</f>
        <v>E162</v>
      </c>
      <c r="B395">
        <v>1</v>
      </c>
      <c r="C395" t="str">
        <f t="shared" si="92"/>
        <v>43000</v>
      </c>
      <c r="D395" t="str">
        <f>"5740"</f>
        <v>5740</v>
      </c>
      <c r="E395" t="str">
        <f t="shared" si="91"/>
        <v>850LOS</v>
      </c>
      <c r="F395" t="str">
        <f>""</f>
        <v/>
      </c>
      <c r="G395" t="str">
        <f>""</f>
        <v/>
      </c>
      <c r="H395" s="1">
        <v>41739</v>
      </c>
      <c r="I395" t="str">
        <f>"ADM00005"</f>
        <v>ADM00005</v>
      </c>
      <c r="J395" t="str">
        <f>""</f>
        <v/>
      </c>
      <c r="K395" t="str">
        <f>"AS89"</f>
        <v>AS89</v>
      </c>
      <c r="L395" t="s">
        <v>1352</v>
      </c>
      <c r="M395">
        <v>900</v>
      </c>
    </row>
    <row r="396" spans="1:13" x14ac:dyDescent="0.25">
      <c r="A396" t="str">
        <f>"E162"</f>
        <v>E162</v>
      </c>
      <c r="B396">
        <v>1</v>
      </c>
      <c r="C396" t="str">
        <f t="shared" si="92"/>
        <v>43000</v>
      </c>
      <c r="D396" t="str">
        <f>"5740"</f>
        <v>5740</v>
      </c>
      <c r="E396" t="str">
        <f t="shared" si="91"/>
        <v>850LOS</v>
      </c>
      <c r="F396" t="str">
        <f>""</f>
        <v/>
      </c>
      <c r="G396" t="str">
        <f>""</f>
        <v/>
      </c>
      <c r="H396" s="1">
        <v>41813</v>
      </c>
      <c r="I396" t="str">
        <f>"ADM00006"</f>
        <v>ADM00006</v>
      </c>
      <c r="J396" t="str">
        <f>""</f>
        <v/>
      </c>
      <c r="K396" t="str">
        <f>"AS89"</f>
        <v>AS89</v>
      </c>
      <c r="L396" t="s">
        <v>1352</v>
      </c>
      <c r="M396">
        <v>900</v>
      </c>
    </row>
    <row r="397" spans="1:13" x14ac:dyDescent="0.25">
      <c r="A397" t="str">
        <f>"E163"</f>
        <v>E163</v>
      </c>
      <c r="B397">
        <v>1</v>
      </c>
      <c r="C397" t="str">
        <f t="shared" si="92"/>
        <v>43000</v>
      </c>
      <c r="D397" t="str">
        <f>"5620"</f>
        <v>5620</v>
      </c>
      <c r="E397" t="str">
        <f t="shared" si="91"/>
        <v>850LOS</v>
      </c>
      <c r="F397" t="str">
        <f>""</f>
        <v/>
      </c>
      <c r="G397" t="str">
        <f>""</f>
        <v/>
      </c>
      <c r="H397" s="1">
        <v>41820</v>
      </c>
      <c r="I397" t="str">
        <f>"J0010489"</f>
        <v>J0010489</v>
      </c>
      <c r="J397" t="str">
        <f>""</f>
        <v/>
      </c>
      <c r="K397" t="str">
        <f>"J079"</f>
        <v>J079</v>
      </c>
      <c r="L397" t="s">
        <v>2209</v>
      </c>
      <c r="M397">
        <v>217.56</v>
      </c>
    </row>
    <row r="398" spans="1:13" x14ac:dyDescent="0.25">
      <c r="A398" t="str">
        <f>"E163"</f>
        <v>E163</v>
      </c>
      <c r="B398">
        <v>1</v>
      </c>
      <c r="C398" t="str">
        <f t="shared" si="92"/>
        <v>43000</v>
      </c>
      <c r="D398" t="str">
        <f>"5740"</f>
        <v>5740</v>
      </c>
      <c r="E398" t="str">
        <f t="shared" si="91"/>
        <v>850LOS</v>
      </c>
      <c r="F398" t="str">
        <f>""</f>
        <v/>
      </c>
      <c r="G398" t="str">
        <f>""</f>
        <v/>
      </c>
      <c r="H398" s="1">
        <v>41698</v>
      </c>
      <c r="I398" t="str">
        <f>"OMS00263"</f>
        <v>OMS00263</v>
      </c>
      <c r="J398" t="str">
        <f>"RO11930"</f>
        <v>RO11930</v>
      </c>
      <c r="K398" t="str">
        <f>"OM01"</f>
        <v>OM01</v>
      </c>
      <c r="L398" t="s">
        <v>1350</v>
      </c>
      <c r="M398">
        <v>217.56</v>
      </c>
    </row>
    <row r="399" spans="1:13" x14ac:dyDescent="0.25">
      <c r="A399" t="str">
        <f>"E163"</f>
        <v>E163</v>
      </c>
      <c r="B399">
        <v>1</v>
      </c>
      <c r="C399" t="str">
        <f t="shared" si="92"/>
        <v>43000</v>
      </c>
      <c r="D399" t="str">
        <f>"5740"</f>
        <v>5740</v>
      </c>
      <c r="E399" t="str">
        <f>"850PKE"</f>
        <v>850PKE</v>
      </c>
      <c r="F399" t="str">
        <f>""</f>
        <v/>
      </c>
      <c r="G399" t="str">
        <f>""</f>
        <v/>
      </c>
      <c r="H399" s="1">
        <v>41486</v>
      </c>
      <c r="I399" t="str">
        <f>"PCD00610"</f>
        <v>PCD00610</v>
      </c>
      <c r="J399" t="str">
        <f>"196698"</f>
        <v>196698</v>
      </c>
      <c r="K399" t="str">
        <f>"AS89"</f>
        <v>AS89</v>
      </c>
      <c r="L399" t="s">
        <v>2399</v>
      </c>
      <c r="M399">
        <v>932.65</v>
      </c>
    </row>
    <row r="400" spans="1:13" x14ac:dyDescent="0.25">
      <c r="A400" t="str">
        <f>"E163"</f>
        <v>E163</v>
      </c>
      <c r="B400">
        <v>1</v>
      </c>
      <c r="C400" t="str">
        <f t="shared" si="92"/>
        <v>43000</v>
      </c>
      <c r="D400" t="str">
        <f>"5740"</f>
        <v>5740</v>
      </c>
      <c r="E400" t="str">
        <f>"850PKE"</f>
        <v>850PKE</v>
      </c>
      <c r="F400" t="str">
        <f>""</f>
        <v/>
      </c>
      <c r="G400" t="str">
        <f>""</f>
        <v/>
      </c>
      <c r="H400" s="1">
        <v>41486</v>
      </c>
      <c r="I400" t="str">
        <f>"PCD00610"</f>
        <v>PCD00610</v>
      </c>
      <c r="J400" t="str">
        <f>"197560"</f>
        <v>197560</v>
      </c>
      <c r="K400" t="str">
        <f>"AS89"</f>
        <v>AS89</v>
      </c>
      <c r="L400" t="s">
        <v>2398</v>
      </c>
      <c r="M400">
        <v>156.47999999999999</v>
      </c>
    </row>
    <row r="401" spans="1:13" x14ac:dyDescent="0.25">
      <c r="A401" t="str">
        <f>"E163"</f>
        <v>E163</v>
      </c>
      <c r="B401">
        <v>1</v>
      </c>
      <c r="C401" t="str">
        <f t="shared" si="92"/>
        <v>43000</v>
      </c>
      <c r="D401" t="str">
        <f>"5740"</f>
        <v>5740</v>
      </c>
      <c r="E401" t="str">
        <f>"850PKE"</f>
        <v>850PKE</v>
      </c>
      <c r="F401" t="str">
        <f>""</f>
        <v/>
      </c>
      <c r="G401" t="str">
        <f>""</f>
        <v/>
      </c>
      <c r="H401" s="1">
        <v>41486</v>
      </c>
      <c r="I401" t="str">
        <f>"PCD00610"</f>
        <v>PCD00610</v>
      </c>
      <c r="J401" t="str">
        <f>"197560"</f>
        <v>197560</v>
      </c>
      <c r="K401" t="str">
        <f>"AS89"</f>
        <v>AS89</v>
      </c>
      <c r="L401" t="s">
        <v>2397</v>
      </c>
      <c r="M401" s="2">
        <v>1798.57</v>
      </c>
    </row>
    <row r="402" spans="1:13" x14ac:dyDescent="0.25">
      <c r="A402" t="str">
        <f t="shared" ref="A402:A410" si="93">"E164"</f>
        <v>E164</v>
      </c>
      <c r="B402">
        <v>1</v>
      </c>
      <c r="C402" t="str">
        <f t="shared" ref="C402:C409" si="94">"10200"</f>
        <v>10200</v>
      </c>
      <c r="D402" t="str">
        <f t="shared" ref="D402:D411" si="95">"5620"</f>
        <v>5620</v>
      </c>
      <c r="E402" t="str">
        <f t="shared" ref="E402:E409" si="96">"094OMS"</f>
        <v>094OMS</v>
      </c>
      <c r="F402" t="str">
        <f>""</f>
        <v/>
      </c>
      <c r="G402" t="str">
        <f>""</f>
        <v/>
      </c>
      <c r="H402" s="1">
        <v>41486</v>
      </c>
      <c r="I402" t="str">
        <f>"LKS00213"</f>
        <v>LKS00213</v>
      </c>
      <c r="J402" t="str">
        <f>"L30034"</f>
        <v>L30034</v>
      </c>
      <c r="K402" t="str">
        <f t="shared" ref="K402:K409" si="97">"LKW1"</f>
        <v>LKW1</v>
      </c>
      <c r="L402" t="s">
        <v>133</v>
      </c>
      <c r="M402">
        <v>200.5</v>
      </c>
    </row>
    <row r="403" spans="1:13" x14ac:dyDescent="0.25">
      <c r="A403" t="str">
        <f t="shared" si="93"/>
        <v>E164</v>
      </c>
      <c r="B403">
        <v>1</v>
      </c>
      <c r="C403" t="str">
        <f t="shared" si="94"/>
        <v>10200</v>
      </c>
      <c r="D403" t="str">
        <f t="shared" si="95"/>
        <v>5620</v>
      </c>
      <c r="E403" t="str">
        <f t="shared" si="96"/>
        <v>094OMS</v>
      </c>
      <c r="F403" t="str">
        <f>""</f>
        <v/>
      </c>
      <c r="G403" t="str">
        <f>""</f>
        <v/>
      </c>
      <c r="H403" s="1">
        <v>41516</v>
      </c>
      <c r="I403" t="str">
        <f>"LKS00214"</f>
        <v>LKS00214</v>
      </c>
      <c r="J403" t="str">
        <f>"L30034"</f>
        <v>L30034</v>
      </c>
      <c r="K403" t="str">
        <f t="shared" si="97"/>
        <v>LKW1</v>
      </c>
      <c r="L403" t="s">
        <v>133</v>
      </c>
      <c r="M403">
        <v>241.92</v>
      </c>
    </row>
    <row r="404" spans="1:13" x14ac:dyDescent="0.25">
      <c r="A404" t="str">
        <f t="shared" si="93"/>
        <v>E164</v>
      </c>
      <c r="B404">
        <v>1</v>
      </c>
      <c r="C404" t="str">
        <f t="shared" si="94"/>
        <v>10200</v>
      </c>
      <c r="D404" t="str">
        <f t="shared" si="95"/>
        <v>5620</v>
      </c>
      <c r="E404" t="str">
        <f t="shared" si="96"/>
        <v>094OMS</v>
      </c>
      <c r="F404" t="str">
        <f>""</f>
        <v/>
      </c>
      <c r="G404" t="str">
        <f>""</f>
        <v/>
      </c>
      <c r="H404" s="1">
        <v>41578</v>
      </c>
      <c r="I404" t="str">
        <f>"LKS00216"</f>
        <v>LKS00216</v>
      </c>
      <c r="J404" t="str">
        <f>""</f>
        <v/>
      </c>
      <c r="K404" t="str">
        <f t="shared" si="97"/>
        <v>LKW1</v>
      </c>
      <c r="L404" t="s">
        <v>133</v>
      </c>
      <c r="M404">
        <v>256.3</v>
      </c>
    </row>
    <row r="405" spans="1:13" x14ac:dyDescent="0.25">
      <c r="A405" t="str">
        <f t="shared" si="93"/>
        <v>E164</v>
      </c>
      <c r="B405">
        <v>1</v>
      </c>
      <c r="C405" t="str">
        <f t="shared" si="94"/>
        <v>10200</v>
      </c>
      <c r="D405" t="str">
        <f t="shared" si="95"/>
        <v>5620</v>
      </c>
      <c r="E405" t="str">
        <f t="shared" si="96"/>
        <v>094OMS</v>
      </c>
      <c r="F405" t="str">
        <f>""</f>
        <v/>
      </c>
      <c r="G405" t="str">
        <f>""</f>
        <v/>
      </c>
      <c r="H405" s="1">
        <v>41638</v>
      </c>
      <c r="I405" t="str">
        <f>"LKS00218"</f>
        <v>LKS00218</v>
      </c>
      <c r="J405" t="str">
        <f>""</f>
        <v/>
      </c>
      <c r="K405" t="str">
        <f t="shared" si="97"/>
        <v>LKW1</v>
      </c>
      <c r="L405" t="s">
        <v>133</v>
      </c>
      <c r="M405">
        <v>259.94</v>
      </c>
    </row>
    <row r="406" spans="1:13" x14ac:dyDescent="0.25">
      <c r="A406" t="str">
        <f t="shared" si="93"/>
        <v>E164</v>
      </c>
      <c r="B406">
        <v>1</v>
      </c>
      <c r="C406" t="str">
        <f t="shared" si="94"/>
        <v>10200</v>
      </c>
      <c r="D406" t="str">
        <f t="shared" si="95"/>
        <v>5620</v>
      </c>
      <c r="E406" t="str">
        <f t="shared" si="96"/>
        <v>094OMS</v>
      </c>
      <c r="F406" t="str">
        <f>""</f>
        <v/>
      </c>
      <c r="G406" t="str">
        <f>""</f>
        <v/>
      </c>
      <c r="H406" s="1">
        <v>41670</v>
      </c>
      <c r="I406" t="str">
        <f>"LKS00219"</f>
        <v>LKS00219</v>
      </c>
      <c r="J406" t="str">
        <f>""</f>
        <v/>
      </c>
      <c r="K406" t="str">
        <f t="shared" si="97"/>
        <v>LKW1</v>
      </c>
      <c r="L406" t="s">
        <v>133</v>
      </c>
      <c r="M406">
        <v>908.79</v>
      </c>
    </row>
    <row r="407" spans="1:13" x14ac:dyDescent="0.25">
      <c r="A407" t="str">
        <f t="shared" si="93"/>
        <v>E164</v>
      </c>
      <c r="B407">
        <v>1</v>
      </c>
      <c r="C407" t="str">
        <f t="shared" si="94"/>
        <v>10200</v>
      </c>
      <c r="D407" t="str">
        <f t="shared" si="95"/>
        <v>5620</v>
      </c>
      <c r="E407" t="str">
        <f t="shared" si="96"/>
        <v>094OMS</v>
      </c>
      <c r="F407" t="str">
        <f>""</f>
        <v/>
      </c>
      <c r="G407" t="str">
        <f>""</f>
        <v/>
      </c>
      <c r="H407" s="1">
        <v>41729</v>
      </c>
      <c r="I407" t="str">
        <f>"LKS00221"</f>
        <v>LKS00221</v>
      </c>
      <c r="J407" t="str">
        <f>"L30034"</f>
        <v>L30034</v>
      </c>
      <c r="K407" t="str">
        <f t="shared" si="97"/>
        <v>LKW1</v>
      </c>
      <c r="L407" t="s">
        <v>133</v>
      </c>
      <c r="M407">
        <v>404.27</v>
      </c>
    </row>
    <row r="408" spans="1:13" x14ac:dyDescent="0.25">
      <c r="A408" t="str">
        <f t="shared" si="93"/>
        <v>E164</v>
      </c>
      <c r="B408">
        <v>1</v>
      </c>
      <c r="C408" t="str">
        <f t="shared" si="94"/>
        <v>10200</v>
      </c>
      <c r="D408" t="str">
        <f t="shared" si="95"/>
        <v>5620</v>
      </c>
      <c r="E408" t="str">
        <f t="shared" si="96"/>
        <v>094OMS</v>
      </c>
      <c r="F408" t="str">
        <f>""</f>
        <v/>
      </c>
      <c r="G408" t="str">
        <f>""</f>
        <v/>
      </c>
      <c r="H408" s="1">
        <v>41759</v>
      </c>
      <c r="I408" t="str">
        <f>"LKS00222"</f>
        <v>LKS00222</v>
      </c>
      <c r="J408" t="str">
        <f>"L30034"</f>
        <v>L30034</v>
      </c>
      <c r="K408" t="str">
        <f t="shared" si="97"/>
        <v>LKW1</v>
      </c>
      <c r="L408" t="s">
        <v>133</v>
      </c>
      <c r="M408">
        <v>166.98</v>
      </c>
    </row>
    <row r="409" spans="1:13" x14ac:dyDescent="0.25">
      <c r="A409" t="str">
        <f t="shared" si="93"/>
        <v>E164</v>
      </c>
      <c r="B409">
        <v>1</v>
      </c>
      <c r="C409" t="str">
        <f t="shared" si="94"/>
        <v>10200</v>
      </c>
      <c r="D409" t="str">
        <f t="shared" si="95"/>
        <v>5620</v>
      </c>
      <c r="E409" t="str">
        <f t="shared" si="96"/>
        <v>094OMS</v>
      </c>
      <c r="F409" t="str">
        <f>""</f>
        <v/>
      </c>
      <c r="G409" t="str">
        <f>""</f>
        <v/>
      </c>
      <c r="H409" s="1">
        <v>41790</v>
      </c>
      <c r="I409" t="str">
        <f>"LKS00223"</f>
        <v>LKS00223</v>
      </c>
      <c r="J409" t="str">
        <f>"L30034"</f>
        <v>L30034</v>
      </c>
      <c r="K409" t="str">
        <f t="shared" si="97"/>
        <v>LKW1</v>
      </c>
      <c r="L409" t="s">
        <v>133</v>
      </c>
      <c r="M409">
        <v>301.16000000000003</v>
      </c>
    </row>
    <row r="410" spans="1:13" x14ac:dyDescent="0.25">
      <c r="A410" t="str">
        <f t="shared" si="93"/>
        <v>E164</v>
      </c>
      <c r="B410">
        <v>1</v>
      </c>
      <c r="C410" t="str">
        <f t="shared" ref="C410:C416" si="98">"43000"</f>
        <v>43000</v>
      </c>
      <c r="D410" t="str">
        <f t="shared" si="95"/>
        <v>5620</v>
      </c>
      <c r="E410" t="str">
        <f t="shared" ref="E410:E416" si="99">"850LOS"</f>
        <v>850LOS</v>
      </c>
      <c r="F410" t="str">
        <f>""</f>
        <v/>
      </c>
      <c r="G410" t="str">
        <f>""</f>
        <v/>
      </c>
      <c r="H410" s="1">
        <v>41820</v>
      </c>
      <c r="I410" t="str">
        <f>"J0010489"</f>
        <v>J0010489</v>
      </c>
      <c r="J410" t="str">
        <f>""</f>
        <v/>
      </c>
      <c r="K410" t="str">
        <f>"J079"</f>
        <v>J079</v>
      </c>
      <c r="L410" t="s">
        <v>2209</v>
      </c>
      <c r="M410">
        <v>292.95999999999998</v>
      </c>
    </row>
    <row r="411" spans="1:13" x14ac:dyDescent="0.25">
      <c r="A411" t="str">
        <f t="shared" ref="A411:A416" si="100">"E166"</f>
        <v>E166</v>
      </c>
      <c r="B411">
        <v>1</v>
      </c>
      <c r="C411" t="str">
        <f t="shared" si="98"/>
        <v>43000</v>
      </c>
      <c r="D411" t="str">
        <f t="shared" si="95"/>
        <v>5620</v>
      </c>
      <c r="E411" t="str">
        <f t="shared" si="99"/>
        <v>850LOS</v>
      </c>
      <c r="F411" t="str">
        <f>""</f>
        <v/>
      </c>
      <c r="G411" t="str">
        <f>""</f>
        <v/>
      </c>
      <c r="H411" s="1">
        <v>41820</v>
      </c>
      <c r="I411" t="str">
        <f>"J0010489"</f>
        <v>J0010489</v>
      </c>
      <c r="J411" t="str">
        <f>""</f>
        <v/>
      </c>
      <c r="K411" t="str">
        <f>"J079"</f>
        <v>J079</v>
      </c>
      <c r="L411" t="s">
        <v>2209</v>
      </c>
      <c r="M411" s="2">
        <v>4624.76</v>
      </c>
    </row>
    <row r="412" spans="1:13" x14ac:dyDescent="0.25">
      <c r="A412" t="str">
        <f t="shared" si="100"/>
        <v>E166</v>
      </c>
      <c r="B412">
        <v>1</v>
      </c>
      <c r="C412" t="str">
        <f t="shared" si="98"/>
        <v>43000</v>
      </c>
      <c r="D412" t="str">
        <f>"5740"</f>
        <v>5740</v>
      </c>
      <c r="E412" t="str">
        <f t="shared" si="99"/>
        <v>850LOS</v>
      </c>
      <c r="F412" t="str">
        <f>"PKOLOT"</f>
        <v>PKOLOT</v>
      </c>
      <c r="G412" t="str">
        <f>""</f>
        <v/>
      </c>
      <c r="H412" s="1">
        <v>41562</v>
      </c>
      <c r="I412" t="str">
        <f>"145873"</f>
        <v>145873</v>
      </c>
      <c r="J412" t="str">
        <f>"N076383H"</f>
        <v>N076383H</v>
      </c>
      <c r="K412" t="str">
        <f>"INEI"</f>
        <v>INEI</v>
      </c>
      <c r="L412" t="s">
        <v>140</v>
      </c>
      <c r="M412" s="2">
        <v>1260.3800000000001</v>
      </c>
    </row>
    <row r="413" spans="1:13" x14ac:dyDescent="0.25">
      <c r="A413" t="str">
        <f t="shared" si="100"/>
        <v>E166</v>
      </c>
      <c r="B413">
        <v>1</v>
      </c>
      <c r="C413" t="str">
        <f t="shared" si="98"/>
        <v>43000</v>
      </c>
      <c r="D413" t="str">
        <f>"5740"</f>
        <v>5740</v>
      </c>
      <c r="E413" t="str">
        <f t="shared" si="99"/>
        <v>850LOS</v>
      </c>
      <c r="F413" t="str">
        <f>"PKOLOT"</f>
        <v>PKOLOT</v>
      </c>
      <c r="G413" t="str">
        <f>""</f>
        <v/>
      </c>
      <c r="H413" s="1">
        <v>41711</v>
      </c>
      <c r="I413" t="str">
        <f>"151090"</f>
        <v>151090</v>
      </c>
      <c r="J413" t="str">
        <f>"N076383H"</f>
        <v>N076383H</v>
      </c>
      <c r="K413" t="str">
        <f>"INEI"</f>
        <v>INEI</v>
      </c>
      <c r="L413" t="s">
        <v>140</v>
      </c>
      <c r="M413">
        <v>555.28</v>
      </c>
    </row>
    <row r="414" spans="1:13" x14ac:dyDescent="0.25">
      <c r="A414" t="str">
        <f t="shared" si="100"/>
        <v>E166</v>
      </c>
      <c r="B414">
        <v>1</v>
      </c>
      <c r="C414" t="str">
        <f t="shared" si="98"/>
        <v>43000</v>
      </c>
      <c r="D414" t="str">
        <f>"5740"</f>
        <v>5740</v>
      </c>
      <c r="E414" t="str">
        <f t="shared" si="99"/>
        <v>850LOS</v>
      </c>
      <c r="F414" t="str">
        <f>"PKOLOT"</f>
        <v>PKOLOT</v>
      </c>
      <c r="G414" t="str">
        <f>""</f>
        <v/>
      </c>
      <c r="H414" s="1">
        <v>41766</v>
      </c>
      <c r="I414" t="str">
        <f>"152080"</f>
        <v>152080</v>
      </c>
      <c r="J414" t="str">
        <f>"N076383H"</f>
        <v>N076383H</v>
      </c>
      <c r="K414" t="str">
        <f>"INEI"</f>
        <v>INEI</v>
      </c>
      <c r="L414" t="s">
        <v>140</v>
      </c>
      <c r="M414" s="2">
        <v>1227.32</v>
      </c>
    </row>
    <row r="415" spans="1:13" x14ac:dyDescent="0.25">
      <c r="A415" t="str">
        <f t="shared" si="100"/>
        <v>E166</v>
      </c>
      <c r="B415">
        <v>1</v>
      </c>
      <c r="C415" t="str">
        <f t="shared" si="98"/>
        <v>43000</v>
      </c>
      <c r="D415" t="str">
        <f>"5740"</f>
        <v>5740</v>
      </c>
      <c r="E415" t="str">
        <f t="shared" si="99"/>
        <v>850LOS</v>
      </c>
      <c r="F415" t="str">
        <f>"PKOLOT"</f>
        <v>PKOLOT</v>
      </c>
      <c r="G415" t="str">
        <f>""</f>
        <v/>
      </c>
      <c r="H415" s="1">
        <v>41768</v>
      </c>
      <c r="I415" t="str">
        <f>"153346"</f>
        <v>153346</v>
      </c>
      <c r="J415" t="str">
        <f>"N076383H"</f>
        <v>N076383H</v>
      </c>
      <c r="K415" t="str">
        <f>"INEI"</f>
        <v>INEI</v>
      </c>
      <c r="L415" t="s">
        <v>140</v>
      </c>
      <c r="M415">
        <v>640.09</v>
      </c>
    </row>
    <row r="416" spans="1:13" x14ac:dyDescent="0.25">
      <c r="A416" t="str">
        <f t="shared" si="100"/>
        <v>E166</v>
      </c>
      <c r="B416">
        <v>1</v>
      </c>
      <c r="C416" t="str">
        <f t="shared" si="98"/>
        <v>43000</v>
      </c>
      <c r="D416" t="str">
        <f>"5740"</f>
        <v>5740</v>
      </c>
      <c r="E416" t="str">
        <f t="shared" si="99"/>
        <v>850LOS</v>
      </c>
      <c r="F416" t="str">
        <f>"PKOLOT"</f>
        <v>PKOLOT</v>
      </c>
      <c r="G416" t="str">
        <f>""</f>
        <v/>
      </c>
      <c r="H416" s="1">
        <v>41820</v>
      </c>
      <c r="I416" t="str">
        <f>"156486"</f>
        <v>156486</v>
      </c>
      <c r="J416" t="str">
        <f>"N076383H"</f>
        <v>N076383H</v>
      </c>
      <c r="K416" t="str">
        <f>"INEI"</f>
        <v>INEI</v>
      </c>
      <c r="L416" t="s">
        <v>140</v>
      </c>
      <c r="M416">
        <v>941.69</v>
      </c>
    </row>
    <row r="417" spans="1:13" x14ac:dyDescent="0.25">
      <c r="A417" t="str">
        <f>"E171"</f>
        <v>E171</v>
      </c>
      <c r="B417">
        <v>1</v>
      </c>
      <c r="C417" t="str">
        <f>"10200"</f>
        <v>10200</v>
      </c>
      <c r="D417" t="str">
        <f>"5620"</f>
        <v>5620</v>
      </c>
      <c r="E417" t="str">
        <f>"094OMS"</f>
        <v>094OMS</v>
      </c>
      <c r="F417" t="str">
        <f>""</f>
        <v/>
      </c>
      <c r="G417" t="str">
        <f>""</f>
        <v/>
      </c>
      <c r="H417" s="1">
        <v>41789</v>
      </c>
      <c r="I417" t="str">
        <f>"COP00286"</f>
        <v>COP00286</v>
      </c>
      <c r="J417" t="str">
        <f>"JOB ORDR"</f>
        <v>JOB ORDR</v>
      </c>
      <c r="K417" t="str">
        <f>"AS89"</f>
        <v>AS89</v>
      </c>
      <c r="L417" t="s">
        <v>2391</v>
      </c>
      <c r="M417">
        <v>171.7</v>
      </c>
    </row>
    <row r="418" spans="1:13" x14ac:dyDescent="0.25">
      <c r="A418" t="str">
        <f>"E171"</f>
        <v>E171</v>
      </c>
      <c r="B418">
        <v>1</v>
      </c>
      <c r="C418" t="str">
        <f>"43000"</f>
        <v>43000</v>
      </c>
      <c r="D418" t="str">
        <f>"5620"</f>
        <v>5620</v>
      </c>
      <c r="E418" t="str">
        <f>"850LOS"</f>
        <v>850LOS</v>
      </c>
      <c r="F418" t="str">
        <f>""</f>
        <v/>
      </c>
      <c r="G418" t="str">
        <f>""</f>
        <v/>
      </c>
      <c r="H418" s="1">
        <v>41820</v>
      </c>
      <c r="I418" t="str">
        <f>"J0010489"</f>
        <v>J0010489</v>
      </c>
      <c r="J418" t="str">
        <f>""</f>
        <v/>
      </c>
      <c r="K418" t="str">
        <f>"J079"</f>
        <v>J079</v>
      </c>
      <c r="L418" t="s">
        <v>2209</v>
      </c>
      <c r="M418" s="2">
        <v>1568.74</v>
      </c>
    </row>
    <row r="419" spans="1:13" x14ac:dyDescent="0.25">
      <c r="A419" t="str">
        <f>"E171"</f>
        <v>E171</v>
      </c>
      <c r="B419">
        <v>1</v>
      </c>
      <c r="C419" t="str">
        <f>"43000"</f>
        <v>43000</v>
      </c>
      <c r="D419" t="str">
        <f>"5740"</f>
        <v>5740</v>
      </c>
      <c r="E419" t="str">
        <f>"850LOS"</f>
        <v>850LOS</v>
      </c>
      <c r="F419" t="str">
        <f>""</f>
        <v/>
      </c>
      <c r="G419" t="str">
        <f>""</f>
        <v/>
      </c>
      <c r="H419" s="1">
        <v>41544</v>
      </c>
      <c r="I419" t="str">
        <f>"COP00278"</f>
        <v>COP00278</v>
      </c>
      <c r="J419" t="str">
        <f>"JOB ORDR"</f>
        <v>JOB ORDR</v>
      </c>
      <c r="K419" t="str">
        <f>"AS89"</f>
        <v>AS89</v>
      </c>
      <c r="L419" t="s">
        <v>2389</v>
      </c>
      <c r="M419" s="2">
        <v>1568.74</v>
      </c>
    </row>
    <row r="420" spans="1:13" x14ac:dyDescent="0.25">
      <c r="A420" t="str">
        <f>"E171"</f>
        <v>E171</v>
      </c>
      <c r="B420">
        <v>1</v>
      </c>
      <c r="C420" t="str">
        <f>"43000"</f>
        <v>43000</v>
      </c>
      <c r="D420" t="str">
        <f>"5740"</f>
        <v>5740</v>
      </c>
      <c r="E420" t="str">
        <f>"850PKE"</f>
        <v>850PKE</v>
      </c>
      <c r="F420" t="str">
        <f>""</f>
        <v/>
      </c>
      <c r="G420" t="str">
        <f>""</f>
        <v/>
      </c>
      <c r="H420" s="1">
        <v>41514</v>
      </c>
      <c r="I420" t="str">
        <f>"COP00277"</f>
        <v>COP00277</v>
      </c>
      <c r="J420" t="str">
        <f>"JOB ORDR"</f>
        <v>JOB ORDR</v>
      </c>
      <c r="K420" t="str">
        <f>"AS89"</f>
        <v>AS89</v>
      </c>
      <c r="L420" t="s">
        <v>2396</v>
      </c>
      <c r="M420">
        <v>308.81</v>
      </c>
    </row>
    <row r="421" spans="1:13" x14ac:dyDescent="0.25">
      <c r="A421" t="str">
        <f>"E171"</f>
        <v>E171</v>
      </c>
      <c r="B421">
        <v>1</v>
      </c>
      <c r="C421" t="str">
        <f>"43000"</f>
        <v>43000</v>
      </c>
      <c r="D421" t="str">
        <f>"5740"</f>
        <v>5740</v>
      </c>
      <c r="E421" t="str">
        <f>"850PKE"</f>
        <v>850PKE</v>
      </c>
      <c r="F421" t="str">
        <f>""</f>
        <v/>
      </c>
      <c r="G421" t="str">
        <f>""</f>
        <v/>
      </c>
      <c r="H421" s="1">
        <v>41544</v>
      </c>
      <c r="I421" t="str">
        <f>"COP00278"</f>
        <v>COP00278</v>
      </c>
      <c r="J421" t="str">
        <f>"JOB ORDR"</f>
        <v>JOB ORDR</v>
      </c>
      <c r="K421" t="str">
        <f>"AS89"</f>
        <v>AS89</v>
      </c>
      <c r="L421" t="s">
        <v>2389</v>
      </c>
      <c r="M421">
        <v>228.52</v>
      </c>
    </row>
    <row r="422" spans="1:13" x14ac:dyDescent="0.25">
      <c r="A422" t="str">
        <f t="shared" ref="A422:A434" si="101">"E172"</f>
        <v>E172</v>
      </c>
      <c r="B422">
        <v>1</v>
      </c>
      <c r="C422" t="str">
        <f>"10200"</f>
        <v>10200</v>
      </c>
      <c r="D422" t="str">
        <f>"5620"</f>
        <v>5620</v>
      </c>
      <c r="E422" t="str">
        <f>"094OMS"</f>
        <v>094OMS</v>
      </c>
      <c r="F422" t="str">
        <f>""</f>
        <v/>
      </c>
      <c r="G422" t="str">
        <f>""</f>
        <v/>
      </c>
      <c r="H422" s="1">
        <v>41544</v>
      </c>
      <c r="I422" t="str">
        <f>"COP00278"</f>
        <v>COP00278</v>
      </c>
      <c r="J422" t="str">
        <f>"JOB ORDR"</f>
        <v>JOB ORDR</v>
      </c>
      <c r="K422" t="str">
        <f>"AS89"</f>
        <v>AS89</v>
      </c>
      <c r="L422" t="s">
        <v>2389</v>
      </c>
      <c r="M422">
        <v>394.98</v>
      </c>
    </row>
    <row r="423" spans="1:13" x14ac:dyDescent="0.25">
      <c r="A423" t="str">
        <f t="shared" si="101"/>
        <v>E172</v>
      </c>
      <c r="B423">
        <v>1</v>
      </c>
      <c r="C423" t="str">
        <f>"10200"</f>
        <v>10200</v>
      </c>
      <c r="D423" t="str">
        <f>"5620"</f>
        <v>5620</v>
      </c>
      <c r="E423" t="str">
        <f>"094OMS"</f>
        <v>094OMS</v>
      </c>
      <c r="F423" t="str">
        <f>""</f>
        <v/>
      </c>
      <c r="G423" t="str">
        <f>""</f>
        <v/>
      </c>
      <c r="H423" s="1">
        <v>41759</v>
      </c>
      <c r="I423" t="str">
        <f>"COP00285"</f>
        <v>COP00285</v>
      </c>
      <c r="J423" t="str">
        <f>"JOB ORDR"</f>
        <v>JOB ORDR</v>
      </c>
      <c r="K423" t="str">
        <f>"AS89"</f>
        <v>AS89</v>
      </c>
      <c r="L423" t="s">
        <v>2395</v>
      </c>
      <c r="M423">
        <v>318.51</v>
      </c>
    </row>
    <row r="424" spans="1:13" x14ac:dyDescent="0.25">
      <c r="A424" t="str">
        <f t="shared" si="101"/>
        <v>E172</v>
      </c>
      <c r="B424">
        <v>1</v>
      </c>
      <c r="C424" t="str">
        <f>"23275"</f>
        <v>23275</v>
      </c>
      <c r="D424" t="str">
        <f>"5620"</f>
        <v>5620</v>
      </c>
      <c r="E424" t="str">
        <f>"063STF"</f>
        <v>063STF</v>
      </c>
      <c r="F424" t="str">
        <f>""</f>
        <v/>
      </c>
      <c r="G424" t="str">
        <f>""</f>
        <v/>
      </c>
      <c r="H424" s="1">
        <v>41816</v>
      </c>
      <c r="I424" t="str">
        <f>"J0009784"</f>
        <v>J0009784</v>
      </c>
      <c r="J424" t="str">
        <f>""</f>
        <v/>
      </c>
      <c r="K424" t="str">
        <f>"J079"</f>
        <v>J079</v>
      </c>
      <c r="L424" t="s">
        <v>2226</v>
      </c>
      <c r="M424">
        <v>507.99</v>
      </c>
    </row>
    <row r="425" spans="1:13" x14ac:dyDescent="0.25">
      <c r="A425" t="str">
        <f t="shared" si="101"/>
        <v>E172</v>
      </c>
      <c r="B425">
        <v>1</v>
      </c>
      <c r="C425" t="str">
        <f>"23275"</f>
        <v>23275</v>
      </c>
      <c r="D425" t="str">
        <f>"5741"</f>
        <v>5741</v>
      </c>
      <c r="E425" t="str">
        <f>"063STF"</f>
        <v>063STF</v>
      </c>
      <c r="F425" t="str">
        <f>""</f>
        <v/>
      </c>
      <c r="G425" t="str">
        <f>""</f>
        <v/>
      </c>
      <c r="H425" s="1">
        <v>41544</v>
      </c>
      <c r="I425" t="str">
        <f>"COP00278"</f>
        <v>COP00278</v>
      </c>
      <c r="J425" t="str">
        <f>"JOB ORDR"</f>
        <v>JOB ORDR</v>
      </c>
      <c r="K425" t="str">
        <f>"AS89"</f>
        <v>AS89</v>
      </c>
      <c r="L425" t="s">
        <v>2389</v>
      </c>
      <c r="M425">
        <v>224.25</v>
      </c>
    </row>
    <row r="426" spans="1:13" x14ac:dyDescent="0.25">
      <c r="A426" t="str">
        <f t="shared" si="101"/>
        <v>E172</v>
      </c>
      <c r="B426">
        <v>1</v>
      </c>
      <c r="C426" t="str">
        <f>"23275"</f>
        <v>23275</v>
      </c>
      <c r="D426" t="str">
        <f>"5741"</f>
        <v>5741</v>
      </c>
      <c r="E426" t="str">
        <f>"063STF"</f>
        <v>063STF</v>
      </c>
      <c r="F426" t="str">
        <f>""</f>
        <v/>
      </c>
      <c r="G426" t="str">
        <f>""</f>
        <v/>
      </c>
      <c r="H426" s="1">
        <v>41723</v>
      </c>
      <c r="I426" t="str">
        <f>"COP00284"</f>
        <v>COP00284</v>
      </c>
      <c r="J426" t="str">
        <f>"JOB ORDR"</f>
        <v>JOB ORDR</v>
      </c>
      <c r="K426" t="str">
        <f>"AS89"</f>
        <v>AS89</v>
      </c>
      <c r="L426" t="s">
        <v>2392</v>
      </c>
      <c r="M426">
        <v>111.9</v>
      </c>
    </row>
    <row r="427" spans="1:13" x14ac:dyDescent="0.25">
      <c r="A427" t="str">
        <f t="shared" si="101"/>
        <v>E172</v>
      </c>
      <c r="B427">
        <v>1</v>
      </c>
      <c r="C427" t="str">
        <f t="shared" ref="C427:C434" si="102">"43000"</f>
        <v>43000</v>
      </c>
      <c r="D427" t="str">
        <f>"5620"</f>
        <v>5620</v>
      </c>
      <c r="E427" t="str">
        <f t="shared" ref="E427:E434" si="103">"850LOS"</f>
        <v>850LOS</v>
      </c>
      <c r="F427" t="str">
        <f>""</f>
        <v/>
      </c>
      <c r="G427" t="str">
        <f>""</f>
        <v/>
      </c>
      <c r="H427" s="1">
        <v>41820</v>
      </c>
      <c r="I427" t="str">
        <f>"J0010489"</f>
        <v>J0010489</v>
      </c>
      <c r="J427" t="str">
        <f>""</f>
        <v/>
      </c>
      <c r="K427" t="str">
        <f>"J079"</f>
        <v>J079</v>
      </c>
      <c r="L427" t="s">
        <v>2209</v>
      </c>
      <c r="M427" s="2">
        <v>4961.74</v>
      </c>
    </row>
    <row r="428" spans="1:13" x14ac:dyDescent="0.25">
      <c r="A428" t="str">
        <f t="shared" si="101"/>
        <v>E172</v>
      </c>
      <c r="B428">
        <v>1</v>
      </c>
      <c r="C428" t="str">
        <f t="shared" si="102"/>
        <v>43000</v>
      </c>
      <c r="D428" t="str">
        <f t="shared" ref="D428:D434" si="104">"5740"</f>
        <v>5740</v>
      </c>
      <c r="E428" t="str">
        <f t="shared" si="103"/>
        <v>850LOS</v>
      </c>
      <c r="F428" t="str">
        <f>""</f>
        <v/>
      </c>
      <c r="G428" t="str">
        <f>""</f>
        <v/>
      </c>
      <c r="H428" s="1">
        <v>41481</v>
      </c>
      <c r="I428" t="str">
        <f>"COP00276"</f>
        <v>COP00276</v>
      </c>
      <c r="J428" t="str">
        <f t="shared" ref="J428:J434" si="105">"JOB ORDR"</f>
        <v>JOB ORDR</v>
      </c>
      <c r="K428" t="str">
        <f t="shared" ref="K428:K439" si="106">"AS89"</f>
        <v>AS89</v>
      </c>
      <c r="L428" t="s">
        <v>2394</v>
      </c>
      <c r="M428">
        <v>238.35</v>
      </c>
    </row>
    <row r="429" spans="1:13" x14ac:dyDescent="0.25">
      <c r="A429" t="str">
        <f t="shared" si="101"/>
        <v>E172</v>
      </c>
      <c r="B429">
        <v>1</v>
      </c>
      <c r="C429" t="str">
        <f t="shared" si="102"/>
        <v>43000</v>
      </c>
      <c r="D429" t="str">
        <f t="shared" si="104"/>
        <v>5740</v>
      </c>
      <c r="E429" t="str">
        <f t="shared" si="103"/>
        <v>850LOS</v>
      </c>
      <c r="F429" t="str">
        <f>""</f>
        <v/>
      </c>
      <c r="G429" t="str">
        <f>""</f>
        <v/>
      </c>
      <c r="H429" s="1">
        <v>41544</v>
      </c>
      <c r="I429" t="str">
        <f>"COP00278"</f>
        <v>COP00278</v>
      </c>
      <c r="J429" t="str">
        <f t="shared" si="105"/>
        <v>JOB ORDR</v>
      </c>
      <c r="K429" t="str">
        <f t="shared" si="106"/>
        <v>AS89</v>
      </c>
      <c r="L429" t="s">
        <v>2389</v>
      </c>
      <c r="M429" s="2">
        <v>2125.11</v>
      </c>
    </row>
    <row r="430" spans="1:13" x14ac:dyDescent="0.25">
      <c r="A430" t="str">
        <f t="shared" si="101"/>
        <v>E172</v>
      </c>
      <c r="B430">
        <v>1</v>
      </c>
      <c r="C430" t="str">
        <f t="shared" si="102"/>
        <v>43000</v>
      </c>
      <c r="D430" t="str">
        <f t="shared" si="104"/>
        <v>5740</v>
      </c>
      <c r="E430" t="str">
        <f t="shared" si="103"/>
        <v>850LOS</v>
      </c>
      <c r="F430" t="str">
        <f>""</f>
        <v/>
      </c>
      <c r="G430" t="str">
        <f>""</f>
        <v/>
      </c>
      <c r="H430" s="1">
        <v>41639</v>
      </c>
      <c r="I430" t="str">
        <f>"COP00281"</f>
        <v>COP00281</v>
      </c>
      <c r="J430" t="str">
        <f t="shared" si="105"/>
        <v>JOB ORDR</v>
      </c>
      <c r="K430" t="str">
        <f t="shared" si="106"/>
        <v>AS89</v>
      </c>
      <c r="L430" t="s">
        <v>2393</v>
      </c>
      <c r="M430">
        <v>513.11</v>
      </c>
    </row>
    <row r="431" spans="1:13" x14ac:dyDescent="0.25">
      <c r="A431" t="str">
        <f t="shared" si="101"/>
        <v>E172</v>
      </c>
      <c r="B431">
        <v>1</v>
      </c>
      <c r="C431" t="str">
        <f t="shared" si="102"/>
        <v>43000</v>
      </c>
      <c r="D431" t="str">
        <f t="shared" si="104"/>
        <v>5740</v>
      </c>
      <c r="E431" t="str">
        <f t="shared" si="103"/>
        <v>850LOS</v>
      </c>
      <c r="F431" t="str">
        <f>""</f>
        <v/>
      </c>
      <c r="G431" t="str">
        <f>""</f>
        <v/>
      </c>
      <c r="H431" s="1">
        <v>41697</v>
      </c>
      <c r="I431" t="str">
        <f>"COP00283"</f>
        <v>COP00283</v>
      </c>
      <c r="J431" t="str">
        <f t="shared" si="105"/>
        <v>JOB ORDR</v>
      </c>
      <c r="K431" t="str">
        <f t="shared" si="106"/>
        <v>AS89</v>
      </c>
      <c r="L431" t="s">
        <v>2388</v>
      </c>
      <c r="M431">
        <v>741.05</v>
      </c>
    </row>
    <row r="432" spans="1:13" x14ac:dyDescent="0.25">
      <c r="A432" t="str">
        <f t="shared" si="101"/>
        <v>E172</v>
      </c>
      <c r="B432">
        <v>1</v>
      </c>
      <c r="C432" t="str">
        <f t="shared" si="102"/>
        <v>43000</v>
      </c>
      <c r="D432" t="str">
        <f t="shared" si="104"/>
        <v>5740</v>
      </c>
      <c r="E432" t="str">
        <f t="shared" si="103"/>
        <v>850LOS</v>
      </c>
      <c r="F432" t="str">
        <f>""</f>
        <v/>
      </c>
      <c r="G432" t="str">
        <f>""</f>
        <v/>
      </c>
      <c r="H432" s="1">
        <v>41723</v>
      </c>
      <c r="I432" t="str">
        <f>"COP00284"</f>
        <v>COP00284</v>
      </c>
      <c r="J432" t="str">
        <f t="shared" si="105"/>
        <v>JOB ORDR</v>
      </c>
      <c r="K432" t="str">
        <f t="shared" si="106"/>
        <v>AS89</v>
      </c>
      <c r="L432" t="s">
        <v>2392</v>
      </c>
      <c r="M432">
        <v>470.91</v>
      </c>
    </row>
    <row r="433" spans="1:13" x14ac:dyDescent="0.25">
      <c r="A433" t="str">
        <f t="shared" si="101"/>
        <v>E172</v>
      </c>
      <c r="B433">
        <v>1</v>
      </c>
      <c r="C433" t="str">
        <f t="shared" si="102"/>
        <v>43000</v>
      </c>
      <c r="D433" t="str">
        <f t="shared" si="104"/>
        <v>5740</v>
      </c>
      <c r="E433" t="str">
        <f t="shared" si="103"/>
        <v>850LOS</v>
      </c>
      <c r="F433" t="str">
        <f>""</f>
        <v/>
      </c>
      <c r="G433" t="str">
        <f>""</f>
        <v/>
      </c>
      <c r="H433" s="1">
        <v>41789</v>
      </c>
      <c r="I433" t="str">
        <f>"COP00286"</f>
        <v>COP00286</v>
      </c>
      <c r="J433" t="str">
        <f t="shared" si="105"/>
        <v>JOB ORDR</v>
      </c>
      <c r="K433" t="str">
        <f t="shared" si="106"/>
        <v>AS89</v>
      </c>
      <c r="L433" t="s">
        <v>2391</v>
      </c>
      <c r="M433">
        <v>695.19</v>
      </c>
    </row>
    <row r="434" spans="1:13" x14ac:dyDescent="0.25">
      <c r="A434" t="str">
        <f t="shared" si="101"/>
        <v>E172</v>
      </c>
      <c r="B434">
        <v>1</v>
      </c>
      <c r="C434" t="str">
        <f t="shared" si="102"/>
        <v>43000</v>
      </c>
      <c r="D434" t="str">
        <f t="shared" si="104"/>
        <v>5740</v>
      </c>
      <c r="E434" t="str">
        <f t="shared" si="103"/>
        <v>850LOS</v>
      </c>
      <c r="F434" t="str">
        <f>""</f>
        <v/>
      </c>
      <c r="G434" t="str">
        <f>""</f>
        <v/>
      </c>
      <c r="H434" s="1">
        <v>41817</v>
      </c>
      <c r="I434" t="str">
        <f>"COP00287"</f>
        <v>COP00287</v>
      </c>
      <c r="J434" t="str">
        <f t="shared" si="105"/>
        <v>JOB ORDR</v>
      </c>
      <c r="K434" t="str">
        <f t="shared" si="106"/>
        <v>AS89</v>
      </c>
      <c r="L434" t="s">
        <v>2390</v>
      </c>
      <c r="M434">
        <v>151.32</v>
      </c>
    </row>
    <row r="435" spans="1:13" x14ac:dyDescent="0.25">
      <c r="A435" t="str">
        <f t="shared" ref="A435:A445" si="107">"E173"</f>
        <v>E173</v>
      </c>
      <c r="B435">
        <v>1</v>
      </c>
      <c r="C435" t="str">
        <f>"10200"</f>
        <v>10200</v>
      </c>
      <c r="D435" t="str">
        <f>"5620"</f>
        <v>5620</v>
      </c>
      <c r="E435" t="str">
        <f>"094OMS"</f>
        <v>094OMS</v>
      </c>
      <c r="F435" t="str">
        <f>""</f>
        <v/>
      </c>
      <c r="G435" t="str">
        <f>""</f>
        <v/>
      </c>
      <c r="H435" s="1">
        <v>41729</v>
      </c>
      <c r="I435" t="str">
        <f>"MLT00071"</f>
        <v>MLT00071</v>
      </c>
      <c r="J435" t="str">
        <f>""</f>
        <v/>
      </c>
      <c r="K435" t="str">
        <f t="shared" si="106"/>
        <v>AS89</v>
      </c>
      <c r="L435" t="s">
        <v>2387</v>
      </c>
      <c r="M435">
        <v>136.80000000000001</v>
      </c>
    </row>
    <row r="436" spans="1:13" x14ac:dyDescent="0.25">
      <c r="A436" t="str">
        <f t="shared" si="107"/>
        <v>E173</v>
      </c>
      <c r="B436">
        <v>1</v>
      </c>
      <c r="C436" t="str">
        <f>"10200"</f>
        <v>10200</v>
      </c>
      <c r="D436" t="str">
        <f>"5620"</f>
        <v>5620</v>
      </c>
      <c r="E436" t="str">
        <f>"094OMS"</f>
        <v>094OMS</v>
      </c>
      <c r="F436" t="str">
        <f>""</f>
        <v/>
      </c>
      <c r="G436" t="str">
        <f>""</f>
        <v/>
      </c>
      <c r="H436" s="1">
        <v>41759</v>
      </c>
      <c r="I436" t="str">
        <f>"MLT00072"</f>
        <v>MLT00072</v>
      </c>
      <c r="J436" t="str">
        <f>""</f>
        <v/>
      </c>
      <c r="K436" t="str">
        <f t="shared" si="106"/>
        <v>AS89</v>
      </c>
      <c r="L436" t="s">
        <v>2387</v>
      </c>
      <c r="M436">
        <v>149.4</v>
      </c>
    </row>
    <row r="437" spans="1:13" x14ac:dyDescent="0.25">
      <c r="A437" t="str">
        <f t="shared" si="107"/>
        <v>E173</v>
      </c>
      <c r="B437">
        <v>1</v>
      </c>
      <c r="C437" t="str">
        <f>"32040"</f>
        <v>32040</v>
      </c>
      <c r="D437" t="str">
        <f>"5610"</f>
        <v>5610</v>
      </c>
      <c r="E437" t="str">
        <f t="shared" ref="E437:E445" si="108">"850LOS"</f>
        <v>850LOS</v>
      </c>
      <c r="F437" t="str">
        <f>""</f>
        <v/>
      </c>
      <c r="G437" t="str">
        <f>""</f>
        <v/>
      </c>
      <c r="H437" s="1">
        <v>41486</v>
      </c>
      <c r="I437" t="str">
        <f>"MLT00059"</f>
        <v>MLT00059</v>
      </c>
      <c r="J437" t="str">
        <f>""</f>
        <v/>
      </c>
      <c r="K437" t="str">
        <f t="shared" si="106"/>
        <v>AS89</v>
      </c>
      <c r="L437" t="s">
        <v>2386</v>
      </c>
      <c r="M437">
        <v>100.35</v>
      </c>
    </row>
    <row r="438" spans="1:13" x14ac:dyDescent="0.25">
      <c r="A438" t="str">
        <f t="shared" si="107"/>
        <v>E173</v>
      </c>
      <c r="B438">
        <v>1</v>
      </c>
      <c r="C438" t="str">
        <f>"32040"</f>
        <v>32040</v>
      </c>
      <c r="D438" t="str">
        <f>"5610"</f>
        <v>5610</v>
      </c>
      <c r="E438" t="str">
        <f t="shared" si="108"/>
        <v>850LOS</v>
      </c>
      <c r="F438" t="str">
        <f>""</f>
        <v/>
      </c>
      <c r="G438" t="str">
        <f>""</f>
        <v/>
      </c>
      <c r="H438" s="1">
        <v>41547</v>
      </c>
      <c r="I438" t="str">
        <f>"MLT00064"</f>
        <v>MLT00064</v>
      </c>
      <c r="J438" t="str">
        <f>""</f>
        <v/>
      </c>
      <c r="K438" t="str">
        <f t="shared" si="106"/>
        <v>AS89</v>
      </c>
      <c r="L438" t="s">
        <v>2385</v>
      </c>
      <c r="M438">
        <v>145.19999999999999</v>
      </c>
    </row>
    <row r="439" spans="1:13" x14ac:dyDescent="0.25">
      <c r="A439" t="str">
        <f t="shared" si="107"/>
        <v>E173</v>
      </c>
      <c r="B439">
        <v>1</v>
      </c>
      <c r="C439" t="str">
        <f>"32040"</f>
        <v>32040</v>
      </c>
      <c r="D439" t="str">
        <f>"5610"</f>
        <v>5610</v>
      </c>
      <c r="E439" t="str">
        <f t="shared" si="108"/>
        <v>850LOS</v>
      </c>
      <c r="F439" t="str">
        <f>""</f>
        <v/>
      </c>
      <c r="G439" t="str">
        <f>""</f>
        <v/>
      </c>
      <c r="H439" s="1">
        <v>41759</v>
      </c>
      <c r="I439" t="str">
        <f>"MLT00072"</f>
        <v>MLT00072</v>
      </c>
      <c r="J439" t="str">
        <f>""</f>
        <v/>
      </c>
      <c r="K439" t="str">
        <f t="shared" si="106"/>
        <v>AS89</v>
      </c>
      <c r="L439" t="s">
        <v>2384</v>
      </c>
      <c r="M439">
        <v>114.45</v>
      </c>
    </row>
    <row r="440" spans="1:13" x14ac:dyDescent="0.25">
      <c r="A440" t="str">
        <f t="shared" si="107"/>
        <v>E173</v>
      </c>
      <c r="B440">
        <v>1</v>
      </c>
      <c r="C440" t="str">
        <f>"32040"</f>
        <v>32040</v>
      </c>
      <c r="D440" t="str">
        <f>"5620"</f>
        <v>5620</v>
      </c>
      <c r="E440" t="str">
        <f t="shared" si="108"/>
        <v>850LOS</v>
      </c>
      <c r="F440" t="str">
        <f>""</f>
        <v/>
      </c>
      <c r="G440" t="str">
        <f>""</f>
        <v/>
      </c>
      <c r="H440" s="1">
        <v>41764</v>
      </c>
      <c r="I440" t="str">
        <f>"J0008508"</f>
        <v>J0008508</v>
      </c>
      <c r="J440" t="str">
        <f>""</f>
        <v/>
      </c>
      <c r="K440" t="str">
        <f>"J079"</f>
        <v>J079</v>
      </c>
      <c r="L440" t="s">
        <v>2200</v>
      </c>
      <c r="M440" s="2">
        <v>1215.95</v>
      </c>
    </row>
    <row r="441" spans="1:13" x14ac:dyDescent="0.25">
      <c r="A441" t="str">
        <f t="shared" si="107"/>
        <v>E173</v>
      </c>
      <c r="B441">
        <v>1</v>
      </c>
      <c r="C441" t="str">
        <f>"32040"</f>
        <v>32040</v>
      </c>
      <c r="D441" t="str">
        <f>"5620"</f>
        <v>5620</v>
      </c>
      <c r="E441" t="str">
        <f t="shared" si="108"/>
        <v>850LOS</v>
      </c>
      <c r="F441" t="str">
        <f>""</f>
        <v/>
      </c>
      <c r="G441" t="str">
        <f>""</f>
        <v/>
      </c>
      <c r="H441" s="1">
        <v>41820</v>
      </c>
      <c r="I441" t="str">
        <f>"J0010520"</f>
        <v>J0010520</v>
      </c>
      <c r="J441" t="str">
        <f>""</f>
        <v/>
      </c>
      <c r="K441" t="str">
        <f>"J079"</f>
        <v>J079</v>
      </c>
      <c r="L441" t="s">
        <v>2199</v>
      </c>
      <c r="M441">
        <v>169.93</v>
      </c>
    </row>
    <row r="442" spans="1:13" x14ac:dyDescent="0.25">
      <c r="A442" t="str">
        <f t="shared" si="107"/>
        <v>E173</v>
      </c>
      <c r="B442">
        <v>1</v>
      </c>
      <c r="C442" t="str">
        <f>"43000"</f>
        <v>43000</v>
      </c>
      <c r="D442" t="str">
        <f>"5620"</f>
        <v>5620</v>
      </c>
      <c r="E442" t="str">
        <f t="shared" si="108"/>
        <v>850LOS</v>
      </c>
      <c r="F442" t="str">
        <f>""</f>
        <v/>
      </c>
      <c r="G442" t="str">
        <f>""</f>
        <v/>
      </c>
      <c r="H442" s="1">
        <v>41820</v>
      </c>
      <c r="I442" t="str">
        <f>"J0010489"</f>
        <v>J0010489</v>
      </c>
      <c r="J442" t="str">
        <f>""</f>
        <v/>
      </c>
      <c r="K442" t="str">
        <f>"J079"</f>
        <v>J079</v>
      </c>
      <c r="L442" t="s">
        <v>2209</v>
      </c>
      <c r="M442" s="2">
        <v>2167.2399999999998</v>
      </c>
    </row>
    <row r="443" spans="1:13" x14ac:dyDescent="0.25">
      <c r="A443" t="str">
        <f t="shared" si="107"/>
        <v>E173</v>
      </c>
      <c r="B443">
        <v>1</v>
      </c>
      <c r="C443" t="str">
        <f>"43000"</f>
        <v>43000</v>
      </c>
      <c r="D443" t="str">
        <f>"5740"</f>
        <v>5740</v>
      </c>
      <c r="E443" t="str">
        <f t="shared" si="108"/>
        <v>850LOS</v>
      </c>
      <c r="F443" t="str">
        <f>""</f>
        <v/>
      </c>
      <c r="G443" t="str">
        <f>""</f>
        <v/>
      </c>
      <c r="H443" s="1">
        <v>41516</v>
      </c>
      <c r="I443" t="str">
        <f>"MLT00061"</f>
        <v>MLT00061</v>
      </c>
      <c r="J443" t="str">
        <f>""</f>
        <v/>
      </c>
      <c r="K443" t="str">
        <f>"AS89"</f>
        <v>AS89</v>
      </c>
      <c r="L443" t="s">
        <v>2382</v>
      </c>
      <c r="M443">
        <v>112.05</v>
      </c>
    </row>
    <row r="444" spans="1:13" x14ac:dyDescent="0.25">
      <c r="A444" t="str">
        <f t="shared" si="107"/>
        <v>E173</v>
      </c>
      <c r="B444">
        <v>1</v>
      </c>
      <c r="C444" t="str">
        <f>"43000"</f>
        <v>43000</v>
      </c>
      <c r="D444" t="str">
        <f>"5740"</f>
        <v>5740</v>
      </c>
      <c r="E444" t="str">
        <f t="shared" si="108"/>
        <v>850LOS</v>
      </c>
      <c r="F444" t="str">
        <f>""</f>
        <v/>
      </c>
      <c r="G444" t="str">
        <f>""</f>
        <v/>
      </c>
      <c r="H444" s="1">
        <v>41729</v>
      </c>
      <c r="I444" t="str">
        <f>"MLT00071"</f>
        <v>MLT00071</v>
      </c>
      <c r="J444" t="str">
        <f>""</f>
        <v/>
      </c>
      <c r="K444" t="str">
        <f>"AS89"</f>
        <v>AS89</v>
      </c>
      <c r="L444" t="s">
        <v>2037</v>
      </c>
      <c r="M444">
        <v>207.3</v>
      </c>
    </row>
    <row r="445" spans="1:13" x14ac:dyDescent="0.25">
      <c r="A445" t="str">
        <f t="shared" si="107"/>
        <v>E173</v>
      </c>
      <c r="B445">
        <v>1</v>
      </c>
      <c r="C445" t="str">
        <f>"43000"</f>
        <v>43000</v>
      </c>
      <c r="D445" t="str">
        <f>"5740"</f>
        <v>5740</v>
      </c>
      <c r="E445" t="str">
        <f t="shared" si="108"/>
        <v>850LOS</v>
      </c>
      <c r="F445" t="str">
        <f>""</f>
        <v/>
      </c>
      <c r="G445" t="str">
        <f>""</f>
        <v/>
      </c>
      <c r="H445" s="1">
        <v>41820</v>
      </c>
      <c r="I445" t="str">
        <f>"MLT00074"</f>
        <v>MLT00074</v>
      </c>
      <c r="J445" t="str">
        <f>""</f>
        <v/>
      </c>
      <c r="K445" t="str">
        <f>"AS89"</f>
        <v>AS89</v>
      </c>
      <c r="L445" t="s">
        <v>2034</v>
      </c>
      <c r="M445">
        <v>118.65</v>
      </c>
    </row>
    <row r="446" spans="1:13" x14ac:dyDescent="0.25">
      <c r="A446" t="str">
        <f t="shared" ref="A446:A456" si="109">"E191"</f>
        <v>E191</v>
      </c>
      <c r="B446">
        <v>1</v>
      </c>
      <c r="C446" t="str">
        <f t="shared" ref="C446:C451" si="110">"10200"</f>
        <v>10200</v>
      </c>
      <c r="D446" t="str">
        <f t="shared" ref="D446:D452" si="111">"5620"</f>
        <v>5620</v>
      </c>
      <c r="E446" t="str">
        <f t="shared" ref="E446:E451" si="112">"094OMS"</f>
        <v>094OMS</v>
      </c>
      <c r="F446" t="str">
        <f>""</f>
        <v/>
      </c>
      <c r="G446" t="str">
        <f>""</f>
        <v/>
      </c>
      <c r="H446" s="1">
        <v>41655</v>
      </c>
      <c r="I446" t="str">
        <f>"218281"</f>
        <v>218281</v>
      </c>
      <c r="J446" t="str">
        <f>""</f>
        <v/>
      </c>
      <c r="K446" t="str">
        <f>"INNI"</f>
        <v>INNI</v>
      </c>
      <c r="L446" t="s">
        <v>181</v>
      </c>
      <c r="M446">
        <v>200</v>
      </c>
    </row>
    <row r="447" spans="1:13" x14ac:dyDescent="0.25">
      <c r="A447" t="str">
        <f t="shared" si="109"/>
        <v>E191</v>
      </c>
      <c r="B447">
        <v>1</v>
      </c>
      <c r="C447" t="str">
        <f t="shared" si="110"/>
        <v>10200</v>
      </c>
      <c r="D447" t="str">
        <f t="shared" si="111"/>
        <v>5620</v>
      </c>
      <c r="E447" t="str">
        <f t="shared" si="112"/>
        <v>094OMS</v>
      </c>
      <c r="F447" t="str">
        <f>""</f>
        <v/>
      </c>
      <c r="G447" t="str">
        <f>""</f>
        <v/>
      </c>
      <c r="H447" s="1">
        <v>41655</v>
      </c>
      <c r="I447" t="str">
        <f>"211000"</f>
        <v>211000</v>
      </c>
      <c r="J447" t="str">
        <f>""</f>
        <v/>
      </c>
      <c r="K447" t="str">
        <f>"INNI"</f>
        <v>INNI</v>
      </c>
      <c r="L447" t="s">
        <v>181</v>
      </c>
      <c r="M447">
        <v>400</v>
      </c>
    </row>
    <row r="448" spans="1:13" x14ac:dyDescent="0.25">
      <c r="A448" t="str">
        <f t="shared" si="109"/>
        <v>E191</v>
      </c>
      <c r="B448">
        <v>1</v>
      </c>
      <c r="C448" t="str">
        <f t="shared" si="110"/>
        <v>10200</v>
      </c>
      <c r="D448" t="str">
        <f t="shared" si="111"/>
        <v>5620</v>
      </c>
      <c r="E448" t="str">
        <f t="shared" si="112"/>
        <v>094OMS</v>
      </c>
      <c r="F448" t="str">
        <f>""</f>
        <v/>
      </c>
      <c r="G448" t="str">
        <f>""</f>
        <v/>
      </c>
      <c r="H448" s="1">
        <v>41761</v>
      </c>
      <c r="I448" t="str">
        <f>"218296"</f>
        <v>218296</v>
      </c>
      <c r="J448" t="str">
        <f>""</f>
        <v/>
      </c>
      <c r="K448" t="str">
        <f>"INNI"</f>
        <v>INNI</v>
      </c>
      <c r="L448" t="s">
        <v>2375</v>
      </c>
      <c r="M448">
        <v>270</v>
      </c>
    </row>
    <row r="449" spans="1:13" x14ac:dyDescent="0.25">
      <c r="A449" t="str">
        <f t="shared" si="109"/>
        <v>E191</v>
      </c>
      <c r="B449">
        <v>1</v>
      </c>
      <c r="C449" t="str">
        <f t="shared" si="110"/>
        <v>10200</v>
      </c>
      <c r="D449" t="str">
        <f t="shared" si="111"/>
        <v>5620</v>
      </c>
      <c r="E449" t="str">
        <f t="shared" si="112"/>
        <v>094OMS</v>
      </c>
      <c r="F449" t="str">
        <f>""</f>
        <v/>
      </c>
      <c r="G449" t="str">
        <f>""</f>
        <v/>
      </c>
      <c r="H449" s="1">
        <v>41790</v>
      </c>
      <c r="I449" t="str">
        <f>"PCD00665"</f>
        <v>PCD00665</v>
      </c>
      <c r="J449" t="str">
        <f>""</f>
        <v/>
      </c>
      <c r="K449" t="str">
        <f>"AS89"</f>
        <v>AS89</v>
      </c>
      <c r="L449" t="s">
        <v>2374</v>
      </c>
      <c r="M449">
        <v>100</v>
      </c>
    </row>
    <row r="450" spans="1:13" x14ac:dyDescent="0.25">
      <c r="A450" t="str">
        <f t="shared" si="109"/>
        <v>E191</v>
      </c>
      <c r="B450">
        <v>1</v>
      </c>
      <c r="C450" t="str">
        <f t="shared" si="110"/>
        <v>10200</v>
      </c>
      <c r="D450" t="str">
        <f t="shared" si="111"/>
        <v>5620</v>
      </c>
      <c r="E450" t="str">
        <f t="shared" si="112"/>
        <v>094OMS</v>
      </c>
      <c r="F450" t="str">
        <f>""</f>
        <v/>
      </c>
      <c r="G450" t="str">
        <f>""</f>
        <v/>
      </c>
      <c r="H450" s="1">
        <v>41820</v>
      </c>
      <c r="I450" t="str">
        <f>"218299"</f>
        <v>218299</v>
      </c>
      <c r="J450" t="str">
        <f>""</f>
        <v/>
      </c>
      <c r="K450" t="str">
        <f>"INNI"</f>
        <v>INNI</v>
      </c>
      <c r="L450" t="s">
        <v>181</v>
      </c>
      <c r="M450">
        <v>750</v>
      </c>
    </row>
    <row r="451" spans="1:13" x14ac:dyDescent="0.25">
      <c r="A451" t="str">
        <f t="shared" si="109"/>
        <v>E191</v>
      </c>
      <c r="B451">
        <v>1</v>
      </c>
      <c r="C451" t="str">
        <f t="shared" si="110"/>
        <v>10200</v>
      </c>
      <c r="D451" t="str">
        <f t="shared" si="111"/>
        <v>5620</v>
      </c>
      <c r="E451" t="str">
        <f t="shared" si="112"/>
        <v>094OMS</v>
      </c>
      <c r="F451" t="str">
        <f>""</f>
        <v/>
      </c>
      <c r="G451" t="str">
        <f>""</f>
        <v/>
      </c>
      <c r="H451" s="1">
        <v>41820</v>
      </c>
      <c r="I451" t="str">
        <f>"218300"</f>
        <v>218300</v>
      </c>
      <c r="J451" t="str">
        <f>""</f>
        <v/>
      </c>
      <c r="K451" t="str">
        <f>"INNI"</f>
        <v>INNI</v>
      </c>
      <c r="L451" t="s">
        <v>1774</v>
      </c>
      <c r="M451">
        <v>485</v>
      </c>
    </row>
    <row r="452" spans="1:13" x14ac:dyDescent="0.25">
      <c r="A452" t="str">
        <f t="shared" si="109"/>
        <v>E191</v>
      </c>
      <c r="B452">
        <v>1</v>
      </c>
      <c r="C452" t="str">
        <f>"43000"</f>
        <v>43000</v>
      </c>
      <c r="D452" t="str">
        <f t="shared" si="111"/>
        <v>5620</v>
      </c>
      <c r="E452" t="str">
        <f>"850LOS"</f>
        <v>850LOS</v>
      </c>
      <c r="F452" t="str">
        <f>""</f>
        <v/>
      </c>
      <c r="G452" t="str">
        <f>""</f>
        <v/>
      </c>
      <c r="H452" s="1">
        <v>41820</v>
      </c>
      <c r="I452" t="str">
        <f>"J0010489"</f>
        <v>J0010489</v>
      </c>
      <c r="J452" t="str">
        <f>""</f>
        <v/>
      </c>
      <c r="K452" t="str">
        <f>"J079"</f>
        <v>J079</v>
      </c>
      <c r="L452" t="s">
        <v>2209</v>
      </c>
      <c r="M452">
        <v>840.02</v>
      </c>
    </row>
    <row r="453" spans="1:13" x14ac:dyDescent="0.25">
      <c r="A453" t="str">
        <f t="shared" si="109"/>
        <v>E191</v>
      </c>
      <c r="B453">
        <v>1</v>
      </c>
      <c r="C453" t="str">
        <f>"43000"</f>
        <v>43000</v>
      </c>
      <c r="D453" t="str">
        <f>"5740"</f>
        <v>5740</v>
      </c>
      <c r="E453" t="str">
        <f>"850LOS"</f>
        <v>850LOS</v>
      </c>
      <c r="F453" t="str">
        <f>"PKOLOT"</f>
        <v>PKOLOT</v>
      </c>
      <c r="G453" t="str">
        <f>""</f>
        <v/>
      </c>
      <c r="H453" s="1">
        <v>41516</v>
      </c>
      <c r="I453" t="str">
        <f>"PCD00615"</f>
        <v>PCD00615</v>
      </c>
      <c r="J453" t="str">
        <f>"199844"</f>
        <v>199844</v>
      </c>
      <c r="K453" t="str">
        <f t="shared" ref="K453:K458" si="113">"AS89"</f>
        <v>AS89</v>
      </c>
      <c r="L453" t="s">
        <v>2373</v>
      </c>
      <c r="M453">
        <v>120</v>
      </c>
    </row>
    <row r="454" spans="1:13" x14ac:dyDescent="0.25">
      <c r="A454" t="str">
        <f t="shared" si="109"/>
        <v>E191</v>
      </c>
      <c r="B454">
        <v>1</v>
      </c>
      <c r="C454" t="str">
        <f>"43000"</f>
        <v>43000</v>
      </c>
      <c r="D454" t="str">
        <f>"5740"</f>
        <v>5740</v>
      </c>
      <c r="E454" t="str">
        <f>"850LOS"</f>
        <v>850LOS</v>
      </c>
      <c r="F454" t="str">
        <f>""</f>
        <v/>
      </c>
      <c r="G454" t="str">
        <f>""</f>
        <v/>
      </c>
      <c r="H454" s="1">
        <v>41486</v>
      </c>
      <c r="I454" t="str">
        <f>"PCD00610"</f>
        <v>PCD00610</v>
      </c>
      <c r="J454" t="str">
        <f>"197228"</f>
        <v>197228</v>
      </c>
      <c r="K454" t="str">
        <f t="shared" si="113"/>
        <v>AS89</v>
      </c>
      <c r="L454" t="s">
        <v>2372</v>
      </c>
      <c r="M454">
        <v>345</v>
      </c>
    </row>
    <row r="455" spans="1:13" x14ac:dyDescent="0.25">
      <c r="A455" t="str">
        <f t="shared" si="109"/>
        <v>E191</v>
      </c>
      <c r="B455">
        <v>1</v>
      </c>
      <c r="C455" t="str">
        <f>"43000"</f>
        <v>43000</v>
      </c>
      <c r="D455" t="str">
        <f>"5740"</f>
        <v>5740</v>
      </c>
      <c r="E455" t="str">
        <f>"850LOS"</f>
        <v>850LOS</v>
      </c>
      <c r="F455" t="str">
        <f>""</f>
        <v/>
      </c>
      <c r="G455" t="str">
        <f>""</f>
        <v/>
      </c>
      <c r="H455" s="1">
        <v>41516</v>
      </c>
      <c r="I455" t="str">
        <f>"PCD00615"</f>
        <v>PCD00615</v>
      </c>
      <c r="J455" t="str">
        <f>"199228"</f>
        <v>199228</v>
      </c>
      <c r="K455" t="str">
        <f t="shared" si="113"/>
        <v>AS89</v>
      </c>
      <c r="L455" t="s">
        <v>2371</v>
      </c>
      <c r="M455">
        <v>375.02</v>
      </c>
    </row>
    <row r="456" spans="1:13" x14ac:dyDescent="0.25">
      <c r="A456" t="str">
        <f t="shared" si="109"/>
        <v>E191</v>
      </c>
      <c r="B456">
        <v>1</v>
      </c>
      <c r="C456" t="str">
        <f>"43000"</f>
        <v>43000</v>
      </c>
      <c r="D456" t="str">
        <f>"5740"</f>
        <v>5740</v>
      </c>
      <c r="E456" t="str">
        <f>"850LOS"</f>
        <v>850LOS</v>
      </c>
      <c r="F456" t="str">
        <f>""</f>
        <v/>
      </c>
      <c r="G456" t="str">
        <f>""</f>
        <v/>
      </c>
      <c r="H456" s="1">
        <v>41670</v>
      </c>
      <c r="I456" t="str">
        <f>"PCD00641"</f>
        <v>PCD00641</v>
      </c>
      <c r="J456" t="str">
        <f>"211558"</f>
        <v>211558</v>
      </c>
      <c r="K456" t="str">
        <f t="shared" si="113"/>
        <v>AS89</v>
      </c>
      <c r="L456" t="s">
        <v>2370</v>
      </c>
      <c r="M456">
        <v>345</v>
      </c>
    </row>
    <row r="457" spans="1:13" x14ac:dyDescent="0.25">
      <c r="A457" t="str">
        <f t="shared" ref="A457:A465" si="114">"E192"</f>
        <v>E192</v>
      </c>
      <c r="B457">
        <v>1</v>
      </c>
      <c r="C457" t="str">
        <f>"10200"</f>
        <v>10200</v>
      </c>
      <c r="D457" t="str">
        <f>"5620"</f>
        <v>5620</v>
      </c>
      <c r="E457" t="str">
        <f>"094OMS"</f>
        <v>094OMS</v>
      </c>
      <c r="F457" t="str">
        <f>""</f>
        <v/>
      </c>
      <c r="G457" t="str">
        <f>""</f>
        <v/>
      </c>
      <c r="H457" s="1">
        <v>41516</v>
      </c>
      <c r="I457" t="str">
        <f>"PCD00615"</f>
        <v>PCD00615</v>
      </c>
      <c r="J457" t="str">
        <f>"198882"</f>
        <v>198882</v>
      </c>
      <c r="K457" t="str">
        <f t="shared" si="113"/>
        <v>AS89</v>
      </c>
      <c r="L457" t="s">
        <v>2369</v>
      </c>
      <c r="M457">
        <v>331</v>
      </c>
    </row>
    <row r="458" spans="1:13" x14ac:dyDescent="0.25">
      <c r="A458" t="str">
        <f t="shared" si="114"/>
        <v>E192</v>
      </c>
      <c r="B458">
        <v>1</v>
      </c>
      <c r="C458" t="str">
        <f>"10200"</f>
        <v>10200</v>
      </c>
      <c r="D458" t="str">
        <f>"5620"</f>
        <v>5620</v>
      </c>
      <c r="E458" t="str">
        <f>"094OMS"</f>
        <v>094OMS</v>
      </c>
      <c r="F458" t="str">
        <f>""</f>
        <v/>
      </c>
      <c r="G458" t="str">
        <f>""</f>
        <v/>
      </c>
      <c r="H458" s="1">
        <v>41578</v>
      </c>
      <c r="I458" t="str">
        <f>"PCD00626"</f>
        <v>PCD00626</v>
      </c>
      <c r="J458" t="str">
        <f>"205183"</f>
        <v>205183</v>
      </c>
      <c r="K458" t="str">
        <f t="shared" si="113"/>
        <v>AS89</v>
      </c>
      <c r="L458" t="s">
        <v>2368</v>
      </c>
      <c r="M458">
        <v>137.91</v>
      </c>
    </row>
    <row r="459" spans="1:13" x14ac:dyDescent="0.25">
      <c r="A459" t="str">
        <f t="shared" si="114"/>
        <v>E192</v>
      </c>
      <c r="B459">
        <v>1</v>
      </c>
      <c r="C459" t="str">
        <f>"10200"</f>
        <v>10200</v>
      </c>
      <c r="D459" t="str">
        <f>"5620"</f>
        <v>5620</v>
      </c>
      <c r="E459" t="str">
        <f>"094OMS"</f>
        <v>094OMS</v>
      </c>
      <c r="F459" t="str">
        <f>""</f>
        <v/>
      </c>
      <c r="G459" t="str">
        <f>""</f>
        <v/>
      </c>
      <c r="H459" s="1">
        <v>41641</v>
      </c>
      <c r="I459" t="str">
        <f>"210991"</f>
        <v>210991</v>
      </c>
      <c r="J459" t="str">
        <f>""</f>
        <v/>
      </c>
      <c r="K459" t="str">
        <f>"INNI"</f>
        <v>INNI</v>
      </c>
      <c r="L459" t="s">
        <v>194</v>
      </c>
      <c r="M459">
        <v>200</v>
      </c>
    </row>
    <row r="460" spans="1:13" x14ac:dyDescent="0.25">
      <c r="A460" t="str">
        <f t="shared" si="114"/>
        <v>E192</v>
      </c>
      <c r="B460">
        <v>1</v>
      </c>
      <c r="C460" t="str">
        <f>"10200"</f>
        <v>10200</v>
      </c>
      <c r="D460" t="str">
        <f>"5620"</f>
        <v>5620</v>
      </c>
      <c r="E460" t="str">
        <f>"094OMS"</f>
        <v>094OMS</v>
      </c>
      <c r="F460" t="str">
        <f>""</f>
        <v/>
      </c>
      <c r="G460" t="str">
        <f>""</f>
        <v/>
      </c>
      <c r="H460" s="1">
        <v>41670</v>
      </c>
      <c r="I460" t="str">
        <f>"PCD00641"</f>
        <v>PCD00641</v>
      </c>
      <c r="J460" t="str">
        <f>"209384"</f>
        <v>209384</v>
      </c>
      <c r="K460" t="str">
        <f>"AS89"</f>
        <v>AS89</v>
      </c>
      <c r="L460" t="s">
        <v>2367</v>
      </c>
      <c r="M460">
        <v>180</v>
      </c>
    </row>
    <row r="461" spans="1:13" x14ac:dyDescent="0.25">
      <c r="A461" t="str">
        <f t="shared" si="114"/>
        <v>E192</v>
      </c>
      <c r="B461">
        <v>1</v>
      </c>
      <c r="C461" t="str">
        <f>"10200"</f>
        <v>10200</v>
      </c>
      <c r="D461" t="str">
        <f>"5620"</f>
        <v>5620</v>
      </c>
      <c r="E461" t="str">
        <f>"094OMS"</f>
        <v>094OMS</v>
      </c>
      <c r="F461" t="str">
        <f>""</f>
        <v/>
      </c>
      <c r="G461" t="str">
        <f>""</f>
        <v/>
      </c>
      <c r="H461" s="1">
        <v>41729</v>
      </c>
      <c r="I461" t="str">
        <f>"PCD00655"</f>
        <v>PCD00655</v>
      </c>
      <c r="J461" t="str">
        <f>""</f>
        <v/>
      </c>
      <c r="K461" t="str">
        <f>"AS89"</f>
        <v>AS89</v>
      </c>
      <c r="L461" t="s">
        <v>2366</v>
      </c>
      <c r="M461">
        <v>140</v>
      </c>
    </row>
    <row r="462" spans="1:13" x14ac:dyDescent="0.25">
      <c r="A462" t="str">
        <f t="shared" si="114"/>
        <v>E192</v>
      </c>
      <c r="B462">
        <v>1</v>
      </c>
      <c r="C462" t="str">
        <f>"32040"</f>
        <v>32040</v>
      </c>
      <c r="D462" t="str">
        <f>"5610"</f>
        <v>5610</v>
      </c>
      <c r="E462" t="str">
        <f>"850LOS"</f>
        <v>850LOS</v>
      </c>
      <c r="F462" t="str">
        <f>""</f>
        <v/>
      </c>
      <c r="G462" t="str">
        <f>""</f>
        <v/>
      </c>
      <c r="H462" s="1">
        <v>41608</v>
      </c>
      <c r="I462" t="str">
        <f>"PCD00631"</f>
        <v>PCD00631</v>
      </c>
      <c r="J462" t="str">
        <f>"205804"</f>
        <v>205804</v>
      </c>
      <c r="K462" t="str">
        <f>"AS89"</f>
        <v>AS89</v>
      </c>
      <c r="L462" t="s">
        <v>2365</v>
      </c>
      <c r="M462">
        <v>195</v>
      </c>
    </row>
    <row r="463" spans="1:13" x14ac:dyDescent="0.25">
      <c r="A463" t="str">
        <f t="shared" si="114"/>
        <v>E192</v>
      </c>
      <c r="B463">
        <v>1</v>
      </c>
      <c r="C463" t="str">
        <f>"32040"</f>
        <v>32040</v>
      </c>
      <c r="D463" t="str">
        <f>"5610"</f>
        <v>5610</v>
      </c>
      <c r="E463" t="str">
        <f>"850LOS"</f>
        <v>850LOS</v>
      </c>
      <c r="F463" t="str">
        <f>""</f>
        <v/>
      </c>
      <c r="G463" t="str">
        <f>""</f>
        <v/>
      </c>
      <c r="H463" s="1">
        <v>41759</v>
      </c>
      <c r="I463" t="str">
        <f>"PCD00660"</f>
        <v>PCD00660</v>
      </c>
      <c r="J463" t="str">
        <f>""</f>
        <v/>
      </c>
      <c r="K463" t="str">
        <f>"AS89"</f>
        <v>AS89</v>
      </c>
      <c r="L463" t="s">
        <v>2364</v>
      </c>
      <c r="M463">
        <v>195</v>
      </c>
    </row>
    <row r="464" spans="1:13" x14ac:dyDescent="0.25">
      <c r="A464" t="str">
        <f t="shared" si="114"/>
        <v>E192</v>
      </c>
      <c r="B464">
        <v>1</v>
      </c>
      <c r="C464" t="str">
        <f>"32040"</f>
        <v>32040</v>
      </c>
      <c r="D464" t="str">
        <f>"5620"</f>
        <v>5620</v>
      </c>
      <c r="E464" t="str">
        <f>"850LOS"</f>
        <v>850LOS</v>
      </c>
      <c r="F464" t="str">
        <f>""</f>
        <v/>
      </c>
      <c r="G464" t="str">
        <f>""</f>
        <v/>
      </c>
      <c r="H464" s="1">
        <v>41764</v>
      </c>
      <c r="I464" t="str">
        <f>"J0008508"</f>
        <v>J0008508</v>
      </c>
      <c r="J464" t="str">
        <f>""</f>
        <v/>
      </c>
      <c r="K464" t="str">
        <f>"J079"</f>
        <v>J079</v>
      </c>
      <c r="L464" t="s">
        <v>2200</v>
      </c>
      <c r="M464">
        <v>195</v>
      </c>
    </row>
    <row r="465" spans="1:13" x14ac:dyDescent="0.25">
      <c r="A465" t="str">
        <f t="shared" si="114"/>
        <v>E192</v>
      </c>
      <c r="B465">
        <v>1</v>
      </c>
      <c r="C465" t="str">
        <f>"32040"</f>
        <v>32040</v>
      </c>
      <c r="D465" t="str">
        <f>"5620"</f>
        <v>5620</v>
      </c>
      <c r="E465" t="str">
        <f>"850LOS"</f>
        <v>850LOS</v>
      </c>
      <c r="F465" t="str">
        <f>""</f>
        <v/>
      </c>
      <c r="G465" t="str">
        <f>""</f>
        <v/>
      </c>
      <c r="H465" s="1">
        <v>41820</v>
      </c>
      <c r="I465" t="str">
        <f>"J0010520"</f>
        <v>J0010520</v>
      </c>
      <c r="J465" t="str">
        <f>""</f>
        <v/>
      </c>
      <c r="K465" t="str">
        <f>"J079"</f>
        <v>J079</v>
      </c>
      <c r="L465" t="s">
        <v>2199</v>
      </c>
      <c r="M465">
        <v>195</v>
      </c>
    </row>
    <row r="466" spans="1:13" x14ac:dyDescent="0.25">
      <c r="A466" t="str">
        <f t="shared" ref="A466:A479" si="115">"E193"</f>
        <v>E193</v>
      </c>
      <c r="B466">
        <v>1</v>
      </c>
      <c r="C466" t="str">
        <f>"10200"</f>
        <v>10200</v>
      </c>
      <c r="D466" t="str">
        <f>"5620"</f>
        <v>5620</v>
      </c>
      <c r="E466" t="str">
        <f>"094OMS"</f>
        <v>094OMS</v>
      </c>
      <c r="F466" t="str">
        <f>""</f>
        <v/>
      </c>
      <c r="G466" t="str">
        <f>""</f>
        <v/>
      </c>
      <c r="H466" s="1">
        <v>41639</v>
      </c>
      <c r="I466" t="str">
        <f>"PCD00636"</f>
        <v>PCD00636</v>
      </c>
      <c r="J466" t="str">
        <f>"208936"</f>
        <v>208936</v>
      </c>
      <c r="K466" t="str">
        <f>"AS89"</f>
        <v>AS89</v>
      </c>
      <c r="L466" t="s">
        <v>2363</v>
      </c>
      <c r="M466">
        <v>150</v>
      </c>
    </row>
    <row r="467" spans="1:13" x14ac:dyDescent="0.25">
      <c r="A467" t="str">
        <f t="shared" si="115"/>
        <v>E193</v>
      </c>
      <c r="B467">
        <v>1</v>
      </c>
      <c r="C467" t="str">
        <f>"23275"</f>
        <v>23275</v>
      </c>
      <c r="D467" t="str">
        <f>"5620"</f>
        <v>5620</v>
      </c>
      <c r="E467" t="str">
        <f>"063STF"</f>
        <v>063STF</v>
      </c>
      <c r="F467" t="str">
        <f>""</f>
        <v/>
      </c>
      <c r="G467" t="str">
        <f>""</f>
        <v/>
      </c>
      <c r="H467" s="1">
        <v>41816</v>
      </c>
      <c r="I467" t="str">
        <f>"J0009784"</f>
        <v>J0009784</v>
      </c>
      <c r="J467" t="str">
        <f>""</f>
        <v/>
      </c>
      <c r="K467" t="str">
        <f>"J079"</f>
        <v>J079</v>
      </c>
      <c r="L467" t="s">
        <v>2226</v>
      </c>
      <c r="M467">
        <v>700</v>
      </c>
    </row>
    <row r="468" spans="1:13" x14ac:dyDescent="0.25">
      <c r="A468" t="str">
        <f t="shared" si="115"/>
        <v>E193</v>
      </c>
      <c r="B468">
        <v>1</v>
      </c>
      <c r="C468" t="str">
        <f>"23275"</f>
        <v>23275</v>
      </c>
      <c r="D468" t="str">
        <f>"5741"</f>
        <v>5741</v>
      </c>
      <c r="E468" t="str">
        <f>"063STF"</f>
        <v>063STF</v>
      </c>
      <c r="F468" t="str">
        <f>""</f>
        <v/>
      </c>
      <c r="G468" t="str">
        <f>""</f>
        <v/>
      </c>
      <c r="H468" s="1">
        <v>41698</v>
      </c>
      <c r="I468" t="str">
        <f>"PCD00648"</f>
        <v>PCD00648</v>
      </c>
      <c r="J468" t="str">
        <f>""</f>
        <v/>
      </c>
      <c r="K468" t="str">
        <f t="shared" ref="K468:K474" si="116">"AS89"</f>
        <v>AS89</v>
      </c>
      <c r="L468" t="s">
        <v>2361</v>
      </c>
      <c r="M468">
        <v>175</v>
      </c>
    </row>
    <row r="469" spans="1:13" x14ac:dyDescent="0.25">
      <c r="A469" t="str">
        <f t="shared" si="115"/>
        <v>E193</v>
      </c>
      <c r="B469">
        <v>1</v>
      </c>
      <c r="C469" t="str">
        <f>"23275"</f>
        <v>23275</v>
      </c>
      <c r="D469" t="str">
        <f>"5741"</f>
        <v>5741</v>
      </c>
      <c r="E469" t="str">
        <f>"063STF"</f>
        <v>063STF</v>
      </c>
      <c r="F469" t="str">
        <f>""</f>
        <v/>
      </c>
      <c r="G469" t="str">
        <f>""</f>
        <v/>
      </c>
      <c r="H469" s="1">
        <v>41698</v>
      </c>
      <c r="I469" t="str">
        <f>"PCD00648"</f>
        <v>PCD00648</v>
      </c>
      <c r="J469" t="str">
        <f>""</f>
        <v/>
      </c>
      <c r="K469" t="str">
        <f t="shared" si="116"/>
        <v>AS89</v>
      </c>
      <c r="L469" t="s">
        <v>2362</v>
      </c>
      <c r="M469">
        <v>525</v>
      </c>
    </row>
    <row r="470" spans="1:13" x14ac:dyDescent="0.25">
      <c r="A470" t="str">
        <f t="shared" si="115"/>
        <v>E193</v>
      </c>
      <c r="B470">
        <v>1</v>
      </c>
      <c r="C470" t="str">
        <f>"23275"</f>
        <v>23275</v>
      </c>
      <c r="D470" t="str">
        <f>"5741"</f>
        <v>5741</v>
      </c>
      <c r="E470" t="str">
        <f>"063STF"</f>
        <v>063STF</v>
      </c>
      <c r="F470" t="str">
        <f>""</f>
        <v/>
      </c>
      <c r="G470" t="str">
        <f>""</f>
        <v/>
      </c>
      <c r="H470" s="1">
        <v>41699</v>
      </c>
      <c r="I470" t="str">
        <f>"PCD00649"</f>
        <v>PCD00649</v>
      </c>
      <c r="J470" t="str">
        <f>""</f>
        <v/>
      </c>
      <c r="K470" t="str">
        <f t="shared" si="116"/>
        <v>AS89</v>
      </c>
      <c r="L470" t="s">
        <v>2362</v>
      </c>
      <c r="M470">
        <v>525</v>
      </c>
    </row>
    <row r="471" spans="1:13" x14ac:dyDescent="0.25">
      <c r="A471" t="str">
        <f t="shared" si="115"/>
        <v>E193</v>
      </c>
      <c r="B471">
        <v>1</v>
      </c>
      <c r="C471" t="str">
        <f>"23275"</f>
        <v>23275</v>
      </c>
      <c r="D471" t="str">
        <f>"5741"</f>
        <v>5741</v>
      </c>
      <c r="E471" t="str">
        <f>"063STF"</f>
        <v>063STF</v>
      </c>
      <c r="F471" t="str">
        <f>""</f>
        <v/>
      </c>
      <c r="G471" t="str">
        <f>""</f>
        <v/>
      </c>
      <c r="H471" s="1">
        <v>41699</v>
      </c>
      <c r="I471" t="str">
        <f>"PCD00649"</f>
        <v>PCD00649</v>
      </c>
      <c r="J471" t="str">
        <f>""</f>
        <v/>
      </c>
      <c r="K471" t="str">
        <f t="shared" si="116"/>
        <v>AS89</v>
      </c>
      <c r="L471" t="s">
        <v>2361</v>
      </c>
      <c r="M471">
        <v>175</v>
      </c>
    </row>
    <row r="472" spans="1:13" x14ac:dyDescent="0.25">
      <c r="A472" t="str">
        <f t="shared" si="115"/>
        <v>E193</v>
      </c>
      <c r="B472">
        <v>1</v>
      </c>
      <c r="C472" t="str">
        <f>"32040"</f>
        <v>32040</v>
      </c>
      <c r="D472" t="str">
        <f>"5610"</f>
        <v>5610</v>
      </c>
      <c r="E472" t="str">
        <f t="shared" ref="E472:E479" si="117">"850LOS"</f>
        <v>850LOS</v>
      </c>
      <c r="F472" t="str">
        <f>""</f>
        <v/>
      </c>
      <c r="G472" t="str">
        <f>""</f>
        <v/>
      </c>
      <c r="H472" s="1">
        <v>41544</v>
      </c>
      <c r="I472" t="str">
        <f>"PCD00620"</f>
        <v>PCD00620</v>
      </c>
      <c r="J472" t="str">
        <f>"201186"</f>
        <v>201186</v>
      </c>
      <c r="K472" t="str">
        <f t="shared" si="116"/>
        <v>AS89</v>
      </c>
      <c r="L472" t="s">
        <v>2360</v>
      </c>
      <c r="M472">
        <v>250</v>
      </c>
    </row>
    <row r="473" spans="1:13" x14ac:dyDescent="0.25">
      <c r="A473" t="str">
        <f t="shared" si="115"/>
        <v>E193</v>
      </c>
      <c r="B473">
        <v>1</v>
      </c>
      <c r="C473" t="str">
        <f>"32040"</f>
        <v>32040</v>
      </c>
      <c r="D473" t="str">
        <f>"5610"</f>
        <v>5610</v>
      </c>
      <c r="E473" t="str">
        <f t="shared" si="117"/>
        <v>850LOS</v>
      </c>
      <c r="F473" t="str">
        <f>""</f>
        <v/>
      </c>
      <c r="G473" t="str">
        <f>""</f>
        <v/>
      </c>
      <c r="H473" s="1">
        <v>41544</v>
      </c>
      <c r="I473" t="str">
        <f>"PCD00620"</f>
        <v>PCD00620</v>
      </c>
      <c r="J473" t="str">
        <f>"201187"</f>
        <v>201187</v>
      </c>
      <c r="K473" t="str">
        <f t="shared" si="116"/>
        <v>AS89</v>
      </c>
      <c r="L473" t="s">
        <v>2360</v>
      </c>
      <c r="M473">
        <v>250</v>
      </c>
    </row>
    <row r="474" spans="1:13" x14ac:dyDescent="0.25">
      <c r="A474" t="str">
        <f t="shared" si="115"/>
        <v>E193</v>
      </c>
      <c r="B474">
        <v>1</v>
      </c>
      <c r="C474" t="str">
        <f>"32040"</f>
        <v>32040</v>
      </c>
      <c r="D474" t="str">
        <f>"5610"</f>
        <v>5610</v>
      </c>
      <c r="E474" t="str">
        <f t="shared" si="117"/>
        <v>850LOS</v>
      </c>
      <c r="F474" t="str">
        <f>""</f>
        <v/>
      </c>
      <c r="G474" t="str">
        <f>""</f>
        <v/>
      </c>
      <c r="H474" s="1">
        <v>41759</v>
      </c>
      <c r="I474" t="str">
        <f>"PCD00660"</f>
        <v>PCD00660</v>
      </c>
      <c r="J474" t="str">
        <f>""</f>
        <v/>
      </c>
      <c r="K474" t="str">
        <f t="shared" si="116"/>
        <v>AS89</v>
      </c>
      <c r="L474" t="s">
        <v>2359</v>
      </c>
      <c r="M474">
        <v>800</v>
      </c>
    </row>
    <row r="475" spans="1:13" x14ac:dyDescent="0.25">
      <c r="A475" t="str">
        <f t="shared" si="115"/>
        <v>E193</v>
      </c>
      <c r="B475">
        <v>1</v>
      </c>
      <c r="C475" t="str">
        <f>"32040"</f>
        <v>32040</v>
      </c>
      <c r="D475" t="str">
        <f>"5620"</f>
        <v>5620</v>
      </c>
      <c r="E475" t="str">
        <f t="shared" si="117"/>
        <v>850LOS</v>
      </c>
      <c r="F475" t="str">
        <f>""</f>
        <v/>
      </c>
      <c r="G475" t="str">
        <f>""</f>
        <v/>
      </c>
      <c r="H475" s="1">
        <v>41764</v>
      </c>
      <c r="I475" t="str">
        <f>"J0008508"</f>
        <v>J0008508</v>
      </c>
      <c r="J475" t="str">
        <f>""</f>
        <v/>
      </c>
      <c r="K475" t="str">
        <f>"J079"</f>
        <v>J079</v>
      </c>
      <c r="L475" t="s">
        <v>2200</v>
      </c>
      <c r="M475">
        <v>500</v>
      </c>
    </row>
    <row r="476" spans="1:13" x14ac:dyDescent="0.25">
      <c r="A476" t="str">
        <f t="shared" si="115"/>
        <v>E193</v>
      </c>
      <c r="B476">
        <v>1</v>
      </c>
      <c r="C476" t="str">
        <f>"32040"</f>
        <v>32040</v>
      </c>
      <c r="D476" t="str">
        <f>"5620"</f>
        <v>5620</v>
      </c>
      <c r="E476" t="str">
        <f t="shared" si="117"/>
        <v>850LOS</v>
      </c>
      <c r="F476" t="str">
        <f>""</f>
        <v/>
      </c>
      <c r="G476" t="str">
        <f>""</f>
        <v/>
      </c>
      <c r="H476" s="1">
        <v>41820</v>
      </c>
      <c r="I476" t="str">
        <f>"J0010520"</f>
        <v>J0010520</v>
      </c>
      <c r="J476" t="str">
        <f>""</f>
        <v/>
      </c>
      <c r="K476" t="str">
        <f>"J079"</f>
        <v>J079</v>
      </c>
      <c r="L476" t="s">
        <v>2199</v>
      </c>
      <c r="M476">
        <v>800</v>
      </c>
    </row>
    <row r="477" spans="1:13" x14ac:dyDescent="0.25">
      <c r="A477" t="str">
        <f t="shared" si="115"/>
        <v>E193</v>
      </c>
      <c r="B477">
        <v>1</v>
      </c>
      <c r="C477" t="str">
        <f>"43000"</f>
        <v>43000</v>
      </c>
      <c r="D477" t="str">
        <f>"5620"</f>
        <v>5620</v>
      </c>
      <c r="E477" t="str">
        <f t="shared" si="117"/>
        <v>850LOS</v>
      </c>
      <c r="F477" t="str">
        <f>""</f>
        <v/>
      </c>
      <c r="G477" t="str">
        <f>""</f>
        <v/>
      </c>
      <c r="H477" s="1">
        <v>41820</v>
      </c>
      <c r="I477" t="str">
        <f>"J0010489"</f>
        <v>J0010489</v>
      </c>
      <c r="J477" t="str">
        <f>""</f>
        <v/>
      </c>
      <c r="K477" t="str">
        <f>"J079"</f>
        <v>J079</v>
      </c>
      <c r="L477" t="s">
        <v>2209</v>
      </c>
      <c r="M477" s="2">
        <v>1750</v>
      </c>
    </row>
    <row r="478" spans="1:13" x14ac:dyDescent="0.25">
      <c r="A478" t="str">
        <f t="shared" si="115"/>
        <v>E193</v>
      </c>
      <c r="B478">
        <v>1</v>
      </c>
      <c r="C478" t="str">
        <f>"43000"</f>
        <v>43000</v>
      </c>
      <c r="D478" t="str">
        <f>"5740"</f>
        <v>5740</v>
      </c>
      <c r="E478" t="str">
        <f t="shared" si="117"/>
        <v>850LOS</v>
      </c>
      <c r="F478" t="str">
        <f>""</f>
        <v/>
      </c>
      <c r="G478" t="str">
        <f>""</f>
        <v/>
      </c>
      <c r="H478" s="1">
        <v>41544</v>
      </c>
      <c r="I478" t="str">
        <f>"PCD00620"</f>
        <v>PCD00620</v>
      </c>
      <c r="J478" t="str">
        <f>"200684"</f>
        <v>200684</v>
      </c>
      <c r="K478" t="str">
        <f>"AS89"</f>
        <v>AS89</v>
      </c>
      <c r="L478" t="s">
        <v>2358</v>
      </c>
      <c r="M478">
        <v>875</v>
      </c>
    </row>
    <row r="479" spans="1:13" x14ac:dyDescent="0.25">
      <c r="A479" t="str">
        <f t="shared" si="115"/>
        <v>E193</v>
      </c>
      <c r="B479">
        <v>1</v>
      </c>
      <c r="C479" t="str">
        <f>"43000"</f>
        <v>43000</v>
      </c>
      <c r="D479" t="str">
        <f>"5740"</f>
        <v>5740</v>
      </c>
      <c r="E479" t="str">
        <f t="shared" si="117"/>
        <v>850LOS</v>
      </c>
      <c r="F479" t="str">
        <f>""</f>
        <v/>
      </c>
      <c r="G479" t="str">
        <f>""</f>
        <v/>
      </c>
      <c r="H479" s="1">
        <v>41639</v>
      </c>
      <c r="I479" t="str">
        <f>"PCD00636"</f>
        <v>PCD00636</v>
      </c>
      <c r="J479" t="str">
        <f>"208937"</f>
        <v>208937</v>
      </c>
      <c r="K479" t="str">
        <f>"AS89"</f>
        <v>AS89</v>
      </c>
      <c r="L479" t="s">
        <v>2357</v>
      </c>
      <c r="M479">
        <v>875</v>
      </c>
    </row>
    <row r="480" spans="1:13" x14ac:dyDescent="0.25">
      <c r="A480" t="str">
        <f t="shared" ref="A480:A487" si="118">"E209"</f>
        <v>E209</v>
      </c>
      <c r="B480">
        <v>1</v>
      </c>
      <c r="C480" t="str">
        <f>"23275"</f>
        <v>23275</v>
      </c>
      <c r="D480" t="str">
        <f>"5620"</f>
        <v>5620</v>
      </c>
      <c r="E480" t="str">
        <f>"063STF"</f>
        <v>063STF</v>
      </c>
      <c r="F480" t="str">
        <f>""</f>
        <v/>
      </c>
      <c r="G480" t="str">
        <f>""</f>
        <v/>
      </c>
      <c r="H480" s="1">
        <v>41816</v>
      </c>
      <c r="I480" t="str">
        <f>"J0009784"</f>
        <v>J0009784</v>
      </c>
      <c r="J480" t="str">
        <f>""</f>
        <v/>
      </c>
      <c r="K480" t="str">
        <f>"J079"</f>
        <v>J079</v>
      </c>
      <c r="L480" t="s">
        <v>2226</v>
      </c>
      <c r="M480">
        <v>101.79</v>
      </c>
    </row>
    <row r="481" spans="1:13" x14ac:dyDescent="0.25">
      <c r="A481" t="str">
        <f t="shared" si="118"/>
        <v>E209</v>
      </c>
      <c r="B481">
        <v>1</v>
      </c>
      <c r="C481" t="str">
        <f>"23275"</f>
        <v>23275</v>
      </c>
      <c r="D481" t="str">
        <f>"5741"</f>
        <v>5741</v>
      </c>
      <c r="E481" t="str">
        <f>"063STF"</f>
        <v>063STF</v>
      </c>
      <c r="F481" t="str">
        <f>""</f>
        <v/>
      </c>
      <c r="G481" t="str">
        <f>""</f>
        <v/>
      </c>
      <c r="H481" s="1">
        <v>41653</v>
      </c>
      <c r="I481" t="str">
        <f>"J0006955"</f>
        <v>J0006955</v>
      </c>
      <c r="J481" t="str">
        <f>"J0006460"</f>
        <v>J0006460</v>
      </c>
      <c r="K481" t="str">
        <f>"J079"</f>
        <v>J079</v>
      </c>
      <c r="L481" t="s">
        <v>2225</v>
      </c>
      <c r="M481">
        <v>101.79</v>
      </c>
    </row>
    <row r="482" spans="1:13" x14ac:dyDescent="0.25">
      <c r="A482" t="str">
        <f t="shared" si="118"/>
        <v>E209</v>
      </c>
      <c r="B482">
        <v>1</v>
      </c>
      <c r="C482" t="str">
        <f>"24081"</f>
        <v>24081</v>
      </c>
      <c r="D482" t="str">
        <f t="shared" ref="D482:D498" si="119">"5620"</f>
        <v>5620</v>
      </c>
      <c r="E482" t="str">
        <f t="shared" ref="E482:E490" si="120">"094OMS"</f>
        <v>094OMS</v>
      </c>
      <c r="F482" t="str">
        <f>""</f>
        <v/>
      </c>
      <c r="G482" t="str">
        <f>""</f>
        <v/>
      </c>
      <c r="H482" s="1">
        <v>41671</v>
      </c>
      <c r="I482" t="str">
        <f>"J0007114"</f>
        <v>J0007114</v>
      </c>
      <c r="J482" t="str">
        <f>""</f>
        <v/>
      </c>
      <c r="K482" t="str">
        <f>"J096"</f>
        <v>J096</v>
      </c>
      <c r="L482" t="s">
        <v>2210</v>
      </c>
      <c r="M482" s="2">
        <v>2992</v>
      </c>
    </row>
    <row r="483" spans="1:13" x14ac:dyDescent="0.25">
      <c r="A483" t="str">
        <f t="shared" si="118"/>
        <v>E209</v>
      </c>
      <c r="B483">
        <v>1</v>
      </c>
      <c r="C483" t="str">
        <f>"24081"</f>
        <v>24081</v>
      </c>
      <c r="D483" t="str">
        <f t="shared" si="119"/>
        <v>5620</v>
      </c>
      <c r="E483" t="str">
        <f t="shared" si="120"/>
        <v>094OMS</v>
      </c>
      <c r="F483" t="str">
        <f>""</f>
        <v/>
      </c>
      <c r="G483" t="str">
        <f>""</f>
        <v/>
      </c>
      <c r="H483" s="1">
        <v>41787</v>
      </c>
      <c r="I483" t="str">
        <f>"I0109425"</f>
        <v>I0109425</v>
      </c>
      <c r="J483" t="str">
        <f>"N218277"</f>
        <v>N218277</v>
      </c>
      <c r="K483" t="str">
        <f>"INEI"</f>
        <v>INEI</v>
      </c>
      <c r="L483" t="s">
        <v>78</v>
      </c>
      <c r="M483" s="2">
        <v>1380</v>
      </c>
    </row>
    <row r="484" spans="1:13" x14ac:dyDescent="0.25">
      <c r="A484" t="str">
        <f t="shared" si="118"/>
        <v>E209</v>
      </c>
      <c r="B484">
        <v>1</v>
      </c>
      <c r="C484" t="str">
        <f>"24081"</f>
        <v>24081</v>
      </c>
      <c r="D484" t="str">
        <f t="shared" si="119"/>
        <v>5620</v>
      </c>
      <c r="E484" t="str">
        <f t="shared" si="120"/>
        <v>094OMS</v>
      </c>
      <c r="F484" t="str">
        <f>""</f>
        <v/>
      </c>
      <c r="G484" t="str">
        <f>""</f>
        <v/>
      </c>
      <c r="H484" s="1">
        <v>41787</v>
      </c>
      <c r="I484" t="str">
        <f>"I0109426"</f>
        <v>I0109426</v>
      </c>
      <c r="J484" t="str">
        <f>"N218277"</f>
        <v>N218277</v>
      </c>
      <c r="K484" t="str">
        <f>"INEI"</f>
        <v>INEI</v>
      </c>
      <c r="L484" t="s">
        <v>78</v>
      </c>
      <c r="M484">
        <v>288</v>
      </c>
    </row>
    <row r="485" spans="1:13" x14ac:dyDescent="0.25">
      <c r="A485" t="str">
        <f t="shared" si="118"/>
        <v>E209</v>
      </c>
      <c r="B485">
        <v>1</v>
      </c>
      <c r="C485" t="str">
        <f>"24081"</f>
        <v>24081</v>
      </c>
      <c r="D485" t="str">
        <f t="shared" si="119"/>
        <v>5620</v>
      </c>
      <c r="E485" t="str">
        <f t="shared" si="120"/>
        <v>094OMS</v>
      </c>
      <c r="F485" t="str">
        <f>""</f>
        <v/>
      </c>
      <c r="G485" t="str">
        <f>""</f>
        <v/>
      </c>
      <c r="H485" s="1">
        <v>41820</v>
      </c>
      <c r="I485" t="str">
        <f>"I0110013"</f>
        <v>I0110013</v>
      </c>
      <c r="J485" t="str">
        <f>"N218277"</f>
        <v>N218277</v>
      </c>
      <c r="K485" t="str">
        <f>"INEI"</f>
        <v>INEI</v>
      </c>
      <c r="L485" t="s">
        <v>78</v>
      </c>
      <c r="M485">
        <v>240</v>
      </c>
    </row>
    <row r="486" spans="1:13" x14ac:dyDescent="0.25">
      <c r="A486" t="str">
        <f t="shared" si="118"/>
        <v>E209</v>
      </c>
      <c r="B486">
        <v>1</v>
      </c>
      <c r="C486" t="str">
        <f>"24081"</f>
        <v>24081</v>
      </c>
      <c r="D486" t="str">
        <f t="shared" si="119"/>
        <v>5620</v>
      </c>
      <c r="E486" t="str">
        <f t="shared" si="120"/>
        <v>094OMS</v>
      </c>
      <c r="F486" t="str">
        <f>""</f>
        <v/>
      </c>
      <c r="G486" t="str">
        <f>""</f>
        <v/>
      </c>
      <c r="H486" s="1">
        <v>41820</v>
      </c>
      <c r="I486" t="str">
        <f>"I0110320"</f>
        <v>I0110320</v>
      </c>
      <c r="J486" t="str">
        <f>"N218277"</f>
        <v>N218277</v>
      </c>
      <c r="K486" t="str">
        <f>"INEI"</f>
        <v>INEI</v>
      </c>
      <c r="L486" t="s">
        <v>78</v>
      </c>
      <c r="M486">
        <v>544</v>
      </c>
    </row>
    <row r="487" spans="1:13" x14ac:dyDescent="0.25">
      <c r="A487" t="str">
        <f t="shared" si="118"/>
        <v>E209</v>
      </c>
      <c r="B487">
        <v>1</v>
      </c>
      <c r="C487" t="str">
        <f>"31040"</f>
        <v>31040</v>
      </c>
      <c r="D487" t="str">
        <f t="shared" si="119"/>
        <v>5620</v>
      </c>
      <c r="E487" t="str">
        <f t="shared" si="120"/>
        <v>094OMS</v>
      </c>
      <c r="F487" t="str">
        <f>""</f>
        <v/>
      </c>
      <c r="G487" t="str">
        <f>""</f>
        <v/>
      </c>
      <c r="H487" s="1">
        <v>41671</v>
      </c>
      <c r="I487" t="str">
        <f>"J0007114"</f>
        <v>J0007114</v>
      </c>
      <c r="J487" t="str">
        <f>""</f>
        <v/>
      </c>
      <c r="K487" t="str">
        <f>"J096"</f>
        <v>J096</v>
      </c>
      <c r="L487" t="s">
        <v>2210</v>
      </c>
      <c r="M487">
        <v>200</v>
      </c>
    </row>
    <row r="488" spans="1:13" x14ac:dyDescent="0.25">
      <c r="A488" t="str">
        <f t="shared" ref="A488:A512" si="121">"E210"</f>
        <v>E210</v>
      </c>
      <c r="B488">
        <v>1</v>
      </c>
      <c r="C488" t="str">
        <f>"10200"</f>
        <v>10200</v>
      </c>
      <c r="D488" t="str">
        <f t="shared" si="119"/>
        <v>5620</v>
      </c>
      <c r="E488" t="str">
        <f t="shared" si="120"/>
        <v>094OMS</v>
      </c>
      <c r="F488" t="str">
        <f>""</f>
        <v/>
      </c>
      <c r="G488" t="str">
        <f>""</f>
        <v/>
      </c>
      <c r="H488" s="1">
        <v>41639</v>
      </c>
      <c r="I488" t="str">
        <f>"PCD00636"</f>
        <v>PCD00636</v>
      </c>
      <c r="J488" t="str">
        <f>"208911"</f>
        <v>208911</v>
      </c>
      <c r="K488" t="str">
        <f>"AS89"</f>
        <v>AS89</v>
      </c>
      <c r="L488" t="s">
        <v>2356</v>
      </c>
      <c r="M488">
        <v>241.86</v>
      </c>
    </row>
    <row r="489" spans="1:13" x14ac:dyDescent="0.25">
      <c r="A489" t="str">
        <f t="shared" si="121"/>
        <v>E210</v>
      </c>
      <c r="B489">
        <v>1</v>
      </c>
      <c r="C489" t="str">
        <f>"10200"</f>
        <v>10200</v>
      </c>
      <c r="D489" t="str">
        <f t="shared" si="119"/>
        <v>5620</v>
      </c>
      <c r="E489" t="str">
        <f t="shared" si="120"/>
        <v>094OMS</v>
      </c>
      <c r="F489" t="str">
        <f>""</f>
        <v/>
      </c>
      <c r="G489" t="str">
        <f>""</f>
        <v/>
      </c>
      <c r="H489" s="1">
        <v>41641</v>
      </c>
      <c r="I489" t="str">
        <f>"210999"</f>
        <v>210999</v>
      </c>
      <c r="J489" t="str">
        <f>""</f>
        <v/>
      </c>
      <c r="K489" t="str">
        <f>"INNI"</f>
        <v>INNI</v>
      </c>
      <c r="L489" t="s">
        <v>4</v>
      </c>
      <c r="M489">
        <v>175</v>
      </c>
    </row>
    <row r="490" spans="1:13" x14ac:dyDescent="0.25">
      <c r="A490" t="str">
        <f t="shared" si="121"/>
        <v>E210</v>
      </c>
      <c r="B490">
        <v>1</v>
      </c>
      <c r="C490" t="str">
        <f>"10200"</f>
        <v>10200</v>
      </c>
      <c r="D490" t="str">
        <f t="shared" si="119"/>
        <v>5620</v>
      </c>
      <c r="E490" t="str">
        <f t="shared" si="120"/>
        <v>094OMS</v>
      </c>
      <c r="F490" t="str">
        <f>""</f>
        <v/>
      </c>
      <c r="G490" t="str">
        <f>""</f>
        <v/>
      </c>
      <c r="H490" s="1">
        <v>41641</v>
      </c>
      <c r="I490" t="str">
        <f>"210999A"</f>
        <v>210999A</v>
      </c>
      <c r="J490" t="str">
        <f>""</f>
        <v/>
      </c>
      <c r="K490" t="str">
        <f>"INNI"</f>
        <v>INNI</v>
      </c>
      <c r="L490" t="s">
        <v>4</v>
      </c>
      <c r="M490">
        <v>175</v>
      </c>
    </row>
    <row r="491" spans="1:13" x14ac:dyDescent="0.25">
      <c r="A491" t="str">
        <f t="shared" si="121"/>
        <v>E210</v>
      </c>
      <c r="B491">
        <v>1</v>
      </c>
      <c r="C491" t="str">
        <f t="shared" ref="C491:C500" si="122">"23275"</f>
        <v>23275</v>
      </c>
      <c r="D491" t="str">
        <f t="shared" si="119"/>
        <v>5620</v>
      </c>
      <c r="E491" t="str">
        <f t="shared" ref="E491:E500" si="123">"063STF"</f>
        <v>063STF</v>
      </c>
      <c r="F491" t="str">
        <f>""</f>
        <v/>
      </c>
      <c r="G491" t="str">
        <f>""</f>
        <v/>
      </c>
      <c r="H491" s="1">
        <v>41809</v>
      </c>
      <c r="I491" t="str">
        <f>"00008707"</f>
        <v>00008707</v>
      </c>
      <c r="J491" t="str">
        <f>"N132881E"</f>
        <v>N132881E</v>
      </c>
      <c r="K491" t="str">
        <f>"INEI"</f>
        <v>INEI</v>
      </c>
      <c r="L491" t="s">
        <v>1994</v>
      </c>
      <c r="M491" s="2">
        <v>3901.47</v>
      </c>
    </row>
    <row r="492" spans="1:13" x14ac:dyDescent="0.25">
      <c r="A492" t="str">
        <f t="shared" si="121"/>
        <v>E210</v>
      </c>
      <c r="B492">
        <v>1</v>
      </c>
      <c r="C492" t="str">
        <f t="shared" si="122"/>
        <v>23275</v>
      </c>
      <c r="D492" t="str">
        <f t="shared" si="119"/>
        <v>5620</v>
      </c>
      <c r="E492" t="str">
        <f t="shared" si="123"/>
        <v>063STF</v>
      </c>
      <c r="F492" t="str">
        <f>""</f>
        <v/>
      </c>
      <c r="G492" t="str">
        <f>""</f>
        <v/>
      </c>
      <c r="H492" s="1">
        <v>41809</v>
      </c>
      <c r="I492" t="str">
        <f>"00008708"</f>
        <v>00008708</v>
      </c>
      <c r="J492" t="str">
        <f>"N132881E"</f>
        <v>N132881E</v>
      </c>
      <c r="K492" t="str">
        <f>"INEI"</f>
        <v>INEI</v>
      </c>
      <c r="L492" t="s">
        <v>1994</v>
      </c>
      <c r="M492" s="2">
        <v>3540.89</v>
      </c>
    </row>
    <row r="493" spans="1:13" x14ac:dyDescent="0.25">
      <c r="A493" t="str">
        <f t="shared" si="121"/>
        <v>E210</v>
      </c>
      <c r="B493">
        <v>1</v>
      </c>
      <c r="C493" t="str">
        <f t="shared" si="122"/>
        <v>23275</v>
      </c>
      <c r="D493" t="str">
        <f t="shared" si="119"/>
        <v>5620</v>
      </c>
      <c r="E493" t="str">
        <f t="shared" si="123"/>
        <v>063STF</v>
      </c>
      <c r="F493" t="str">
        <f>""</f>
        <v/>
      </c>
      <c r="G493" t="str">
        <f>""</f>
        <v/>
      </c>
      <c r="H493" s="1">
        <v>41809</v>
      </c>
      <c r="I493" t="str">
        <f>"00008709"</f>
        <v>00008709</v>
      </c>
      <c r="J493" t="str">
        <f>"N132881E"</f>
        <v>N132881E</v>
      </c>
      <c r="K493" t="str">
        <f>"INEI"</f>
        <v>INEI</v>
      </c>
      <c r="L493" t="s">
        <v>1994</v>
      </c>
      <c r="M493" s="2">
        <v>3540.89</v>
      </c>
    </row>
    <row r="494" spans="1:13" x14ac:dyDescent="0.25">
      <c r="A494" t="str">
        <f t="shared" si="121"/>
        <v>E210</v>
      </c>
      <c r="B494">
        <v>1</v>
      </c>
      <c r="C494" t="str">
        <f t="shared" si="122"/>
        <v>23275</v>
      </c>
      <c r="D494" t="str">
        <f t="shared" si="119"/>
        <v>5620</v>
      </c>
      <c r="E494" t="str">
        <f t="shared" si="123"/>
        <v>063STF</v>
      </c>
      <c r="F494" t="str">
        <f>""</f>
        <v/>
      </c>
      <c r="G494" t="str">
        <f>""</f>
        <v/>
      </c>
      <c r="H494" s="1">
        <v>41809</v>
      </c>
      <c r="I494" t="str">
        <f>"00008710"</f>
        <v>00008710</v>
      </c>
      <c r="J494" t="str">
        <f>"N132881E"</f>
        <v>N132881E</v>
      </c>
      <c r="K494" t="str">
        <f>"INEI"</f>
        <v>INEI</v>
      </c>
      <c r="L494" t="s">
        <v>1994</v>
      </c>
      <c r="M494" s="2">
        <v>3540.89</v>
      </c>
    </row>
    <row r="495" spans="1:13" x14ac:dyDescent="0.25">
      <c r="A495" t="str">
        <f t="shared" si="121"/>
        <v>E210</v>
      </c>
      <c r="B495">
        <v>1</v>
      </c>
      <c r="C495" t="str">
        <f t="shared" si="122"/>
        <v>23275</v>
      </c>
      <c r="D495" t="str">
        <f t="shared" si="119"/>
        <v>5620</v>
      </c>
      <c r="E495" t="str">
        <f t="shared" si="123"/>
        <v>063STF</v>
      </c>
      <c r="F495" t="str">
        <f>""</f>
        <v/>
      </c>
      <c r="G495" t="str">
        <f>""</f>
        <v/>
      </c>
      <c r="H495" s="1">
        <v>41809</v>
      </c>
      <c r="I495" t="str">
        <f>"0008711A"</f>
        <v>0008711A</v>
      </c>
      <c r="J495" t="str">
        <f>"N132881E"</f>
        <v>N132881E</v>
      </c>
      <c r="K495" t="str">
        <f>"INEI"</f>
        <v>INEI</v>
      </c>
      <c r="L495" t="s">
        <v>1994</v>
      </c>
      <c r="M495" s="2">
        <v>4607.6899999999996</v>
      </c>
    </row>
    <row r="496" spans="1:13" x14ac:dyDescent="0.25">
      <c r="A496" t="str">
        <f t="shared" si="121"/>
        <v>E210</v>
      </c>
      <c r="B496">
        <v>1</v>
      </c>
      <c r="C496" t="str">
        <f t="shared" si="122"/>
        <v>23275</v>
      </c>
      <c r="D496" t="str">
        <f t="shared" si="119"/>
        <v>5620</v>
      </c>
      <c r="E496" t="str">
        <f t="shared" si="123"/>
        <v>063STF</v>
      </c>
      <c r="F496" t="str">
        <f>""</f>
        <v/>
      </c>
      <c r="G496" t="str">
        <f>""</f>
        <v/>
      </c>
      <c r="H496" s="1">
        <v>41816</v>
      </c>
      <c r="I496" t="str">
        <f>"J0009784"</f>
        <v>J0009784</v>
      </c>
      <c r="J496" t="str">
        <f>""</f>
        <v/>
      </c>
      <c r="K496" t="str">
        <f>"J079"</f>
        <v>J079</v>
      </c>
      <c r="L496" t="s">
        <v>2226</v>
      </c>
      <c r="M496" s="2">
        <v>1320.71</v>
      </c>
    </row>
    <row r="497" spans="1:13" x14ac:dyDescent="0.25">
      <c r="A497" t="str">
        <f t="shared" si="121"/>
        <v>E210</v>
      </c>
      <c r="B497">
        <v>1</v>
      </c>
      <c r="C497" t="str">
        <f t="shared" si="122"/>
        <v>23275</v>
      </c>
      <c r="D497" t="str">
        <f t="shared" si="119"/>
        <v>5620</v>
      </c>
      <c r="E497" t="str">
        <f t="shared" si="123"/>
        <v>063STF</v>
      </c>
      <c r="F497" t="str">
        <f>""</f>
        <v/>
      </c>
      <c r="G497" t="str">
        <f>""</f>
        <v/>
      </c>
      <c r="H497" s="1">
        <v>41817</v>
      </c>
      <c r="I497" t="str">
        <f>"00008720"</f>
        <v>00008720</v>
      </c>
      <c r="J497" t="str">
        <f>"N132881E"</f>
        <v>N132881E</v>
      </c>
      <c r="K497" t="str">
        <f>"INEI"</f>
        <v>INEI</v>
      </c>
      <c r="L497" t="s">
        <v>1994</v>
      </c>
      <c r="M497" s="2">
        <v>3540.89</v>
      </c>
    </row>
    <row r="498" spans="1:13" x14ac:dyDescent="0.25">
      <c r="A498" t="str">
        <f t="shared" si="121"/>
        <v>E210</v>
      </c>
      <c r="B498">
        <v>1</v>
      </c>
      <c r="C498" t="str">
        <f t="shared" si="122"/>
        <v>23275</v>
      </c>
      <c r="D498" t="str">
        <f t="shared" si="119"/>
        <v>5620</v>
      </c>
      <c r="E498" t="str">
        <f t="shared" si="123"/>
        <v>063STF</v>
      </c>
      <c r="F498" t="str">
        <f>""</f>
        <v/>
      </c>
      <c r="G498" t="str">
        <f>""</f>
        <v/>
      </c>
      <c r="H498" s="1">
        <v>41817</v>
      </c>
      <c r="I498" t="str">
        <f>"00008721"</f>
        <v>00008721</v>
      </c>
      <c r="J498" t="str">
        <f>"N132881E"</f>
        <v>N132881E</v>
      </c>
      <c r="K498" t="str">
        <f>"INEI"</f>
        <v>INEI</v>
      </c>
      <c r="L498" t="s">
        <v>1994</v>
      </c>
      <c r="M498" s="2">
        <v>3540.89</v>
      </c>
    </row>
    <row r="499" spans="1:13" x14ac:dyDescent="0.25">
      <c r="A499" t="str">
        <f t="shared" si="121"/>
        <v>E210</v>
      </c>
      <c r="B499">
        <v>1</v>
      </c>
      <c r="C499" t="str">
        <f t="shared" si="122"/>
        <v>23275</v>
      </c>
      <c r="D499" t="str">
        <f>"5741"</f>
        <v>5741</v>
      </c>
      <c r="E499" t="str">
        <f t="shared" si="123"/>
        <v>063STF</v>
      </c>
      <c r="F499" t="str">
        <f>""</f>
        <v/>
      </c>
      <c r="G499" t="str">
        <f>""</f>
        <v/>
      </c>
      <c r="H499" s="1">
        <v>41472</v>
      </c>
      <c r="I499" t="str">
        <f>"95702A"</f>
        <v>95702A</v>
      </c>
      <c r="J499" t="str">
        <f>"N132872B"</f>
        <v>N132872B</v>
      </c>
      <c r="K499" t="str">
        <f>"INEI"</f>
        <v>INEI</v>
      </c>
      <c r="L499" t="s">
        <v>2354</v>
      </c>
      <c r="M499">
        <v>978.3</v>
      </c>
    </row>
    <row r="500" spans="1:13" x14ac:dyDescent="0.25">
      <c r="A500" t="str">
        <f t="shared" si="121"/>
        <v>E210</v>
      </c>
      <c r="B500">
        <v>1</v>
      </c>
      <c r="C500" t="str">
        <f t="shared" si="122"/>
        <v>23275</v>
      </c>
      <c r="D500" t="str">
        <f>"5741"</f>
        <v>5741</v>
      </c>
      <c r="E500" t="str">
        <f t="shared" si="123"/>
        <v>063STF</v>
      </c>
      <c r="F500" t="str">
        <f>""</f>
        <v/>
      </c>
      <c r="G500" t="str">
        <f>""</f>
        <v/>
      </c>
      <c r="H500" s="1">
        <v>41608</v>
      </c>
      <c r="I500" t="str">
        <f>"PCD00631"</f>
        <v>PCD00631</v>
      </c>
      <c r="J500" t="str">
        <f>"205929"</f>
        <v>205929</v>
      </c>
      <c r="K500" t="str">
        <f>"AS89"</f>
        <v>AS89</v>
      </c>
      <c r="L500" t="s">
        <v>2355</v>
      </c>
      <c r="M500">
        <v>342.41</v>
      </c>
    </row>
    <row r="501" spans="1:13" x14ac:dyDescent="0.25">
      <c r="A501" t="str">
        <f t="shared" si="121"/>
        <v>E210</v>
      </c>
      <c r="B501">
        <v>1</v>
      </c>
      <c r="C501" t="str">
        <f>"31040"</f>
        <v>31040</v>
      </c>
      <c r="D501" t="str">
        <f>"5620"</f>
        <v>5620</v>
      </c>
      <c r="E501" t="str">
        <f>"094OMS"</f>
        <v>094OMS</v>
      </c>
      <c r="F501" t="str">
        <f>""</f>
        <v/>
      </c>
      <c r="G501" t="str">
        <f>""</f>
        <v/>
      </c>
      <c r="H501" s="1">
        <v>41647</v>
      </c>
      <c r="I501" t="str">
        <f>"14003683"</f>
        <v>14003683</v>
      </c>
      <c r="J501" t="str">
        <f>"N218277"</f>
        <v>N218277</v>
      </c>
      <c r="K501" t="str">
        <f>"INEI"</f>
        <v>INEI</v>
      </c>
      <c r="L501" t="s">
        <v>78</v>
      </c>
      <c r="M501">
        <v>140</v>
      </c>
    </row>
    <row r="502" spans="1:13" x14ac:dyDescent="0.25">
      <c r="A502" t="str">
        <f t="shared" si="121"/>
        <v>E210</v>
      </c>
      <c r="B502">
        <v>1</v>
      </c>
      <c r="C502" t="str">
        <f>"31040"</f>
        <v>31040</v>
      </c>
      <c r="D502" t="str">
        <f>"5620"</f>
        <v>5620</v>
      </c>
      <c r="E502" t="str">
        <f>"094OMS"</f>
        <v>094OMS</v>
      </c>
      <c r="F502" t="str">
        <f>""</f>
        <v/>
      </c>
      <c r="G502" t="str">
        <f>""</f>
        <v/>
      </c>
      <c r="H502" s="1">
        <v>41655</v>
      </c>
      <c r="I502" t="str">
        <f>"218285"</f>
        <v>218285</v>
      </c>
      <c r="J502" t="str">
        <f>""</f>
        <v/>
      </c>
      <c r="K502" t="str">
        <f>"INNI"</f>
        <v>INNI</v>
      </c>
      <c r="L502" t="s">
        <v>78</v>
      </c>
      <c r="M502" s="2">
        <v>2780</v>
      </c>
    </row>
    <row r="503" spans="1:13" x14ac:dyDescent="0.25">
      <c r="A503" t="str">
        <f t="shared" si="121"/>
        <v>E210</v>
      </c>
      <c r="B503">
        <v>1</v>
      </c>
      <c r="C503" t="str">
        <f t="shared" ref="C503:C510" si="124">"43000"</f>
        <v>43000</v>
      </c>
      <c r="D503" t="str">
        <f>"5620"</f>
        <v>5620</v>
      </c>
      <c r="E503" t="str">
        <f>"850LOS"</f>
        <v>850LOS</v>
      </c>
      <c r="F503" t="str">
        <f>""</f>
        <v/>
      </c>
      <c r="G503" t="str">
        <f>""</f>
        <v/>
      </c>
      <c r="H503" s="1">
        <v>41820</v>
      </c>
      <c r="I503" t="str">
        <f>"J0010489"</f>
        <v>J0010489</v>
      </c>
      <c r="J503" t="str">
        <f>""</f>
        <v/>
      </c>
      <c r="K503" t="str">
        <f>"J079"</f>
        <v>J079</v>
      </c>
      <c r="L503" t="s">
        <v>2209</v>
      </c>
      <c r="M503" s="2">
        <v>5875</v>
      </c>
    </row>
    <row r="504" spans="1:13" x14ac:dyDescent="0.25">
      <c r="A504" t="str">
        <f t="shared" si="121"/>
        <v>E210</v>
      </c>
      <c r="B504">
        <v>1</v>
      </c>
      <c r="C504" t="str">
        <f t="shared" si="124"/>
        <v>43000</v>
      </c>
      <c r="D504" t="str">
        <f>"5620"</f>
        <v>5620</v>
      </c>
      <c r="E504" t="str">
        <f>"850PAY"</f>
        <v>850PAY</v>
      </c>
      <c r="F504" t="str">
        <f>""</f>
        <v/>
      </c>
      <c r="G504" t="str">
        <f>""</f>
        <v/>
      </c>
      <c r="H504" s="1">
        <v>41820</v>
      </c>
      <c r="I504" t="str">
        <f>"J0009229"</f>
        <v>J0009229</v>
      </c>
      <c r="J504" t="str">
        <f>""</f>
        <v/>
      </c>
      <c r="K504" t="str">
        <f>"J096"</f>
        <v>J096</v>
      </c>
      <c r="L504" t="s">
        <v>2208</v>
      </c>
      <c r="M504" s="2">
        <v>26455.4</v>
      </c>
    </row>
    <row r="505" spans="1:13" x14ac:dyDescent="0.25">
      <c r="A505" t="str">
        <f t="shared" si="121"/>
        <v>E210</v>
      </c>
      <c r="B505">
        <v>1</v>
      </c>
      <c r="C505" t="str">
        <f t="shared" si="124"/>
        <v>43000</v>
      </c>
      <c r="D505" t="str">
        <f t="shared" ref="D505:D512" si="125">"5740"</f>
        <v>5740</v>
      </c>
      <c r="E505" t="str">
        <f>"850LOS"</f>
        <v>850LOS</v>
      </c>
      <c r="F505" t="str">
        <f>""</f>
        <v/>
      </c>
      <c r="G505" t="str">
        <f>""</f>
        <v/>
      </c>
      <c r="H505" s="1">
        <v>41609</v>
      </c>
      <c r="I505" t="str">
        <f>"J0006342"</f>
        <v>J0006342</v>
      </c>
      <c r="J505" t="str">
        <f>""</f>
        <v/>
      </c>
      <c r="K505" t="str">
        <f>"J079"</f>
        <v>J079</v>
      </c>
      <c r="L505" t="s">
        <v>2353</v>
      </c>
      <c r="M505" s="2">
        <v>5875</v>
      </c>
    </row>
    <row r="506" spans="1:13" x14ac:dyDescent="0.25">
      <c r="A506" t="str">
        <f t="shared" si="121"/>
        <v>E210</v>
      </c>
      <c r="B506">
        <v>1</v>
      </c>
      <c r="C506" t="str">
        <f t="shared" si="124"/>
        <v>43000</v>
      </c>
      <c r="D506" t="str">
        <f t="shared" si="125"/>
        <v>5740</v>
      </c>
      <c r="E506" t="str">
        <f>"850PKE"</f>
        <v>850PKE</v>
      </c>
      <c r="F506" t="str">
        <f>""</f>
        <v/>
      </c>
      <c r="G506" t="str">
        <f>""</f>
        <v/>
      </c>
      <c r="H506" s="1">
        <v>41676</v>
      </c>
      <c r="I506" t="str">
        <f>"1262014C"</f>
        <v>1262014C</v>
      </c>
      <c r="J506" t="str">
        <f>"N218284"</f>
        <v>N218284</v>
      </c>
      <c r="K506" t="str">
        <f t="shared" ref="K506:K511" si="126">"INEI"</f>
        <v>INEI</v>
      </c>
      <c r="L506" t="s">
        <v>2352</v>
      </c>
      <c r="M506">
        <v>134.94</v>
      </c>
    </row>
    <row r="507" spans="1:13" x14ac:dyDescent="0.25">
      <c r="A507" t="str">
        <f t="shared" si="121"/>
        <v>E210</v>
      </c>
      <c r="B507">
        <v>1</v>
      </c>
      <c r="C507" t="str">
        <f t="shared" si="124"/>
        <v>43000</v>
      </c>
      <c r="D507" t="str">
        <f t="shared" si="125"/>
        <v>5740</v>
      </c>
      <c r="E507" t="str">
        <f>"850PKE"</f>
        <v>850PKE</v>
      </c>
      <c r="F507" t="str">
        <f>""</f>
        <v/>
      </c>
      <c r="G507" t="str">
        <f>""</f>
        <v/>
      </c>
      <c r="H507" s="1">
        <v>41729</v>
      </c>
      <c r="I507" t="str">
        <f>"I0108442"</f>
        <v>I0108442</v>
      </c>
      <c r="J507" t="str">
        <f>"N218284"</f>
        <v>N218284</v>
      </c>
      <c r="K507" t="str">
        <f t="shared" si="126"/>
        <v>INEI</v>
      </c>
      <c r="L507" t="s">
        <v>2352</v>
      </c>
      <c r="M507">
        <v>207.1</v>
      </c>
    </row>
    <row r="508" spans="1:13" x14ac:dyDescent="0.25">
      <c r="A508" t="str">
        <f t="shared" si="121"/>
        <v>E210</v>
      </c>
      <c r="B508">
        <v>1</v>
      </c>
      <c r="C508" t="str">
        <f t="shared" si="124"/>
        <v>43000</v>
      </c>
      <c r="D508" t="str">
        <f t="shared" si="125"/>
        <v>5740</v>
      </c>
      <c r="E508" t="str">
        <f>"850PKE"</f>
        <v>850PKE</v>
      </c>
      <c r="F508" t="str">
        <f>""</f>
        <v/>
      </c>
      <c r="G508" t="str">
        <f>""</f>
        <v/>
      </c>
      <c r="H508" s="1">
        <v>41737</v>
      </c>
      <c r="I508" t="str">
        <f>"I0108599"</f>
        <v>I0108599</v>
      </c>
      <c r="J508" t="str">
        <f>"N218284"</f>
        <v>N218284</v>
      </c>
      <c r="K508" t="str">
        <f t="shared" si="126"/>
        <v>INEI</v>
      </c>
      <c r="L508" t="s">
        <v>2352</v>
      </c>
      <c r="M508">
        <v>243.1</v>
      </c>
    </row>
    <row r="509" spans="1:13" x14ac:dyDescent="0.25">
      <c r="A509" t="str">
        <f t="shared" si="121"/>
        <v>E210</v>
      </c>
      <c r="B509">
        <v>1</v>
      </c>
      <c r="C509" t="str">
        <f t="shared" si="124"/>
        <v>43000</v>
      </c>
      <c r="D509" t="str">
        <f t="shared" si="125"/>
        <v>5740</v>
      </c>
      <c r="E509" t="str">
        <f>"850PKE"</f>
        <v>850PKE</v>
      </c>
      <c r="F509" t="str">
        <f>""</f>
        <v/>
      </c>
      <c r="G509" t="str">
        <f>""</f>
        <v/>
      </c>
      <c r="H509" s="1">
        <v>41766</v>
      </c>
      <c r="I509" t="str">
        <f>"I0109110"</f>
        <v>I0109110</v>
      </c>
      <c r="J509" t="str">
        <f>"N218284"</f>
        <v>N218284</v>
      </c>
      <c r="K509" t="str">
        <f t="shared" si="126"/>
        <v>INEI</v>
      </c>
      <c r="L509" t="s">
        <v>2352</v>
      </c>
      <c r="M509">
        <v>243.32</v>
      </c>
    </row>
    <row r="510" spans="1:13" x14ac:dyDescent="0.25">
      <c r="A510" t="str">
        <f t="shared" si="121"/>
        <v>E210</v>
      </c>
      <c r="B510">
        <v>1</v>
      </c>
      <c r="C510" t="str">
        <f t="shared" si="124"/>
        <v>43000</v>
      </c>
      <c r="D510" t="str">
        <f t="shared" si="125"/>
        <v>5740</v>
      </c>
      <c r="E510" t="str">
        <f>"850PKE"</f>
        <v>850PKE</v>
      </c>
      <c r="F510" t="str">
        <f>""</f>
        <v/>
      </c>
      <c r="G510" t="str">
        <f>""</f>
        <v/>
      </c>
      <c r="H510" s="1">
        <v>41795</v>
      </c>
      <c r="I510" t="str">
        <f>"I0109570"</f>
        <v>I0109570</v>
      </c>
      <c r="J510" t="str">
        <f>"N218284"</f>
        <v>N218284</v>
      </c>
      <c r="K510" t="str">
        <f t="shared" si="126"/>
        <v>INEI</v>
      </c>
      <c r="L510" t="s">
        <v>2352</v>
      </c>
      <c r="M510">
        <v>243.57</v>
      </c>
    </row>
    <row r="511" spans="1:13" x14ac:dyDescent="0.25">
      <c r="A511" t="str">
        <f t="shared" si="121"/>
        <v>E210</v>
      </c>
      <c r="B511">
        <v>1</v>
      </c>
      <c r="C511" t="str">
        <f>"43003"</f>
        <v>43003</v>
      </c>
      <c r="D511" t="str">
        <f t="shared" si="125"/>
        <v>5740</v>
      </c>
      <c r="E511" t="str">
        <f>"850LOS"</f>
        <v>850LOS</v>
      </c>
      <c r="F511" t="str">
        <f>""</f>
        <v/>
      </c>
      <c r="G511" t="str">
        <f>""</f>
        <v/>
      </c>
      <c r="H511" s="1">
        <v>41555</v>
      </c>
      <c r="I511" t="str">
        <f>"186343A"</f>
        <v>186343A</v>
      </c>
      <c r="J511" t="str">
        <f>"N196028B"</f>
        <v>N196028B</v>
      </c>
      <c r="K511" t="str">
        <f t="shared" si="126"/>
        <v>INEI</v>
      </c>
      <c r="L511" t="s">
        <v>1189</v>
      </c>
      <c r="M511" s="2">
        <v>13152.7</v>
      </c>
    </row>
    <row r="512" spans="1:13" x14ac:dyDescent="0.25">
      <c r="A512" t="str">
        <f t="shared" si="121"/>
        <v>E210</v>
      </c>
      <c r="B512">
        <v>1</v>
      </c>
      <c r="C512" t="str">
        <f>"43003"</f>
        <v>43003</v>
      </c>
      <c r="D512" t="str">
        <f t="shared" si="125"/>
        <v>5740</v>
      </c>
      <c r="E512" t="str">
        <f>"850LOS"</f>
        <v>850LOS</v>
      </c>
      <c r="F512" t="str">
        <f>""</f>
        <v/>
      </c>
      <c r="G512" t="str">
        <f>""</f>
        <v/>
      </c>
      <c r="H512" s="1">
        <v>41820</v>
      </c>
      <c r="I512" t="str">
        <f>"J0008501"</f>
        <v>J0008501</v>
      </c>
      <c r="J512" t="str">
        <f>""</f>
        <v/>
      </c>
      <c r="K512" t="str">
        <f>"J096"</f>
        <v>J096</v>
      </c>
      <c r="L512" t="s">
        <v>2196</v>
      </c>
      <c r="M512" s="2">
        <v>13212.7</v>
      </c>
    </row>
    <row r="513" spans="1:13" x14ac:dyDescent="0.25">
      <c r="A513" t="str">
        <f t="shared" ref="A513:A526" si="127">"E213"</f>
        <v>E213</v>
      </c>
      <c r="B513">
        <v>1</v>
      </c>
      <c r="C513" t="str">
        <f>"10200"</f>
        <v>10200</v>
      </c>
      <c r="D513" t="str">
        <f>"5620"</f>
        <v>5620</v>
      </c>
      <c r="E513" t="str">
        <f>"094OMS"</f>
        <v>094OMS</v>
      </c>
      <c r="F513" t="str">
        <f>""</f>
        <v/>
      </c>
      <c r="G513" t="str">
        <f>""</f>
        <v/>
      </c>
      <c r="H513" s="1">
        <v>41746</v>
      </c>
      <c r="I513" t="str">
        <f>"218337"</f>
        <v>218337</v>
      </c>
      <c r="J513" t="str">
        <f>""</f>
        <v/>
      </c>
      <c r="K513" t="str">
        <f t="shared" ref="K513:K526" si="128">"INNI"</f>
        <v>INNI</v>
      </c>
      <c r="L513" t="s">
        <v>4</v>
      </c>
      <c r="M513">
        <v>525</v>
      </c>
    </row>
    <row r="514" spans="1:13" x14ac:dyDescent="0.25">
      <c r="A514" t="str">
        <f t="shared" si="127"/>
        <v>E213</v>
      </c>
      <c r="B514">
        <v>1</v>
      </c>
      <c r="C514" t="str">
        <f t="shared" ref="C514:C526" si="129">"43000"</f>
        <v>43000</v>
      </c>
      <c r="D514" t="str">
        <f t="shared" ref="D514:D526" si="130">"5740"</f>
        <v>5740</v>
      </c>
      <c r="E514" t="str">
        <f t="shared" ref="E514:E526" si="131">"850PKE"</f>
        <v>850PKE</v>
      </c>
      <c r="F514" t="str">
        <f>""</f>
        <v/>
      </c>
      <c r="G514" t="str">
        <f>""</f>
        <v/>
      </c>
      <c r="H514" s="1">
        <v>41465</v>
      </c>
      <c r="I514" t="str">
        <f>"00005547"</f>
        <v>00005547</v>
      </c>
      <c r="J514" t="str">
        <f>"B125380A"</f>
        <v>B125380A</v>
      </c>
      <c r="K514" t="str">
        <f t="shared" si="128"/>
        <v>INNI</v>
      </c>
      <c r="L514" t="s">
        <v>225</v>
      </c>
      <c r="M514">
        <v>127.15</v>
      </c>
    </row>
    <row r="515" spans="1:13" x14ac:dyDescent="0.25">
      <c r="A515" t="str">
        <f t="shared" si="127"/>
        <v>E213</v>
      </c>
      <c r="B515">
        <v>1</v>
      </c>
      <c r="C515" t="str">
        <f t="shared" si="129"/>
        <v>43000</v>
      </c>
      <c r="D515" t="str">
        <f t="shared" si="130"/>
        <v>5740</v>
      </c>
      <c r="E515" t="str">
        <f t="shared" si="131"/>
        <v>850PKE</v>
      </c>
      <c r="F515" t="str">
        <f>""</f>
        <v/>
      </c>
      <c r="G515" t="str">
        <f>""</f>
        <v/>
      </c>
      <c r="H515" s="1">
        <v>41515</v>
      </c>
      <c r="I515" t="str">
        <f>"0005606A"</f>
        <v>0005606A</v>
      </c>
      <c r="J515" t="str">
        <f>"B125380A"</f>
        <v>B125380A</v>
      </c>
      <c r="K515" t="str">
        <f t="shared" si="128"/>
        <v>INNI</v>
      </c>
      <c r="L515" t="s">
        <v>225</v>
      </c>
      <c r="M515">
        <v>127.15</v>
      </c>
    </row>
    <row r="516" spans="1:13" x14ac:dyDescent="0.25">
      <c r="A516" t="str">
        <f t="shared" si="127"/>
        <v>E213</v>
      </c>
      <c r="B516">
        <v>1</v>
      </c>
      <c r="C516" t="str">
        <f t="shared" si="129"/>
        <v>43000</v>
      </c>
      <c r="D516" t="str">
        <f t="shared" si="130"/>
        <v>5740</v>
      </c>
      <c r="E516" t="str">
        <f t="shared" si="131"/>
        <v>850PKE</v>
      </c>
      <c r="F516" t="str">
        <f>""</f>
        <v/>
      </c>
      <c r="G516" t="str">
        <f>""</f>
        <v/>
      </c>
      <c r="H516" s="1">
        <v>41543</v>
      </c>
      <c r="I516" t="str">
        <f>"00005668"</f>
        <v>00005668</v>
      </c>
      <c r="J516" t="str">
        <f>"B125380A"</f>
        <v>B125380A</v>
      </c>
      <c r="K516" t="str">
        <f t="shared" si="128"/>
        <v>INNI</v>
      </c>
      <c r="L516" t="s">
        <v>225</v>
      </c>
      <c r="M516">
        <v>127.15</v>
      </c>
    </row>
    <row r="517" spans="1:13" x14ac:dyDescent="0.25">
      <c r="A517" t="str">
        <f t="shared" si="127"/>
        <v>E213</v>
      </c>
      <c r="B517">
        <v>1</v>
      </c>
      <c r="C517" t="str">
        <f t="shared" si="129"/>
        <v>43000</v>
      </c>
      <c r="D517" t="str">
        <f t="shared" si="130"/>
        <v>5740</v>
      </c>
      <c r="E517" t="str">
        <f t="shared" si="131"/>
        <v>850PKE</v>
      </c>
      <c r="F517" t="str">
        <f>""</f>
        <v/>
      </c>
      <c r="G517" t="str">
        <f>""</f>
        <v/>
      </c>
      <c r="H517" s="1">
        <v>41564</v>
      </c>
      <c r="I517" t="str">
        <f>"00005712"</f>
        <v>00005712</v>
      </c>
      <c r="J517" t="str">
        <f>"B125380A"</f>
        <v>B125380A</v>
      </c>
      <c r="K517" t="str">
        <f t="shared" si="128"/>
        <v>INNI</v>
      </c>
      <c r="L517" t="s">
        <v>225</v>
      </c>
      <c r="M517">
        <v>127.15</v>
      </c>
    </row>
    <row r="518" spans="1:13" x14ac:dyDescent="0.25">
      <c r="A518" t="str">
        <f t="shared" si="127"/>
        <v>E213</v>
      </c>
      <c r="B518">
        <v>1</v>
      </c>
      <c r="C518" t="str">
        <f t="shared" si="129"/>
        <v>43000</v>
      </c>
      <c r="D518" t="str">
        <f t="shared" si="130"/>
        <v>5740</v>
      </c>
      <c r="E518" t="str">
        <f t="shared" si="131"/>
        <v>850PKE</v>
      </c>
      <c r="F518" t="str">
        <f>""</f>
        <v/>
      </c>
      <c r="G518" t="str">
        <f>""</f>
        <v/>
      </c>
      <c r="H518" s="1">
        <v>41634</v>
      </c>
      <c r="I518" t="str">
        <f>"00005836"</f>
        <v>00005836</v>
      </c>
      <c r="J518" t="str">
        <f t="shared" ref="J518:J526" si="132">"B125380B"</f>
        <v>B125380B</v>
      </c>
      <c r="K518" t="str">
        <f t="shared" si="128"/>
        <v>INNI</v>
      </c>
      <c r="L518" t="s">
        <v>225</v>
      </c>
      <c r="M518">
        <v>127.15</v>
      </c>
    </row>
    <row r="519" spans="1:13" x14ac:dyDescent="0.25">
      <c r="A519" t="str">
        <f t="shared" si="127"/>
        <v>E213</v>
      </c>
      <c r="B519">
        <v>1</v>
      </c>
      <c r="C519" t="str">
        <f t="shared" si="129"/>
        <v>43000</v>
      </c>
      <c r="D519" t="str">
        <f t="shared" si="130"/>
        <v>5740</v>
      </c>
      <c r="E519" t="str">
        <f t="shared" si="131"/>
        <v>850PKE</v>
      </c>
      <c r="F519" t="str">
        <f>""</f>
        <v/>
      </c>
      <c r="G519" t="str">
        <f>""</f>
        <v/>
      </c>
      <c r="H519" s="1">
        <v>41634</v>
      </c>
      <c r="I519" t="str">
        <f>"0005781A"</f>
        <v>0005781A</v>
      </c>
      <c r="J519" t="str">
        <f t="shared" si="132"/>
        <v>B125380B</v>
      </c>
      <c r="K519" t="str">
        <f t="shared" si="128"/>
        <v>INNI</v>
      </c>
      <c r="L519" t="s">
        <v>225</v>
      </c>
      <c r="M519">
        <v>127.15</v>
      </c>
    </row>
    <row r="520" spans="1:13" x14ac:dyDescent="0.25">
      <c r="A520" t="str">
        <f t="shared" si="127"/>
        <v>E213</v>
      </c>
      <c r="B520">
        <v>1</v>
      </c>
      <c r="C520" t="str">
        <f t="shared" si="129"/>
        <v>43000</v>
      </c>
      <c r="D520" t="str">
        <f t="shared" si="130"/>
        <v>5740</v>
      </c>
      <c r="E520" t="str">
        <f t="shared" si="131"/>
        <v>850PKE</v>
      </c>
      <c r="F520" t="str">
        <f>""</f>
        <v/>
      </c>
      <c r="G520" t="str">
        <f>""</f>
        <v/>
      </c>
      <c r="H520" s="1">
        <v>41634</v>
      </c>
      <c r="I520" t="str">
        <f>"0005781A"</f>
        <v>0005781A</v>
      </c>
      <c r="J520" t="str">
        <f t="shared" si="132"/>
        <v>B125380B</v>
      </c>
      <c r="K520" t="str">
        <f t="shared" si="128"/>
        <v>INNI</v>
      </c>
      <c r="L520" t="s">
        <v>225</v>
      </c>
      <c r="M520">
        <v>127.15</v>
      </c>
    </row>
    <row r="521" spans="1:13" x14ac:dyDescent="0.25">
      <c r="A521" t="str">
        <f t="shared" si="127"/>
        <v>E213</v>
      </c>
      <c r="B521">
        <v>1</v>
      </c>
      <c r="C521" t="str">
        <f t="shared" si="129"/>
        <v>43000</v>
      </c>
      <c r="D521" t="str">
        <f t="shared" si="130"/>
        <v>5740</v>
      </c>
      <c r="E521" t="str">
        <f t="shared" si="131"/>
        <v>850PKE</v>
      </c>
      <c r="F521" t="str">
        <f>""</f>
        <v/>
      </c>
      <c r="G521" t="str">
        <f>""</f>
        <v/>
      </c>
      <c r="H521" s="1">
        <v>41663</v>
      </c>
      <c r="I521" t="str">
        <f>"00005868"</f>
        <v>00005868</v>
      </c>
      <c r="J521" t="str">
        <f t="shared" si="132"/>
        <v>B125380B</v>
      </c>
      <c r="K521" t="str">
        <f t="shared" si="128"/>
        <v>INNI</v>
      </c>
      <c r="L521" t="s">
        <v>225</v>
      </c>
      <c r="M521">
        <v>127.15</v>
      </c>
    </row>
    <row r="522" spans="1:13" x14ac:dyDescent="0.25">
      <c r="A522" t="str">
        <f t="shared" si="127"/>
        <v>E213</v>
      </c>
      <c r="B522">
        <v>1</v>
      </c>
      <c r="C522" t="str">
        <f t="shared" si="129"/>
        <v>43000</v>
      </c>
      <c r="D522" t="str">
        <f t="shared" si="130"/>
        <v>5740</v>
      </c>
      <c r="E522" t="str">
        <f t="shared" si="131"/>
        <v>850PKE</v>
      </c>
      <c r="F522" t="str">
        <f>""</f>
        <v/>
      </c>
      <c r="G522" t="str">
        <f>""</f>
        <v/>
      </c>
      <c r="H522" s="1">
        <v>41688</v>
      </c>
      <c r="I522" t="str">
        <f>"00005928"</f>
        <v>00005928</v>
      </c>
      <c r="J522" t="str">
        <f t="shared" si="132"/>
        <v>B125380B</v>
      </c>
      <c r="K522" t="str">
        <f t="shared" si="128"/>
        <v>INNI</v>
      </c>
      <c r="L522" t="s">
        <v>225</v>
      </c>
      <c r="M522">
        <v>127.15</v>
      </c>
    </row>
    <row r="523" spans="1:13" x14ac:dyDescent="0.25">
      <c r="A523" t="str">
        <f t="shared" si="127"/>
        <v>E213</v>
      </c>
      <c r="B523">
        <v>1</v>
      </c>
      <c r="C523" t="str">
        <f t="shared" si="129"/>
        <v>43000</v>
      </c>
      <c r="D523" t="str">
        <f t="shared" si="130"/>
        <v>5740</v>
      </c>
      <c r="E523" t="str">
        <f t="shared" si="131"/>
        <v>850PKE</v>
      </c>
      <c r="F523" t="str">
        <f>""</f>
        <v/>
      </c>
      <c r="G523" t="str">
        <f>""</f>
        <v/>
      </c>
      <c r="H523" s="1">
        <v>41732</v>
      </c>
      <c r="I523" t="str">
        <f>"I0108506"</f>
        <v>I0108506</v>
      </c>
      <c r="J523" t="str">
        <f t="shared" si="132"/>
        <v>B125380B</v>
      </c>
      <c r="K523" t="str">
        <f t="shared" si="128"/>
        <v>INNI</v>
      </c>
      <c r="L523" t="s">
        <v>225</v>
      </c>
      <c r="M523">
        <v>127.15</v>
      </c>
    </row>
    <row r="524" spans="1:13" x14ac:dyDescent="0.25">
      <c r="A524" t="str">
        <f t="shared" si="127"/>
        <v>E213</v>
      </c>
      <c r="B524">
        <v>1</v>
      </c>
      <c r="C524" t="str">
        <f t="shared" si="129"/>
        <v>43000</v>
      </c>
      <c r="D524" t="str">
        <f t="shared" si="130"/>
        <v>5740</v>
      </c>
      <c r="E524" t="str">
        <f t="shared" si="131"/>
        <v>850PKE</v>
      </c>
      <c r="F524" t="str">
        <f>""</f>
        <v/>
      </c>
      <c r="G524" t="str">
        <f>""</f>
        <v/>
      </c>
      <c r="H524" s="1">
        <v>41757</v>
      </c>
      <c r="I524" t="str">
        <f>"I0109001"</f>
        <v>I0109001</v>
      </c>
      <c r="J524" t="str">
        <f t="shared" si="132"/>
        <v>B125380B</v>
      </c>
      <c r="K524" t="str">
        <f t="shared" si="128"/>
        <v>INNI</v>
      </c>
      <c r="L524" t="s">
        <v>225</v>
      </c>
      <c r="M524">
        <v>127.15</v>
      </c>
    </row>
    <row r="525" spans="1:13" x14ac:dyDescent="0.25">
      <c r="A525" t="str">
        <f t="shared" si="127"/>
        <v>E213</v>
      </c>
      <c r="B525">
        <v>1</v>
      </c>
      <c r="C525" t="str">
        <f t="shared" si="129"/>
        <v>43000</v>
      </c>
      <c r="D525" t="str">
        <f t="shared" si="130"/>
        <v>5740</v>
      </c>
      <c r="E525" t="str">
        <f t="shared" si="131"/>
        <v>850PKE</v>
      </c>
      <c r="F525" t="str">
        <f>""</f>
        <v/>
      </c>
      <c r="G525" t="str">
        <f>""</f>
        <v/>
      </c>
      <c r="H525" s="1">
        <v>41782</v>
      </c>
      <c r="I525" t="str">
        <f>"I0109364"</f>
        <v>I0109364</v>
      </c>
      <c r="J525" t="str">
        <f t="shared" si="132"/>
        <v>B125380B</v>
      </c>
      <c r="K525" t="str">
        <f t="shared" si="128"/>
        <v>INNI</v>
      </c>
      <c r="L525" t="s">
        <v>225</v>
      </c>
      <c r="M525">
        <v>127.15</v>
      </c>
    </row>
    <row r="526" spans="1:13" x14ac:dyDescent="0.25">
      <c r="A526" t="str">
        <f t="shared" si="127"/>
        <v>E213</v>
      </c>
      <c r="B526">
        <v>1</v>
      </c>
      <c r="C526" t="str">
        <f t="shared" si="129"/>
        <v>43000</v>
      </c>
      <c r="D526" t="str">
        <f t="shared" si="130"/>
        <v>5740</v>
      </c>
      <c r="E526" t="str">
        <f t="shared" si="131"/>
        <v>850PKE</v>
      </c>
      <c r="F526" t="str">
        <f>""</f>
        <v/>
      </c>
      <c r="G526" t="str">
        <f>""</f>
        <v/>
      </c>
      <c r="H526" s="1">
        <v>41815</v>
      </c>
      <c r="I526" t="str">
        <f>"I0109929"</f>
        <v>I0109929</v>
      </c>
      <c r="J526" t="str">
        <f t="shared" si="132"/>
        <v>B125380B</v>
      </c>
      <c r="K526" t="str">
        <f t="shared" si="128"/>
        <v>INNI</v>
      </c>
      <c r="L526" t="s">
        <v>225</v>
      </c>
      <c r="M526">
        <v>127.15</v>
      </c>
    </row>
    <row r="527" spans="1:13" x14ac:dyDescent="0.25">
      <c r="A527" t="str">
        <f t="shared" ref="A527:A570" si="133">"E216"</f>
        <v>E216</v>
      </c>
      <c r="B527">
        <v>1</v>
      </c>
      <c r="C527" t="str">
        <f>"10200"</f>
        <v>10200</v>
      </c>
      <c r="D527" t="str">
        <f t="shared" ref="D527:D534" si="134">"5620"</f>
        <v>5620</v>
      </c>
      <c r="E527" t="str">
        <f>"094OMS"</f>
        <v>094OMS</v>
      </c>
      <c r="F527" t="str">
        <f>""</f>
        <v/>
      </c>
      <c r="G527" t="str">
        <f>""</f>
        <v/>
      </c>
      <c r="H527" s="1">
        <v>41548</v>
      </c>
      <c r="I527" t="str">
        <f>"MC012651"</f>
        <v>MC012651</v>
      </c>
      <c r="J527" t="str">
        <f>"N188745B"</f>
        <v>N188745B</v>
      </c>
      <c r="K527" t="str">
        <f>"INEI"</f>
        <v>INEI</v>
      </c>
      <c r="L527" t="s">
        <v>1231</v>
      </c>
      <c r="M527" s="2">
        <v>1209.98</v>
      </c>
    </row>
    <row r="528" spans="1:13" x14ac:dyDescent="0.25">
      <c r="A528" t="str">
        <f t="shared" si="133"/>
        <v>E216</v>
      </c>
      <c r="B528">
        <v>1</v>
      </c>
      <c r="C528" t="str">
        <f>"10200"</f>
        <v>10200</v>
      </c>
      <c r="D528" t="str">
        <f t="shared" si="134"/>
        <v>5620</v>
      </c>
      <c r="E528" t="str">
        <f>"094OMS"</f>
        <v>094OMS</v>
      </c>
      <c r="F528" t="str">
        <f>""</f>
        <v/>
      </c>
      <c r="G528" t="str">
        <f>""</f>
        <v/>
      </c>
      <c r="H528" s="1">
        <v>41652</v>
      </c>
      <c r="I528" t="str">
        <f>"0809132"</f>
        <v>0809132</v>
      </c>
      <c r="J528" t="str">
        <f>"N210985"</f>
        <v>N210985</v>
      </c>
      <c r="K528" t="str">
        <f>"INEI"</f>
        <v>INEI</v>
      </c>
      <c r="L528" t="s">
        <v>955</v>
      </c>
      <c r="M528">
        <v>555.46</v>
      </c>
    </row>
    <row r="529" spans="1:13" x14ac:dyDescent="0.25">
      <c r="A529" t="str">
        <f t="shared" si="133"/>
        <v>E216</v>
      </c>
      <c r="B529">
        <v>1</v>
      </c>
      <c r="C529" t="str">
        <f t="shared" ref="C529:C539" si="135">"43000"</f>
        <v>43000</v>
      </c>
      <c r="D529" t="str">
        <f t="shared" si="134"/>
        <v>5620</v>
      </c>
      <c r="E529" t="str">
        <f>"850LOS"</f>
        <v>850LOS</v>
      </c>
      <c r="F529" t="str">
        <f>""</f>
        <v/>
      </c>
      <c r="G529" t="str">
        <f>""</f>
        <v/>
      </c>
      <c r="H529" s="1">
        <v>41820</v>
      </c>
      <c r="I529" t="str">
        <f>"J0010489"</f>
        <v>J0010489</v>
      </c>
      <c r="J529" t="str">
        <f>""</f>
        <v/>
      </c>
      <c r="K529" t="str">
        <f>"J079"</f>
        <v>J079</v>
      </c>
      <c r="L529" t="s">
        <v>2209</v>
      </c>
      <c r="M529" s="2">
        <v>52128.98</v>
      </c>
    </row>
    <row r="530" spans="1:13" x14ac:dyDescent="0.25">
      <c r="A530" t="str">
        <f t="shared" si="133"/>
        <v>E216</v>
      </c>
      <c r="B530">
        <v>1</v>
      </c>
      <c r="C530" t="str">
        <f t="shared" si="135"/>
        <v>43000</v>
      </c>
      <c r="D530" t="str">
        <f t="shared" si="134"/>
        <v>5620</v>
      </c>
      <c r="E530" t="str">
        <f>"850PAY"</f>
        <v>850PAY</v>
      </c>
      <c r="F530" t="str">
        <f>""</f>
        <v/>
      </c>
      <c r="G530" t="str">
        <f>""</f>
        <v/>
      </c>
      <c r="H530" s="1">
        <v>41771</v>
      </c>
      <c r="I530" t="str">
        <f>"197876"</f>
        <v>197876</v>
      </c>
      <c r="J530" t="str">
        <f>"N125316D"</f>
        <v>N125316D</v>
      </c>
      <c r="K530" t="str">
        <f>"INEI"</f>
        <v>INEI</v>
      </c>
      <c r="L530" t="s">
        <v>1189</v>
      </c>
      <c r="M530">
        <v>224.19</v>
      </c>
    </row>
    <row r="531" spans="1:13" x14ac:dyDescent="0.25">
      <c r="A531" t="str">
        <f t="shared" si="133"/>
        <v>E216</v>
      </c>
      <c r="B531">
        <v>1</v>
      </c>
      <c r="C531" t="str">
        <f t="shared" si="135"/>
        <v>43000</v>
      </c>
      <c r="D531" t="str">
        <f t="shared" si="134"/>
        <v>5620</v>
      </c>
      <c r="E531" t="str">
        <f>"850PAY"</f>
        <v>850PAY</v>
      </c>
      <c r="F531" t="str">
        <f>""</f>
        <v/>
      </c>
      <c r="G531" t="str">
        <f>""</f>
        <v/>
      </c>
      <c r="H531" s="1">
        <v>41806</v>
      </c>
      <c r="I531" t="str">
        <f>"199495"</f>
        <v>199495</v>
      </c>
      <c r="J531" t="str">
        <f>"N125316D"</f>
        <v>N125316D</v>
      </c>
      <c r="K531" t="str">
        <f>"INEI"</f>
        <v>INEI</v>
      </c>
      <c r="L531" t="s">
        <v>1189</v>
      </c>
      <c r="M531">
        <v>224.19</v>
      </c>
    </row>
    <row r="532" spans="1:13" x14ac:dyDescent="0.25">
      <c r="A532" t="str">
        <f t="shared" si="133"/>
        <v>E216</v>
      </c>
      <c r="B532">
        <v>1</v>
      </c>
      <c r="C532" t="str">
        <f t="shared" si="135"/>
        <v>43000</v>
      </c>
      <c r="D532" t="str">
        <f t="shared" si="134"/>
        <v>5620</v>
      </c>
      <c r="E532" t="str">
        <f>"850PAY"</f>
        <v>850PAY</v>
      </c>
      <c r="F532" t="str">
        <f>""</f>
        <v/>
      </c>
      <c r="G532" t="str">
        <f>""</f>
        <v/>
      </c>
      <c r="H532" s="1">
        <v>41820</v>
      </c>
      <c r="I532" t="str">
        <f>"201174"</f>
        <v>201174</v>
      </c>
      <c r="J532" t="str">
        <f>"N125316D"</f>
        <v>N125316D</v>
      </c>
      <c r="K532" t="str">
        <f>"INEI"</f>
        <v>INEI</v>
      </c>
      <c r="L532" t="s">
        <v>1189</v>
      </c>
      <c r="M532">
        <v>224.21</v>
      </c>
    </row>
    <row r="533" spans="1:13" x14ac:dyDescent="0.25">
      <c r="A533" t="str">
        <f t="shared" si="133"/>
        <v>E216</v>
      </c>
      <c r="B533">
        <v>1</v>
      </c>
      <c r="C533" t="str">
        <f t="shared" si="135"/>
        <v>43000</v>
      </c>
      <c r="D533" t="str">
        <f t="shared" si="134"/>
        <v>5620</v>
      </c>
      <c r="E533" t="str">
        <f>"850PAY"</f>
        <v>850PAY</v>
      </c>
      <c r="F533" t="str">
        <f>""</f>
        <v/>
      </c>
      <c r="G533" t="str">
        <f>""</f>
        <v/>
      </c>
      <c r="H533" s="1">
        <v>41820</v>
      </c>
      <c r="I533" t="str">
        <f>"J0008501"</f>
        <v>J0008501</v>
      </c>
      <c r="J533" t="str">
        <f>""</f>
        <v/>
      </c>
      <c r="K533" t="str">
        <f>"J096"</f>
        <v>J096</v>
      </c>
      <c r="L533" t="s">
        <v>2196</v>
      </c>
      <c r="M533" s="2">
        <v>8771.02</v>
      </c>
    </row>
    <row r="534" spans="1:13" x14ac:dyDescent="0.25">
      <c r="A534" t="str">
        <f t="shared" si="133"/>
        <v>E216</v>
      </c>
      <c r="B534">
        <v>1</v>
      </c>
      <c r="C534" t="str">
        <f t="shared" si="135"/>
        <v>43000</v>
      </c>
      <c r="D534" t="str">
        <f t="shared" si="134"/>
        <v>5620</v>
      </c>
      <c r="E534" t="str">
        <f>"850PAY"</f>
        <v>850PAY</v>
      </c>
      <c r="F534" t="str">
        <f>""</f>
        <v/>
      </c>
      <c r="G534" t="str">
        <f>""</f>
        <v/>
      </c>
      <c r="H534" s="1">
        <v>41820</v>
      </c>
      <c r="I534" t="str">
        <f>"J0009229"</f>
        <v>J0009229</v>
      </c>
      <c r="J534" t="str">
        <f>""</f>
        <v/>
      </c>
      <c r="K534" t="str">
        <f>"J096"</f>
        <v>J096</v>
      </c>
      <c r="L534" t="s">
        <v>2208</v>
      </c>
      <c r="M534" s="2">
        <v>2017.8</v>
      </c>
    </row>
    <row r="535" spans="1:13" x14ac:dyDescent="0.25">
      <c r="A535" t="str">
        <f t="shared" si="133"/>
        <v>E216</v>
      </c>
      <c r="B535">
        <v>1</v>
      </c>
      <c r="C535" t="str">
        <f t="shared" si="135"/>
        <v>43000</v>
      </c>
      <c r="D535" t="str">
        <f t="shared" ref="D535:D552" si="136">"5740"</f>
        <v>5740</v>
      </c>
      <c r="E535" t="str">
        <f t="shared" ref="E535:E552" si="137">"850LOS"</f>
        <v>850LOS</v>
      </c>
      <c r="F535" t="str">
        <f>""</f>
        <v/>
      </c>
      <c r="G535" t="str">
        <f>""</f>
        <v/>
      </c>
      <c r="H535" s="1">
        <v>41456</v>
      </c>
      <c r="I535" t="str">
        <f>"ACG02336"</f>
        <v>ACG02336</v>
      </c>
      <c r="J535" t="str">
        <f>"F003909"</f>
        <v>F003909</v>
      </c>
      <c r="K535" t="str">
        <f>"AS89"</f>
        <v>AS89</v>
      </c>
      <c r="L535" t="s">
        <v>2010</v>
      </c>
      <c r="M535" s="2">
        <v>36601.440000000002</v>
      </c>
    </row>
    <row r="536" spans="1:13" x14ac:dyDescent="0.25">
      <c r="A536" t="str">
        <f t="shared" si="133"/>
        <v>E216</v>
      </c>
      <c r="B536">
        <v>1</v>
      </c>
      <c r="C536" t="str">
        <f t="shared" si="135"/>
        <v>43000</v>
      </c>
      <c r="D536" t="str">
        <f t="shared" si="136"/>
        <v>5740</v>
      </c>
      <c r="E536" t="str">
        <f t="shared" si="137"/>
        <v>850LOS</v>
      </c>
      <c r="F536" t="str">
        <f>""</f>
        <v/>
      </c>
      <c r="G536" t="str">
        <f>""</f>
        <v/>
      </c>
      <c r="H536" s="1">
        <v>41638</v>
      </c>
      <c r="I536" t="str">
        <f>"F004629"</f>
        <v>F004629</v>
      </c>
      <c r="J536" t="str">
        <f>"F210996"</f>
        <v>F210996</v>
      </c>
      <c r="K536" t="str">
        <f>"INEI"</f>
        <v>INEI</v>
      </c>
      <c r="L536" t="s">
        <v>229</v>
      </c>
      <c r="M536">
        <v>782.64</v>
      </c>
    </row>
    <row r="537" spans="1:13" x14ac:dyDescent="0.25">
      <c r="A537" t="str">
        <f t="shared" si="133"/>
        <v>E216</v>
      </c>
      <c r="B537">
        <v>1</v>
      </c>
      <c r="C537" t="str">
        <f t="shared" si="135"/>
        <v>43000</v>
      </c>
      <c r="D537" t="str">
        <f t="shared" si="136"/>
        <v>5740</v>
      </c>
      <c r="E537" t="str">
        <f t="shared" si="137"/>
        <v>850LOS</v>
      </c>
      <c r="F537" t="str">
        <f>""</f>
        <v/>
      </c>
      <c r="G537" t="str">
        <f>""</f>
        <v/>
      </c>
      <c r="H537" s="1">
        <v>41691</v>
      </c>
      <c r="I537" t="str">
        <f>"J0007403"</f>
        <v>J0007403</v>
      </c>
      <c r="J537" t="str">
        <f>""</f>
        <v/>
      </c>
      <c r="K537" t="str">
        <f>"J096"</f>
        <v>J096</v>
      </c>
      <c r="L537" t="s">
        <v>2315</v>
      </c>
      <c r="M537" s="2">
        <v>2244.9</v>
      </c>
    </row>
    <row r="538" spans="1:13" x14ac:dyDescent="0.25">
      <c r="A538" t="str">
        <f t="shared" si="133"/>
        <v>E216</v>
      </c>
      <c r="B538">
        <v>1</v>
      </c>
      <c r="C538" t="str">
        <f t="shared" si="135"/>
        <v>43000</v>
      </c>
      <c r="D538" t="str">
        <f t="shared" si="136"/>
        <v>5740</v>
      </c>
      <c r="E538" t="str">
        <f t="shared" si="137"/>
        <v>850LOS</v>
      </c>
      <c r="F538" t="str">
        <f>""</f>
        <v/>
      </c>
      <c r="G538" t="str">
        <f>""</f>
        <v/>
      </c>
      <c r="H538" s="1">
        <v>41730</v>
      </c>
      <c r="I538" t="str">
        <f>"15996A"</f>
        <v>15996A</v>
      </c>
      <c r="J538" t="str">
        <f>"N138267D"</f>
        <v>N138267D</v>
      </c>
      <c r="K538" t="str">
        <f t="shared" ref="K538:K552" si="138">"INEI"</f>
        <v>INEI</v>
      </c>
      <c r="L538" t="s">
        <v>3</v>
      </c>
      <c r="M538" s="2">
        <v>11907.5</v>
      </c>
    </row>
    <row r="539" spans="1:13" x14ac:dyDescent="0.25">
      <c r="A539" t="str">
        <f t="shared" si="133"/>
        <v>E216</v>
      </c>
      <c r="B539">
        <v>1</v>
      </c>
      <c r="C539" t="str">
        <f t="shared" si="135"/>
        <v>43000</v>
      </c>
      <c r="D539" t="str">
        <f t="shared" si="136"/>
        <v>5740</v>
      </c>
      <c r="E539" t="str">
        <f t="shared" si="137"/>
        <v>850LOS</v>
      </c>
      <c r="F539" t="str">
        <f>""</f>
        <v/>
      </c>
      <c r="G539" t="str">
        <f>""</f>
        <v/>
      </c>
      <c r="H539" s="1">
        <v>41820</v>
      </c>
      <c r="I539" t="str">
        <f>"I0110003"</f>
        <v>I0110003</v>
      </c>
      <c r="J539" t="str">
        <f>"N138267D"</f>
        <v>N138267D</v>
      </c>
      <c r="K539" t="str">
        <f t="shared" si="138"/>
        <v>INEI</v>
      </c>
      <c r="L539" t="s">
        <v>3</v>
      </c>
      <c r="M539">
        <v>592.5</v>
      </c>
    </row>
    <row r="540" spans="1:13" x14ac:dyDescent="0.25">
      <c r="A540" t="str">
        <f t="shared" si="133"/>
        <v>E216</v>
      </c>
      <c r="B540">
        <v>1</v>
      </c>
      <c r="C540" t="str">
        <f t="shared" ref="C540:C552" si="139">"43003"</f>
        <v>43003</v>
      </c>
      <c r="D540" t="str">
        <f t="shared" si="136"/>
        <v>5740</v>
      </c>
      <c r="E540" t="str">
        <f t="shared" si="137"/>
        <v>850LOS</v>
      </c>
      <c r="F540" t="str">
        <f>""</f>
        <v/>
      </c>
      <c r="G540" t="str">
        <f>""</f>
        <v/>
      </c>
      <c r="H540" s="1">
        <v>41458</v>
      </c>
      <c r="I540" t="str">
        <f>"4187318"</f>
        <v>4187318</v>
      </c>
      <c r="J540" t="str">
        <f>"N183002D"</f>
        <v>N183002D</v>
      </c>
      <c r="K540" t="str">
        <f t="shared" si="138"/>
        <v>INEI</v>
      </c>
      <c r="L540" t="s">
        <v>1304</v>
      </c>
      <c r="M540">
        <v>700</v>
      </c>
    </row>
    <row r="541" spans="1:13" x14ac:dyDescent="0.25">
      <c r="A541" t="str">
        <f t="shared" si="133"/>
        <v>E216</v>
      </c>
      <c r="B541">
        <v>1</v>
      </c>
      <c r="C541" t="str">
        <f t="shared" si="139"/>
        <v>43003</v>
      </c>
      <c r="D541" t="str">
        <f t="shared" si="136"/>
        <v>5740</v>
      </c>
      <c r="E541" t="str">
        <f t="shared" si="137"/>
        <v>850LOS</v>
      </c>
      <c r="F541" t="str">
        <f>""</f>
        <v/>
      </c>
      <c r="G541" t="str">
        <f>""</f>
        <v/>
      </c>
      <c r="H541" s="1">
        <v>41486</v>
      </c>
      <c r="I541" t="str">
        <f>"183144"</f>
        <v>183144</v>
      </c>
      <c r="J541" t="str">
        <f t="shared" ref="J541:J552" si="140">"N125316D"</f>
        <v>N125316D</v>
      </c>
      <c r="K541" t="str">
        <f t="shared" si="138"/>
        <v>INEI</v>
      </c>
      <c r="L541" t="s">
        <v>1189</v>
      </c>
      <c r="M541">
        <v>896.78</v>
      </c>
    </row>
    <row r="542" spans="1:13" x14ac:dyDescent="0.25">
      <c r="A542" t="str">
        <f t="shared" si="133"/>
        <v>E216</v>
      </c>
      <c r="B542">
        <v>1</v>
      </c>
      <c r="C542" t="str">
        <f t="shared" si="139"/>
        <v>43003</v>
      </c>
      <c r="D542" t="str">
        <f t="shared" si="136"/>
        <v>5740</v>
      </c>
      <c r="E542" t="str">
        <f t="shared" si="137"/>
        <v>850LOS</v>
      </c>
      <c r="F542" t="str">
        <f>""</f>
        <v/>
      </c>
      <c r="G542" t="str">
        <f>""</f>
        <v/>
      </c>
      <c r="H542" s="1">
        <v>41522</v>
      </c>
      <c r="I542" t="str">
        <f>"184779A"</f>
        <v>184779A</v>
      </c>
      <c r="J542" t="str">
        <f t="shared" si="140"/>
        <v>N125316D</v>
      </c>
      <c r="K542" t="str">
        <f t="shared" si="138"/>
        <v>INEI</v>
      </c>
      <c r="L542" t="s">
        <v>1189</v>
      </c>
      <c r="M542">
        <v>896.78</v>
      </c>
    </row>
    <row r="543" spans="1:13" x14ac:dyDescent="0.25">
      <c r="A543" t="str">
        <f t="shared" si="133"/>
        <v>E216</v>
      </c>
      <c r="B543">
        <v>1</v>
      </c>
      <c r="C543" t="str">
        <f t="shared" si="139"/>
        <v>43003</v>
      </c>
      <c r="D543" t="str">
        <f t="shared" si="136"/>
        <v>5740</v>
      </c>
      <c r="E543" t="str">
        <f t="shared" si="137"/>
        <v>850LOS</v>
      </c>
      <c r="F543" t="str">
        <f>""</f>
        <v/>
      </c>
      <c r="G543" t="str">
        <f>""</f>
        <v/>
      </c>
      <c r="H543" s="1">
        <v>41550</v>
      </c>
      <c r="I543" t="str">
        <f>"186512A"</f>
        <v>186512A</v>
      </c>
      <c r="J543" t="str">
        <f t="shared" si="140"/>
        <v>N125316D</v>
      </c>
      <c r="K543" t="str">
        <f t="shared" si="138"/>
        <v>INEI</v>
      </c>
      <c r="L543" t="s">
        <v>1189</v>
      </c>
      <c r="M543">
        <v>896.78</v>
      </c>
    </row>
    <row r="544" spans="1:13" x14ac:dyDescent="0.25">
      <c r="A544" t="str">
        <f t="shared" si="133"/>
        <v>E216</v>
      </c>
      <c r="B544">
        <v>1</v>
      </c>
      <c r="C544" t="str">
        <f t="shared" si="139"/>
        <v>43003</v>
      </c>
      <c r="D544" t="str">
        <f t="shared" si="136"/>
        <v>5740</v>
      </c>
      <c r="E544" t="str">
        <f t="shared" si="137"/>
        <v>850LOS</v>
      </c>
      <c r="F544" t="str">
        <f>""</f>
        <v/>
      </c>
      <c r="G544" t="str">
        <f>""</f>
        <v/>
      </c>
      <c r="H544" s="1">
        <v>41579</v>
      </c>
      <c r="I544" t="str">
        <f>"188217"</f>
        <v>188217</v>
      </c>
      <c r="J544" t="str">
        <f t="shared" si="140"/>
        <v>N125316D</v>
      </c>
      <c r="K544" t="str">
        <f t="shared" si="138"/>
        <v>INEI</v>
      </c>
      <c r="L544" t="s">
        <v>1189</v>
      </c>
      <c r="M544">
        <v>896.78</v>
      </c>
    </row>
    <row r="545" spans="1:13" x14ac:dyDescent="0.25">
      <c r="A545" t="str">
        <f t="shared" si="133"/>
        <v>E216</v>
      </c>
      <c r="B545">
        <v>1</v>
      </c>
      <c r="C545" t="str">
        <f t="shared" si="139"/>
        <v>43003</v>
      </c>
      <c r="D545" t="str">
        <f t="shared" si="136"/>
        <v>5740</v>
      </c>
      <c r="E545" t="str">
        <f t="shared" si="137"/>
        <v>850LOS</v>
      </c>
      <c r="F545" t="str">
        <f>""</f>
        <v/>
      </c>
      <c r="G545" t="str">
        <f>""</f>
        <v/>
      </c>
      <c r="H545" s="1">
        <v>41614</v>
      </c>
      <c r="I545" t="str">
        <f>"189802C"</f>
        <v>189802C</v>
      </c>
      <c r="J545" t="str">
        <f t="shared" si="140"/>
        <v>N125316D</v>
      </c>
      <c r="K545" t="str">
        <f t="shared" si="138"/>
        <v>INEI</v>
      </c>
      <c r="L545" t="s">
        <v>1189</v>
      </c>
      <c r="M545">
        <v>896.78</v>
      </c>
    </row>
    <row r="546" spans="1:13" x14ac:dyDescent="0.25">
      <c r="A546" t="str">
        <f t="shared" si="133"/>
        <v>E216</v>
      </c>
      <c r="B546">
        <v>1</v>
      </c>
      <c r="C546" t="str">
        <f t="shared" si="139"/>
        <v>43003</v>
      </c>
      <c r="D546" t="str">
        <f t="shared" si="136"/>
        <v>5740</v>
      </c>
      <c r="E546" t="str">
        <f t="shared" si="137"/>
        <v>850LOS</v>
      </c>
      <c r="F546" t="str">
        <f>""</f>
        <v/>
      </c>
      <c r="G546" t="str">
        <f>""</f>
        <v/>
      </c>
      <c r="H546" s="1">
        <v>41639</v>
      </c>
      <c r="I546" t="str">
        <f>"191476"</f>
        <v>191476</v>
      </c>
      <c r="J546" t="str">
        <f t="shared" si="140"/>
        <v>N125316D</v>
      </c>
      <c r="K546" t="str">
        <f t="shared" si="138"/>
        <v>INEI</v>
      </c>
      <c r="L546" t="s">
        <v>1189</v>
      </c>
      <c r="M546">
        <v>896.78</v>
      </c>
    </row>
    <row r="547" spans="1:13" x14ac:dyDescent="0.25">
      <c r="A547" t="str">
        <f t="shared" si="133"/>
        <v>E216</v>
      </c>
      <c r="B547">
        <v>1</v>
      </c>
      <c r="C547" t="str">
        <f t="shared" si="139"/>
        <v>43003</v>
      </c>
      <c r="D547" t="str">
        <f t="shared" si="136"/>
        <v>5740</v>
      </c>
      <c r="E547" t="str">
        <f t="shared" si="137"/>
        <v>850LOS</v>
      </c>
      <c r="F547" t="str">
        <f>""</f>
        <v/>
      </c>
      <c r="G547" t="str">
        <f>""</f>
        <v/>
      </c>
      <c r="H547" s="1">
        <v>41675</v>
      </c>
      <c r="I547" t="str">
        <f>"192968A"</f>
        <v>192968A</v>
      </c>
      <c r="J547" t="str">
        <f t="shared" si="140"/>
        <v>N125316D</v>
      </c>
      <c r="K547" t="str">
        <f t="shared" si="138"/>
        <v>INEI</v>
      </c>
      <c r="L547" t="s">
        <v>1189</v>
      </c>
      <c r="M547">
        <v>896.78</v>
      </c>
    </row>
    <row r="548" spans="1:13" x14ac:dyDescent="0.25">
      <c r="A548" t="str">
        <f t="shared" si="133"/>
        <v>E216</v>
      </c>
      <c r="B548">
        <v>1</v>
      </c>
      <c r="C548" t="str">
        <f t="shared" si="139"/>
        <v>43003</v>
      </c>
      <c r="D548" t="str">
        <f t="shared" si="136"/>
        <v>5740</v>
      </c>
      <c r="E548" t="str">
        <f t="shared" si="137"/>
        <v>850LOS</v>
      </c>
      <c r="F548" t="str">
        <f>""</f>
        <v/>
      </c>
      <c r="G548" t="str">
        <f>""</f>
        <v/>
      </c>
      <c r="H548" s="1">
        <v>41704</v>
      </c>
      <c r="I548" t="str">
        <f>"I0108106"</f>
        <v>I0108106</v>
      </c>
      <c r="J548" t="str">
        <f t="shared" si="140"/>
        <v>N125316D</v>
      </c>
      <c r="K548" t="str">
        <f t="shared" si="138"/>
        <v>INEI</v>
      </c>
      <c r="L548" t="s">
        <v>1189</v>
      </c>
      <c r="M548">
        <v>896.78</v>
      </c>
    </row>
    <row r="549" spans="1:13" x14ac:dyDescent="0.25">
      <c r="A549" t="str">
        <f t="shared" si="133"/>
        <v>E216</v>
      </c>
      <c r="B549">
        <v>1</v>
      </c>
      <c r="C549" t="str">
        <f t="shared" si="139"/>
        <v>43003</v>
      </c>
      <c r="D549" t="str">
        <f t="shared" si="136"/>
        <v>5740</v>
      </c>
      <c r="E549" t="str">
        <f t="shared" si="137"/>
        <v>850LOS</v>
      </c>
      <c r="F549" t="str">
        <f>""</f>
        <v/>
      </c>
      <c r="G549" t="str">
        <f>""</f>
        <v/>
      </c>
      <c r="H549" s="1">
        <v>41739</v>
      </c>
      <c r="I549" t="str">
        <f>"196235A"</f>
        <v>196235A</v>
      </c>
      <c r="J549" t="str">
        <f t="shared" si="140"/>
        <v>N125316D</v>
      </c>
      <c r="K549" t="str">
        <f t="shared" si="138"/>
        <v>INEI</v>
      </c>
      <c r="L549" t="s">
        <v>1189</v>
      </c>
      <c r="M549">
        <v>896.78</v>
      </c>
    </row>
    <row r="550" spans="1:13" x14ac:dyDescent="0.25">
      <c r="A550" t="str">
        <f t="shared" si="133"/>
        <v>E216</v>
      </c>
      <c r="B550">
        <v>1</v>
      </c>
      <c r="C550" t="str">
        <f t="shared" si="139"/>
        <v>43003</v>
      </c>
      <c r="D550" t="str">
        <f t="shared" si="136"/>
        <v>5740</v>
      </c>
      <c r="E550" t="str">
        <f t="shared" si="137"/>
        <v>850LOS</v>
      </c>
      <c r="F550" t="str">
        <f>""</f>
        <v/>
      </c>
      <c r="G550" t="str">
        <f>""</f>
        <v/>
      </c>
      <c r="H550" s="1">
        <v>41771</v>
      </c>
      <c r="I550" t="str">
        <f>"197876"</f>
        <v>197876</v>
      </c>
      <c r="J550" t="str">
        <f t="shared" si="140"/>
        <v>N125316D</v>
      </c>
      <c r="K550" t="str">
        <f t="shared" si="138"/>
        <v>INEI</v>
      </c>
      <c r="L550" t="s">
        <v>1189</v>
      </c>
      <c r="M550">
        <v>672.59</v>
      </c>
    </row>
    <row r="551" spans="1:13" x14ac:dyDescent="0.25">
      <c r="A551" t="str">
        <f t="shared" si="133"/>
        <v>E216</v>
      </c>
      <c r="B551">
        <v>1</v>
      </c>
      <c r="C551" t="str">
        <f t="shared" si="139"/>
        <v>43003</v>
      </c>
      <c r="D551" t="str">
        <f t="shared" si="136"/>
        <v>5740</v>
      </c>
      <c r="E551" t="str">
        <f t="shared" si="137"/>
        <v>850LOS</v>
      </c>
      <c r="F551" t="str">
        <f>""</f>
        <v/>
      </c>
      <c r="G551" t="str">
        <f>""</f>
        <v/>
      </c>
      <c r="H551" s="1">
        <v>41806</v>
      </c>
      <c r="I551" t="str">
        <f>"199495"</f>
        <v>199495</v>
      </c>
      <c r="J551" t="str">
        <f t="shared" si="140"/>
        <v>N125316D</v>
      </c>
      <c r="K551" t="str">
        <f t="shared" si="138"/>
        <v>INEI</v>
      </c>
      <c r="L551" t="s">
        <v>1189</v>
      </c>
      <c r="M551">
        <v>672.59</v>
      </c>
    </row>
    <row r="552" spans="1:13" x14ac:dyDescent="0.25">
      <c r="A552" t="str">
        <f t="shared" si="133"/>
        <v>E216</v>
      </c>
      <c r="B552">
        <v>1</v>
      </c>
      <c r="C552" t="str">
        <f t="shared" si="139"/>
        <v>43003</v>
      </c>
      <c r="D552" t="str">
        <f t="shared" si="136"/>
        <v>5740</v>
      </c>
      <c r="E552" t="str">
        <f t="shared" si="137"/>
        <v>850LOS</v>
      </c>
      <c r="F552" t="str">
        <f>""</f>
        <v/>
      </c>
      <c r="G552" t="str">
        <f>""</f>
        <v/>
      </c>
      <c r="H552" s="1">
        <v>41820</v>
      </c>
      <c r="I552" t="str">
        <f>"201174"</f>
        <v>201174</v>
      </c>
      <c r="J552" t="str">
        <f t="shared" si="140"/>
        <v>N125316D</v>
      </c>
      <c r="K552" t="str">
        <f t="shared" si="138"/>
        <v>INEI</v>
      </c>
      <c r="L552" t="s">
        <v>1189</v>
      </c>
      <c r="M552">
        <v>672.62</v>
      </c>
    </row>
    <row r="553" spans="1:13" x14ac:dyDescent="0.25">
      <c r="A553" t="str">
        <f t="shared" si="133"/>
        <v>E216</v>
      </c>
      <c r="B553">
        <v>1</v>
      </c>
      <c r="C553" t="str">
        <f t="shared" ref="C553:C570" si="141">"43007"</f>
        <v>43007</v>
      </c>
      <c r="D553" t="str">
        <f>"5620"</f>
        <v>5620</v>
      </c>
      <c r="E553" t="str">
        <f t="shared" ref="E553:E570" si="142">"850PKE"</f>
        <v>850PKE</v>
      </c>
      <c r="F553" t="str">
        <f>""</f>
        <v/>
      </c>
      <c r="G553" t="str">
        <f>""</f>
        <v/>
      </c>
      <c r="H553" s="1">
        <v>41806</v>
      </c>
      <c r="I553" t="str">
        <f>"J0009321"</f>
        <v>J0009321</v>
      </c>
      <c r="J553" t="str">
        <f>""</f>
        <v/>
      </c>
      <c r="K553" t="str">
        <f>"J079"</f>
        <v>J079</v>
      </c>
      <c r="L553" t="s">
        <v>2201</v>
      </c>
      <c r="M553" s="2">
        <v>20057.88</v>
      </c>
    </row>
    <row r="554" spans="1:13" x14ac:dyDescent="0.25">
      <c r="A554" t="str">
        <f t="shared" si="133"/>
        <v>E216</v>
      </c>
      <c r="B554">
        <v>1</v>
      </c>
      <c r="C554" t="str">
        <f t="shared" si="141"/>
        <v>43007</v>
      </c>
      <c r="D554" t="str">
        <f>"5620"</f>
        <v>5620</v>
      </c>
      <c r="E554" t="str">
        <f t="shared" si="142"/>
        <v>850PKE</v>
      </c>
      <c r="F554" t="str">
        <f>""</f>
        <v/>
      </c>
      <c r="G554" t="str">
        <f>""</f>
        <v/>
      </c>
      <c r="H554" s="1">
        <v>41820</v>
      </c>
      <c r="I554" t="str">
        <f>"J0010502"</f>
        <v>J0010502</v>
      </c>
      <c r="J554" t="str">
        <f>""</f>
        <v/>
      </c>
      <c r="K554" t="str">
        <f>"J079"</f>
        <v>J079</v>
      </c>
      <c r="L554" t="s">
        <v>2209</v>
      </c>
      <c r="M554" s="2">
        <v>20057.87</v>
      </c>
    </row>
    <row r="555" spans="1:13" x14ac:dyDescent="0.25">
      <c r="A555" t="str">
        <f t="shared" si="133"/>
        <v>E216</v>
      </c>
      <c r="B555">
        <v>1</v>
      </c>
      <c r="C555" t="str">
        <f t="shared" si="141"/>
        <v>43007</v>
      </c>
      <c r="D555" t="str">
        <f t="shared" ref="D555:D570" si="143">"5740"</f>
        <v>5740</v>
      </c>
      <c r="E555" t="str">
        <f t="shared" si="142"/>
        <v>850PKE</v>
      </c>
      <c r="F555" t="str">
        <f>""</f>
        <v/>
      </c>
      <c r="G555" t="str">
        <f>""</f>
        <v/>
      </c>
      <c r="H555" s="1">
        <v>41540</v>
      </c>
      <c r="I555" t="str">
        <f>"P003093"</f>
        <v>P003093</v>
      </c>
      <c r="J555" t="str">
        <f t="shared" ref="J555:J564" si="144">"F210975"</f>
        <v>F210975</v>
      </c>
      <c r="K555" t="str">
        <f t="shared" ref="K555:K570" si="145">"INEI"</f>
        <v>INEI</v>
      </c>
      <c r="L555" t="s">
        <v>229</v>
      </c>
      <c r="M555" s="2">
        <v>4403.71</v>
      </c>
    </row>
    <row r="556" spans="1:13" x14ac:dyDescent="0.25">
      <c r="A556" t="str">
        <f t="shared" si="133"/>
        <v>E216</v>
      </c>
      <c r="B556">
        <v>1</v>
      </c>
      <c r="C556" t="str">
        <f t="shared" si="141"/>
        <v>43007</v>
      </c>
      <c r="D556" t="str">
        <f t="shared" si="143"/>
        <v>5740</v>
      </c>
      <c r="E556" t="str">
        <f t="shared" si="142"/>
        <v>850PKE</v>
      </c>
      <c r="F556" t="str">
        <f>""</f>
        <v/>
      </c>
      <c r="G556" t="str">
        <f>""</f>
        <v/>
      </c>
      <c r="H556" s="1">
        <v>41540</v>
      </c>
      <c r="I556" t="str">
        <f>"P003093"</f>
        <v>P003093</v>
      </c>
      <c r="J556" t="str">
        <f t="shared" si="144"/>
        <v>F210975</v>
      </c>
      <c r="K556" t="str">
        <f t="shared" si="145"/>
        <v>INEI</v>
      </c>
      <c r="L556" t="s">
        <v>229</v>
      </c>
      <c r="M556" s="2">
        <v>2445.75</v>
      </c>
    </row>
    <row r="557" spans="1:13" x14ac:dyDescent="0.25">
      <c r="A557" t="str">
        <f t="shared" si="133"/>
        <v>E216</v>
      </c>
      <c r="B557">
        <v>1</v>
      </c>
      <c r="C557" t="str">
        <f t="shared" si="141"/>
        <v>43007</v>
      </c>
      <c r="D557" t="str">
        <f t="shared" si="143"/>
        <v>5740</v>
      </c>
      <c r="E557" t="str">
        <f t="shared" si="142"/>
        <v>850PKE</v>
      </c>
      <c r="F557" t="str">
        <f>""</f>
        <v/>
      </c>
      <c r="G557" t="str">
        <f>""</f>
        <v/>
      </c>
      <c r="H557" s="1">
        <v>41540</v>
      </c>
      <c r="I557" t="str">
        <f>"P003093"</f>
        <v>P003093</v>
      </c>
      <c r="J557" t="str">
        <f t="shared" si="144"/>
        <v>F210975</v>
      </c>
      <c r="K557" t="str">
        <f t="shared" si="145"/>
        <v>INEI</v>
      </c>
      <c r="L557" t="s">
        <v>229</v>
      </c>
      <c r="M557">
        <v>611.44000000000005</v>
      </c>
    </row>
    <row r="558" spans="1:13" x14ac:dyDescent="0.25">
      <c r="A558" t="str">
        <f t="shared" si="133"/>
        <v>E216</v>
      </c>
      <c r="B558">
        <v>1</v>
      </c>
      <c r="C558" t="str">
        <f t="shared" si="141"/>
        <v>43007</v>
      </c>
      <c r="D558" t="str">
        <f t="shared" si="143"/>
        <v>5740</v>
      </c>
      <c r="E558" t="str">
        <f t="shared" si="142"/>
        <v>850PKE</v>
      </c>
      <c r="F558" t="str">
        <f>""</f>
        <v/>
      </c>
      <c r="G558" t="str">
        <f>""</f>
        <v/>
      </c>
      <c r="H558" s="1">
        <v>41540</v>
      </c>
      <c r="I558" t="str">
        <f>"P003093"</f>
        <v>P003093</v>
      </c>
      <c r="J558" t="str">
        <f t="shared" si="144"/>
        <v>F210975</v>
      </c>
      <c r="K558" t="str">
        <f t="shared" si="145"/>
        <v>INEI</v>
      </c>
      <c r="L558" t="s">
        <v>229</v>
      </c>
      <c r="M558">
        <v>529.91</v>
      </c>
    </row>
    <row r="559" spans="1:13" x14ac:dyDescent="0.25">
      <c r="A559" t="str">
        <f t="shared" si="133"/>
        <v>E216</v>
      </c>
      <c r="B559">
        <v>1</v>
      </c>
      <c r="C559" t="str">
        <f t="shared" si="141"/>
        <v>43007</v>
      </c>
      <c r="D559" t="str">
        <f t="shared" si="143"/>
        <v>5740</v>
      </c>
      <c r="E559" t="str">
        <f t="shared" si="142"/>
        <v>850PKE</v>
      </c>
      <c r="F559" t="str">
        <f>""</f>
        <v/>
      </c>
      <c r="G559" t="str">
        <f>""</f>
        <v/>
      </c>
      <c r="H559" s="1">
        <v>41540</v>
      </c>
      <c r="I559" t="str">
        <f>"P003093"</f>
        <v>P003093</v>
      </c>
      <c r="J559" t="str">
        <f t="shared" si="144"/>
        <v>F210975</v>
      </c>
      <c r="K559" t="str">
        <f t="shared" si="145"/>
        <v>INEI</v>
      </c>
      <c r="L559" t="s">
        <v>229</v>
      </c>
      <c r="M559" s="2">
        <v>2038.13</v>
      </c>
    </row>
    <row r="560" spans="1:13" x14ac:dyDescent="0.25">
      <c r="A560" t="str">
        <f t="shared" si="133"/>
        <v>E216</v>
      </c>
      <c r="B560">
        <v>1</v>
      </c>
      <c r="C560" t="str">
        <f t="shared" si="141"/>
        <v>43007</v>
      </c>
      <c r="D560" t="str">
        <f t="shared" si="143"/>
        <v>5740</v>
      </c>
      <c r="E560" t="str">
        <f t="shared" si="142"/>
        <v>850PKE</v>
      </c>
      <c r="F560" t="str">
        <f>""</f>
        <v/>
      </c>
      <c r="G560" t="str">
        <f>""</f>
        <v/>
      </c>
      <c r="H560" s="1">
        <v>41640</v>
      </c>
      <c r="I560" t="str">
        <f>"P003336"</f>
        <v>P003336</v>
      </c>
      <c r="J560" t="str">
        <f t="shared" si="144"/>
        <v>F210975</v>
      </c>
      <c r="K560" t="str">
        <f t="shared" si="145"/>
        <v>INEI</v>
      </c>
      <c r="L560" t="s">
        <v>229</v>
      </c>
      <c r="M560" s="2">
        <v>2445.75</v>
      </c>
    </row>
    <row r="561" spans="1:13" x14ac:dyDescent="0.25">
      <c r="A561" t="str">
        <f t="shared" si="133"/>
        <v>E216</v>
      </c>
      <c r="B561">
        <v>1</v>
      </c>
      <c r="C561" t="str">
        <f t="shared" si="141"/>
        <v>43007</v>
      </c>
      <c r="D561" t="str">
        <f t="shared" si="143"/>
        <v>5740</v>
      </c>
      <c r="E561" t="str">
        <f t="shared" si="142"/>
        <v>850PKE</v>
      </c>
      <c r="F561" t="str">
        <f>""</f>
        <v/>
      </c>
      <c r="G561" t="str">
        <f>""</f>
        <v/>
      </c>
      <c r="H561" s="1">
        <v>41640</v>
      </c>
      <c r="I561" t="str">
        <f>"P003336"</f>
        <v>P003336</v>
      </c>
      <c r="J561" t="str">
        <f t="shared" si="144"/>
        <v>F210975</v>
      </c>
      <c r="K561" t="str">
        <f t="shared" si="145"/>
        <v>INEI</v>
      </c>
      <c r="L561" t="s">
        <v>229</v>
      </c>
      <c r="M561">
        <v>611.44000000000005</v>
      </c>
    </row>
    <row r="562" spans="1:13" x14ac:dyDescent="0.25">
      <c r="A562" t="str">
        <f t="shared" si="133"/>
        <v>E216</v>
      </c>
      <c r="B562">
        <v>1</v>
      </c>
      <c r="C562" t="str">
        <f t="shared" si="141"/>
        <v>43007</v>
      </c>
      <c r="D562" t="str">
        <f t="shared" si="143"/>
        <v>5740</v>
      </c>
      <c r="E562" t="str">
        <f t="shared" si="142"/>
        <v>850PKE</v>
      </c>
      <c r="F562" t="str">
        <f>""</f>
        <v/>
      </c>
      <c r="G562" t="str">
        <f>""</f>
        <v/>
      </c>
      <c r="H562" s="1">
        <v>41640</v>
      </c>
      <c r="I562" t="str">
        <f>"P003336"</f>
        <v>P003336</v>
      </c>
      <c r="J562" t="str">
        <f t="shared" si="144"/>
        <v>F210975</v>
      </c>
      <c r="K562" t="str">
        <f t="shared" si="145"/>
        <v>INEI</v>
      </c>
      <c r="L562" t="s">
        <v>229</v>
      </c>
      <c r="M562" s="2">
        <v>4403.71</v>
      </c>
    </row>
    <row r="563" spans="1:13" x14ac:dyDescent="0.25">
      <c r="A563" t="str">
        <f t="shared" si="133"/>
        <v>E216</v>
      </c>
      <c r="B563">
        <v>1</v>
      </c>
      <c r="C563" t="str">
        <f t="shared" si="141"/>
        <v>43007</v>
      </c>
      <c r="D563" t="str">
        <f t="shared" si="143"/>
        <v>5740</v>
      </c>
      <c r="E563" t="str">
        <f t="shared" si="142"/>
        <v>850PKE</v>
      </c>
      <c r="F563" t="str">
        <f>""</f>
        <v/>
      </c>
      <c r="G563" t="str">
        <f>""</f>
        <v/>
      </c>
      <c r="H563" s="1">
        <v>41640</v>
      </c>
      <c r="I563" t="str">
        <f>"P003336"</f>
        <v>P003336</v>
      </c>
      <c r="J563" t="str">
        <f t="shared" si="144"/>
        <v>F210975</v>
      </c>
      <c r="K563" t="str">
        <f t="shared" si="145"/>
        <v>INEI</v>
      </c>
      <c r="L563" t="s">
        <v>229</v>
      </c>
      <c r="M563" s="2">
        <v>2038.13</v>
      </c>
    </row>
    <row r="564" spans="1:13" x14ac:dyDescent="0.25">
      <c r="A564" t="str">
        <f t="shared" si="133"/>
        <v>E216</v>
      </c>
      <c r="B564">
        <v>1</v>
      </c>
      <c r="C564" t="str">
        <f t="shared" si="141"/>
        <v>43007</v>
      </c>
      <c r="D564" t="str">
        <f t="shared" si="143"/>
        <v>5740</v>
      </c>
      <c r="E564" t="str">
        <f t="shared" si="142"/>
        <v>850PKE</v>
      </c>
      <c r="F564" t="str">
        <f>""</f>
        <v/>
      </c>
      <c r="G564" t="str">
        <f>""</f>
        <v/>
      </c>
      <c r="H564" s="1">
        <v>41640</v>
      </c>
      <c r="I564" t="str">
        <f>"P003336"</f>
        <v>P003336</v>
      </c>
      <c r="J564" t="str">
        <f t="shared" si="144"/>
        <v>F210975</v>
      </c>
      <c r="K564" t="str">
        <f t="shared" si="145"/>
        <v>INEI</v>
      </c>
      <c r="L564" t="s">
        <v>229</v>
      </c>
      <c r="M564">
        <v>529.91</v>
      </c>
    </row>
    <row r="565" spans="1:13" x14ac:dyDescent="0.25">
      <c r="A565" t="str">
        <f t="shared" si="133"/>
        <v>E216</v>
      </c>
      <c r="B565">
        <v>1</v>
      </c>
      <c r="C565" t="str">
        <f t="shared" si="141"/>
        <v>43007</v>
      </c>
      <c r="D565" t="str">
        <f t="shared" si="143"/>
        <v>5740</v>
      </c>
      <c r="E565" t="str">
        <f t="shared" si="142"/>
        <v>850PKE</v>
      </c>
      <c r="F565" t="str">
        <f>""</f>
        <v/>
      </c>
      <c r="G565" t="str">
        <f>""</f>
        <v/>
      </c>
      <c r="H565" s="1">
        <v>41750</v>
      </c>
      <c r="I565" t="str">
        <f>"I0108746"</f>
        <v>I0108746</v>
      </c>
      <c r="J565" t="str">
        <f>"F210959"</f>
        <v>F210959</v>
      </c>
      <c r="K565" t="str">
        <f t="shared" si="145"/>
        <v>INEI</v>
      </c>
      <c r="L565" t="s">
        <v>229</v>
      </c>
      <c r="M565">
        <v>978.3</v>
      </c>
    </row>
    <row r="566" spans="1:13" x14ac:dyDescent="0.25">
      <c r="A566" t="str">
        <f t="shared" si="133"/>
        <v>E216</v>
      </c>
      <c r="B566">
        <v>1</v>
      </c>
      <c r="C566" t="str">
        <f t="shared" si="141"/>
        <v>43007</v>
      </c>
      <c r="D566" t="str">
        <f t="shared" si="143"/>
        <v>5740</v>
      </c>
      <c r="E566" t="str">
        <f t="shared" si="142"/>
        <v>850PKE</v>
      </c>
      <c r="F566" t="str">
        <f>""</f>
        <v/>
      </c>
      <c r="G566" t="str">
        <f>""</f>
        <v/>
      </c>
      <c r="H566" s="1">
        <v>41815</v>
      </c>
      <c r="I566" t="str">
        <f>"I0109901"</f>
        <v>I0109901</v>
      </c>
      <c r="J566" t="str">
        <f>"F210975"</f>
        <v>F210975</v>
      </c>
      <c r="K566" t="str">
        <f t="shared" si="145"/>
        <v>INEI</v>
      </c>
      <c r="L566" t="s">
        <v>229</v>
      </c>
      <c r="M566" s="2">
        <v>1059.82</v>
      </c>
    </row>
    <row r="567" spans="1:13" x14ac:dyDescent="0.25">
      <c r="A567" t="str">
        <f t="shared" si="133"/>
        <v>E216</v>
      </c>
      <c r="B567">
        <v>1</v>
      </c>
      <c r="C567" t="str">
        <f t="shared" si="141"/>
        <v>43007</v>
      </c>
      <c r="D567" t="str">
        <f t="shared" si="143"/>
        <v>5740</v>
      </c>
      <c r="E567" t="str">
        <f t="shared" si="142"/>
        <v>850PKE</v>
      </c>
      <c r="F567" t="str">
        <f>""</f>
        <v/>
      </c>
      <c r="G567" t="str">
        <f>""</f>
        <v/>
      </c>
      <c r="H567" s="1">
        <v>41815</v>
      </c>
      <c r="I567" t="str">
        <f>"I0109901"</f>
        <v>I0109901</v>
      </c>
      <c r="J567" t="str">
        <f>"F210975"</f>
        <v>F210975</v>
      </c>
      <c r="K567" t="str">
        <f t="shared" si="145"/>
        <v>INEI</v>
      </c>
      <c r="L567" t="s">
        <v>229</v>
      </c>
      <c r="M567" s="2">
        <v>8807.42</v>
      </c>
    </row>
    <row r="568" spans="1:13" x14ac:dyDescent="0.25">
      <c r="A568" t="str">
        <f t="shared" si="133"/>
        <v>E216</v>
      </c>
      <c r="B568">
        <v>1</v>
      </c>
      <c r="C568" t="str">
        <f t="shared" si="141"/>
        <v>43007</v>
      </c>
      <c r="D568" t="str">
        <f t="shared" si="143"/>
        <v>5740</v>
      </c>
      <c r="E568" t="str">
        <f t="shared" si="142"/>
        <v>850PKE</v>
      </c>
      <c r="F568" t="str">
        <f>""</f>
        <v/>
      </c>
      <c r="G568" t="str">
        <f>""</f>
        <v/>
      </c>
      <c r="H568" s="1">
        <v>41815</v>
      </c>
      <c r="I568" t="str">
        <f>"I0109901"</f>
        <v>I0109901</v>
      </c>
      <c r="J568" t="str">
        <f>"F210975"</f>
        <v>F210975</v>
      </c>
      <c r="K568" t="str">
        <f t="shared" si="145"/>
        <v>INEI</v>
      </c>
      <c r="L568" t="s">
        <v>229</v>
      </c>
      <c r="M568" s="2">
        <v>4891.5</v>
      </c>
    </row>
    <row r="569" spans="1:13" x14ac:dyDescent="0.25">
      <c r="A569" t="str">
        <f t="shared" si="133"/>
        <v>E216</v>
      </c>
      <c r="B569">
        <v>1</v>
      </c>
      <c r="C569" t="str">
        <f t="shared" si="141"/>
        <v>43007</v>
      </c>
      <c r="D569" t="str">
        <f t="shared" si="143"/>
        <v>5740</v>
      </c>
      <c r="E569" t="str">
        <f t="shared" si="142"/>
        <v>850PKE</v>
      </c>
      <c r="F569" t="str">
        <f>""</f>
        <v/>
      </c>
      <c r="G569" t="str">
        <f>""</f>
        <v/>
      </c>
      <c r="H569" s="1">
        <v>41815</v>
      </c>
      <c r="I569" t="str">
        <f>"I0109901"</f>
        <v>I0109901</v>
      </c>
      <c r="J569" t="str">
        <f>"F210975"</f>
        <v>F210975</v>
      </c>
      <c r="K569" t="str">
        <f t="shared" si="145"/>
        <v>INEI</v>
      </c>
      <c r="L569" t="s">
        <v>229</v>
      </c>
      <c r="M569" s="2">
        <v>1222.8800000000001</v>
      </c>
    </row>
    <row r="570" spans="1:13" x14ac:dyDescent="0.25">
      <c r="A570" t="str">
        <f t="shared" si="133"/>
        <v>E216</v>
      </c>
      <c r="B570">
        <v>1</v>
      </c>
      <c r="C570" t="str">
        <f t="shared" si="141"/>
        <v>43007</v>
      </c>
      <c r="D570" t="str">
        <f t="shared" si="143"/>
        <v>5740</v>
      </c>
      <c r="E570" t="str">
        <f t="shared" si="142"/>
        <v>850PKE</v>
      </c>
      <c r="F570" t="str">
        <f>""</f>
        <v/>
      </c>
      <c r="G570" t="str">
        <f>""</f>
        <v/>
      </c>
      <c r="H570" s="1">
        <v>41815</v>
      </c>
      <c r="I570" t="str">
        <f>"I0109901"</f>
        <v>I0109901</v>
      </c>
      <c r="J570" t="str">
        <f>"F210975"</f>
        <v>F210975</v>
      </c>
      <c r="K570" t="str">
        <f t="shared" si="145"/>
        <v>INEI</v>
      </c>
      <c r="L570" t="s">
        <v>229</v>
      </c>
      <c r="M570" s="2">
        <v>4076.25</v>
      </c>
    </row>
    <row r="571" spans="1:13" x14ac:dyDescent="0.25">
      <c r="A571" t="str">
        <f t="shared" ref="A571:A604" si="146">"E217"</f>
        <v>E217</v>
      </c>
      <c r="B571">
        <v>1</v>
      </c>
      <c r="C571" t="str">
        <f t="shared" ref="C571:C592" si="147">"43000"</f>
        <v>43000</v>
      </c>
      <c r="D571" t="str">
        <f t="shared" ref="D571:D579" si="148">"5620"</f>
        <v>5620</v>
      </c>
      <c r="E571" t="str">
        <f t="shared" ref="E571:E576" si="149">"850LOS"</f>
        <v>850LOS</v>
      </c>
      <c r="F571" t="str">
        <f>""</f>
        <v/>
      </c>
      <c r="G571" t="str">
        <f>""</f>
        <v/>
      </c>
      <c r="H571" s="1">
        <v>41771</v>
      </c>
      <c r="I571" t="str">
        <f>"CMG00872"</f>
        <v>CMG00872</v>
      </c>
      <c r="J571" t="str">
        <f>""</f>
        <v/>
      </c>
      <c r="K571" t="str">
        <f>"CM89"</f>
        <v>CM89</v>
      </c>
      <c r="L571" t="s">
        <v>2340</v>
      </c>
      <c r="M571">
        <v>234.85</v>
      </c>
    </row>
    <row r="572" spans="1:13" x14ac:dyDescent="0.25">
      <c r="A572" t="str">
        <f t="shared" si="146"/>
        <v>E217</v>
      </c>
      <c r="B572">
        <v>1</v>
      </c>
      <c r="C572" t="str">
        <f t="shared" si="147"/>
        <v>43000</v>
      </c>
      <c r="D572" t="str">
        <f t="shared" si="148"/>
        <v>5620</v>
      </c>
      <c r="E572" t="str">
        <f t="shared" si="149"/>
        <v>850LOS</v>
      </c>
      <c r="F572" t="str">
        <f>""</f>
        <v/>
      </c>
      <c r="G572" t="str">
        <f>""</f>
        <v/>
      </c>
      <c r="H572" s="1">
        <v>41810</v>
      </c>
      <c r="I572" t="str">
        <f>"CMG00877"</f>
        <v>CMG00877</v>
      </c>
      <c r="J572" t="str">
        <f>""</f>
        <v/>
      </c>
      <c r="K572" t="str">
        <f>"CM89"</f>
        <v>CM89</v>
      </c>
      <c r="L572" t="s">
        <v>2339</v>
      </c>
      <c r="M572">
        <v>276.29000000000002</v>
      </c>
    </row>
    <row r="573" spans="1:13" x14ac:dyDescent="0.25">
      <c r="A573" t="str">
        <f t="shared" si="146"/>
        <v>E217</v>
      </c>
      <c r="B573">
        <v>1</v>
      </c>
      <c r="C573" t="str">
        <f t="shared" si="147"/>
        <v>43000</v>
      </c>
      <c r="D573" t="str">
        <f t="shared" si="148"/>
        <v>5620</v>
      </c>
      <c r="E573" t="str">
        <f t="shared" si="149"/>
        <v>850LOS</v>
      </c>
      <c r="F573" t="str">
        <f>""</f>
        <v/>
      </c>
      <c r="G573" t="str">
        <f>""</f>
        <v/>
      </c>
      <c r="H573" s="1">
        <v>41810</v>
      </c>
      <c r="I573" t="str">
        <f>"CMG00877"</f>
        <v>CMG00877</v>
      </c>
      <c r="J573" t="str">
        <f>""</f>
        <v/>
      </c>
      <c r="K573" t="str">
        <f>"CM89"</f>
        <v>CM89</v>
      </c>
      <c r="L573" t="s">
        <v>2339</v>
      </c>
      <c r="M573">
        <v>188.41</v>
      </c>
    </row>
    <row r="574" spans="1:13" x14ac:dyDescent="0.25">
      <c r="A574" t="str">
        <f t="shared" si="146"/>
        <v>E217</v>
      </c>
      <c r="B574">
        <v>1</v>
      </c>
      <c r="C574" t="str">
        <f t="shared" si="147"/>
        <v>43000</v>
      </c>
      <c r="D574" t="str">
        <f t="shared" si="148"/>
        <v>5620</v>
      </c>
      <c r="E574" t="str">
        <f t="shared" si="149"/>
        <v>850LOS</v>
      </c>
      <c r="F574" t="str">
        <f>""</f>
        <v/>
      </c>
      <c r="G574" t="str">
        <f>""</f>
        <v/>
      </c>
      <c r="H574" s="1">
        <v>41820</v>
      </c>
      <c r="I574" t="str">
        <f>"CMG00884"</f>
        <v>CMG00884</v>
      </c>
      <c r="J574" t="str">
        <f>""</f>
        <v/>
      </c>
      <c r="K574" t="str">
        <f>"CM89"</f>
        <v>CM89</v>
      </c>
      <c r="L574" t="s">
        <v>2351</v>
      </c>
      <c r="M574">
        <v>629.99</v>
      </c>
    </row>
    <row r="575" spans="1:13" x14ac:dyDescent="0.25">
      <c r="A575" t="str">
        <f t="shared" si="146"/>
        <v>E217</v>
      </c>
      <c r="B575">
        <v>1</v>
      </c>
      <c r="C575" t="str">
        <f t="shared" si="147"/>
        <v>43000</v>
      </c>
      <c r="D575" t="str">
        <f t="shared" si="148"/>
        <v>5620</v>
      </c>
      <c r="E575" t="str">
        <f t="shared" si="149"/>
        <v>850LOS</v>
      </c>
      <c r="F575" t="str">
        <f>""</f>
        <v/>
      </c>
      <c r="G575" t="str">
        <f>""</f>
        <v/>
      </c>
      <c r="H575" s="1">
        <v>41820</v>
      </c>
      <c r="I575" t="str">
        <f>"CMG00884"</f>
        <v>CMG00884</v>
      </c>
      <c r="J575" t="str">
        <f>""</f>
        <v/>
      </c>
      <c r="K575" t="str">
        <f>"CM89"</f>
        <v>CM89</v>
      </c>
      <c r="L575" t="s">
        <v>2351</v>
      </c>
      <c r="M575">
        <v>209.41</v>
      </c>
    </row>
    <row r="576" spans="1:13" x14ac:dyDescent="0.25">
      <c r="A576" t="str">
        <f t="shared" si="146"/>
        <v>E217</v>
      </c>
      <c r="B576">
        <v>1</v>
      </c>
      <c r="C576" t="str">
        <f t="shared" si="147"/>
        <v>43000</v>
      </c>
      <c r="D576" t="str">
        <f t="shared" si="148"/>
        <v>5620</v>
      </c>
      <c r="E576" t="str">
        <f t="shared" si="149"/>
        <v>850LOS</v>
      </c>
      <c r="F576" t="str">
        <f>""</f>
        <v/>
      </c>
      <c r="G576" t="str">
        <f>""</f>
        <v/>
      </c>
      <c r="H576" s="1">
        <v>41820</v>
      </c>
      <c r="I576" t="str">
        <f>"J0010489"</f>
        <v>J0010489</v>
      </c>
      <c r="J576" t="str">
        <f>""</f>
        <v/>
      </c>
      <c r="K576" t="str">
        <f>"J079"</f>
        <v>J079</v>
      </c>
      <c r="L576" t="s">
        <v>2209</v>
      </c>
      <c r="M576" s="2">
        <v>9766.14</v>
      </c>
    </row>
    <row r="577" spans="1:13" x14ac:dyDescent="0.25">
      <c r="A577" t="str">
        <f t="shared" si="146"/>
        <v>E217</v>
      </c>
      <c r="B577">
        <v>1</v>
      </c>
      <c r="C577" t="str">
        <f t="shared" si="147"/>
        <v>43000</v>
      </c>
      <c r="D577" t="str">
        <f t="shared" si="148"/>
        <v>5620</v>
      </c>
      <c r="E577" t="str">
        <f>"850PAY"</f>
        <v>850PAY</v>
      </c>
      <c r="F577" t="str">
        <f>""</f>
        <v/>
      </c>
      <c r="G577" t="str">
        <f>""</f>
        <v/>
      </c>
      <c r="H577" s="1">
        <v>41820</v>
      </c>
      <c r="I577" t="str">
        <f>"J0008501"</f>
        <v>J0008501</v>
      </c>
      <c r="J577" t="str">
        <f>""</f>
        <v/>
      </c>
      <c r="K577" t="str">
        <f>"J096"</f>
        <v>J096</v>
      </c>
      <c r="L577" t="s">
        <v>2196</v>
      </c>
      <c r="M577" s="2">
        <v>7910.25</v>
      </c>
    </row>
    <row r="578" spans="1:13" x14ac:dyDescent="0.25">
      <c r="A578" t="str">
        <f t="shared" si="146"/>
        <v>E217</v>
      </c>
      <c r="B578">
        <v>1</v>
      </c>
      <c r="C578" t="str">
        <f t="shared" si="147"/>
        <v>43000</v>
      </c>
      <c r="D578" t="str">
        <f t="shared" si="148"/>
        <v>5620</v>
      </c>
      <c r="E578" t="str">
        <f>"850PAY"</f>
        <v>850PAY</v>
      </c>
      <c r="F578" t="str">
        <f>""</f>
        <v/>
      </c>
      <c r="G578" t="str">
        <f>""</f>
        <v/>
      </c>
      <c r="H578" s="1">
        <v>41820</v>
      </c>
      <c r="I578" t="str">
        <f>"J0009229"</f>
        <v>J0009229</v>
      </c>
      <c r="J578" t="str">
        <f>""</f>
        <v/>
      </c>
      <c r="K578" t="str">
        <f>"J096"</f>
        <v>J096</v>
      </c>
      <c r="L578" t="s">
        <v>2208</v>
      </c>
      <c r="M578" s="2">
        <v>2864.54</v>
      </c>
    </row>
    <row r="579" spans="1:13" x14ac:dyDescent="0.25">
      <c r="A579" t="str">
        <f t="shared" si="146"/>
        <v>E217</v>
      </c>
      <c r="B579">
        <v>1</v>
      </c>
      <c r="C579" t="str">
        <f t="shared" si="147"/>
        <v>43000</v>
      </c>
      <c r="D579" t="str">
        <f t="shared" si="148"/>
        <v>5620</v>
      </c>
      <c r="E579" t="str">
        <f>"850PAY"</f>
        <v>850PAY</v>
      </c>
      <c r="F579" t="str">
        <f>""</f>
        <v/>
      </c>
      <c r="G579" t="str">
        <f>""</f>
        <v/>
      </c>
      <c r="H579" s="1">
        <v>41820</v>
      </c>
      <c r="I579" t="str">
        <f>"J0010456"</f>
        <v>J0010456</v>
      </c>
      <c r="J579" t="str">
        <f>""</f>
        <v/>
      </c>
      <c r="K579" t="str">
        <f>"J079"</f>
        <v>J079</v>
      </c>
      <c r="L579" t="s">
        <v>2223</v>
      </c>
      <c r="M579">
        <v>810.05</v>
      </c>
    </row>
    <row r="580" spans="1:13" x14ac:dyDescent="0.25">
      <c r="A580" t="str">
        <f t="shared" si="146"/>
        <v>E217</v>
      </c>
      <c r="B580">
        <v>1</v>
      </c>
      <c r="C580" t="str">
        <f t="shared" si="147"/>
        <v>43000</v>
      </c>
      <c r="D580" t="str">
        <f t="shared" ref="D580:D604" si="150">"5740"</f>
        <v>5740</v>
      </c>
      <c r="E580" t="str">
        <f t="shared" ref="E580:E604" si="151">"850LOS"</f>
        <v>850LOS</v>
      </c>
      <c r="F580" t="str">
        <f>""</f>
        <v/>
      </c>
      <c r="G580" t="str">
        <f>""</f>
        <v/>
      </c>
      <c r="H580" s="1">
        <v>41498</v>
      </c>
      <c r="I580" t="str">
        <f>"CMG00824"</f>
        <v>CMG00824</v>
      </c>
      <c r="J580" t="str">
        <f>""</f>
        <v/>
      </c>
      <c r="K580" t="str">
        <f t="shared" ref="K580:K592" si="152">"CM89"</f>
        <v>CM89</v>
      </c>
      <c r="L580" t="s">
        <v>2350</v>
      </c>
      <c r="M580">
        <v>481.28</v>
      </c>
    </row>
    <row r="581" spans="1:13" x14ac:dyDescent="0.25">
      <c r="A581" t="str">
        <f t="shared" si="146"/>
        <v>E217</v>
      </c>
      <c r="B581">
        <v>1</v>
      </c>
      <c r="C581" t="str">
        <f t="shared" si="147"/>
        <v>43000</v>
      </c>
      <c r="D581" t="str">
        <f t="shared" si="150"/>
        <v>5740</v>
      </c>
      <c r="E581" t="str">
        <f t="shared" si="151"/>
        <v>850LOS</v>
      </c>
      <c r="F581" t="str">
        <f>""</f>
        <v/>
      </c>
      <c r="G581" t="str">
        <f>""</f>
        <v/>
      </c>
      <c r="H581" s="1">
        <v>41537</v>
      </c>
      <c r="I581" t="str">
        <f>"CMG00830"</f>
        <v>CMG00830</v>
      </c>
      <c r="J581" t="str">
        <f>""</f>
        <v/>
      </c>
      <c r="K581" t="str">
        <f t="shared" si="152"/>
        <v>CM89</v>
      </c>
      <c r="L581" t="s">
        <v>2349</v>
      </c>
      <c r="M581">
        <v>328.78</v>
      </c>
    </row>
    <row r="582" spans="1:13" x14ac:dyDescent="0.25">
      <c r="A582" t="str">
        <f t="shared" si="146"/>
        <v>E217</v>
      </c>
      <c r="B582">
        <v>1</v>
      </c>
      <c r="C582" t="str">
        <f t="shared" si="147"/>
        <v>43000</v>
      </c>
      <c r="D582" t="str">
        <f t="shared" si="150"/>
        <v>5740</v>
      </c>
      <c r="E582" t="str">
        <f t="shared" si="151"/>
        <v>850LOS</v>
      </c>
      <c r="F582" t="str">
        <f>""</f>
        <v/>
      </c>
      <c r="G582" t="str">
        <f>""</f>
        <v/>
      </c>
      <c r="H582" s="1">
        <v>41562</v>
      </c>
      <c r="I582" t="str">
        <f>"CMG00834"</f>
        <v>CMG00834</v>
      </c>
      <c r="J582" t="str">
        <f>""</f>
        <v/>
      </c>
      <c r="K582" t="str">
        <f t="shared" si="152"/>
        <v>CM89</v>
      </c>
      <c r="L582" t="s">
        <v>2348</v>
      </c>
      <c r="M582" s="2">
        <v>3646.88</v>
      </c>
    </row>
    <row r="583" spans="1:13" x14ac:dyDescent="0.25">
      <c r="A583" t="str">
        <f t="shared" si="146"/>
        <v>E217</v>
      </c>
      <c r="B583">
        <v>1</v>
      </c>
      <c r="C583" t="str">
        <f t="shared" si="147"/>
        <v>43000</v>
      </c>
      <c r="D583" t="str">
        <f t="shared" si="150"/>
        <v>5740</v>
      </c>
      <c r="E583" t="str">
        <f t="shared" si="151"/>
        <v>850LOS</v>
      </c>
      <c r="F583" t="str">
        <f>""</f>
        <v/>
      </c>
      <c r="G583" t="str">
        <f>""</f>
        <v/>
      </c>
      <c r="H583" s="1">
        <v>41563</v>
      </c>
      <c r="I583" t="str">
        <f>"CMG00835"</f>
        <v>CMG00835</v>
      </c>
      <c r="J583" t="str">
        <f>""</f>
        <v/>
      </c>
      <c r="K583" t="str">
        <f t="shared" si="152"/>
        <v>CM89</v>
      </c>
      <c r="L583" t="s">
        <v>2347</v>
      </c>
      <c r="M583">
        <v>334.78</v>
      </c>
    </row>
    <row r="584" spans="1:13" x14ac:dyDescent="0.25">
      <c r="A584" t="str">
        <f t="shared" si="146"/>
        <v>E217</v>
      </c>
      <c r="B584">
        <v>1</v>
      </c>
      <c r="C584" t="str">
        <f t="shared" si="147"/>
        <v>43000</v>
      </c>
      <c r="D584" t="str">
        <f t="shared" si="150"/>
        <v>5740</v>
      </c>
      <c r="E584" t="str">
        <f t="shared" si="151"/>
        <v>850LOS</v>
      </c>
      <c r="F584" t="str">
        <f>""</f>
        <v/>
      </c>
      <c r="G584" t="str">
        <f>""</f>
        <v/>
      </c>
      <c r="H584" s="1">
        <v>41591</v>
      </c>
      <c r="I584" t="str">
        <f>"CMG00837"</f>
        <v>CMG00837</v>
      </c>
      <c r="J584" t="str">
        <f>""</f>
        <v/>
      </c>
      <c r="K584" t="str">
        <f t="shared" si="152"/>
        <v>CM89</v>
      </c>
      <c r="L584" t="s">
        <v>2346</v>
      </c>
      <c r="M584">
        <v>645.78</v>
      </c>
    </row>
    <row r="585" spans="1:13" x14ac:dyDescent="0.25">
      <c r="A585" t="str">
        <f t="shared" si="146"/>
        <v>E217</v>
      </c>
      <c r="B585">
        <v>1</v>
      </c>
      <c r="C585" t="str">
        <f t="shared" si="147"/>
        <v>43000</v>
      </c>
      <c r="D585" t="str">
        <f t="shared" si="150"/>
        <v>5740</v>
      </c>
      <c r="E585" t="str">
        <f t="shared" si="151"/>
        <v>850LOS</v>
      </c>
      <c r="F585" t="str">
        <f>""</f>
        <v/>
      </c>
      <c r="G585" t="str">
        <f>""</f>
        <v/>
      </c>
      <c r="H585" s="1">
        <v>41619</v>
      </c>
      <c r="I585" t="str">
        <f>"CMG00845"</f>
        <v>CMG00845</v>
      </c>
      <c r="J585" t="str">
        <f>""</f>
        <v/>
      </c>
      <c r="K585" t="str">
        <f t="shared" si="152"/>
        <v>CM89</v>
      </c>
      <c r="L585" t="s">
        <v>2345</v>
      </c>
      <c r="M585">
        <v>420.11</v>
      </c>
    </row>
    <row r="586" spans="1:13" x14ac:dyDescent="0.25">
      <c r="A586" t="str">
        <f t="shared" si="146"/>
        <v>E217</v>
      </c>
      <c r="B586">
        <v>1</v>
      </c>
      <c r="C586" t="str">
        <f t="shared" si="147"/>
        <v>43000</v>
      </c>
      <c r="D586" t="str">
        <f t="shared" si="150"/>
        <v>5740</v>
      </c>
      <c r="E586" t="str">
        <f t="shared" si="151"/>
        <v>850LOS</v>
      </c>
      <c r="F586" t="str">
        <f>""</f>
        <v/>
      </c>
      <c r="G586" t="str">
        <f>""</f>
        <v/>
      </c>
      <c r="H586" s="1">
        <v>41642</v>
      </c>
      <c r="I586" t="str">
        <f>"CMG00849"</f>
        <v>CMG00849</v>
      </c>
      <c r="J586" t="str">
        <f>""</f>
        <v/>
      </c>
      <c r="K586" t="str">
        <f t="shared" si="152"/>
        <v>CM89</v>
      </c>
      <c r="L586" t="s">
        <v>2344</v>
      </c>
      <c r="M586">
        <v>373.52</v>
      </c>
    </row>
    <row r="587" spans="1:13" x14ac:dyDescent="0.25">
      <c r="A587" t="str">
        <f t="shared" si="146"/>
        <v>E217</v>
      </c>
      <c r="B587">
        <v>1</v>
      </c>
      <c r="C587" t="str">
        <f t="shared" si="147"/>
        <v>43000</v>
      </c>
      <c r="D587" t="str">
        <f t="shared" si="150"/>
        <v>5740</v>
      </c>
      <c r="E587" t="str">
        <f t="shared" si="151"/>
        <v>850LOS</v>
      </c>
      <c r="F587" t="str">
        <f>""</f>
        <v/>
      </c>
      <c r="G587" t="str">
        <f>""</f>
        <v/>
      </c>
      <c r="H587" s="1">
        <v>41695</v>
      </c>
      <c r="I587" t="str">
        <f>"CMG00856"</f>
        <v>CMG00856</v>
      </c>
      <c r="J587" t="str">
        <f>""</f>
        <v/>
      </c>
      <c r="K587" t="str">
        <f t="shared" si="152"/>
        <v>CM89</v>
      </c>
      <c r="L587" t="s">
        <v>2343</v>
      </c>
      <c r="M587" s="2">
        <v>1208.01</v>
      </c>
    </row>
    <row r="588" spans="1:13" x14ac:dyDescent="0.25">
      <c r="A588" t="str">
        <f t="shared" si="146"/>
        <v>E217</v>
      </c>
      <c r="B588">
        <v>1</v>
      </c>
      <c r="C588" t="str">
        <f t="shared" si="147"/>
        <v>43000</v>
      </c>
      <c r="D588" t="str">
        <f t="shared" si="150"/>
        <v>5740</v>
      </c>
      <c r="E588" t="str">
        <f t="shared" si="151"/>
        <v>850LOS</v>
      </c>
      <c r="F588" t="str">
        <f>""</f>
        <v/>
      </c>
      <c r="G588" t="str">
        <f>""</f>
        <v/>
      </c>
      <c r="H588" s="1">
        <v>41712</v>
      </c>
      <c r="I588" t="str">
        <f>"CMG00862"</f>
        <v>CMG00862</v>
      </c>
      <c r="J588" t="str">
        <f>""</f>
        <v/>
      </c>
      <c r="K588" t="str">
        <f t="shared" si="152"/>
        <v>CM89</v>
      </c>
      <c r="L588" t="s">
        <v>2342</v>
      </c>
      <c r="M588">
        <v>345.88</v>
      </c>
    </row>
    <row r="589" spans="1:13" x14ac:dyDescent="0.25">
      <c r="A589" t="str">
        <f t="shared" si="146"/>
        <v>E217</v>
      </c>
      <c r="B589">
        <v>1</v>
      </c>
      <c r="C589" t="str">
        <f t="shared" si="147"/>
        <v>43000</v>
      </c>
      <c r="D589" t="str">
        <f t="shared" si="150"/>
        <v>5740</v>
      </c>
      <c r="E589" t="str">
        <f t="shared" si="151"/>
        <v>850LOS</v>
      </c>
      <c r="F589" t="str">
        <f>""</f>
        <v/>
      </c>
      <c r="G589" t="str">
        <f>""</f>
        <v/>
      </c>
      <c r="H589" s="1">
        <v>41712</v>
      </c>
      <c r="I589" t="str">
        <f>"CMG00862"</f>
        <v>CMG00862</v>
      </c>
      <c r="J589" t="str">
        <f>""</f>
        <v/>
      </c>
      <c r="K589" t="str">
        <f t="shared" si="152"/>
        <v>CM89</v>
      </c>
      <c r="L589" t="s">
        <v>2342</v>
      </c>
      <c r="M589">
        <v>132.51</v>
      </c>
    </row>
    <row r="590" spans="1:13" x14ac:dyDescent="0.25">
      <c r="A590" t="str">
        <f t="shared" si="146"/>
        <v>E217</v>
      </c>
      <c r="B590">
        <v>1</v>
      </c>
      <c r="C590" t="str">
        <f t="shared" si="147"/>
        <v>43000</v>
      </c>
      <c r="D590" t="str">
        <f t="shared" si="150"/>
        <v>5740</v>
      </c>
      <c r="E590" t="str">
        <f t="shared" si="151"/>
        <v>850LOS</v>
      </c>
      <c r="F590" t="str">
        <f>""</f>
        <v/>
      </c>
      <c r="G590" t="str">
        <f>""</f>
        <v/>
      </c>
      <c r="H590" s="1">
        <v>41738</v>
      </c>
      <c r="I590" t="str">
        <f>"CMG00865"</f>
        <v>CMG00865</v>
      </c>
      <c r="J590" t="str">
        <f>""</f>
        <v/>
      </c>
      <c r="K590" t="str">
        <f t="shared" si="152"/>
        <v>CM89</v>
      </c>
      <c r="L590" t="s">
        <v>2341</v>
      </c>
      <c r="M590">
        <v>382.06</v>
      </c>
    </row>
    <row r="591" spans="1:13" x14ac:dyDescent="0.25">
      <c r="A591" t="str">
        <f t="shared" si="146"/>
        <v>E217</v>
      </c>
      <c r="B591">
        <v>1</v>
      </c>
      <c r="C591" t="str">
        <f t="shared" si="147"/>
        <v>43000</v>
      </c>
      <c r="D591" t="str">
        <f t="shared" si="150"/>
        <v>5740</v>
      </c>
      <c r="E591" t="str">
        <f t="shared" si="151"/>
        <v>850LOS</v>
      </c>
      <c r="F591" t="str">
        <f>""</f>
        <v/>
      </c>
      <c r="G591" t="str">
        <f>""</f>
        <v/>
      </c>
      <c r="H591" s="1">
        <v>41738</v>
      </c>
      <c r="I591" t="str">
        <f>"CMG00865"</f>
        <v>CMG00865</v>
      </c>
      <c r="J591" t="str">
        <f>""</f>
        <v/>
      </c>
      <c r="K591" t="str">
        <f t="shared" si="152"/>
        <v>CM89</v>
      </c>
      <c r="L591" t="s">
        <v>2341</v>
      </c>
      <c r="M591">
        <v>136.74</v>
      </c>
    </row>
    <row r="592" spans="1:13" x14ac:dyDescent="0.25">
      <c r="A592" t="str">
        <f t="shared" si="146"/>
        <v>E217</v>
      </c>
      <c r="B592">
        <v>1</v>
      </c>
      <c r="C592" t="str">
        <f t="shared" si="147"/>
        <v>43000</v>
      </c>
      <c r="D592" t="str">
        <f t="shared" si="150"/>
        <v>5740</v>
      </c>
      <c r="E592" t="str">
        <f t="shared" si="151"/>
        <v>850LOS</v>
      </c>
      <c r="F592" t="str">
        <f>""</f>
        <v/>
      </c>
      <c r="G592" t="str">
        <f>""</f>
        <v/>
      </c>
      <c r="H592" s="1">
        <v>41771</v>
      </c>
      <c r="I592" t="str">
        <f>"CMG00872"</f>
        <v>CMG00872</v>
      </c>
      <c r="J592" t="str">
        <f>""</f>
        <v/>
      </c>
      <c r="K592" t="str">
        <f t="shared" si="152"/>
        <v>CM89</v>
      </c>
      <c r="L592" t="s">
        <v>2340</v>
      </c>
      <c r="M592" s="2">
        <v>1147.2</v>
      </c>
    </row>
    <row r="593" spans="1:13" x14ac:dyDescent="0.25">
      <c r="A593" t="str">
        <f t="shared" si="146"/>
        <v>E217</v>
      </c>
      <c r="B593">
        <v>1</v>
      </c>
      <c r="C593" t="str">
        <f t="shared" ref="C593:C604" si="153">"43003"</f>
        <v>43003</v>
      </c>
      <c r="D593" t="str">
        <f t="shared" si="150"/>
        <v>5740</v>
      </c>
      <c r="E593" t="str">
        <f t="shared" si="151"/>
        <v>850LOS</v>
      </c>
      <c r="F593" t="str">
        <f>""</f>
        <v/>
      </c>
      <c r="G593" t="str">
        <f>""</f>
        <v/>
      </c>
      <c r="H593" s="1">
        <v>41481</v>
      </c>
      <c r="I593" t="str">
        <f>"J0005276"</f>
        <v>J0005276</v>
      </c>
      <c r="J593" t="str">
        <f>""</f>
        <v/>
      </c>
      <c r="K593" t="str">
        <f t="shared" ref="K593:K605" si="154">"J079"</f>
        <v>J079</v>
      </c>
      <c r="L593" t="s">
        <v>1909</v>
      </c>
      <c r="M593">
        <v>817.16</v>
      </c>
    </row>
    <row r="594" spans="1:13" x14ac:dyDescent="0.25">
      <c r="A594" t="str">
        <f t="shared" si="146"/>
        <v>E217</v>
      </c>
      <c r="B594">
        <v>1</v>
      </c>
      <c r="C594" t="str">
        <f t="shared" si="153"/>
        <v>43003</v>
      </c>
      <c r="D594" t="str">
        <f t="shared" si="150"/>
        <v>5740</v>
      </c>
      <c r="E594" t="str">
        <f t="shared" si="151"/>
        <v>850LOS</v>
      </c>
      <c r="F594" t="str">
        <f>""</f>
        <v/>
      </c>
      <c r="G594" t="str">
        <f>""</f>
        <v/>
      </c>
      <c r="H594" s="1">
        <v>41541</v>
      </c>
      <c r="I594" t="str">
        <f>"J0005764"</f>
        <v>J0005764</v>
      </c>
      <c r="J594" t="str">
        <f>""</f>
        <v/>
      </c>
      <c r="K594" t="str">
        <f t="shared" si="154"/>
        <v>J079</v>
      </c>
      <c r="L594" t="s">
        <v>2222</v>
      </c>
      <c r="M594">
        <v>494.97</v>
      </c>
    </row>
    <row r="595" spans="1:13" x14ac:dyDescent="0.25">
      <c r="A595" t="str">
        <f t="shared" si="146"/>
        <v>E217</v>
      </c>
      <c r="B595">
        <v>1</v>
      </c>
      <c r="C595" t="str">
        <f t="shared" si="153"/>
        <v>43003</v>
      </c>
      <c r="D595" t="str">
        <f t="shared" si="150"/>
        <v>5740</v>
      </c>
      <c r="E595" t="str">
        <f t="shared" si="151"/>
        <v>850LOS</v>
      </c>
      <c r="F595" t="str">
        <f>""</f>
        <v/>
      </c>
      <c r="G595" t="str">
        <f>""</f>
        <v/>
      </c>
      <c r="H595" s="1">
        <v>41541</v>
      </c>
      <c r="I595" t="str">
        <f>"J0005765"</f>
        <v>J0005765</v>
      </c>
      <c r="J595" t="str">
        <f>""</f>
        <v/>
      </c>
      <c r="K595" t="str">
        <f t="shared" si="154"/>
        <v>J079</v>
      </c>
      <c r="L595" t="s">
        <v>2221</v>
      </c>
      <c r="M595">
        <v>947.8</v>
      </c>
    </row>
    <row r="596" spans="1:13" x14ac:dyDescent="0.25">
      <c r="A596" t="str">
        <f t="shared" si="146"/>
        <v>E217</v>
      </c>
      <c r="B596">
        <v>1</v>
      </c>
      <c r="C596" t="str">
        <f t="shared" si="153"/>
        <v>43003</v>
      </c>
      <c r="D596" t="str">
        <f t="shared" si="150"/>
        <v>5740</v>
      </c>
      <c r="E596" t="str">
        <f t="shared" si="151"/>
        <v>850LOS</v>
      </c>
      <c r="F596" t="str">
        <f>""</f>
        <v/>
      </c>
      <c r="G596" t="str">
        <f>""</f>
        <v/>
      </c>
      <c r="H596" s="1">
        <v>41609</v>
      </c>
      <c r="I596" t="str">
        <f>"J0006152"</f>
        <v>J0006152</v>
      </c>
      <c r="J596" t="str">
        <f>""</f>
        <v/>
      </c>
      <c r="K596" t="str">
        <f t="shared" si="154"/>
        <v>J079</v>
      </c>
      <c r="L596" t="s">
        <v>2220</v>
      </c>
      <c r="M596">
        <v>432.38</v>
      </c>
    </row>
    <row r="597" spans="1:13" x14ac:dyDescent="0.25">
      <c r="A597" t="str">
        <f t="shared" si="146"/>
        <v>E217</v>
      </c>
      <c r="B597">
        <v>1</v>
      </c>
      <c r="C597" t="str">
        <f t="shared" si="153"/>
        <v>43003</v>
      </c>
      <c r="D597" t="str">
        <f t="shared" si="150"/>
        <v>5740</v>
      </c>
      <c r="E597" t="str">
        <f t="shared" si="151"/>
        <v>850LOS</v>
      </c>
      <c r="F597" t="str">
        <f>""</f>
        <v/>
      </c>
      <c r="G597" t="str">
        <f>""</f>
        <v/>
      </c>
      <c r="H597" s="1">
        <v>41609</v>
      </c>
      <c r="I597" t="str">
        <f>"J0006459"</f>
        <v>J0006459</v>
      </c>
      <c r="J597" t="str">
        <f>""</f>
        <v/>
      </c>
      <c r="K597" t="str">
        <f t="shared" si="154"/>
        <v>J079</v>
      </c>
      <c r="L597" t="s">
        <v>2219</v>
      </c>
      <c r="M597" s="2">
        <v>1080.1300000000001</v>
      </c>
    </row>
    <row r="598" spans="1:13" x14ac:dyDescent="0.25">
      <c r="A598" t="str">
        <f t="shared" si="146"/>
        <v>E217</v>
      </c>
      <c r="B598">
        <v>1</v>
      </c>
      <c r="C598" t="str">
        <f t="shared" si="153"/>
        <v>43003</v>
      </c>
      <c r="D598" t="str">
        <f t="shared" si="150"/>
        <v>5740</v>
      </c>
      <c r="E598" t="str">
        <f t="shared" si="151"/>
        <v>850LOS</v>
      </c>
      <c r="F598" t="str">
        <f>""</f>
        <v/>
      </c>
      <c r="G598" t="str">
        <f>""</f>
        <v/>
      </c>
      <c r="H598" s="1">
        <v>41631</v>
      </c>
      <c r="I598" t="str">
        <f>"J0006789"</f>
        <v>J0006789</v>
      </c>
      <c r="J598" t="str">
        <f>""</f>
        <v/>
      </c>
      <c r="K598" t="str">
        <f t="shared" si="154"/>
        <v>J079</v>
      </c>
      <c r="L598" t="s">
        <v>2218</v>
      </c>
      <c r="M598" s="2">
        <v>1099.8399999999999</v>
      </c>
    </row>
    <row r="599" spans="1:13" x14ac:dyDescent="0.25">
      <c r="A599" t="str">
        <f t="shared" si="146"/>
        <v>E217</v>
      </c>
      <c r="B599">
        <v>1</v>
      </c>
      <c r="C599" t="str">
        <f t="shared" si="153"/>
        <v>43003</v>
      </c>
      <c r="D599" t="str">
        <f t="shared" si="150"/>
        <v>5740</v>
      </c>
      <c r="E599" t="str">
        <f t="shared" si="151"/>
        <v>850LOS</v>
      </c>
      <c r="F599" t="str">
        <f>""</f>
        <v/>
      </c>
      <c r="G599" t="str">
        <f>""</f>
        <v/>
      </c>
      <c r="H599" s="1">
        <v>41653</v>
      </c>
      <c r="I599" t="str">
        <f>"J0006958"</f>
        <v>J0006958</v>
      </c>
      <c r="J599" t="str">
        <f>""</f>
        <v/>
      </c>
      <c r="K599" t="str">
        <f t="shared" si="154"/>
        <v>J079</v>
      </c>
      <c r="L599" t="s">
        <v>2217</v>
      </c>
      <c r="M599">
        <v>624.83000000000004</v>
      </c>
    </row>
    <row r="600" spans="1:13" x14ac:dyDescent="0.25">
      <c r="A600" t="str">
        <f t="shared" si="146"/>
        <v>E217</v>
      </c>
      <c r="B600">
        <v>1</v>
      </c>
      <c r="C600" t="str">
        <f t="shared" si="153"/>
        <v>43003</v>
      </c>
      <c r="D600" t="str">
        <f t="shared" si="150"/>
        <v>5740</v>
      </c>
      <c r="E600" t="str">
        <f t="shared" si="151"/>
        <v>850LOS</v>
      </c>
      <c r="F600" t="str">
        <f>""</f>
        <v/>
      </c>
      <c r="G600" t="str">
        <f>""</f>
        <v/>
      </c>
      <c r="H600" s="1">
        <v>41689</v>
      </c>
      <c r="I600" t="str">
        <f>"J0007378"</f>
        <v>J0007378</v>
      </c>
      <c r="J600" t="str">
        <f>""</f>
        <v/>
      </c>
      <c r="K600" t="str">
        <f t="shared" si="154"/>
        <v>J079</v>
      </c>
      <c r="L600" t="s">
        <v>2216</v>
      </c>
      <c r="M600">
        <v>890.49</v>
      </c>
    </row>
    <row r="601" spans="1:13" x14ac:dyDescent="0.25">
      <c r="A601" t="str">
        <f t="shared" si="146"/>
        <v>E217</v>
      </c>
      <c r="B601">
        <v>1</v>
      </c>
      <c r="C601" t="str">
        <f t="shared" si="153"/>
        <v>43003</v>
      </c>
      <c r="D601" t="str">
        <f t="shared" si="150"/>
        <v>5740</v>
      </c>
      <c r="E601" t="str">
        <f t="shared" si="151"/>
        <v>850LOS</v>
      </c>
      <c r="F601" t="str">
        <f>""</f>
        <v/>
      </c>
      <c r="G601" t="str">
        <f>""</f>
        <v/>
      </c>
      <c r="H601" s="1">
        <v>41725</v>
      </c>
      <c r="I601" t="str">
        <f>"J0007797"</f>
        <v>J0007797</v>
      </c>
      <c r="J601" t="str">
        <f>""</f>
        <v/>
      </c>
      <c r="K601" t="str">
        <f t="shared" si="154"/>
        <v>J079</v>
      </c>
      <c r="L601" t="s">
        <v>2215</v>
      </c>
      <c r="M601" s="2">
        <v>1039.54</v>
      </c>
    </row>
    <row r="602" spans="1:13" x14ac:dyDescent="0.25">
      <c r="A602" t="str">
        <f t="shared" si="146"/>
        <v>E217</v>
      </c>
      <c r="B602">
        <v>1</v>
      </c>
      <c r="C602" t="str">
        <f t="shared" si="153"/>
        <v>43003</v>
      </c>
      <c r="D602" t="str">
        <f t="shared" si="150"/>
        <v>5740</v>
      </c>
      <c r="E602" t="str">
        <f t="shared" si="151"/>
        <v>850LOS</v>
      </c>
      <c r="F602" t="str">
        <f>""</f>
        <v/>
      </c>
      <c r="G602" t="str">
        <f>""</f>
        <v/>
      </c>
      <c r="H602" s="1">
        <v>41759</v>
      </c>
      <c r="I602" t="str">
        <f>"J0008430"</f>
        <v>J0008430</v>
      </c>
      <c r="J602" t="str">
        <f>""</f>
        <v/>
      </c>
      <c r="K602" t="str">
        <f t="shared" si="154"/>
        <v>J079</v>
      </c>
      <c r="L602" t="s">
        <v>2214</v>
      </c>
      <c r="M602">
        <v>978.08</v>
      </c>
    </row>
    <row r="603" spans="1:13" x14ac:dyDescent="0.25">
      <c r="A603" t="str">
        <f t="shared" si="146"/>
        <v>E217</v>
      </c>
      <c r="B603">
        <v>1</v>
      </c>
      <c r="C603" t="str">
        <f t="shared" si="153"/>
        <v>43003</v>
      </c>
      <c r="D603" t="str">
        <f t="shared" si="150"/>
        <v>5740</v>
      </c>
      <c r="E603" t="str">
        <f t="shared" si="151"/>
        <v>850LOS</v>
      </c>
      <c r="F603" t="str">
        <f>""</f>
        <v/>
      </c>
      <c r="G603" t="str">
        <f>""</f>
        <v/>
      </c>
      <c r="H603" s="1">
        <v>41764</v>
      </c>
      <c r="I603" t="str">
        <f>"J0008509"</f>
        <v>J0008509</v>
      </c>
      <c r="J603" t="str">
        <f>""</f>
        <v/>
      </c>
      <c r="K603" t="str">
        <f t="shared" si="154"/>
        <v>J079</v>
      </c>
      <c r="L603" t="s">
        <v>2213</v>
      </c>
      <c r="M603" s="2">
        <v>1196.33</v>
      </c>
    </row>
    <row r="604" spans="1:13" x14ac:dyDescent="0.25">
      <c r="A604" t="str">
        <f t="shared" si="146"/>
        <v>E217</v>
      </c>
      <c r="B604">
        <v>1</v>
      </c>
      <c r="C604" t="str">
        <f t="shared" si="153"/>
        <v>43003</v>
      </c>
      <c r="D604" t="str">
        <f t="shared" si="150"/>
        <v>5740</v>
      </c>
      <c r="E604" t="str">
        <f t="shared" si="151"/>
        <v>850LOS</v>
      </c>
      <c r="F604" t="str">
        <f>""</f>
        <v/>
      </c>
      <c r="G604" t="str">
        <f>""</f>
        <v/>
      </c>
      <c r="H604" s="1">
        <v>41818</v>
      </c>
      <c r="I604" t="str">
        <f>"J0009882"</f>
        <v>J0009882</v>
      </c>
      <c r="J604" t="str">
        <f>""</f>
        <v/>
      </c>
      <c r="K604" t="str">
        <f t="shared" si="154"/>
        <v>J079</v>
      </c>
      <c r="L604" t="s">
        <v>2212</v>
      </c>
      <c r="M604" s="2">
        <v>1173.24</v>
      </c>
    </row>
    <row r="605" spans="1:13" x14ac:dyDescent="0.25">
      <c r="A605" t="str">
        <f>"E220"</f>
        <v>E220</v>
      </c>
      <c r="B605">
        <v>1</v>
      </c>
      <c r="C605" t="str">
        <f>"23275"</f>
        <v>23275</v>
      </c>
      <c r="D605" t="str">
        <f>"5620"</f>
        <v>5620</v>
      </c>
      <c r="E605" t="str">
        <f>"063STF"</f>
        <v>063STF</v>
      </c>
      <c r="F605" t="str">
        <f>""</f>
        <v/>
      </c>
      <c r="G605" t="str">
        <f>""</f>
        <v/>
      </c>
      <c r="H605" s="1">
        <v>41816</v>
      </c>
      <c r="I605" t="str">
        <f>"J0009784"</f>
        <v>J0009784</v>
      </c>
      <c r="J605" t="str">
        <f>""</f>
        <v/>
      </c>
      <c r="K605" t="str">
        <f t="shared" si="154"/>
        <v>J079</v>
      </c>
      <c r="L605" t="s">
        <v>2226</v>
      </c>
      <c r="M605" s="2">
        <v>1644.04</v>
      </c>
    </row>
    <row r="606" spans="1:13" x14ac:dyDescent="0.25">
      <c r="A606" t="str">
        <f>"E220"</f>
        <v>E220</v>
      </c>
      <c r="B606">
        <v>1</v>
      </c>
      <c r="C606" t="str">
        <f>"23275"</f>
        <v>23275</v>
      </c>
      <c r="D606" t="str">
        <f>"5620"</f>
        <v>5620</v>
      </c>
      <c r="E606" t="str">
        <f>"063STF"</f>
        <v>063STF</v>
      </c>
      <c r="F606" t="str">
        <f>""</f>
        <v/>
      </c>
      <c r="G606" t="str">
        <f>""</f>
        <v/>
      </c>
      <c r="H606" s="1">
        <v>41820</v>
      </c>
      <c r="I606" t="str">
        <f>"J0010267"</f>
        <v>J0010267</v>
      </c>
      <c r="J606" t="str">
        <f>""</f>
        <v/>
      </c>
      <c r="K606" t="str">
        <f>"J096"</f>
        <v>J096</v>
      </c>
      <c r="L606" t="s">
        <v>2338</v>
      </c>
      <c r="M606">
        <v>196</v>
      </c>
    </row>
    <row r="607" spans="1:13" x14ac:dyDescent="0.25">
      <c r="A607" t="str">
        <f>"E220"</f>
        <v>E220</v>
      </c>
      <c r="B607">
        <v>1</v>
      </c>
      <c r="C607" t="str">
        <f>"23275"</f>
        <v>23275</v>
      </c>
      <c r="D607" t="str">
        <f>"5741"</f>
        <v>5741</v>
      </c>
      <c r="E607" t="str">
        <f>"063STF"</f>
        <v>063STF</v>
      </c>
      <c r="F607" t="str">
        <f>""</f>
        <v/>
      </c>
      <c r="G607" t="str">
        <f>""</f>
        <v/>
      </c>
      <c r="H607" s="1">
        <v>41699</v>
      </c>
      <c r="I607" t="str">
        <f>"J0007470"</f>
        <v>J0007470</v>
      </c>
      <c r="J607" t="str">
        <f>""</f>
        <v/>
      </c>
      <c r="K607" t="str">
        <f>"J096"</f>
        <v>J096</v>
      </c>
      <c r="L607" t="s">
        <v>2337</v>
      </c>
      <c r="M607" s="2">
        <v>1644.04</v>
      </c>
    </row>
    <row r="608" spans="1:13" x14ac:dyDescent="0.25">
      <c r="A608" t="str">
        <f>"E222"</f>
        <v>E222</v>
      </c>
      <c r="B608">
        <v>1</v>
      </c>
      <c r="C608" t="str">
        <f>"10200"</f>
        <v>10200</v>
      </c>
      <c r="D608" t="str">
        <f>"5620"</f>
        <v>5620</v>
      </c>
      <c r="E608" t="str">
        <f>"094OMS"</f>
        <v>094OMS</v>
      </c>
      <c r="F608" t="str">
        <f>""</f>
        <v/>
      </c>
      <c r="G608" t="str">
        <f>""</f>
        <v/>
      </c>
      <c r="H608" s="1">
        <v>41782</v>
      </c>
      <c r="I608" t="str">
        <f>"10856C"</f>
        <v>10856C</v>
      </c>
      <c r="J608" t="str">
        <f>"N210971A"</f>
        <v>N210971A</v>
      </c>
      <c r="K608" t="str">
        <f>"INEI"</f>
        <v>INEI</v>
      </c>
      <c r="L608" t="s">
        <v>1996</v>
      </c>
      <c r="M608" s="2">
        <v>2663.15</v>
      </c>
    </row>
    <row r="609" spans="1:13" x14ac:dyDescent="0.25">
      <c r="A609" t="str">
        <f>"E222"</f>
        <v>E222</v>
      </c>
      <c r="B609">
        <v>1</v>
      </c>
      <c r="C609" t="str">
        <f>"43007"</f>
        <v>43007</v>
      </c>
      <c r="D609" t="str">
        <f>"5620"</f>
        <v>5620</v>
      </c>
      <c r="E609" t="str">
        <f>"850PKE"</f>
        <v>850PKE</v>
      </c>
      <c r="F609" t="str">
        <f>""</f>
        <v/>
      </c>
      <c r="G609" t="str">
        <f>""</f>
        <v/>
      </c>
      <c r="H609" s="1">
        <v>41820</v>
      </c>
      <c r="I609" t="str">
        <f>"J0010502"</f>
        <v>J0010502</v>
      </c>
      <c r="J609" t="str">
        <f>""</f>
        <v/>
      </c>
      <c r="K609" t="str">
        <f>"J079"</f>
        <v>J079</v>
      </c>
      <c r="L609" t="s">
        <v>2209</v>
      </c>
      <c r="M609" s="2">
        <v>1229.8599999999999</v>
      </c>
    </row>
    <row r="610" spans="1:13" x14ac:dyDescent="0.25">
      <c r="A610" t="str">
        <f>"E222"</f>
        <v>E222</v>
      </c>
      <c r="B610">
        <v>1</v>
      </c>
      <c r="C610" t="str">
        <f>"43007"</f>
        <v>43007</v>
      </c>
      <c r="D610" t="str">
        <f>"5740"</f>
        <v>5740</v>
      </c>
      <c r="E610" t="str">
        <f>"850PKE"</f>
        <v>850PKE</v>
      </c>
      <c r="F610" t="str">
        <f>""</f>
        <v/>
      </c>
      <c r="G610" t="str">
        <f>""</f>
        <v/>
      </c>
      <c r="H610" s="1">
        <v>41820</v>
      </c>
      <c r="I610" t="str">
        <f>"I0110032"</f>
        <v>I0110032</v>
      </c>
      <c r="J610" t="str">
        <f>"F210975"</f>
        <v>F210975</v>
      </c>
      <c r="K610" t="str">
        <f>"INEI"</f>
        <v>INEI</v>
      </c>
      <c r="L610" t="s">
        <v>229</v>
      </c>
      <c r="M610" s="2">
        <v>1229.8599999999999</v>
      </c>
    </row>
    <row r="611" spans="1:13" x14ac:dyDescent="0.25">
      <c r="A611" t="str">
        <f t="shared" ref="A611:A631" si="155">"E230"</f>
        <v>E230</v>
      </c>
      <c r="B611">
        <v>1</v>
      </c>
      <c r="C611" t="str">
        <f t="shared" ref="C611:C618" si="156">"10200"</f>
        <v>10200</v>
      </c>
      <c r="D611" t="str">
        <f t="shared" ref="D611:D619" si="157">"5620"</f>
        <v>5620</v>
      </c>
      <c r="E611" t="str">
        <f t="shared" ref="E611:E618" si="158">"094OMS"</f>
        <v>094OMS</v>
      </c>
      <c r="F611" t="str">
        <f>""</f>
        <v/>
      </c>
      <c r="G611" t="str">
        <f>""</f>
        <v/>
      </c>
      <c r="H611" s="1">
        <v>41516</v>
      </c>
      <c r="I611" t="str">
        <f>"PCD00615"</f>
        <v>PCD00615</v>
      </c>
      <c r="J611" t="str">
        <f>"198684"</f>
        <v>198684</v>
      </c>
      <c r="K611" t="str">
        <f>"AS89"</f>
        <v>AS89</v>
      </c>
      <c r="L611" t="s">
        <v>2336</v>
      </c>
      <c r="M611">
        <v>288</v>
      </c>
    </row>
    <row r="612" spans="1:13" x14ac:dyDescent="0.25">
      <c r="A612" t="str">
        <f t="shared" si="155"/>
        <v>E230</v>
      </c>
      <c r="B612">
        <v>1</v>
      </c>
      <c r="C612" t="str">
        <f t="shared" si="156"/>
        <v>10200</v>
      </c>
      <c r="D612" t="str">
        <f t="shared" si="157"/>
        <v>5620</v>
      </c>
      <c r="E612" t="str">
        <f t="shared" si="158"/>
        <v>094OMS</v>
      </c>
      <c r="F612" t="str">
        <f>""</f>
        <v/>
      </c>
      <c r="G612" t="str">
        <f>""</f>
        <v/>
      </c>
      <c r="H612" s="1">
        <v>41516</v>
      </c>
      <c r="I612" t="str">
        <f>"PCD00615"</f>
        <v>PCD00615</v>
      </c>
      <c r="J612" t="str">
        <f>"199121"</f>
        <v>199121</v>
      </c>
      <c r="K612" t="str">
        <f>"AS89"</f>
        <v>AS89</v>
      </c>
      <c r="L612" t="s">
        <v>2335</v>
      </c>
      <c r="M612">
        <v>280.10000000000002</v>
      </c>
    </row>
    <row r="613" spans="1:13" x14ac:dyDescent="0.25">
      <c r="A613" t="str">
        <f t="shared" si="155"/>
        <v>E230</v>
      </c>
      <c r="B613">
        <v>1</v>
      </c>
      <c r="C613" t="str">
        <f t="shared" si="156"/>
        <v>10200</v>
      </c>
      <c r="D613" t="str">
        <f t="shared" si="157"/>
        <v>5620</v>
      </c>
      <c r="E613" t="str">
        <f t="shared" si="158"/>
        <v>094OMS</v>
      </c>
      <c r="F613" t="str">
        <f>""</f>
        <v/>
      </c>
      <c r="G613" t="str">
        <f>""</f>
        <v/>
      </c>
      <c r="H613" s="1">
        <v>41555</v>
      </c>
      <c r="I613" t="str">
        <f>"210992"</f>
        <v>210992</v>
      </c>
      <c r="J613" t="str">
        <f>""</f>
        <v/>
      </c>
      <c r="K613" t="str">
        <f>"INNI"</f>
        <v>INNI</v>
      </c>
      <c r="L613" t="s">
        <v>2330</v>
      </c>
      <c r="M613">
        <v>423.93</v>
      </c>
    </row>
    <row r="614" spans="1:13" x14ac:dyDescent="0.25">
      <c r="A614" t="str">
        <f t="shared" si="155"/>
        <v>E230</v>
      </c>
      <c r="B614">
        <v>1</v>
      </c>
      <c r="C614" t="str">
        <f t="shared" si="156"/>
        <v>10200</v>
      </c>
      <c r="D614" t="str">
        <f t="shared" si="157"/>
        <v>5620</v>
      </c>
      <c r="E614" t="str">
        <f t="shared" si="158"/>
        <v>094OMS</v>
      </c>
      <c r="F614" t="str">
        <f>""</f>
        <v/>
      </c>
      <c r="G614" t="str">
        <f>""</f>
        <v/>
      </c>
      <c r="H614" s="1">
        <v>41555</v>
      </c>
      <c r="I614" t="str">
        <f>"210992A"</f>
        <v>210992A</v>
      </c>
      <c r="J614" t="str">
        <f>""</f>
        <v/>
      </c>
      <c r="K614" t="str">
        <f>"INNI"</f>
        <v>INNI</v>
      </c>
      <c r="L614" t="s">
        <v>2330</v>
      </c>
      <c r="M614" s="2">
        <v>1050.04</v>
      </c>
    </row>
    <row r="615" spans="1:13" x14ac:dyDescent="0.25">
      <c r="A615" t="str">
        <f t="shared" si="155"/>
        <v>E230</v>
      </c>
      <c r="B615">
        <v>1</v>
      </c>
      <c r="C615" t="str">
        <f t="shared" si="156"/>
        <v>10200</v>
      </c>
      <c r="D615" t="str">
        <f t="shared" si="157"/>
        <v>5620</v>
      </c>
      <c r="E615" t="str">
        <f t="shared" si="158"/>
        <v>094OMS</v>
      </c>
      <c r="F615" t="str">
        <f>""</f>
        <v/>
      </c>
      <c r="G615" t="str">
        <f>""</f>
        <v/>
      </c>
      <c r="H615" s="1">
        <v>41578</v>
      </c>
      <c r="I615" t="str">
        <f>"PCD00626"</f>
        <v>PCD00626</v>
      </c>
      <c r="J615" t="str">
        <f>"203354"</f>
        <v>203354</v>
      </c>
      <c r="K615" t="str">
        <f>"AS89"</f>
        <v>AS89</v>
      </c>
      <c r="L615" t="s">
        <v>2334</v>
      </c>
      <c r="M615">
        <v>486.95</v>
      </c>
    </row>
    <row r="616" spans="1:13" x14ac:dyDescent="0.25">
      <c r="A616" t="str">
        <f t="shared" si="155"/>
        <v>E230</v>
      </c>
      <c r="B616">
        <v>1</v>
      </c>
      <c r="C616" t="str">
        <f t="shared" si="156"/>
        <v>10200</v>
      </c>
      <c r="D616" t="str">
        <f t="shared" si="157"/>
        <v>5620</v>
      </c>
      <c r="E616" t="str">
        <f t="shared" si="158"/>
        <v>094OMS</v>
      </c>
      <c r="F616" t="str">
        <f>""</f>
        <v/>
      </c>
      <c r="G616" t="str">
        <f>""</f>
        <v/>
      </c>
      <c r="H616" s="1">
        <v>41759</v>
      </c>
      <c r="I616" t="str">
        <f>"PCD00660"</f>
        <v>PCD00660</v>
      </c>
      <c r="J616" t="str">
        <f>""</f>
        <v/>
      </c>
      <c r="K616" t="str">
        <f>"AS89"</f>
        <v>AS89</v>
      </c>
      <c r="L616" t="s">
        <v>2333</v>
      </c>
      <c r="M616">
        <v>873.95</v>
      </c>
    </row>
    <row r="617" spans="1:13" x14ac:dyDescent="0.25">
      <c r="A617" t="str">
        <f t="shared" si="155"/>
        <v>E230</v>
      </c>
      <c r="B617">
        <v>1</v>
      </c>
      <c r="C617" t="str">
        <f t="shared" si="156"/>
        <v>10200</v>
      </c>
      <c r="D617" t="str">
        <f t="shared" si="157"/>
        <v>5620</v>
      </c>
      <c r="E617" t="str">
        <f t="shared" si="158"/>
        <v>094OMS</v>
      </c>
      <c r="F617" t="str">
        <f>""</f>
        <v/>
      </c>
      <c r="G617" t="str">
        <f>""</f>
        <v/>
      </c>
      <c r="H617" s="1">
        <v>41759</v>
      </c>
      <c r="I617" t="str">
        <f>"PCD00660"</f>
        <v>PCD00660</v>
      </c>
      <c r="J617" t="str">
        <f>""</f>
        <v/>
      </c>
      <c r="K617" t="str">
        <f>"AS89"</f>
        <v>AS89</v>
      </c>
      <c r="L617" t="s">
        <v>2332</v>
      </c>
      <c r="M617">
        <v>102.62</v>
      </c>
    </row>
    <row r="618" spans="1:13" x14ac:dyDescent="0.25">
      <c r="A618" t="str">
        <f t="shared" si="155"/>
        <v>E230</v>
      </c>
      <c r="B618">
        <v>1</v>
      </c>
      <c r="C618" t="str">
        <f t="shared" si="156"/>
        <v>10200</v>
      </c>
      <c r="D618" t="str">
        <f t="shared" si="157"/>
        <v>5620</v>
      </c>
      <c r="E618" t="str">
        <f t="shared" si="158"/>
        <v>094OMS</v>
      </c>
      <c r="F618" t="str">
        <f>""</f>
        <v/>
      </c>
      <c r="G618" t="str">
        <f>""</f>
        <v/>
      </c>
      <c r="H618" s="1">
        <v>41820</v>
      </c>
      <c r="I618" t="str">
        <f>"220955"</f>
        <v>220955</v>
      </c>
      <c r="J618" t="str">
        <f>""</f>
        <v/>
      </c>
      <c r="K618" t="str">
        <f>"INNI"</f>
        <v>INNI</v>
      </c>
      <c r="L618" t="s">
        <v>92</v>
      </c>
      <c r="M618" s="2">
        <v>1230.8499999999999</v>
      </c>
    </row>
    <row r="619" spans="1:13" x14ac:dyDescent="0.25">
      <c r="A619" t="str">
        <f t="shared" si="155"/>
        <v>E230</v>
      </c>
      <c r="B619">
        <v>1</v>
      </c>
      <c r="C619" t="str">
        <f t="shared" ref="C619:C624" si="159">"23275"</f>
        <v>23275</v>
      </c>
      <c r="D619" t="str">
        <f t="shared" si="157"/>
        <v>5620</v>
      </c>
      <c r="E619" t="str">
        <f t="shared" ref="E619:E624" si="160">"063STF"</f>
        <v>063STF</v>
      </c>
      <c r="F619" t="str">
        <f>""</f>
        <v/>
      </c>
      <c r="G619" t="str">
        <f>""</f>
        <v/>
      </c>
      <c r="H619" s="1">
        <v>41816</v>
      </c>
      <c r="I619" t="str">
        <f>"J0009784"</f>
        <v>J0009784</v>
      </c>
      <c r="J619" t="str">
        <f>""</f>
        <v/>
      </c>
      <c r="K619" t="str">
        <f>"J079"</f>
        <v>J079</v>
      </c>
      <c r="L619" t="s">
        <v>2226</v>
      </c>
      <c r="M619" s="2">
        <v>18064.96</v>
      </c>
    </row>
    <row r="620" spans="1:13" x14ac:dyDescent="0.25">
      <c r="A620" t="str">
        <f t="shared" si="155"/>
        <v>E230</v>
      </c>
      <c r="B620">
        <v>1</v>
      </c>
      <c r="C620" t="str">
        <f t="shared" si="159"/>
        <v>23275</v>
      </c>
      <c r="D620" t="str">
        <f>"5741"</f>
        <v>5741</v>
      </c>
      <c r="E620" t="str">
        <f t="shared" si="160"/>
        <v>063STF</v>
      </c>
      <c r="F620" t="str">
        <f>""</f>
        <v/>
      </c>
      <c r="G620" t="str">
        <f>""</f>
        <v/>
      </c>
      <c r="H620" s="1">
        <v>41569</v>
      </c>
      <c r="I620" t="str">
        <f>"00008527"</f>
        <v>00008527</v>
      </c>
      <c r="J620" t="str">
        <f>"N132870D"</f>
        <v>N132870D</v>
      </c>
      <c r="K620" t="str">
        <f>"INEI"</f>
        <v>INEI</v>
      </c>
      <c r="L620" t="s">
        <v>1994</v>
      </c>
      <c r="M620" s="2">
        <v>5497.37</v>
      </c>
    </row>
    <row r="621" spans="1:13" x14ac:dyDescent="0.25">
      <c r="A621" t="str">
        <f t="shared" si="155"/>
        <v>E230</v>
      </c>
      <c r="B621">
        <v>1</v>
      </c>
      <c r="C621" t="str">
        <f t="shared" si="159"/>
        <v>23275</v>
      </c>
      <c r="D621" t="str">
        <f>"5741"</f>
        <v>5741</v>
      </c>
      <c r="E621" t="str">
        <f t="shared" si="160"/>
        <v>063STF</v>
      </c>
      <c r="F621" t="str">
        <f>""</f>
        <v/>
      </c>
      <c r="G621" t="str">
        <f>""</f>
        <v/>
      </c>
      <c r="H621" s="1">
        <v>41617</v>
      </c>
      <c r="I621" t="str">
        <f>"00008553"</f>
        <v>00008553</v>
      </c>
      <c r="J621" t="str">
        <f>"N132870D"</f>
        <v>N132870D</v>
      </c>
      <c r="K621" t="str">
        <f>"INEI"</f>
        <v>INEI</v>
      </c>
      <c r="L621" t="s">
        <v>1994</v>
      </c>
      <c r="M621" s="2">
        <v>3178.54</v>
      </c>
    </row>
    <row r="622" spans="1:13" x14ac:dyDescent="0.25">
      <c r="A622" t="str">
        <f t="shared" si="155"/>
        <v>E230</v>
      </c>
      <c r="B622">
        <v>1</v>
      </c>
      <c r="C622" t="str">
        <f t="shared" si="159"/>
        <v>23275</v>
      </c>
      <c r="D622" t="str">
        <f>"5741"</f>
        <v>5741</v>
      </c>
      <c r="E622" t="str">
        <f t="shared" si="160"/>
        <v>063STF</v>
      </c>
      <c r="F622" t="str">
        <f>""</f>
        <v/>
      </c>
      <c r="G622" t="str">
        <f>""</f>
        <v/>
      </c>
      <c r="H622" s="1">
        <v>41702</v>
      </c>
      <c r="I622" t="str">
        <f>"00008617"</f>
        <v>00008617</v>
      </c>
      <c r="J622" t="str">
        <f>"N132870D"</f>
        <v>N132870D</v>
      </c>
      <c r="K622" t="str">
        <f>"INEI"</f>
        <v>INEI</v>
      </c>
      <c r="L622" t="s">
        <v>1994</v>
      </c>
      <c r="M622" s="2">
        <v>3958.14</v>
      </c>
    </row>
    <row r="623" spans="1:13" x14ac:dyDescent="0.25">
      <c r="A623" t="str">
        <f t="shared" si="155"/>
        <v>E230</v>
      </c>
      <c r="B623">
        <v>1</v>
      </c>
      <c r="C623" t="str">
        <f t="shared" si="159"/>
        <v>23275</v>
      </c>
      <c r="D623" t="str">
        <f>"5741"</f>
        <v>5741</v>
      </c>
      <c r="E623" t="str">
        <f t="shared" si="160"/>
        <v>063STF</v>
      </c>
      <c r="F623" t="str">
        <f>""</f>
        <v/>
      </c>
      <c r="G623" t="str">
        <f>""</f>
        <v/>
      </c>
      <c r="H623" s="1">
        <v>41751</v>
      </c>
      <c r="I623" t="str">
        <f>"00008664"</f>
        <v>00008664</v>
      </c>
      <c r="J623" t="str">
        <f>"N132870D"</f>
        <v>N132870D</v>
      </c>
      <c r="K623" t="str">
        <f>"INEI"</f>
        <v>INEI</v>
      </c>
      <c r="L623" t="s">
        <v>1994</v>
      </c>
      <c r="M623" s="2">
        <v>2926.17</v>
      </c>
    </row>
    <row r="624" spans="1:13" x14ac:dyDescent="0.25">
      <c r="A624" t="str">
        <f t="shared" si="155"/>
        <v>E230</v>
      </c>
      <c r="B624">
        <v>1</v>
      </c>
      <c r="C624" t="str">
        <f t="shared" si="159"/>
        <v>23275</v>
      </c>
      <c r="D624" t="str">
        <f>"5741"</f>
        <v>5741</v>
      </c>
      <c r="E624" t="str">
        <f t="shared" si="160"/>
        <v>063STF</v>
      </c>
      <c r="F624" t="str">
        <f>""</f>
        <v/>
      </c>
      <c r="G624" t="str">
        <f>""</f>
        <v/>
      </c>
      <c r="H624" s="1">
        <v>41751</v>
      </c>
      <c r="I624" t="str">
        <f>"00008665"</f>
        <v>00008665</v>
      </c>
      <c r="J624" t="str">
        <f>"N132870D"</f>
        <v>N132870D</v>
      </c>
      <c r="K624" t="str">
        <f>"INEI"</f>
        <v>INEI</v>
      </c>
      <c r="L624" t="s">
        <v>1994</v>
      </c>
      <c r="M624" s="2">
        <v>2504.7399999999998</v>
      </c>
    </row>
    <row r="625" spans="1:13" x14ac:dyDescent="0.25">
      <c r="A625" t="str">
        <f t="shared" si="155"/>
        <v>E230</v>
      </c>
      <c r="B625">
        <v>1</v>
      </c>
      <c r="C625" t="str">
        <f t="shared" ref="C625:C631" si="161">"43000"</f>
        <v>43000</v>
      </c>
      <c r="D625" t="str">
        <f>"5620"</f>
        <v>5620</v>
      </c>
      <c r="E625" t="str">
        <f>"850LOS"</f>
        <v>850LOS</v>
      </c>
      <c r="F625" t="str">
        <f>""</f>
        <v/>
      </c>
      <c r="G625" t="str">
        <f>""</f>
        <v/>
      </c>
      <c r="H625" s="1">
        <v>41803</v>
      </c>
      <c r="I625" t="str">
        <f>"218298"</f>
        <v>218298</v>
      </c>
      <c r="J625" t="str">
        <f>""</f>
        <v/>
      </c>
      <c r="K625" t="str">
        <f>"INNI"</f>
        <v>INNI</v>
      </c>
      <c r="L625" t="s">
        <v>1818</v>
      </c>
      <c r="M625" s="2">
        <v>2725.08</v>
      </c>
    </row>
    <row r="626" spans="1:13" x14ac:dyDescent="0.25">
      <c r="A626" t="str">
        <f t="shared" si="155"/>
        <v>E230</v>
      </c>
      <c r="B626">
        <v>1</v>
      </c>
      <c r="C626" t="str">
        <f t="shared" si="161"/>
        <v>43000</v>
      </c>
      <c r="D626" t="str">
        <f t="shared" ref="D626:D631" si="162">"5740"</f>
        <v>5740</v>
      </c>
      <c r="E626" t="str">
        <f t="shared" ref="E626:E631" si="163">"850PKE"</f>
        <v>850PKE</v>
      </c>
      <c r="F626" t="str">
        <f>""</f>
        <v/>
      </c>
      <c r="G626" t="str">
        <f>""</f>
        <v/>
      </c>
      <c r="H626" s="1">
        <v>41518</v>
      </c>
      <c r="I626" t="str">
        <f>"PHY00615"</f>
        <v>PHY00615</v>
      </c>
      <c r="J626" t="str">
        <f>"W0117635"</f>
        <v>W0117635</v>
      </c>
      <c r="K626" t="str">
        <f>"AS89"</f>
        <v>AS89</v>
      </c>
      <c r="L626" t="s">
        <v>2331</v>
      </c>
      <c r="M626" s="2">
        <v>1809.57</v>
      </c>
    </row>
    <row r="627" spans="1:13" x14ac:dyDescent="0.25">
      <c r="A627" t="str">
        <f t="shared" si="155"/>
        <v>E230</v>
      </c>
      <c r="B627">
        <v>1</v>
      </c>
      <c r="C627" t="str">
        <f t="shared" si="161"/>
        <v>43000</v>
      </c>
      <c r="D627" t="str">
        <f t="shared" si="162"/>
        <v>5740</v>
      </c>
      <c r="E627" t="str">
        <f t="shared" si="163"/>
        <v>850PKE</v>
      </c>
      <c r="F627" t="str">
        <f>""</f>
        <v/>
      </c>
      <c r="G627" t="str">
        <f>""</f>
        <v/>
      </c>
      <c r="H627" s="1">
        <v>41548</v>
      </c>
      <c r="I627" t="str">
        <f>"PHY00617"</f>
        <v>PHY00617</v>
      </c>
      <c r="J627" t="str">
        <f>"W0117635"</f>
        <v>W0117635</v>
      </c>
      <c r="K627" t="str">
        <f>"AS89"</f>
        <v>AS89</v>
      </c>
      <c r="L627" t="s">
        <v>2331</v>
      </c>
      <c r="M627">
        <v>309.18</v>
      </c>
    </row>
    <row r="628" spans="1:13" x14ac:dyDescent="0.25">
      <c r="A628" t="str">
        <f t="shared" si="155"/>
        <v>E230</v>
      </c>
      <c r="B628">
        <v>1</v>
      </c>
      <c r="C628" t="str">
        <f t="shared" si="161"/>
        <v>43000</v>
      </c>
      <c r="D628" t="str">
        <f t="shared" si="162"/>
        <v>5740</v>
      </c>
      <c r="E628" t="str">
        <f t="shared" si="163"/>
        <v>850PKE</v>
      </c>
      <c r="F628" t="str">
        <f>""</f>
        <v/>
      </c>
      <c r="G628" t="str">
        <f>""</f>
        <v/>
      </c>
      <c r="H628" s="1">
        <v>41555</v>
      </c>
      <c r="I628" t="str">
        <f>"210992B"</f>
        <v>210992B</v>
      </c>
      <c r="J628" t="str">
        <f>""</f>
        <v/>
      </c>
      <c r="K628" t="str">
        <f>"INNI"</f>
        <v>INNI</v>
      </c>
      <c r="L628" t="s">
        <v>2330</v>
      </c>
      <c r="M628">
        <v>873.95</v>
      </c>
    </row>
    <row r="629" spans="1:13" x14ac:dyDescent="0.25">
      <c r="A629" t="str">
        <f t="shared" si="155"/>
        <v>E230</v>
      </c>
      <c r="B629">
        <v>1</v>
      </c>
      <c r="C629" t="str">
        <f t="shared" si="161"/>
        <v>43000</v>
      </c>
      <c r="D629" t="str">
        <f t="shared" si="162"/>
        <v>5740</v>
      </c>
      <c r="E629" t="str">
        <f t="shared" si="163"/>
        <v>850PKE</v>
      </c>
      <c r="F629" t="str">
        <f>""</f>
        <v/>
      </c>
      <c r="G629" t="str">
        <f>""</f>
        <v/>
      </c>
      <c r="H629" s="1">
        <v>41648</v>
      </c>
      <c r="I629" t="str">
        <f>"218279"</f>
        <v>218279</v>
      </c>
      <c r="J629" t="str">
        <f>""</f>
        <v/>
      </c>
      <c r="K629" t="str">
        <f>"INNI"</f>
        <v>INNI</v>
      </c>
      <c r="L629" t="s">
        <v>1818</v>
      </c>
      <c r="M629" s="2">
        <v>1977.13</v>
      </c>
    </row>
    <row r="630" spans="1:13" x14ac:dyDescent="0.25">
      <c r="A630" t="str">
        <f t="shared" si="155"/>
        <v>E230</v>
      </c>
      <c r="B630">
        <v>1</v>
      </c>
      <c r="C630" t="str">
        <f t="shared" si="161"/>
        <v>43000</v>
      </c>
      <c r="D630" t="str">
        <f t="shared" si="162"/>
        <v>5740</v>
      </c>
      <c r="E630" t="str">
        <f t="shared" si="163"/>
        <v>850PKE</v>
      </c>
      <c r="F630" t="str">
        <f>""</f>
        <v/>
      </c>
      <c r="G630" t="str">
        <f>""</f>
        <v/>
      </c>
      <c r="H630" s="1">
        <v>41655</v>
      </c>
      <c r="I630" t="str">
        <f>"218278"</f>
        <v>218278</v>
      </c>
      <c r="J630" t="str">
        <f>""</f>
        <v/>
      </c>
      <c r="K630" t="str">
        <f>"INNI"</f>
        <v>INNI</v>
      </c>
      <c r="L630" t="s">
        <v>2330</v>
      </c>
      <c r="M630">
        <v>909.28</v>
      </c>
    </row>
    <row r="631" spans="1:13" x14ac:dyDescent="0.25">
      <c r="A631" t="str">
        <f t="shared" si="155"/>
        <v>E230</v>
      </c>
      <c r="B631">
        <v>1</v>
      </c>
      <c r="C631" t="str">
        <f t="shared" si="161"/>
        <v>43000</v>
      </c>
      <c r="D631" t="str">
        <f t="shared" si="162"/>
        <v>5740</v>
      </c>
      <c r="E631" t="str">
        <f t="shared" si="163"/>
        <v>850PKE</v>
      </c>
      <c r="F631" t="str">
        <f>""</f>
        <v/>
      </c>
      <c r="G631" t="str">
        <f>""</f>
        <v/>
      </c>
      <c r="H631" s="1">
        <v>41671</v>
      </c>
      <c r="I631" t="str">
        <f>"PHY00625"</f>
        <v>PHY00625</v>
      </c>
      <c r="J631" t="str">
        <f>"W0123937"</f>
        <v>W0123937</v>
      </c>
      <c r="K631" t="str">
        <f t="shared" ref="K631:K644" si="164">"AS89"</f>
        <v>AS89</v>
      </c>
      <c r="L631" t="s">
        <v>2329</v>
      </c>
      <c r="M631">
        <v>869.51</v>
      </c>
    </row>
    <row r="632" spans="1:13" x14ac:dyDescent="0.25">
      <c r="A632" t="str">
        <f t="shared" ref="A632:A674" si="165">"E231"</f>
        <v>E231</v>
      </c>
      <c r="B632">
        <v>1</v>
      </c>
      <c r="C632" t="str">
        <f t="shared" ref="C632:C643" si="166">"10200"</f>
        <v>10200</v>
      </c>
      <c r="D632" t="str">
        <f t="shared" ref="D632:D646" si="167">"5620"</f>
        <v>5620</v>
      </c>
      <c r="E632" t="str">
        <f t="shared" ref="E632:E643" si="168">"094OMS"</f>
        <v>094OMS</v>
      </c>
      <c r="F632" t="str">
        <f>""</f>
        <v/>
      </c>
      <c r="G632" t="str">
        <f>""</f>
        <v/>
      </c>
      <c r="H632" s="1">
        <v>41486</v>
      </c>
      <c r="I632" t="str">
        <f>"MPG00429"</f>
        <v>MPG00429</v>
      </c>
      <c r="J632" t="str">
        <f t="shared" ref="J632:J644" si="169">"0"</f>
        <v>0</v>
      </c>
      <c r="K632" t="str">
        <f t="shared" si="164"/>
        <v>AS89</v>
      </c>
      <c r="L632" t="s">
        <v>2328</v>
      </c>
      <c r="M632" s="2">
        <v>2081.36</v>
      </c>
    </row>
    <row r="633" spans="1:13" x14ac:dyDescent="0.25">
      <c r="A633" t="str">
        <f t="shared" si="165"/>
        <v>E231</v>
      </c>
      <c r="B633">
        <v>1</v>
      </c>
      <c r="C633" t="str">
        <f t="shared" si="166"/>
        <v>10200</v>
      </c>
      <c r="D633" t="str">
        <f t="shared" si="167"/>
        <v>5620</v>
      </c>
      <c r="E633" t="str">
        <f t="shared" si="168"/>
        <v>094OMS</v>
      </c>
      <c r="F633" t="str">
        <f>""</f>
        <v/>
      </c>
      <c r="G633" t="str">
        <f>""</f>
        <v/>
      </c>
      <c r="H633" s="1">
        <v>41517</v>
      </c>
      <c r="I633" t="str">
        <f>"MPG00430"</f>
        <v>MPG00430</v>
      </c>
      <c r="J633" t="str">
        <f t="shared" si="169"/>
        <v>0</v>
      </c>
      <c r="K633" t="str">
        <f t="shared" si="164"/>
        <v>AS89</v>
      </c>
      <c r="L633" t="s">
        <v>2327</v>
      </c>
      <c r="M633" s="2">
        <v>1931.56</v>
      </c>
    </row>
    <row r="634" spans="1:13" x14ac:dyDescent="0.25">
      <c r="A634" t="str">
        <f t="shared" si="165"/>
        <v>E231</v>
      </c>
      <c r="B634">
        <v>1</v>
      </c>
      <c r="C634" t="str">
        <f t="shared" si="166"/>
        <v>10200</v>
      </c>
      <c r="D634" t="str">
        <f t="shared" si="167"/>
        <v>5620</v>
      </c>
      <c r="E634" t="str">
        <f t="shared" si="168"/>
        <v>094OMS</v>
      </c>
      <c r="F634" t="str">
        <f>""</f>
        <v/>
      </c>
      <c r="G634" t="str">
        <f>""</f>
        <v/>
      </c>
      <c r="H634" s="1">
        <v>41547</v>
      </c>
      <c r="I634" t="str">
        <f>"MPG00431"</f>
        <v>MPG00431</v>
      </c>
      <c r="J634" t="str">
        <f t="shared" si="169"/>
        <v>0</v>
      </c>
      <c r="K634" t="str">
        <f t="shared" si="164"/>
        <v>AS89</v>
      </c>
      <c r="L634" t="s">
        <v>2326</v>
      </c>
      <c r="M634" s="2">
        <v>2488.8200000000002</v>
      </c>
    </row>
    <row r="635" spans="1:13" x14ac:dyDescent="0.25">
      <c r="A635" t="str">
        <f t="shared" si="165"/>
        <v>E231</v>
      </c>
      <c r="B635">
        <v>1</v>
      </c>
      <c r="C635" t="str">
        <f t="shared" si="166"/>
        <v>10200</v>
      </c>
      <c r="D635" t="str">
        <f t="shared" si="167"/>
        <v>5620</v>
      </c>
      <c r="E635" t="str">
        <f t="shared" si="168"/>
        <v>094OMS</v>
      </c>
      <c r="F635" t="str">
        <f>""</f>
        <v/>
      </c>
      <c r="G635" t="str">
        <f>""</f>
        <v/>
      </c>
      <c r="H635" s="1">
        <v>41578</v>
      </c>
      <c r="I635" t="str">
        <f>"MPG00432"</f>
        <v>MPG00432</v>
      </c>
      <c r="J635" t="str">
        <f t="shared" si="169"/>
        <v>0</v>
      </c>
      <c r="K635" t="str">
        <f t="shared" si="164"/>
        <v>AS89</v>
      </c>
      <c r="L635" t="s">
        <v>2325</v>
      </c>
      <c r="M635" s="2">
        <v>2759.32</v>
      </c>
    </row>
    <row r="636" spans="1:13" x14ac:dyDescent="0.25">
      <c r="A636" t="str">
        <f t="shared" si="165"/>
        <v>E231</v>
      </c>
      <c r="B636">
        <v>1</v>
      </c>
      <c r="C636" t="str">
        <f t="shared" si="166"/>
        <v>10200</v>
      </c>
      <c r="D636" t="str">
        <f t="shared" si="167"/>
        <v>5620</v>
      </c>
      <c r="E636" t="str">
        <f t="shared" si="168"/>
        <v>094OMS</v>
      </c>
      <c r="F636" t="str">
        <f>""</f>
        <v/>
      </c>
      <c r="G636" t="str">
        <f>""</f>
        <v/>
      </c>
      <c r="H636" s="1">
        <v>41608</v>
      </c>
      <c r="I636" t="str">
        <f>"MPG00433"</f>
        <v>MPG00433</v>
      </c>
      <c r="J636" t="str">
        <f t="shared" si="169"/>
        <v>0</v>
      </c>
      <c r="K636" t="str">
        <f t="shared" si="164"/>
        <v>AS89</v>
      </c>
      <c r="L636" t="s">
        <v>2324</v>
      </c>
      <c r="M636" s="2">
        <v>2187.5100000000002</v>
      </c>
    </row>
    <row r="637" spans="1:13" x14ac:dyDescent="0.25">
      <c r="A637" t="str">
        <f t="shared" si="165"/>
        <v>E231</v>
      </c>
      <c r="B637">
        <v>1</v>
      </c>
      <c r="C637" t="str">
        <f t="shared" si="166"/>
        <v>10200</v>
      </c>
      <c r="D637" t="str">
        <f t="shared" si="167"/>
        <v>5620</v>
      </c>
      <c r="E637" t="str">
        <f t="shared" si="168"/>
        <v>094OMS</v>
      </c>
      <c r="F637" t="str">
        <f>""</f>
        <v/>
      </c>
      <c r="G637" t="str">
        <f>""</f>
        <v/>
      </c>
      <c r="H637" s="1">
        <v>41639</v>
      </c>
      <c r="I637" t="str">
        <f>"MPG00434"</f>
        <v>MPG00434</v>
      </c>
      <c r="J637" t="str">
        <f t="shared" si="169"/>
        <v>0</v>
      </c>
      <c r="K637" t="str">
        <f t="shared" si="164"/>
        <v>AS89</v>
      </c>
      <c r="L637" t="s">
        <v>2323</v>
      </c>
      <c r="M637" s="2">
        <v>1489.87</v>
      </c>
    </row>
    <row r="638" spans="1:13" x14ac:dyDescent="0.25">
      <c r="A638" t="str">
        <f t="shared" si="165"/>
        <v>E231</v>
      </c>
      <c r="B638">
        <v>1</v>
      </c>
      <c r="C638" t="str">
        <f t="shared" si="166"/>
        <v>10200</v>
      </c>
      <c r="D638" t="str">
        <f t="shared" si="167"/>
        <v>5620</v>
      </c>
      <c r="E638" t="str">
        <f t="shared" si="168"/>
        <v>094OMS</v>
      </c>
      <c r="F638" t="str">
        <f>""</f>
        <v/>
      </c>
      <c r="G638" t="str">
        <f>""</f>
        <v/>
      </c>
      <c r="H638" s="1">
        <v>41670</v>
      </c>
      <c r="I638" t="str">
        <f>"MPG00435"</f>
        <v>MPG00435</v>
      </c>
      <c r="J638" t="str">
        <f t="shared" si="169"/>
        <v>0</v>
      </c>
      <c r="K638" t="str">
        <f t="shared" si="164"/>
        <v>AS89</v>
      </c>
      <c r="L638" t="s">
        <v>2322</v>
      </c>
      <c r="M638" s="2">
        <v>2264.98</v>
      </c>
    </row>
    <row r="639" spans="1:13" x14ac:dyDescent="0.25">
      <c r="A639" t="str">
        <f t="shared" si="165"/>
        <v>E231</v>
      </c>
      <c r="B639">
        <v>1</v>
      </c>
      <c r="C639" t="str">
        <f t="shared" si="166"/>
        <v>10200</v>
      </c>
      <c r="D639" t="str">
        <f t="shared" si="167"/>
        <v>5620</v>
      </c>
      <c r="E639" t="str">
        <f t="shared" si="168"/>
        <v>094OMS</v>
      </c>
      <c r="F639" t="str">
        <f>""</f>
        <v/>
      </c>
      <c r="G639" t="str">
        <f>""</f>
        <v/>
      </c>
      <c r="H639" s="1">
        <v>41698</v>
      </c>
      <c r="I639" t="str">
        <f>"MPG00436"</f>
        <v>MPG00436</v>
      </c>
      <c r="J639" t="str">
        <f t="shared" si="169"/>
        <v>0</v>
      </c>
      <c r="K639" t="str">
        <f t="shared" si="164"/>
        <v>AS89</v>
      </c>
      <c r="L639" t="s">
        <v>2321</v>
      </c>
      <c r="M639" s="2">
        <v>2586.4</v>
      </c>
    </row>
    <row r="640" spans="1:13" x14ac:dyDescent="0.25">
      <c r="A640" t="str">
        <f t="shared" si="165"/>
        <v>E231</v>
      </c>
      <c r="B640">
        <v>1</v>
      </c>
      <c r="C640" t="str">
        <f t="shared" si="166"/>
        <v>10200</v>
      </c>
      <c r="D640" t="str">
        <f t="shared" si="167"/>
        <v>5620</v>
      </c>
      <c r="E640" t="str">
        <f t="shared" si="168"/>
        <v>094OMS</v>
      </c>
      <c r="F640" t="str">
        <f>""</f>
        <v/>
      </c>
      <c r="G640" t="str">
        <f>""</f>
        <v/>
      </c>
      <c r="H640" s="1">
        <v>41729</v>
      </c>
      <c r="I640" t="str">
        <f>"MPG00437"</f>
        <v>MPG00437</v>
      </c>
      <c r="J640" t="str">
        <f t="shared" si="169"/>
        <v>0</v>
      </c>
      <c r="K640" t="str">
        <f t="shared" si="164"/>
        <v>AS89</v>
      </c>
      <c r="L640" t="s">
        <v>2320</v>
      </c>
      <c r="M640" s="2">
        <v>2891.57</v>
      </c>
    </row>
    <row r="641" spans="1:13" x14ac:dyDescent="0.25">
      <c r="A641" t="str">
        <f t="shared" si="165"/>
        <v>E231</v>
      </c>
      <c r="B641">
        <v>1</v>
      </c>
      <c r="C641" t="str">
        <f t="shared" si="166"/>
        <v>10200</v>
      </c>
      <c r="D641" t="str">
        <f t="shared" si="167"/>
        <v>5620</v>
      </c>
      <c r="E641" t="str">
        <f t="shared" si="168"/>
        <v>094OMS</v>
      </c>
      <c r="F641" t="str">
        <f>""</f>
        <v/>
      </c>
      <c r="G641" t="str">
        <f>""</f>
        <v/>
      </c>
      <c r="H641" s="1">
        <v>41759</v>
      </c>
      <c r="I641" t="str">
        <f>"MPG00438"</f>
        <v>MPG00438</v>
      </c>
      <c r="J641" t="str">
        <f t="shared" si="169"/>
        <v>0</v>
      </c>
      <c r="K641" t="str">
        <f t="shared" si="164"/>
        <v>AS89</v>
      </c>
      <c r="L641" t="s">
        <v>2319</v>
      </c>
      <c r="M641" s="2">
        <v>2799.55</v>
      </c>
    </row>
    <row r="642" spans="1:13" x14ac:dyDescent="0.25">
      <c r="A642" t="str">
        <f t="shared" si="165"/>
        <v>E231</v>
      </c>
      <c r="B642">
        <v>1</v>
      </c>
      <c r="C642" t="str">
        <f t="shared" si="166"/>
        <v>10200</v>
      </c>
      <c r="D642" t="str">
        <f t="shared" si="167"/>
        <v>5620</v>
      </c>
      <c r="E642" t="str">
        <f t="shared" si="168"/>
        <v>094OMS</v>
      </c>
      <c r="F642" t="str">
        <f>""</f>
        <v/>
      </c>
      <c r="G642" t="str">
        <f>""</f>
        <v/>
      </c>
      <c r="H642" s="1">
        <v>41790</v>
      </c>
      <c r="I642" t="str">
        <f>"MPG00440"</f>
        <v>MPG00440</v>
      </c>
      <c r="J642" t="str">
        <f t="shared" si="169"/>
        <v>0</v>
      </c>
      <c r="K642" t="str">
        <f t="shared" si="164"/>
        <v>AS89</v>
      </c>
      <c r="L642" t="s">
        <v>2318</v>
      </c>
      <c r="M642" s="2">
        <v>2597.1</v>
      </c>
    </row>
    <row r="643" spans="1:13" x14ac:dyDescent="0.25">
      <c r="A643" t="str">
        <f t="shared" si="165"/>
        <v>E231</v>
      </c>
      <c r="B643">
        <v>1</v>
      </c>
      <c r="C643" t="str">
        <f t="shared" si="166"/>
        <v>10200</v>
      </c>
      <c r="D643" t="str">
        <f t="shared" si="167"/>
        <v>5620</v>
      </c>
      <c r="E643" t="str">
        <f t="shared" si="168"/>
        <v>094OMS</v>
      </c>
      <c r="F643" t="str">
        <f>""</f>
        <v/>
      </c>
      <c r="G643" t="str">
        <f>""</f>
        <v/>
      </c>
      <c r="H643" s="1">
        <v>41820</v>
      </c>
      <c r="I643" t="str">
        <f>"MPG00441"</f>
        <v>MPG00441</v>
      </c>
      <c r="J643" t="str">
        <f t="shared" si="169"/>
        <v>0</v>
      </c>
      <c r="K643" t="str">
        <f t="shared" si="164"/>
        <v>AS89</v>
      </c>
      <c r="L643" t="s">
        <v>2317</v>
      </c>
      <c r="M643" s="2">
        <v>2260.6999999999998</v>
      </c>
    </row>
    <row r="644" spans="1:13" x14ac:dyDescent="0.25">
      <c r="A644" t="str">
        <f t="shared" si="165"/>
        <v>E231</v>
      </c>
      <c r="B644">
        <v>1</v>
      </c>
      <c r="C644" t="str">
        <f t="shared" ref="C644:C654" si="170">"23275"</f>
        <v>23275</v>
      </c>
      <c r="D644" t="str">
        <f t="shared" si="167"/>
        <v>5620</v>
      </c>
      <c r="E644" t="str">
        <f t="shared" ref="E644:E654" si="171">"063STF"</f>
        <v>063STF</v>
      </c>
      <c r="F644" t="str">
        <f>""</f>
        <v/>
      </c>
      <c r="G644" t="str">
        <f>""</f>
        <v/>
      </c>
      <c r="H644" s="1">
        <v>41790</v>
      </c>
      <c r="I644" t="str">
        <f>"MPG00440"</f>
        <v>MPG00440</v>
      </c>
      <c r="J644" t="str">
        <f t="shared" si="169"/>
        <v>0</v>
      </c>
      <c r="K644" t="str">
        <f t="shared" si="164"/>
        <v>AS89</v>
      </c>
      <c r="L644" t="s">
        <v>2318</v>
      </c>
      <c r="M644" s="2">
        <v>3531.13</v>
      </c>
    </row>
    <row r="645" spans="1:13" x14ac:dyDescent="0.25">
      <c r="A645" t="str">
        <f t="shared" si="165"/>
        <v>E231</v>
      </c>
      <c r="B645">
        <v>1</v>
      </c>
      <c r="C645" t="str">
        <f t="shared" si="170"/>
        <v>23275</v>
      </c>
      <c r="D645" t="str">
        <f t="shared" si="167"/>
        <v>5620</v>
      </c>
      <c r="E645" t="str">
        <f t="shared" si="171"/>
        <v>063STF</v>
      </c>
      <c r="F645" t="str">
        <f>""</f>
        <v/>
      </c>
      <c r="G645" t="str">
        <f>""</f>
        <v/>
      </c>
      <c r="H645" s="1">
        <v>41816</v>
      </c>
      <c r="I645" t="str">
        <f>"J0009784"</f>
        <v>J0009784</v>
      </c>
      <c r="J645" t="str">
        <f>""</f>
        <v/>
      </c>
      <c r="K645" t="str">
        <f>"J079"</f>
        <v>J079</v>
      </c>
      <c r="L645" t="s">
        <v>2226</v>
      </c>
      <c r="M645" s="2">
        <v>17528.23</v>
      </c>
    </row>
    <row r="646" spans="1:13" x14ac:dyDescent="0.25">
      <c r="A646" t="str">
        <f t="shared" si="165"/>
        <v>E231</v>
      </c>
      <c r="B646">
        <v>1</v>
      </c>
      <c r="C646" t="str">
        <f t="shared" si="170"/>
        <v>23275</v>
      </c>
      <c r="D646" t="str">
        <f t="shared" si="167"/>
        <v>5620</v>
      </c>
      <c r="E646" t="str">
        <f t="shared" si="171"/>
        <v>063STF</v>
      </c>
      <c r="F646" t="str">
        <f>""</f>
        <v/>
      </c>
      <c r="G646" t="str">
        <f>""</f>
        <v/>
      </c>
      <c r="H646" s="1">
        <v>41820</v>
      </c>
      <c r="I646" t="str">
        <f>"MPG00441"</f>
        <v>MPG00441</v>
      </c>
      <c r="J646" t="str">
        <f t="shared" ref="J646:J659" si="172">"0"</f>
        <v>0</v>
      </c>
      <c r="K646" t="str">
        <f t="shared" ref="K646:K659" si="173">"AS89"</f>
        <v>AS89</v>
      </c>
      <c r="L646" t="s">
        <v>2317</v>
      </c>
      <c r="M646" s="2">
        <v>1597.51</v>
      </c>
    </row>
    <row r="647" spans="1:13" x14ac:dyDescent="0.25">
      <c r="A647" t="str">
        <f t="shared" si="165"/>
        <v>E231</v>
      </c>
      <c r="B647">
        <v>1</v>
      </c>
      <c r="C647" t="str">
        <f t="shared" si="170"/>
        <v>23275</v>
      </c>
      <c r="D647" t="str">
        <f t="shared" ref="D647:D654" si="174">"5741"</f>
        <v>5741</v>
      </c>
      <c r="E647" t="str">
        <f t="shared" si="171"/>
        <v>063STF</v>
      </c>
      <c r="F647" t="str">
        <f>""</f>
        <v/>
      </c>
      <c r="G647" t="str">
        <f>""</f>
        <v/>
      </c>
      <c r="H647" s="1">
        <v>41547</v>
      </c>
      <c r="I647" t="str">
        <f>"MPG00431"</f>
        <v>MPG00431</v>
      </c>
      <c r="J647" t="str">
        <f t="shared" si="172"/>
        <v>0</v>
      </c>
      <c r="K647" t="str">
        <f t="shared" si="173"/>
        <v>AS89</v>
      </c>
      <c r="L647" t="s">
        <v>2326</v>
      </c>
      <c r="M647">
        <v>541.67999999999995</v>
      </c>
    </row>
    <row r="648" spans="1:13" x14ac:dyDescent="0.25">
      <c r="A648" t="str">
        <f t="shared" si="165"/>
        <v>E231</v>
      </c>
      <c r="B648">
        <v>1</v>
      </c>
      <c r="C648" t="str">
        <f t="shared" si="170"/>
        <v>23275</v>
      </c>
      <c r="D648" t="str">
        <f t="shared" si="174"/>
        <v>5741</v>
      </c>
      <c r="E648" t="str">
        <f t="shared" si="171"/>
        <v>063STF</v>
      </c>
      <c r="F648" t="str">
        <f>""</f>
        <v/>
      </c>
      <c r="G648" t="str">
        <f>""</f>
        <v/>
      </c>
      <c r="H648" s="1">
        <v>41578</v>
      </c>
      <c r="I648" t="str">
        <f>"MPG00432"</f>
        <v>MPG00432</v>
      </c>
      <c r="J648" t="str">
        <f t="shared" si="172"/>
        <v>0</v>
      </c>
      <c r="K648" t="str">
        <f t="shared" si="173"/>
        <v>AS89</v>
      </c>
      <c r="L648" t="s">
        <v>2325</v>
      </c>
      <c r="M648" s="2">
        <v>3495.61</v>
      </c>
    </row>
    <row r="649" spans="1:13" x14ac:dyDescent="0.25">
      <c r="A649" t="str">
        <f t="shared" si="165"/>
        <v>E231</v>
      </c>
      <c r="B649">
        <v>1</v>
      </c>
      <c r="C649" t="str">
        <f t="shared" si="170"/>
        <v>23275</v>
      </c>
      <c r="D649" t="str">
        <f t="shared" si="174"/>
        <v>5741</v>
      </c>
      <c r="E649" t="str">
        <f t="shared" si="171"/>
        <v>063STF</v>
      </c>
      <c r="F649" t="str">
        <f>""</f>
        <v/>
      </c>
      <c r="G649" t="str">
        <f>""</f>
        <v/>
      </c>
      <c r="H649" s="1">
        <v>41608</v>
      </c>
      <c r="I649" t="str">
        <f>"MPG00433"</f>
        <v>MPG00433</v>
      </c>
      <c r="J649" t="str">
        <f t="shared" si="172"/>
        <v>0</v>
      </c>
      <c r="K649" t="str">
        <f t="shared" si="173"/>
        <v>AS89</v>
      </c>
      <c r="L649" t="s">
        <v>2324</v>
      </c>
      <c r="M649" s="2">
        <v>2747.47</v>
      </c>
    </row>
    <row r="650" spans="1:13" x14ac:dyDescent="0.25">
      <c r="A650" t="str">
        <f t="shared" si="165"/>
        <v>E231</v>
      </c>
      <c r="B650">
        <v>1</v>
      </c>
      <c r="C650" t="str">
        <f t="shared" si="170"/>
        <v>23275</v>
      </c>
      <c r="D650" t="str">
        <f t="shared" si="174"/>
        <v>5741</v>
      </c>
      <c r="E650" t="str">
        <f t="shared" si="171"/>
        <v>063STF</v>
      </c>
      <c r="F650" t="str">
        <f>""</f>
        <v/>
      </c>
      <c r="G650" t="str">
        <f>""</f>
        <v/>
      </c>
      <c r="H650" s="1">
        <v>41639</v>
      </c>
      <c r="I650" t="str">
        <f>"MPG00434"</f>
        <v>MPG00434</v>
      </c>
      <c r="J650" t="str">
        <f t="shared" si="172"/>
        <v>0</v>
      </c>
      <c r="K650" t="str">
        <f t="shared" si="173"/>
        <v>AS89</v>
      </c>
      <c r="L650" t="s">
        <v>2323</v>
      </c>
      <c r="M650" s="2">
        <v>1427.02</v>
      </c>
    </row>
    <row r="651" spans="1:13" x14ac:dyDescent="0.25">
      <c r="A651" t="str">
        <f t="shared" si="165"/>
        <v>E231</v>
      </c>
      <c r="B651">
        <v>1</v>
      </c>
      <c r="C651" t="str">
        <f t="shared" si="170"/>
        <v>23275</v>
      </c>
      <c r="D651" t="str">
        <f t="shared" si="174"/>
        <v>5741</v>
      </c>
      <c r="E651" t="str">
        <f t="shared" si="171"/>
        <v>063STF</v>
      </c>
      <c r="F651" t="str">
        <f>""</f>
        <v/>
      </c>
      <c r="G651" t="str">
        <f>""</f>
        <v/>
      </c>
      <c r="H651" s="1">
        <v>41670</v>
      </c>
      <c r="I651" t="str">
        <f>"MPG00435"</f>
        <v>MPG00435</v>
      </c>
      <c r="J651" t="str">
        <f t="shared" si="172"/>
        <v>0</v>
      </c>
      <c r="K651" t="str">
        <f t="shared" si="173"/>
        <v>AS89</v>
      </c>
      <c r="L651" t="s">
        <v>2322</v>
      </c>
      <c r="M651" s="2">
        <v>2332.33</v>
      </c>
    </row>
    <row r="652" spans="1:13" x14ac:dyDescent="0.25">
      <c r="A652" t="str">
        <f t="shared" si="165"/>
        <v>E231</v>
      </c>
      <c r="B652">
        <v>1</v>
      </c>
      <c r="C652" t="str">
        <f t="shared" si="170"/>
        <v>23275</v>
      </c>
      <c r="D652" t="str">
        <f t="shared" si="174"/>
        <v>5741</v>
      </c>
      <c r="E652" t="str">
        <f t="shared" si="171"/>
        <v>063STF</v>
      </c>
      <c r="F652" t="str">
        <f>""</f>
        <v/>
      </c>
      <c r="G652" t="str">
        <f>""</f>
        <v/>
      </c>
      <c r="H652" s="1">
        <v>41698</v>
      </c>
      <c r="I652" t="str">
        <f>"MPG00436"</f>
        <v>MPG00436</v>
      </c>
      <c r="J652" t="str">
        <f t="shared" si="172"/>
        <v>0</v>
      </c>
      <c r="K652" t="str">
        <f t="shared" si="173"/>
        <v>AS89</v>
      </c>
      <c r="L652" t="s">
        <v>2321</v>
      </c>
      <c r="M652" s="2">
        <v>3091.13</v>
      </c>
    </row>
    <row r="653" spans="1:13" x14ac:dyDescent="0.25">
      <c r="A653" t="str">
        <f t="shared" si="165"/>
        <v>E231</v>
      </c>
      <c r="B653">
        <v>1</v>
      </c>
      <c r="C653" t="str">
        <f t="shared" si="170"/>
        <v>23275</v>
      </c>
      <c r="D653" t="str">
        <f t="shared" si="174"/>
        <v>5741</v>
      </c>
      <c r="E653" t="str">
        <f t="shared" si="171"/>
        <v>063STF</v>
      </c>
      <c r="F653" t="str">
        <f>""</f>
        <v/>
      </c>
      <c r="G653" t="str">
        <f>""</f>
        <v/>
      </c>
      <c r="H653" s="1">
        <v>41729</v>
      </c>
      <c r="I653" t="str">
        <f>"MPG00437"</f>
        <v>MPG00437</v>
      </c>
      <c r="J653" t="str">
        <f t="shared" si="172"/>
        <v>0</v>
      </c>
      <c r="K653" t="str">
        <f t="shared" si="173"/>
        <v>AS89</v>
      </c>
      <c r="L653" t="s">
        <v>2320</v>
      </c>
      <c r="M653">
        <v>949.27</v>
      </c>
    </row>
    <row r="654" spans="1:13" x14ac:dyDescent="0.25">
      <c r="A654" t="str">
        <f t="shared" si="165"/>
        <v>E231</v>
      </c>
      <c r="B654">
        <v>1</v>
      </c>
      <c r="C654" t="str">
        <f t="shared" si="170"/>
        <v>23275</v>
      </c>
      <c r="D654" t="str">
        <f t="shared" si="174"/>
        <v>5741</v>
      </c>
      <c r="E654" t="str">
        <f t="shared" si="171"/>
        <v>063STF</v>
      </c>
      <c r="F654" t="str">
        <f>""</f>
        <v/>
      </c>
      <c r="G654" t="str">
        <f>""</f>
        <v/>
      </c>
      <c r="H654" s="1">
        <v>41759</v>
      </c>
      <c r="I654" t="str">
        <f>"MPG00438"</f>
        <v>MPG00438</v>
      </c>
      <c r="J654" t="str">
        <f t="shared" si="172"/>
        <v>0</v>
      </c>
      <c r="K654" t="str">
        <f t="shared" si="173"/>
        <v>AS89</v>
      </c>
      <c r="L654" t="s">
        <v>2319</v>
      </c>
      <c r="M654" s="2">
        <v>2943.72</v>
      </c>
    </row>
    <row r="655" spans="1:13" x14ac:dyDescent="0.25">
      <c r="A655" t="str">
        <f t="shared" si="165"/>
        <v>E231</v>
      </c>
      <c r="B655">
        <v>1</v>
      </c>
      <c r="C655" t="str">
        <f t="shared" ref="C655:C661" si="175">"32040"</f>
        <v>32040</v>
      </c>
      <c r="D655" t="str">
        <f>"5610"</f>
        <v>5610</v>
      </c>
      <c r="E655" t="str">
        <f t="shared" ref="E655:E674" si="176">"850LOS"</f>
        <v>850LOS</v>
      </c>
      <c r="F655" t="str">
        <f>""</f>
        <v/>
      </c>
      <c r="G655" t="str">
        <f>""</f>
        <v/>
      </c>
      <c r="H655" s="1">
        <v>41517</v>
      </c>
      <c r="I655" t="str">
        <f>"MPG00430"</f>
        <v>MPG00430</v>
      </c>
      <c r="J655" t="str">
        <f t="shared" si="172"/>
        <v>0</v>
      </c>
      <c r="K655" t="str">
        <f t="shared" si="173"/>
        <v>AS89</v>
      </c>
      <c r="L655" t="s">
        <v>2327</v>
      </c>
      <c r="M655">
        <v>110.42</v>
      </c>
    </row>
    <row r="656" spans="1:13" x14ac:dyDescent="0.25">
      <c r="A656" t="str">
        <f t="shared" si="165"/>
        <v>E231</v>
      </c>
      <c r="B656">
        <v>1</v>
      </c>
      <c r="C656" t="str">
        <f t="shared" si="175"/>
        <v>32040</v>
      </c>
      <c r="D656" t="str">
        <f>"5610"</f>
        <v>5610</v>
      </c>
      <c r="E656" t="str">
        <f t="shared" si="176"/>
        <v>850LOS</v>
      </c>
      <c r="F656" t="str">
        <f>""</f>
        <v/>
      </c>
      <c r="G656" t="str">
        <f>""</f>
        <v/>
      </c>
      <c r="H656" s="1">
        <v>41578</v>
      </c>
      <c r="I656" t="str">
        <f>"MPG00432"</f>
        <v>MPG00432</v>
      </c>
      <c r="J656" t="str">
        <f t="shared" si="172"/>
        <v>0</v>
      </c>
      <c r="K656" t="str">
        <f t="shared" si="173"/>
        <v>AS89</v>
      </c>
      <c r="L656" t="s">
        <v>2325</v>
      </c>
      <c r="M656">
        <v>190.46</v>
      </c>
    </row>
    <row r="657" spans="1:13" x14ac:dyDescent="0.25">
      <c r="A657" t="str">
        <f t="shared" si="165"/>
        <v>E231</v>
      </c>
      <c r="B657">
        <v>1</v>
      </c>
      <c r="C657" t="str">
        <f t="shared" si="175"/>
        <v>32040</v>
      </c>
      <c r="D657" t="str">
        <f>"5610"</f>
        <v>5610</v>
      </c>
      <c r="E657" t="str">
        <f t="shared" si="176"/>
        <v>850LOS</v>
      </c>
      <c r="F657" t="str">
        <f>""</f>
        <v/>
      </c>
      <c r="G657" t="str">
        <f>""</f>
        <v/>
      </c>
      <c r="H657" s="1">
        <v>41639</v>
      </c>
      <c r="I657" t="str">
        <f>"MPG00434"</f>
        <v>MPG00434</v>
      </c>
      <c r="J657" t="str">
        <f t="shared" si="172"/>
        <v>0</v>
      </c>
      <c r="K657" t="str">
        <f t="shared" si="173"/>
        <v>AS89</v>
      </c>
      <c r="L657" t="s">
        <v>2323</v>
      </c>
      <c r="M657">
        <v>177.62</v>
      </c>
    </row>
    <row r="658" spans="1:13" x14ac:dyDescent="0.25">
      <c r="A658" t="str">
        <f t="shared" si="165"/>
        <v>E231</v>
      </c>
      <c r="B658">
        <v>1</v>
      </c>
      <c r="C658" t="str">
        <f t="shared" si="175"/>
        <v>32040</v>
      </c>
      <c r="D658" t="str">
        <f>"5610"</f>
        <v>5610</v>
      </c>
      <c r="E658" t="str">
        <f t="shared" si="176"/>
        <v>850LOS</v>
      </c>
      <c r="F658" t="str">
        <f>""</f>
        <v/>
      </c>
      <c r="G658" t="str">
        <f>""</f>
        <v/>
      </c>
      <c r="H658" s="1">
        <v>41698</v>
      </c>
      <c r="I658" t="str">
        <f>"MPG00436"</f>
        <v>MPG00436</v>
      </c>
      <c r="J658" t="str">
        <f t="shared" si="172"/>
        <v>0</v>
      </c>
      <c r="K658" t="str">
        <f t="shared" si="173"/>
        <v>AS89</v>
      </c>
      <c r="L658" t="s">
        <v>2321</v>
      </c>
      <c r="M658">
        <v>190.03</v>
      </c>
    </row>
    <row r="659" spans="1:13" x14ac:dyDescent="0.25">
      <c r="A659" t="str">
        <f t="shared" si="165"/>
        <v>E231</v>
      </c>
      <c r="B659">
        <v>1</v>
      </c>
      <c r="C659" t="str">
        <f t="shared" si="175"/>
        <v>32040</v>
      </c>
      <c r="D659" t="str">
        <f>"5610"</f>
        <v>5610</v>
      </c>
      <c r="E659" t="str">
        <f t="shared" si="176"/>
        <v>850LOS</v>
      </c>
      <c r="F659" t="str">
        <f>""</f>
        <v/>
      </c>
      <c r="G659" t="str">
        <f>""</f>
        <v/>
      </c>
      <c r="H659" s="1">
        <v>41759</v>
      </c>
      <c r="I659" t="str">
        <f>"MPG00438"</f>
        <v>MPG00438</v>
      </c>
      <c r="J659" t="str">
        <f t="shared" si="172"/>
        <v>0</v>
      </c>
      <c r="K659" t="str">
        <f t="shared" si="173"/>
        <v>AS89</v>
      </c>
      <c r="L659" t="s">
        <v>2319</v>
      </c>
      <c r="M659">
        <v>193.46</v>
      </c>
    </row>
    <row r="660" spans="1:13" x14ac:dyDescent="0.25">
      <c r="A660" t="str">
        <f t="shared" si="165"/>
        <v>E231</v>
      </c>
      <c r="B660">
        <v>1</v>
      </c>
      <c r="C660" t="str">
        <f t="shared" si="175"/>
        <v>32040</v>
      </c>
      <c r="D660" t="str">
        <f>"5620"</f>
        <v>5620</v>
      </c>
      <c r="E660" t="str">
        <f t="shared" si="176"/>
        <v>850LOS</v>
      </c>
      <c r="F660" t="str">
        <f>""</f>
        <v/>
      </c>
      <c r="G660" t="str">
        <f>""</f>
        <v/>
      </c>
      <c r="H660" s="1">
        <v>41764</v>
      </c>
      <c r="I660" t="str">
        <f>"J0008508"</f>
        <v>J0008508</v>
      </c>
      <c r="J660" t="str">
        <f>""</f>
        <v/>
      </c>
      <c r="K660" t="str">
        <f>"J079"</f>
        <v>J079</v>
      </c>
      <c r="L660" t="s">
        <v>2200</v>
      </c>
      <c r="M660">
        <v>753.27</v>
      </c>
    </row>
    <row r="661" spans="1:13" x14ac:dyDescent="0.25">
      <c r="A661" t="str">
        <f t="shared" si="165"/>
        <v>E231</v>
      </c>
      <c r="B661">
        <v>1</v>
      </c>
      <c r="C661" t="str">
        <f t="shared" si="175"/>
        <v>32040</v>
      </c>
      <c r="D661" t="str">
        <f>"5620"</f>
        <v>5620</v>
      </c>
      <c r="E661" t="str">
        <f t="shared" si="176"/>
        <v>850LOS</v>
      </c>
      <c r="F661" t="str">
        <f>""</f>
        <v/>
      </c>
      <c r="G661" t="str">
        <f>""</f>
        <v/>
      </c>
      <c r="H661" s="1">
        <v>41820</v>
      </c>
      <c r="I661" t="str">
        <f>"J0010520"</f>
        <v>J0010520</v>
      </c>
      <c r="J661" t="str">
        <f>""</f>
        <v/>
      </c>
      <c r="K661" t="str">
        <f>"J079"</f>
        <v>J079</v>
      </c>
      <c r="L661" t="s">
        <v>2199</v>
      </c>
      <c r="M661">
        <v>193.46</v>
      </c>
    </row>
    <row r="662" spans="1:13" x14ac:dyDescent="0.25">
      <c r="A662" t="str">
        <f t="shared" si="165"/>
        <v>E231</v>
      </c>
      <c r="B662">
        <v>1</v>
      </c>
      <c r="C662" t="str">
        <f t="shared" ref="C662:C674" si="177">"43000"</f>
        <v>43000</v>
      </c>
      <c r="D662" t="str">
        <f>"5620"</f>
        <v>5620</v>
      </c>
      <c r="E662" t="str">
        <f t="shared" si="176"/>
        <v>850LOS</v>
      </c>
      <c r="F662" t="str">
        <f>""</f>
        <v/>
      </c>
      <c r="G662" t="str">
        <f>""</f>
        <v/>
      </c>
      <c r="H662" s="1">
        <v>41820</v>
      </c>
      <c r="I662" t="str">
        <f>"J0010489"</f>
        <v>J0010489</v>
      </c>
      <c r="J662" t="str">
        <f>""</f>
        <v/>
      </c>
      <c r="K662" t="str">
        <f>"J079"</f>
        <v>J079</v>
      </c>
      <c r="L662" t="s">
        <v>2209</v>
      </c>
      <c r="M662" s="2">
        <v>12484.67</v>
      </c>
    </row>
    <row r="663" spans="1:13" x14ac:dyDescent="0.25">
      <c r="A663" t="str">
        <f t="shared" si="165"/>
        <v>E231</v>
      </c>
      <c r="B663">
        <v>1</v>
      </c>
      <c r="C663" t="str">
        <f t="shared" si="177"/>
        <v>43000</v>
      </c>
      <c r="D663" t="str">
        <f t="shared" ref="D663:D674" si="178">"5740"</f>
        <v>5740</v>
      </c>
      <c r="E663" t="str">
        <f t="shared" si="176"/>
        <v>850LOS</v>
      </c>
      <c r="F663" t="str">
        <f>""</f>
        <v/>
      </c>
      <c r="G663" t="str">
        <f>""</f>
        <v/>
      </c>
      <c r="H663" s="1">
        <v>41486</v>
      </c>
      <c r="I663" t="str">
        <f>"MPG00429"</f>
        <v>MPG00429</v>
      </c>
      <c r="J663" t="str">
        <f t="shared" ref="J663:J674" si="179">"0"</f>
        <v>0</v>
      </c>
      <c r="K663" t="str">
        <f t="shared" ref="K663:K674" si="180">"AS89"</f>
        <v>AS89</v>
      </c>
      <c r="L663" t="s">
        <v>2328</v>
      </c>
      <c r="M663">
        <v>872.69</v>
      </c>
    </row>
    <row r="664" spans="1:13" x14ac:dyDescent="0.25">
      <c r="A664" t="str">
        <f t="shared" si="165"/>
        <v>E231</v>
      </c>
      <c r="B664">
        <v>1</v>
      </c>
      <c r="C664" t="str">
        <f t="shared" si="177"/>
        <v>43000</v>
      </c>
      <c r="D664" t="str">
        <f t="shared" si="178"/>
        <v>5740</v>
      </c>
      <c r="E664" t="str">
        <f t="shared" si="176"/>
        <v>850LOS</v>
      </c>
      <c r="F664" t="str">
        <f>""</f>
        <v/>
      </c>
      <c r="G664" t="str">
        <f>""</f>
        <v/>
      </c>
      <c r="H664" s="1">
        <v>41517</v>
      </c>
      <c r="I664" t="str">
        <f>"MPG00430"</f>
        <v>MPG00430</v>
      </c>
      <c r="J664" t="str">
        <f t="shared" si="179"/>
        <v>0</v>
      </c>
      <c r="K664" t="str">
        <f t="shared" si="180"/>
        <v>AS89</v>
      </c>
      <c r="L664" t="s">
        <v>2327</v>
      </c>
      <c r="M664" s="2">
        <v>1006.36</v>
      </c>
    </row>
    <row r="665" spans="1:13" x14ac:dyDescent="0.25">
      <c r="A665" t="str">
        <f t="shared" si="165"/>
        <v>E231</v>
      </c>
      <c r="B665">
        <v>1</v>
      </c>
      <c r="C665" t="str">
        <f t="shared" si="177"/>
        <v>43000</v>
      </c>
      <c r="D665" t="str">
        <f t="shared" si="178"/>
        <v>5740</v>
      </c>
      <c r="E665" t="str">
        <f t="shared" si="176"/>
        <v>850LOS</v>
      </c>
      <c r="F665" t="str">
        <f>""</f>
        <v/>
      </c>
      <c r="G665" t="str">
        <f>""</f>
        <v/>
      </c>
      <c r="H665" s="1">
        <v>41547</v>
      </c>
      <c r="I665" t="str">
        <f>"MPG00431"</f>
        <v>MPG00431</v>
      </c>
      <c r="J665" t="str">
        <f t="shared" si="179"/>
        <v>0</v>
      </c>
      <c r="K665" t="str">
        <f t="shared" si="180"/>
        <v>AS89</v>
      </c>
      <c r="L665" t="s">
        <v>2326</v>
      </c>
      <c r="M665">
        <v>848.61</v>
      </c>
    </row>
    <row r="666" spans="1:13" x14ac:dyDescent="0.25">
      <c r="A666" t="str">
        <f t="shared" si="165"/>
        <v>E231</v>
      </c>
      <c r="B666">
        <v>1</v>
      </c>
      <c r="C666" t="str">
        <f t="shared" si="177"/>
        <v>43000</v>
      </c>
      <c r="D666" t="str">
        <f t="shared" si="178"/>
        <v>5740</v>
      </c>
      <c r="E666" t="str">
        <f t="shared" si="176"/>
        <v>850LOS</v>
      </c>
      <c r="F666" t="str">
        <f>""</f>
        <v/>
      </c>
      <c r="G666" t="str">
        <f>""</f>
        <v/>
      </c>
      <c r="H666" s="1">
        <v>41578</v>
      </c>
      <c r="I666" t="str">
        <f>"MPG00432"</f>
        <v>MPG00432</v>
      </c>
      <c r="J666" t="str">
        <f t="shared" si="179"/>
        <v>0</v>
      </c>
      <c r="K666" t="str">
        <f t="shared" si="180"/>
        <v>AS89</v>
      </c>
      <c r="L666" t="s">
        <v>2325</v>
      </c>
      <c r="M666" s="2">
        <v>1417.42</v>
      </c>
    </row>
    <row r="667" spans="1:13" x14ac:dyDescent="0.25">
      <c r="A667" t="str">
        <f t="shared" si="165"/>
        <v>E231</v>
      </c>
      <c r="B667">
        <v>1</v>
      </c>
      <c r="C667" t="str">
        <f t="shared" si="177"/>
        <v>43000</v>
      </c>
      <c r="D667" t="str">
        <f t="shared" si="178"/>
        <v>5740</v>
      </c>
      <c r="E667" t="str">
        <f t="shared" si="176"/>
        <v>850LOS</v>
      </c>
      <c r="F667" t="str">
        <f>""</f>
        <v/>
      </c>
      <c r="G667" t="str">
        <f>""</f>
        <v/>
      </c>
      <c r="H667" s="1">
        <v>41608</v>
      </c>
      <c r="I667" t="str">
        <f>"MPG00433"</f>
        <v>MPG00433</v>
      </c>
      <c r="J667" t="str">
        <f t="shared" si="179"/>
        <v>0</v>
      </c>
      <c r="K667" t="str">
        <f t="shared" si="180"/>
        <v>AS89</v>
      </c>
      <c r="L667" t="s">
        <v>2324</v>
      </c>
      <c r="M667">
        <v>884.46</v>
      </c>
    </row>
    <row r="668" spans="1:13" x14ac:dyDescent="0.25">
      <c r="A668" t="str">
        <f t="shared" si="165"/>
        <v>E231</v>
      </c>
      <c r="B668">
        <v>1</v>
      </c>
      <c r="C668" t="str">
        <f t="shared" si="177"/>
        <v>43000</v>
      </c>
      <c r="D668" t="str">
        <f t="shared" si="178"/>
        <v>5740</v>
      </c>
      <c r="E668" t="str">
        <f t="shared" si="176"/>
        <v>850LOS</v>
      </c>
      <c r="F668" t="str">
        <f>""</f>
        <v/>
      </c>
      <c r="G668" t="str">
        <f>""</f>
        <v/>
      </c>
      <c r="H668" s="1">
        <v>41639</v>
      </c>
      <c r="I668" t="str">
        <f>"MPG00434"</f>
        <v>MPG00434</v>
      </c>
      <c r="J668" t="str">
        <f t="shared" si="179"/>
        <v>0</v>
      </c>
      <c r="K668" t="str">
        <f t="shared" si="180"/>
        <v>AS89</v>
      </c>
      <c r="L668" t="s">
        <v>2323</v>
      </c>
      <c r="M668" s="2">
        <v>1028.48</v>
      </c>
    </row>
    <row r="669" spans="1:13" x14ac:dyDescent="0.25">
      <c r="A669" t="str">
        <f t="shared" si="165"/>
        <v>E231</v>
      </c>
      <c r="B669">
        <v>1</v>
      </c>
      <c r="C669" t="str">
        <f t="shared" si="177"/>
        <v>43000</v>
      </c>
      <c r="D669" t="str">
        <f t="shared" si="178"/>
        <v>5740</v>
      </c>
      <c r="E669" t="str">
        <f t="shared" si="176"/>
        <v>850LOS</v>
      </c>
      <c r="F669" t="str">
        <f>""</f>
        <v/>
      </c>
      <c r="G669" t="str">
        <f>""</f>
        <v/>
      </c>
      <c r="H669" s="1">
        <v>41670</v>
      </c>
      <c r="I669" t="str">
        <f>"MPG00435"</f>
        <v>MPG00435</v>
      </c>
      <c r="J669" t="str">
        <f t="shared" si="179"/>
        <v>0</v>
      </c>
      <c r="K669" t="str">
        <f t="shared" si="180"/>
        <v>AS89</v>
      </c>
      <c r="L669" t="s">
        <v>2322</v>
      </c>
      <c r="M669" s="2">
        <v>1106.3800000000001</v>
      </c>
    </row>
    <row r="670" spans="1:13" x14ac:dyDescent="0.25">
      <c r="A670" t="str">
        <f t="shared" si="165"/>
        <v>E231</v>
      </c>
      <c r="B670">
        <v>1</v>
      </c>
      <c r="C670" t="str">
        <f t="shared" si="177"/>
        <v>43000</v>
      </c>
      <c r="D670" t="str">
        <f t="shared" si="178"/>
        <v>5740</v>
      </c>
      <c r="E670" t="str">
        <f t="shared" si="176"/>
        <v>850LOS</v>
      </c>
      <c r="F670" t="str">
        <f>""</f>
        <v/>
      </c>
      <c r="G670" t="str">
        <f>""</f>
        <v/>
      </c>
      <c r="H670" s="1">
        <v>41698</v>
      </c>
      <c r="I670" t="str">
        <f>"MPG00436"</f>
        <v>MPG00436</v>
      </c>
      <c r="J670" t="str">
        <f t="shared" si="179"/>
        <v>0</v>
      </c>
      <c r="K670" t="str">
        <f t="shared" si="180"/>
        <v>AS89</v>
      </c>
      <c r="L670" t="s">
        <v>2321</v>
      </c>
      <c r="M670" s="2">
        <v>1123.44</v>
      </c>
    </row>
    <row r="671" spans="1:13" x14ac:dyDescent="0.25">
      <c r="A671" t="str">
        <f t="shared" si="165"/>
        <v>E231</v>
      </c>
      <c r="B671">
        <v>1</v>
      </c>
      <c r="C671" t="str">
        <f t="shared" si="177"/>
        <v>43000</v>
      </c>
      <c r="D671" t="str">
        <f t="shared" si="178"/>
        <v>5740</v>
      </c>
      <c r="E671" t="str">
        <f t="shared" si="176"/>
        <v>850LOS</v>
      </c>
      <c r="F671" t="str">
        <f>""</f>
        <v/>
      </c>
      <c r="G671" t="str">
        <f>""</f>
        <v/>
      </c>
      <c r="H671" s="1">
        <v>41729</v>
      </c>
      <c r="I671" t="str">
        <f>"MPG00437"</f>
        <v>MPG00437</v>
      </c>
      <c r="J671" t="str">
        <f t="shared" si="179"/>
        <v>0</v>
      </c>
      <c r="K671" t="str">
        <f t="shared" si="180"/>
        <v>AS89</v>
      </c>
      <c r="L671" t="s">
        <v>2320</v>
      </c>
      <c r="M671" s="2">
        <v>1044.94</v>
      </c>
    </row>
    <row r="672" spans="1:13" x14ac:dyDescent="0.25">
      <c r="A672" t="str">
        <f t="shared" si="165"/>
        <v>E231</v>
      </c>
      <c r="B672">
        <v>1</v>
      </c>
      <c r="C672" t="str">
        <f t="shared" si="177"/>
        <v>43000</v>
      </c>
      <c r="D672" t="str">
        <f t="shared" si="178"/>
        <v>5740</v>
      </c>
      <c r="E672" t="str">
        <f t="shared" si="176"/>
        <v>850LOS</v>
      </c>
      <c r="F672" t="str">
        <f>""</f>
        <v/>
      </c>
      <c r="G672" t="str">
        <f>""</f>
        <v/>
      </c>
      <c r="H672" s="1">
        <v>41759</v>
      </c>
      <c r="I672" t="str">
        <f>"MPG00438"</f>
        <v>MPG00438</v>
      </c>
      <c r="J672" t="str">
        <f t="shared" si="179"/>
        <v>0</v>
      </c>
      <c r="K672" t="str">
        <f t="shared" si="180"/>
        <v>AS89</v>
      </c>
      <c r="L672" t="s">
        <v>2319</v>
      </c>
      <c r="M672" s="2">
        <v>1109.3</v>
      </c>
    </row>
    <row r="673" spans="1:13" x14ac:dyDescent="0.25">
      <c r="A673" t="str">
        <f t="shared" si="165"/>
        <v>E231</v>
      </c>
      <c r="B673">
        <v>1</v>
      </c>
      <c r="C673" t="str">
        <f t="shared" si="177"/>
        <v>43000</v>
      </c>
      <c r="D673" t="str">
        <f t="shared" si="178"/>
        <v>5740</v>
      </c>
      <c r="E673" t="str">
        <f t="shared" si="176"/>
        <v>850LOS</v>
      </c>
      <c r="F673" t="str">
        <f>""</f>
        <v/>
      </c>
      <c r="G673" t="str">
        <f>""</f>
        <v/>
      </c>
      <c r="H673" s="1">
        <v>41790</v>
      </c>
      <c r="I673" t="str">
        <f>"MPG00440"</f>
        <v>MPG00440</v>
      </c>
      <c r="J673" t="str">
        <f t="shared" si="179"/>
        <v>0</v>
      </c>
      <c r="K673" t="str">
        <f t="shared" si="180"/>
        <v>AS89</v>
      </c>
      <c r="L673" t="s">
        <v>2318</v>
      </c>
      <c r="M673" s="2">
        <v>1077.0899999999999</v>
      </c>
    </row>
    <row r="674" spans="1:13" x14ac:dyDescent="0.25">
      <c r="A674" t="str">
        <f t="shared" si="165"/>
        <v>E231</v>
      </c>
      <c r="B674">
        <v>1</v>
      </c>
      <c r="C674" t="str">
        <f t="shared" si="177"/>
        <v>43000</v>
      </c>
      <c r="D674" t="str">
        <f t="shared" si="178"/>
        <v>5740</v>
      </c>
      <c r="E674" t="str">
        <f t="shared" si="176"/>
        <v>850LOS</v>
      </c>
      <c r="F674" t="str">
        <f>""</f>
        <v/>
      </c>
      <c r="G674" t="str">
        <f>""</f>
        <v/>
      </c>
      <c r="H674" s="1">
        <v>41820</v>
      </c>
      <c r="I674" t="str">
        <f>"MPG00441"</f>
        <v>MPG00441</v>
      </c>
      <c r="J674" t="str">
        <f t="shared" si="179"/>
        <v>0</v>
      </c>
      <c r="K674" t="str">
        <f t="shared" si="180"/>
        <v>AS89</v>
      </c>
      <c r="L674" t="s">
        <v>2317</v>
      </c>
      <c r="M674">
        <v>965.5</v>
      </c>
    </row>
    <row r="675" spans="1:13" x14ac:dyDescent="0.25">
      <c r="A675" t="str">
        <f>"E232"</f>
        <v>E232</v>
      </c>
      <c r="B675">
        <v>1</v>
      </c>
      <c r="C675" t="str">
        <f>"23275"</f>
        <v>23275</v>
      </c>
      <c r="D675" t="str">
        <f>"5620"</f>
        <v>5620</v>
      </c>
      <c r="E675" t="str">
        <f>"063STF"</f>
        <v>063STF</v>
      </c>
      <c r="F675" t="str">
        <f>""</f>
        <v/>
      </c>
      <c r="G675" t="str">
        <f>""</f>
        <v/>
      </c>
      <c r="H675" s="1">
        <v>41816</v>
      </c>
      <c r="I675" t="str">
        <f>"J0009784"</f>
        <v>J0009784</v>
      </c>
      <c r="J675" t="str">
        <f>""</f>
        <v/>
      </c>
      <c r="K675" t="str">
        <f>"J079"</f>
        <v>J079</v>
      </c>
      <c r="L675" t="s">
        <v>2226</v>
      </c>
      <c r="M675" s="2">
        <v>1106.0899999999999</v>
      </c>
    </row>
    <row r="676" spans="1:13" x14ac:dyDescent="0.25">
      <c r="A676" t="str">
        <f>"E232"</f>
        <v>E232</v>
      </c>
      <c r="B676">
        <v>1</v>
      </c>
      <c r="C676" t="str">
        <f>"23275"</f>
        <v>23275</v>
      </c>
      <c r="D676" t="str">
        <f>"5741"</f>
        <v>5741</v>
      </c>
      <c r="E676" t="str">
        <f>"063STF"</f>
        <v>063STF</v>
      </c>
      <c r="F676" t="str">
        <f>""</f>
        <v/>
      </c>
      <c r="G676" t="str">
        <f>""</f>
        <v/>
      </c>
      <c r="H676" s="1">
        <v>41547</v>
      </c>
      <c r="I676" t="str">
        <f>"PRK00102"</f>
        <v>PRK00102</v>
      </c>
      <c r="J676" t="str">
        <f>"VV20247-"</f>
        <v>VV20247-</v>
      </c>
      <c r="K676" t="str">
        <f>"AS89"</f>
        <v>AS89</v>
      </c>
      <c r="L676" t="s">
        <v>2224</v>
      </c>
      <c r="M676">
        <v>697.64</v>
      </c>
    </row>
    <row r="677" spans="1:13" x14ac:dyDescent="0.25">
      <c r="A677" t="str">
        <f>"E232"</f>
        <v>E232</v>
      </c>
      <c r="B677">
        <v>1</v>
      </c>
      <c r="C677" t="str">
        <f>"23275"</f>
        <v>23275</v>
      </c>
      <c r="D677" t="str">
        <f>"5741"</f>
        <v>5741</v>
      </c>
      <c r="E677" t="str">
        <f>"063STF"</f>
        <v>063STF</v>
      </c>
      <c r="F677" t="str">
        <f>""</f>
        <v/>
      </c>
      <c r="G677" t="str">
        <f>""</f>
        <v/>
      </c>
      <c r="H677" s="1">
        <v>41578</v>
      </c>
      <c r="I677" t="str">
        <f>"PRK00103"</f>
        <v>PRK00103</v>
      </c>
      <c r="J677" t="str">
        <f>""</f>
        <v/>
      </c>
      <c r="K677" t="str">
        <f>"AS89"</f>
        <v>AS89</v>
      </c>
      <c r="L677" t="s">
        <v>749</v>
      </c>
      <c r="M677">
        <v>380.45</v>
      </c>
    </row>
    <row r="678" spans="1:13" x14ac:dyDescent="0.25">
      <c r="A678" t="str">
        <f>"E232"</f>
        <v>E232</v>
      </c>
      <c r="B678">
        <v>1</v>
      </c>
      <c r="C678" t="str">
        <f>"43000"</f>
        <v>43000</v>
      </c>
      <c r="D678" t="str">
        <f>"5620"</f>
        <v>5620</v>
      </c>
      <c r="E678" t="str">
        <f>"850LOS"</f>
        <v>850LOS</v>
      </c>
      <c r="F678" t="str">
        <f>""</f>
        <v/>
      </c>
      <c r="G678" t="str">
        <f>""</f>
        <v/>
      </c>
      <c r="H678" s="1">
        <v>41820</v>
      </c>
      <c r="I678" t="str">
        <f>"J0010489"</f>
        <v>J0010489</v>
      </c>
      <c r="J678" t="str">
        <f>""</f>
        <v/>
      </c>
      <c r="K678" t="str">
        <f>"J079"</f>
        <v>J079</v>
      </c>
      <c r="L678" t="s">
        <v>2209</v>
      </c>
      <c r="M678">
        <v>255.51</v>
      </c>
    </row>
    <row r="679" spans="1:13" x14ac:dyDescent="0.25">
      <c r="A679" t="str">
        <f>"E233"</f>
        <v>E233</v>
      </c>
      <c r="B679">
        <v>1</v>
      </c>
      <c r="C679" t="str">
        <f>"10200"</f>
        <v>10200</v>
      </c>
      <c r="D679" t="str">
        <f>"5620"</f>
        <v>5620</v>
      </c>
      <c r="E679" t="str">
        <f>"094OMS"</f>
        <v>094OMS</v>
      </c>
      <c r="F679" t="str">
        <f>""</f>
        <v/>
      </c>
      <c r="G679" t="str">
        <f>""</f>
        <v/>
      </c>
      <c r="H679" s="1">
        <v>41759</v>
      </c>
      <c r="I679" t="str">
        <f>"PCD00660"</f>
        <v>PCD00660</v>
      </c>
      <c r="J679" t="str">
        <f>""</f>
        <v/>
      </c>
      <c r="K679" t="str">
        <f>"AS89"</f>
        <v>AS89</v>
      </c>
      <c r="L679" t="s">
        <v>2316</v>
      </c>
      <c r="M679">
        <v>193.49</v>
      </c>
    </row>
    <row r="680" spans="1:13" x14ac:dyDescent="0.25">
      <c r="A680" t="str">
        <f>"E240"</f>
        <v>E240</v>
      </c>
      <c r="B680">
        <v>1</v>
      </c>
      <c r="C680" t="str">
        <f>"23275"</f>
        <v>23275</v>
      </c>
      <c r="D680" t="str">
        <f>"5620"</f>
        <v>5620</v>
      </c>
      <c r="E680" t="str">
        <f>"063STF"</f>
        <v>063STF</v>
      </c>
      <c r="F680" t="str">
        <f>""</f>
        <v/>
      </c>
      <c r="G680" t="str">
        <f>""</f>
        <v/>
      </c>
      <c r="H680" s="1">
        <v>41816</v>
      </c>
      <c r="I680" t="str">
        <f>"J0009784"</f>
        <v>J0009784</v>
      </c>
      <c r="J680" t="str">
        <f>""</f>
        <v/>
      </c>
      <c r="K680" t="str">
        <f>"J079"</f>
        <v>J079</v>
      </c>
      <c r="L680" t="s">
        <v>2226</v>
      </c>
      <c r="M680">
        <v>100.7</v>
      </c>
    </row>
    <row r="681" spans="1:13" x14ac:dyDescent="0.25">
      <c r="A681" t="str">
        <f>"E240"</f>
        <v>E240</v>
      </c>
      <c r="B681">
        <v>1</v>
      </c>
      <c r="C681" t="str">
        <f>"23275"</f>
        <v>23275</v>
      </c>
      <c r="D681" t="str">
        <f>"5620"</f>
        <v>5620</v>
      </c>
      <c r="E681" t="str">
        <f>"063STF"</f>
        <v>063STF</v>
      </c>
      <c r="F681" t="str">
        <f>""</f>
        <v/>
      </c>
      <c r="G681" t="str">
        <f>""</f>
        <v/>
      </c>
      <c r="H681" s="1">
        <v>41820</v>
      </c>
      <c r="I681" t="str">
        <f>"J0010207"</f>
        <v>J0010207</v>
      </c>
      <c r="J681" t="str">
        <f>""</f>
        <v/>
      </c>
      <c r="K681" t="str">
        <f>"J079"</f>
        <v>J079</v>
      </c>
      <c r="L681" t="s">
        <v>2257</v>
      </c>
      <c r="M681">
        <v>481.05</v>
      </c>
    </row>
    <row r="682" spans="1:13" x14ac:dyDescent="0.25">
      <c r="A682" t="str">
        <f>"E240"</f>
        <v>E240</v>
      </c>
      <c r="B682">
        <v>1</v>
      </c>
      <c r="C682" t="str">
        <f>"23275"</f>
        <v>23275</v>
      </c>
      <c r="D682" t="str">
        <f>"5741"</f>
        <v>5741</v>
      </c>
      <c r="E682" t="str">
        <f>"063STF"</f>
        <v>063STF</v>
      </c>
      <c r="F682" t="str">
        <f>""</f>
        <v/>
      </c>
      <c r="G682" t="str">
        <f>""</f>
        <v/>
      </c>
      <c r="H682" s="1">
        <v>41820</v>
      </c>
      <c r="I682" t="str">
        <f>"J0010055"</f>
        <v>J0010055</v>
      </c>
      <c r="J682" t="str">
        <f>""</f>
        <v/>
      </c>
      <c r="K682" t="str">
        <f>"J096"</f>
        <v>J096</v>
      </c>
      <c r="L682" t="s">
        <v>2315</v>
      </c>
      <c r="M682">
        <v>481.05</v>
      </c>
    </row>
    <row r="683" spans="1:13" x14ac:dyDescent="0.25">
      <c r="A683" t="str">
        <f t="shared" ref="A683:A690" si="181">"E241"</f>
        <v>E241</v>
      </c>
      <c r="B683">
        <v>1</v>
      </c>
      <c r="C683" t="str">
        <f t="shared" ref="C683:C690" si="182">"10200"</f>
        <v>10200</v>
      </c>
      <c r="D683" t="str">
        <f t="shared" ref="D683:D693" si="183">"5620"</f>
        <v>5620</v>
      </c>
      <c r="E683" t="str">
        <f t="shared" ref="E683:E690" si="184">"094OMS"</f>
        <v>094OMS</v>
      </c>
      <c r="F683" t="str">
        <f t="shared" ref="F683:F690" si="185">"RECPUB"</f>
        <v>RECPUB</v>
      </c>
      <c r="G683" t="str">
        <f>""</f>
        <v/>
      </c>
      <c r="H683" s="1">
        <v>41608</v>
      </c>
      <c r="I683" t="str">
        <f t="shared" ref="I683:I690" si="186">"PCD00631"</f>
        <v>PCD00631</v>
      </c>
      <c r="J683" t="str">
        <f>"206203"</f>
        <v>206203</v>
      </c>
      <c r="K683" t="str">
        <f t="shared" ref="K683:K690" si="187">"AS89"</f>
        <v>AS89</v>
      </c>
      <c r="L683" t="s">
        <v>2314</v>
      </c>
      <c r="M683">
        <v>268.12</v>
      </c>
    </row>
    <row r="684" spans="1:13" x14ac:dyDescent="0.25">
      <c r="A684" t="str">
        <f t="shared" si="181"/>
        <v>E241</v>
      </c>
      <c r="B684">
        <v>1</v>
      </c>
      <c r="C684" t="str">
        <f t="shared" si="182"/>
        <v>10200</v>
      </c>
      <c r="D684" t="str">
        <f t="shared" si="183"/>
        <v>5620</v>
      </c>
      <c r="E684" t="str">
        <f t="shared" si="184"/>
        <v>094OMS</v>
      </c>
      <c r="F684" t="str">
        <f t="shared" si="185"/>
        <v>RECPUB</v>
      </c>
      <c r="G684" t="str">
        <f>""</f>
        <v/>
      </c>
      <c r="H684" s="1">
        <v>41608</v>
      </c>
      <c r="I684" t="str">
        <f t="shared" si="186"/>
        <v>PCD00631</v>
      </c>
      <c r="J684" t="str">
        <f>"206214"</f>
        <v>206214</v>
      </c>
      <c r="K684" t="str">
        <f t="shared" si="187"/>
        <v>AS89</v>
      </c>
      <c r="L684" t="s">
        <v>2313</v>
      </c>
      <c r="M684">
        <v>355</v>
      </c>
    </row>
    <row r="685" spans="1:13" x14ac:dyDescent="0.25">
      <c r="A685" t="str">
        <f t="shared" si="181"/>
        <v>E241</v>
      </c>
      <c r="B685">
        <v>1</v>
      </c>
      <c r="C685" t="str">
        <f t="shared" si="182"/>
        <v>10200</v>
      </c>
      <c r="D685" t="str">
        <f t="shared" si="183"/>
        <v>5620</v>
      </c>
      <c r="E685" t="str">
        <f t="shared" si="184"/>
        <v>094OMS</v>
      </c>
      <c r="F685" t="str">
        <f t="shared" si="185"/>
        <v>RECPUB</v>
      </c>
      <c r="G685" t="str">
        <f>""</f>
        <v/>
      </c>
      <c r="H685" s="1">
        <v>41608</v>
      </c>
      <c r="I685" t="str">
        <f t="shared" si="186"/>
        <v>PCD00631</v>
      </c>
      <c r="J685" t="str">
        <f>"206215"</f>
        <v>206215</v>
      </c>
      <c r="K685" t="str">
        <f t="shared" si="187"/>
        <v>AS89</v>
      </c>
      <c r="L685" t="s">
        <v>2312</v>
      </c>
      <c r="M685">
        <v>250</v>
      </c>
    </row>
    <row r="686" spans="1:13" x14ac:dyDescent="0.25">
      <c r="A686" t="str">
        <f t="shared" si="181"/>
        <v>E241</v>
      </c>
      <c r="B686">
        <v>1</v>
      </c>
      <c r="C686" t="str">
        <f t="shared" si="182"/>
        <v>10200</v>
      </c>
      <c r="D686" t="str">
        <f t="shared" si="183"/>
        <v>5620</v>
      </c>
      <c r="E686" t="str">
        <f t="shared" si="184"/>
        <v>094OMS</v>
      </c>
      <c r="F686" t="str">
        <f t="shared" si="185"/>
        <v>RECPUB</v>
      </c>
      <c r="G686" t="str">
        <f>""</f>
        <v/>
      </c>
      <c r="H686" s="1">
        <v>41608</v>
      </c>
      <c r="I686" t="str">
        <f t="shared" si="186"/>
        <v>PCD00631</v>
      </c>
      <c r="J686" t="str">
        <f>"206216"</f>
        <v>206216</v>
      </c>
      <c r="K686" t="str">
        <f t="shared" si="187"/>
        <v>AS89</v>
      </c>
      <c r="L686" t="s">
        <v>2311</v>
      </c>
      <c r="M686">
        <v>299</v>
      </c>
    </row>
    <row r="687" spans="1:13" x14ac:dyDescent="0.25">
      <c r="A687" t="str">
        <f t="shared" si="181"/>
        <v>E241</v>
      </c>
      <c r="B687">
        <v>1</v>
      </c>
      <c r="C687" t="str">
        <f t="shared" si="182"/>
        <v>10200</v>
      </c>
      <c r="D687" t="str">
        <f t="shared" si="183"/>
        <v>5620</v>
      </c>
      <c r="E687" t="str">
        <f t="shared" si="184"/>
        <v>094OMS</v>
      </c>
      <c r="F687" t="str">
        <f t="shared" si="185"/>
        <v>RECPUB</v>
      </c>
      <c r="G687" t="str">
        <f>""</f>
        <v/>
      </c>
      <c r="H687" s="1">
        <v>41608</v>
      </c>
      <c r="I687" t="str">
        <f t="shared" si="186"/>
        <v>PCD00631</v>
      </c>
      <c r="J687" t="str">
        <f>"206385"</f>
        <v>206385</v>
      </c>
      <c r="K687" t="str">
        <f t="shared" si="187"/>
        <v>AS89</v>
      </c>
      <c r="L687" t="s">
        <v>2310</v>
      </c>
      <c r="M687">
        <v>390</v>
      </c>
    </row>
    <row r="688" spans="1:13" x14ac:dyDescent="0.25">
      <c r="A688" t="str">
        <f t="shared" si="181"/>
        <v>E241</v>
      </c>
      <c r="B688">
        <v>1</v>
      </c>
      <c r="C688" t="str">
        <f t="shared" si="182"/>
        <v>10200</v>
      </c>
      <c r="D688" t="str">
        <f t="shared" si="183"/>
        <v>5620</v>
      </c>
      <c r="E688" t="str">
        <f t="shared" si="184"/>
        <v>094OMS</v>
      </c>
      <c r="F688" t="str">
        <f t="shared" si="185"/>
        <v>RECPUB</v>
      </c>
      <c r="G688" t="str">
        <f>""</f>
        <v/>
      </c>
      <c r="H688" s="1">
        <v>41608</v>
      </c>
      <c r="I688" t="str">
        <f t="shared" si="186"/>
        <v>PCD00631</v>
      </c>
      <c r="J688" t="str">
        <f>"206386"</f>
        <v>206386</v>
      </c>
      <c r="K688" t="str">
        <f t="shared" si="187"/>
        <v>AS89</v>
      </c>
      <c r="L688" t="s">
        <v>2309</v>
      </c>
      <c r="M688">
        <v>175</v>
      </c>
    </row>
    <row r="689" spans="1:13" x14ac:dyDescent="0.25">
      <c r="A689" t="str">
        <f t="shared" si="181"/>
        <v>E241</v>
      </c>
      <c r="B689">
        <v>1</v>
      </c>
      <c r="C689" t="str">
        <f t="shared" si="182"/>
        <v>10200</v>
      </c>
      <c r="D689" t="str">
        <f t="shared" si="183"/>
        <v>5620</v>
      </c>
      <c r="E689" t="str">
        <f t="shared" si="184"/>
        <v>094OMS</v>
      </c>
      <c r="F689" t="str">
        <f t="shared" si="185"/>
        <v>RECPUB</v>
      </c>
      <c r="G689" t="str">
        <f>""</f>
        <v/>
      </c>
      <c r="H689" s="1">
        <v>41608</v>
      </c>
      <c r="I689" t="str">
        <f t="shared" si="186"/>
        <v>PCD00631</v>
      </c>
      <c r="J689" t="str">
        <f>"206485"</f>
        <v>206485</v>
      </c>
      <c r="K689" t="str">
        <f t="shared" si="187"/>
        <v>AS89</v>
      </c>
      <c r="L689" t="s">
        <v>2308</v>
      </c>
      <c r="M689">
        <v>375</v>
      </c>
    </row>
    <row r="690" spans="1:13" x14ac:dyDescent="0.25">
      <c r="A690" t="str">
        <f t="shared" si="181"/>
        <v>E241</v>
      </c>
      <c r="B690">
        <v>1</v>
      </c>
      <c r="C690" t="str">
        <f t="shared" si="182"/>
        <v>10200</v>
      </c>
      <c r="D690" t="str">
        <f t="shared" si="183"/>
        <v>5620</v>
      </c>
      <c r="E690" t="str">
        <f t="shared" si="184"/>
        <v>094OMS</v>
      </c>
      <c r="F690" t="str">
        <f t="shared" si="185"/>
        <v>RECPUB</v>
      </c>
      <c r="G690" t="str">
        <f>""</f>
        <v/>
      </c>
      <c r="H690" s="1">
        <v>41608</v>
      </c>
      <c r="I690" t="str">
        <f t="shared" si="186"/>
        <v>PCD00631</v>
      </c>
      <c r="J690" t="str">
        <f>"206743"</f>
        <v>206743</v>
      </c>
      <c r="K690" t="str">
        <f t="shared" si="187"/>
        <v>AS89</v>
      </c>
      <c r="L690" t="s">
        <v>2307</v>
      </c>
      <c r="M690">
        <v>300</v>
      </c>
    </row>
    <row r="691" spans="1:13" x14ac:dyDescent="0.25">
      <c r="A691" t="str">
        <f>"E242"</f>
        <v>E242</v>
      </c>
      <c r="B691">
        <v>1</v>
      </c>
      <c r="C691" t="str">
        <f>"43000"</f>
        <v>43000</v>
      </c>
      <c r="D691" t="str">
        <f t="shared" si="183"/>
        <v>5620</v>
      </c>
      <c r="E691" t="str">
        <f>"850LOS"</f>
        <v>850LOS</v>
      </c>
      <c r="F691" t="str">
        <f>""</f>
        <v/>
      </c>
      <c r="G691" t="str">
        <f>""</f>
        <v/>
      </c>
      <c r="H691" s="1">
        <v>41820</v>
      </c>
      <c r="I691" t="str">
        <f>"J0010489"</f>
        <v>J0010489</v>
      </c>
      <c r="J691" t="str">
        <f>""</f>
        <v/>
      </c>
      <c r="K691" t="str">
        <f>"J079"</f>
        <v>J079</v>
      </c>
      <c r="L691" t="s">
        <v>2209</v>
      </c>
      <c r="M691">
        <v>113.95</v>
      </c>
    </row>
    <row r="692" spans="1:13" x14ac:dyDescent="0.25">
      <c r="A692" t="str">
        <f>"E244"</f>
        <v>E244</v>
      </c>
      <c r="B692">
        <v>1</v>
      </c>
      <c r="C692" t="str">
        <f>"23275"</f>
        <v>23275</v>
      </c>
      <c r="D692" t="str">
        <f t="shared" si="183"/>
        <v>5620</v>
      </c>
      <c r="E692" t="str">
        <f>"063STF"</f>
        <v>063STF</v>
      </c>
      <c r="F692" t="str">
        <f>""</f>
        <v/>
      </c>
      <c r="G692" t="str">
        <f>""</f>
        <v/>
      </c>
      <c r="H692" s="1">
        <v>41820</v>
      </c>
      <c r="I692" t="str">
        <f>"PCD00670"</f>
        <v>PCD00670</v>
      </c>
      <c r="J692" t="str">
        <f>""</f>
        <v/>
      </c>
      <c r="K692" t="str">
        <f>"AS89"</f>
        <v>AS89</v>
      </c>
      <c r="L692" t="s">
        <v>2306</v>
      </c>
      <c r="M692" s="2">
        <v>1915.38</v>
      </c>
    </row>
    <row r="693" spans="1:13" x14ac:dyDescent="0.25">
      <c r="A693" t="str">
        <f>"E244"</f>
        <v>E244</v>
      </c>
      <c r="B693">
        <v>1</v>
      </c>
      <c r="C693" t="str">
        <f>"43000"</f>
        <v>43000</v>
      </c>
      <c r="D693" t="str">
        <f t="shared" si="183"/>
        <v>5620</v>
      </c>
      <c r="E693" t="str">
        <f>"850ALT"</f>
        <v>850ALT</v>
      </c>
      <c r="F693" t="str">
        <f>""</f>
        <v/>
      </c>
      <c r="G693" t="str">
        <f>""</f>
        <v/>
      </c>
      <c r="H693" s="1">
        <v>41807</v>
      </c>
      <c r="I693" t="str">
        <f>"J0009359"</f>
        <v>J0009359</v>
      </c>
      <c r="J693" t="str">
        <f>""</f>
        <v/>
      </c>
      <c r="K693" t="str">
        <f>"J096"</f>
        <v>J096</v>
      </c>
      <c r="L693" t="s">
        <v>2304</v>
      </c>
      <c r="M693">
        <v>108.7</v>
      </c>
    </row>
    <row r="694" spans="1:13" x14ac:dyDescent="0.25">
      <c r="A694" t="str">
        <f>"E244"</f>
        <v>E244</v>
      </c>
      <c r="B694">
        <v>1</v>
      </c>
      <c r="C694" t="str">
        <f>"43001"</f>
        <v>43001</v>
      </c>
      <c r="D694" t="str">
        <f>"5740"</f>
        <v>5740</v>
      </c>
      <c r="E694" t="str">
        <f>"850LOS"</f>
        <v>850LOS</v>
      </c>
      <c r="F694" t="str">
        <f>""</f>
        <v/>
      </c>
      <c r="G694" t="str">
        <f>""</f>
        <v/>
      </c>
      <c r="H694" s="1">
        <v>41565</v>
      </c>
      <c r="I694" t="str">
        <f>"PCD00624"</f>
        <v>PCD00624</v>
      </c>
      <c r="J694" t="str">
        <f>"203002"</f>
        <v>203002</v>
      </c>
      <c r="K694" t="str">
        <f>"AS89"</f>
        <v>AS89</v>
      </c>
      <c r="L694" t="s">
        <v>2305</v>
      </c>
      <c r="M694">
        <v>100</v>
      </c>
    </row>
    <row r="695" spans="1:13" x14ac:dyDescent="0.25">
      <c r="A695" t="str">
        <f t="shared" ref="A695:A704" si="188">"E247"</f>
        <v>E247</v>
      </c>
      <c r="B695">
        <v>1</v>
      </c>
      <c r="C695" t="str">
        <f t="shared" ref="C695:C704" si="189">"10200"</f>
        <v>10200</v>
      </c>
      <c r="D695" t="str">
        <f t="shared" ref="D695:D704" si="190">"5620"</f>
        <v>5620</v>
      </c>
      <c r="E695" t="str">
        <f t="shared" ref="E695:E704" si="191">"094OMS"</f>
        <v>094OMS</v>
      </c>
      <c r="F695" t="str">
        <f>""</f>
        <v/>
      </c>
      <c r="G695" t="str">
        <f>""</f>
        <v/>
      </c>
      <c r="H695" s="1">
        <v>41494</v>
      </c>
      <c r="I695" t="str">
        <f>"I0106647"</f>
        <v>I0106647</v>
      </c>
      <c r="J695" t="str">
        <f t="shared" ref="J695:J703" si="192">"N125301F"</f>
        <v>N125301F</v>
      </c>
      <c r="K695" t="str">
        <f t="shared" ref="K695:K704" si="193">"INEI"</f>
        <v>INEI</v>
      </c>
      <c r="L695" t="s">
        <v>838</v>
      </c>
      <c r="M695">
        <v>358.25</v>
      </c>
    </row>
    <row r="696" spans="1:13" x14ac:dyDescent="0.25">
      <c r="A696" t="str">
        <f t="shared" si="188"/>
        <v>E247</v>
      </c>
      <c r="B696">
        <v>1</v>
      </c>
      <c r="C696" t="str">
        <f t="shared" si="189"/>
        <v>10200</v>
      </c>
      <c r="D696" t="str">
        <f t="shared" si="190"/>
        <v>5620</v>
      </c>
      <c r="E696" t="str">
        <f t="shared" si="191"/>
        <v>094OMS</v>
      </c>
      <c r="F696" t="str">
        <f>""</f>
        <v/>
      </c>
      <c r="G696" t="str">
        <f>""</f>
        <v/>
      </c>
      <c r="H696" s="1">
        <v>41527</v>
      </c>
      <c r="I696" t="str">
        <f>"I0106891"</f>
        <v>I0106891</v>
      </c>
      <c r="J696" t="str">
        <f t="shared" si="192"/>
        <v>N125301F</v>
      </c>
      <c r="K696" t="str">
        <f t="shared" si="193"/>
        <v>INEI</v>
      </c>
      <c r="L696" t="s">
        <v>838</v>
      </c>
      <c r="M696">
        <v>433.93</v>
      </c>
    </row>
    <row r="697" spans="1:13" x14ac:dyDescent="0.25">
      <c r="A697" t="str">
        <f t="shared" si="188"/>
        <v>E247</v>
      </c>
      <c r="B697">
        <v>1</v>
      </c>
      <c r="C697" t="str">
        <f t="shared" si="189"/>
        <v>10200</v>
      </c>
      <c r="D697" t="str">
        <f t="shared" si="190"/>
        <v>5620</v>
      </c>
      <c r="E697" t="str">
        <f t="shared" si="191"/>
        <v>094OMS</v>
      </c>
      <c r="F697" t="str">
        <f>""</f>
        <v/>
      </c>
      <c r="G697" t="str">
        <f>""</f>
        <v/>
      </c>
      <c r="H697" s="1">
        <v>41554</v>
      </c>
      <c r="I697" t="str">
        <f>"I0107047"</f>
        <v>I0107047</v>
      </c>
      <c r="J697" t="str">
        <f t="shared" si="192"/>
        <v>N125301F</v>
      </c>
      <c r="K697" t="str">
        <f t="shared" si="193"/>
        <v>INEI</v>
      </c>
      <c r="L697" t="s">
        <v>838</v>
      </c>
      <c r="M697">
        <v>328.1</v>
      </c>
    </row>
    <row r="698" spans="1:13" x14ac:dyDescent="0.25">
      <c r="A698" t="str">
        <f t="shared" si="188"/>
        <v>E247</v>
      </c>
      <c r="B698">
        <v>1</v>
      </c>
      <c r="C698" t="str">
        <f t="shared" si="189"/>
        <v>10200</v>
      </c>
      <c r="D698" t="str">
        <f t="shared" si="190"/>
        <v>5620</v>
      </c>
      <c r="E698" t="str">
        <f t="shared" si="191"/>
        <v>094OMS</v>
      </c>
      <c r="F698" t="str">
        <f>""</f>
        <v/>
      </c>
      <c r="G698" t="str">
        <f>""</f>
        <v/>
      </c>
      <c r="H698" s="1">
        <v>41590</v>
      </c>
      <c r="I698" t="str">
        <f>"I0107357"</f>
        <v>I0107357</v>
      </c>
      <c r="J698" t="str">
        <f t="shared" si="192"/>
        <v>N125301F</v>
      </c>
      <c r="K698" t="str">
        <f t="shared" si="193"/>
        <v>INEI</v>
      </c>
      <c r="L698" t="s">
        <v>838</v>
      </c>
      <c r="M698">
        <v>472.31</v>
      </c>
    </row>
    <row r="699" spans="1:13" x14ac:dyDescent="0.25">
      <c r="A699" t="str">
        <f t="shared" si="188"/>
        <v>E247</v>
      </c>
      <c r="B699">
        <v>1</v>
      </c>
      <c r="C699" t="str">
        <f t="shared" si="189"/>
        <v>10200</v>
      </c>
      <c r="D699" t="str">
        <f t="shared" si="190"/>
        <v>5620</v>
      </c>
      <c r="E699" t="str">
        <f t="shared" si="191"/>
        <v>094OMS</v>
      </c>
      <c r="F699" t="str">
        <f>""</f>
        <v/>
      </c>
      <c r="G699" t="str">
        <f>""</f>
        <v/>
      </c>
      <c r="H699" s="1">
        <v>41619</v>
      </c>
      <c r="I699" t="str">
        <f>"I0107507"</f>
        <v>I0107507</v>
      </c>
      <c r="J699" t="str">
        <f t="shared" si="192"/>
        <v>N125301F</v>
      </c>
      <c r="K699" t="str">
        <f t="shared" si="193"/>
        <v>INEI</v>
      </c>
      <c r="L699" t="s">
        <v>838</v>
      </c>
      <c r="M699">
        <v>354.44</v>
      </c>
    </row>
    <row r="700" spans="1:13" x14ac:dyDescent="0.25">
      <c r="A700" t="str">
        <f t="shared" si="188"/>
        <v>E247</v>
      </c>
      <c r="B700">
        <v>1</v>
      </c>
      <c r="C700" t="str">
        <f t="shared" si="189"/>
        <v>10200</v>
      </c>
      <c r="D700" t="str">
        <f t="shared" si="190"/>
        <v>5620</v>
      </c>
      <c r="E700" t="str">
        <f t="shared" si="191"/>
        <v>094OMS</v>
      </c>
      <c r="F700" t="str">
        <f>""</f>
        <v/>
      </c>
      <c r="G700" t="str">
        <f>""</f>
        <v/>
      </c>
      <c r="H700" s="1">
        <v>41648</v>
      </c>
      <c r="I700" t="str">
        <f>"I0107720"</f>
        <v>I0107720</v>
      </c>
      <c r="J700" t="str">
        <f t="shared" si="192"/>
        <v>N125301F</v>
      </c>
      <c r="K700" t="str">
        <f t="shared" si="193"/>
        <v>INEI</v>
      </c>
      <c r="L700" t="s">
        <v>838</v>
      </c>
      <c r="M700">
        <v>376.79</v>
      </c>
    </row>
    <row r="701" spans="1:13" x14ac:dyDescent="0.25">
      <c r="A701" t="str">
        <f t="shared" si="188"/>
        <v>E247</v>
      </c>
      <c r="B701">
        <v>1</v>
      </c>
      <c r="C701" t="str">
        <f t="shared" si="189"/>
        <v>10200</v>
      </c>
      <c r="D701" t="str">
        <f t="shared" si="190"/>
        <v>5620</v>
      </c>
      <c r="E701" t="str">
        <f t="shared" si="191"/>
        <v>094OMS</v>
      </c>
      <c r="F701" t="str">
        <f>""</f>
        <v/>
      </c>
      <c r="G701" t="str">
        <f>""</f>
        <v/>
      </c>
      <c r="H701" s="1">
        <v>41690</v>
      </c>
      <c r="I701" t="str">
        <f>"I0107980"</f>
        <v>I0107980</v>
      </c>
      <c r="J701" t="str">
        <f t="shared" si="192"/>
        <v>N125301F</v>
      </c>
      <c r="K701" t="str">
        <f t="shared" si="193"/>
        <v>INEI</v>
      </c>
      <c r="L701" t="s">
        <v>838</v>
      </c>
      <c r="M701">
        <v>426.75</v>
      </c>
    </row>
    <row r="702" spans="1:13" x14ac:dyDescent="0.25">
      <c r="A702" t="str">
        <f t="shared" si="188"/>
        <v>E247</v>
      </c>
      <c r="B702">
        <v>1</v>
      </c>
      <c r="C702" t="str">
        <f t="shared" si="189"/>
        <v>10200</v>
      </c>
      <c r="D702" t="str">
        <f t="shared" si="190"/>
        <v>5620</v>
      </c>
      <c r="E702" t="str">
        <f t="shared" si="191"/>
        <v>094OMS</v>
      </c>
      <c r="F702" t="str">
        <f>""</f>
        <v/>
      </c>
      <c r="G702" t="str">
        <f>""</f>
        <v/>
      </c>
      <c r="H702" s="1">
        <v>41715</v>
      </c>
      <c r="I702" t="str">
        <f>"I0108214"</f>
        <v>I0108214</v>
      </c>
      <c r="J702" t="str">
        <f t="shared" si="192"/>
        <v>N125301F</v>
      </c>
      <c r="K702" t="str">
        <f t="shared" si="193"/>
        <v>INEI</v>
      </c>
      <c r="L702" t="s">
        <v>838</v>
      </c>
      <c r="M702">
        <v>307.2</v>
      </c>
    </row>
    <row r="703" spans="1:13" x14ac:dyDescent="0.25">
      <c r="A703" t="str">
        <f t="shared" si="188"/>
        <v>E247</v>
      </c>
      <c r="B703">
        <v>1</v>
      </c>
      <c r="C703" t="str">
        <f t="shared" si="189"/>
        <v>10200</v>
      </c>
      <c r="D703" t="str">
        <f t="shared" si="190"/>
        <v>5620</v>
      </c>
      <c r="E703" t="str">
        <f t="shared" si="191"/>
        <v>094OMS</v>
      </c>
      <c r="F703" t="str">
        <f>""</f>
        <v/>
      </c>
      <c r="G703" t="str">
        <f>""</f>
        <v/>
      </c>
      <c r="H703" s="1">
        <v>41746</v>
      </c>
      <c r="I703" t="str">
        <f>"I0108708"</f>
        <v>I0108708</v>
      </c>
      <c r="J703" t="str">
        <f t="shared" si="192"/>
        <v>N125301F</v>
      </c>
      <c r="K703" t="str">
        <f t="shared" si="193"/>
        <v>INEI</v>
      </c>
      <c r="L703" t="s">
        <v>838</v>
      </c>
      <c r="M703">
        <v>339.27</v>
      </c>
    </row>
    <row r="704" spans="1:13" x14ac:dyDescent="0.25">
      <c r="A704" t="str">
        <f t="shared" si="188"/>
        <v>E247</v>
      </c>
      <c r="B704">
        <v>1</v>
      </c>
      <c r="C704" t="str">
        <f t="shared" si="189"/>
        <v>10200</v>
      </c>
      <c r="D704" t="str">
        <f t="shared" si="190"/>
        <v>5620</v>
      </c>
      <c r="E704" t="str">
        <f t="shared" si="191"/>
        <v>094OMS</v>
      </c>
      <c r="F704" t="str">
        <f>""</f>
        <v/>
      </c>
      <c r="G704" t="str">
        <f>""</f>
        <v/>
      </c>
      <c r="H704" s="1">
        <v>41820</v>
      </c>
      <c r="I704" t="str">
        <f>"I0110036"</f>
        <v>I0110036</v>
      </c>
      <c r="J704" t="str">
        <f>"N218295"</f>
        <v>N218295</v>
      </c>
      <c r="K704" t="str">
        <f t="shared" si="193"/>
        <v>INEI</v>
      </c>
      <c r="L704" t="s">
        <v>2303</v>
      </c>
      <c r="M704">
        <v>797.5</v>
      </c>
    </row>
    <row r="705" spans="1:13" x14ac:dyDescent="0.25">
      <c r="A705" t="str">
        <f>"E255"</f>
        <v>E255</v>
      </c>
      <c r="B705">
        <v>1</v>
      </c>
      <c r="C705" t="str">
        <f>"32040"</f>
        <v>32040</v>
      </c>
      <c r="D705" t="str">
        <f>"5610"</f>
        <v>5610</v>
      </c>
      <c r="E705" t="str">
        <f>"850LOS"</f>
        <v>850LOS</v>
      </c>
      <c r="F705" t="str">
        <f>""</f>
        <v/>
      </c>
      <c r="G705" t="str">
        <f>""</f>
        <v/>
      </c>
      <c r="H705" s="1">
        <v>41516</v>
      </c>
      <c r="I705" t="str">
        <f>"PCD00615"</f>
        <v>PCD00615</v>
      </c>
      <c r="J705" t="str">
        <f>"198981"</f>
        <v>198981</v>
      </c>
      <c r="K705" t="str">
        <f>"AS89"</f>
        <v>AS89</v>
      </c>
      <c r="L705" t="s">
        <v>2302</v>
      </c>
      <c r="M705">
        <v>210.45</v>
      </c>
    </row>
    <row r="706" spans="1:13" x14ac:dyDescent="0.25">
      <c r="A706" t="str">
        <f>"E255"</f>
        <v>E255</v>
      </c>
      <c r="B706">
        <v>1</v>
      </c>
      <c r="C706" t="str">
        <f>"32040"</f>
        <v>32040</v>
      </c>
      <c r="D706" t="str">
        <f>"5610"</f>
        <v>5610</v>
      </c>
      <c r="E706" t="str">
        <f>"850LOS"</f>
        <v>850LOS</v>
      </c>
      <c r="F706" t="str">
        <f>""</f>
        <v/>
      </c>
      <c r="G706" t="str">
        <f>""</f>
        <v/>
      </c>
      <c r="H706" s="1">
        <v>41544</v>
      </c>
      <c r="I706" t="str">
        <f>"PCD00620"</f>
        <v>PCD00620</v>
      </c>
      <c r="J706" t="str">
        <f>"201354"</f>
        <v>201354</v>
      </c>
      <c r="K706" t="str">
        <f>"AS89"</f>
        <v>AS89</v>
      </c>
      <c r="L706" t="s">
        <v>2301</v>
      </c>
      <c r="M706">
        <v>572.02</v>
      </c>
    </row>
    <row r="707" spans="1:13" x14ac:dyDescent="0.25">
      <c r="A707" t="str">
        <f>"E255"</f>
        <v>E255</v>
      </c>
      <c r="B707">
        <v>1</v>
      </c>
      <c r="C707" t="str">
        <f>"32040"</f>
        <v>32040</v>
      </c>
      <c r="D707" t="str">
        <f t="shared" ref="D707:D728" si="194">"5620"</f>
        <v>5620</v>
      </c>
      <c r="E707" t="str">
        <f>"850LOS"</f>
        <v>850LOS</v>
      </c>
      <c r="F707" t="str">
        <f>""</f>
        <v/>
      </c>
      <c r="G707" t="str">
        <f>""</f>
        <v/>
      </c>
      <c r="H707" s="1">
        <v>41764</v>
      </c>
      <c r="I707" t="str">
        <f>"J0008508"</f>
        <v>J0008508</v>
      </c>
      <c r="J707" t="str">
        <f>""</f>
        <v/>
      </c>
      <c r="K707" t="str">
        <f>"J079"</f>
        <v>J079</v>
      </c>
      <c r="L707" t="s">
        <v>2200</v>
      </c>
      <c r="M707">
        <v>800.78</v>
      </c>
    </row>
    <row r="708" spans="1:13" x14ac:dyDescent="0.25">
      <c r="A708" t="str">
        <f t="shared" ref="A708:A739" si="195">"E257"</f>
        <v>E257</v>
      </c>
      <c r="B708">
        <v>1</v>
      </c>
      <c r="C708" t="str">
        <f t="shared" ref="C708:C728" si="196">"10200"</f>
        <v>10200</v>
      </c>
      <c r="D708" t="str">
        <f t="shared" si="194"/>
        <v>5620</v>
      </c>
      <c r="E708" t="str">
        <f t="shared" ref="E708:E728" si="197">"094OMS"</f>
        <v>094OMS</v>
      </c>
      <c r="F708" t="str">
        <f>""</f>
        <v/>
      </c>
      <c r="G708" t="str">
        <f>""</f>
        <v/>
      </c>
      <c r="H708" s="1">
        <v>41486</v>
      </c>
      <c r="I708" t="str">
        <f>"PCD00610"</f>
        <v>PCD00610</v>
      </c>
      <c r="J708" t="str">
        <f>"197648"</f>
        <v>197648</v>
      </c>
      <c r="K708" t="str">
        <f t="shared" ref="K708:K729" si="198">"AS89"</f>
        <v>AS89</v>
      </c>
      <c r="L708" t="s">
        <v>2300</v>
      </c>
      <c r="M708">
        <v>205.99</v>
      </c>
    </row>
    <row r="709" spans="1:13" x14ac:dyDescent="0.25">
      <c r="A709" t="str">
        <f t="shared" si="195"/>
        <v>E257</v>
      </c>
      <c r="B709">
        <v>1</v>
      </c>
      <c r="C709" t="str">
        <f t="shared" si="196"/>
        <v>10200</v>
      </c>
      <c r="D709" t="str">
        <f t="shared" si="194"/>
        <v>5620</v>
      </c>
      <c r="E709" t="str">
        <f t="shared" si="197"/>
        <v>094OMS</v>
      </c>
      <c r="F709" t="str">
        <f>""</f>
        <v/>
      </c>
      <c r="G709" t="str">
        <f>""</f>
        <v/>
      </c>
      <c r="H709" s="1">
        <v>41547</v>
      </c>
      <c r="I709" t="str">
        <f>"PCD00621"</f>
        <v>PCD00621</v>
      </c>
      <c r="J709" t="str">
        <f>"202385"</f>
        <v>202385</v>
      </c>
      <c r="K709" t="str">
        <f t="shared" si="198"/>
        <v>AS89</v>
      </c>
      <c r="L709" t="s">
        <v>2287</v>
      </c>
      <c r="M709">
        <v>198.62</v>
      </c>
    </row>
    <row r="710" spans="1:13" x14ac:dyDescent="0.25">
      <c r="A710" t="str">
        <f t="shared" si="195"/>
        <v>E257</v>
      </c>
      <c r="B710">
        <v>1</v>
      </c>
      <c r="C710" t="str">
        <f t="shared" si="196"/>
        <v>10200</v>
      </c>
      <c r="D710" t="str">
        <f t="shared" si="194"/>
        <v>5620</v>
      </c>
      <c r="E710" t="str">
        <f t="shared" si="197"/>
        <v>094OMS</v>
      </c>
      <c r="F710" t="str">
        <f>""</f>
        <v/>
      </c>
      <c r="G710" t="str">
        <f>""</f>
        <v/>
      </c>
      <c r="H710" s="1">
        <v>41578</v>
      </c>
      <c r="I710" t="str">
        <f>"PCD00626"</f>
        <v>PCD00626</v>
      </c>
      <c r="J710" t="str">
        <f>"205095"</f>
        <v>205095</v>
      </c>
      <c r="K710" t="str">
        <f t="shared" si="198"/>
        <v>AS89</v>
      </c>
      <c r="L710" t="s">
        <v>2299</v>
      </c>
      <c r="M710">
        <v>222.9</v>
      </c>
    </row>
    <row r="711" spans="1:13" x14ac:dyDescent="0.25">
      <c r="A711" t="str">
        <f t="shared" si="195"/>
        <v>E257</v>
      </c>
      <c r="B711">
        <v>1</v>
      </c>
      <c r="C711" t="str">
        <f t="shared" si="196"/>
        <v>10200</v>
      </c>
      <c r="D711" t="str">
        <f t="shared" si="194"/>
        <v>5620</v>
      </c>
      <c r="E711" t="str">
        <f t="shared" si="197"/>
        <v>094OMS</v>
      </c>
      <c r="F711" t="str">
        <f>""</f>
        <v/>
      </c>
      <c r="G711" t="str">
        <f>""</f>
        <v/>
      </c>
      <c r="H711" s="1">
        <v>41608</v>
      </c>
      <c r="I711" t="str">
        <f>"PCD00631"</f>
        <v>PCD00631</v>
      </c>
      <c r="J711" t="str">
        <f>"205805"</f>
        <v>205805</v>
      </c>
      <c r="K711" t="str">
        <f t="shared" si="198"/>
        <v>AS89</v>
      </c>
      <c r="L711" t="s">
        <v>2281</v>
      </c>
      <c r="M711">
        <v>169.52</v>
      </c>
    </row>
    <row r="712" spans="1:13" x14ac:dyDescent="0.25">
      <c r="A712" t="str">
        <f t="shared" si="195"/>
        <v>E257</v>
      </c>
      <c r="B712">
        <v>1</v>
      </c>
      <c r="C712" t="str">
        <f t="shared" si="196"/>
        <v>10200</v>
      </c>
      <c r="D712" t="str">
        <f t="shared" si="194"/>
        <v>5620</v>
      </c>
      <c r="E712" t="str">
        <f t="shared" si="197"/>
        <v>094OMS</v>
      </c>
      <c r="F712" t="str">
        <f>""</f>
        <v/>
      </c>
      <c r="G712" t="str">
        <f>""</f>
        <v/>
      </c>
      <c r="H712" s="1">
        <v>41639</v>
      </c>
      <c r="I712" t="str">
        <f>"PCD00636"</f>
        <v>PCD00636</v>
      </c>
      <c r="J712" t="str">
        <f>"208820"</f>
        <v>208820</v>
      </c>
      <c r="K712" t="str">
        <f t="shared" si="198"/>
        <v>AS89</v>
      </c>
      <c r="L712" t="s">
        <v>2279</v>
      </c>
      <c r="M712">
        <v>773.89</v>
      </c>
    </row>
    <row r="713" spans="1:13" x14ac:dyDescent="0.25">
      <c r="A713" t="str">
        <f t="shared" si="195"/>
        <v>E257</v>
      </c>
      <c r="B713">
        <v>1</v>
      </c>
      <c r="C713" t="str">
        <f t="shared" si="196"/>
        <v>10200</v>
      </c>
      <c r="D713" t="str">
        <f t="shared" si="194"/>
        <v>5620</v>
      </c>
      <c r="E713" t="str">
        <f t="shared" si="197"/>
        <v>094OMS</v>
      </c>
      <c r="F713" t="str">
        <f>""</f>
        <v/>
      </c>
      <c r="G713" t="str">
        <f>""</f>
        <v/>
      </c>
      <c r="H713" s="1">
        <v>41639</v>
      </c>
      <c r="I713" t="str">
        <f>"PCD00636"</f>
        <v>PCD00636</v>
      </c>
      <c r="J713" t="str">
        <f>"208821"</f>
        <v>208821</v>
      </c>
      <c r="K713" t="str">
        <f t="shared" si="198"/>
        <v>AS89</v>
      </c>
      <c r="L713" t="s">
        <v>2298</v>
      </c>
      <c r="M713">
        <v>917.97</v>
      </c>
    </row>
    <row r="714" spans="1:13" x14ac:dyDescent="0.25">
      <c r="A714" t="str">
        <f t="shared" si="195"/>
        <v>E257</v>
      </c>
      <c r="B714">
        <v>1</v>
      </c>
      <c r="C714" t="str">
        <f t="shared" si="196"/>
        <v>10200</v>
      </c>
      <c r="D714" t="str">
        <f t="shared" si="194"/>
        <v>5620</v>
      </c>
      <c r="E714" t="str">
        <f t="shared" si="197"/>
        <v>094OMS</v>
      </c>
      <c r="F714" t="str">
        <f>""</f>
        <v/>
      </c>
      <c r="G714" t="str">
        <f>""</f>
        <v/>
      </c>
      <c r="H714" s="1">
        <v>41670</v>
      </c>
      <c r="I714" t="str">
        <f>"PCD00641"</f>
        <v>PCD00641</v>
      </c>
      <c r="J714" t="str">
        <f>"209283"</f>
        <v>209283</v>
      </c>
      <c r="K714" t="str">
        <f t="shared" si="198"/>
        <v>AS89</v>
      </c>
      <c r="L714" t="s">
        <v>2297</v>
      </c>
      <c r="M714">
        <v>360.94</v>
      </c>
    </row>
    <row r="715" spans="1:13" x14ac:dyDescent="0.25">
      <c r="A715" t="str">
        <f t="shared" si="195"/>
        <v>E257</v>
      </c>
      <c r="B715">
        <v>1</v>
      </c>
      <c r="C715" t="str">
        <f t="shared" si="196"/>
        <v>10200</v>
      </c>
      <c r="D715" t="str">
        <f t="shared" si="194"/>
        <v>5620</v>
      </c>
      <c r="E715" t="str">
        <f t="shared" si="197"/>
        <v>094OMS</v>
      </c>
      <c r="F715" t="str">
        <f>""</f>
        <v/>
      </c>
      <c r="G715" t="str">
        <f>""</f>
        <v/>
      </c>
      <c r="H715" s="1">
        <v>41670</v>
      </c>
      <c r="I715" t="str">
        <f>"PCD00641"</f>
        <v>PCD00641</v>
      </c>
      <c r="J715" t="str">
        <f>"209489"</f>
        <v>209489</v>
      </c>
      <c r="K715" t="str">
        <f t="shared" si="198"/>
        <v>AS89</v>
      </c>
      <c r="L715" t="s">
        <v>2296</v>
      </c>
      <c r="M715">
        <v>275.55</v>
      </c>
    </row>
    <row r="716" spans="1:13" x14ac:dyDescent="0.25">
      <c r="A716" t="str">
        <f t="shared" si="195"/>
        <v>E257</v>
      </c>
      <c r="B716">
        <v>1</v>
      </c>
      <c r="C716" t="str">
        <f t="shared" si="196"/>
        <v>10200</v>
      </c>
      <c r="D716" t="str">
        <f t="shared" si="194"/>
        <v>5620</v>
      </c>
      <c r="E716" t="str">
        <f t="shared" si="197"/>
        <v>094OMS</v>
      </c>
      <c r="F716" t="str">
        <f>""</f>
        <v/>
      </c>
      <c r="G716" t="str">
        <f>""</f>
        <v/>
      </c>
      <c r="H716" s="1">
        <v>41670</v>
      </c>
      <c r="I716" t="str">
        <f>"PCD00641"</f>
        <v>PCD00641</v>
      </c>
      <c r="J716" t="str">
        <f>"210489"</f>
        <v>210489</v>
      </c>
      <c r="K716" t="str">
        <f t="shared" si="198"/>
        <v>AS89</v>
      </c>
      <c r="L716" t="s">
        <v>2295</v>
      </c>
      <c r="M716">
        <v>558.66</v>
      </c>
    </row>
    <row r="717" spans="1:13" x14ac:dyDescent="0.25">
      <c r="A717" t="str">
        <f t="shared" si="195"/>
        <v>E257</v>
      </c>
      <c r="B717">
        <v>1</v>
      </c>
      <c r="C717" t="str">
        <f t="shared" si="196"/>
        <v>10200</v>
      </c>
      <c r="D717" t="str">
        <f t="shared" si="194"/>
        <v>5620</v>
      </c>
      <c r="E717" t="str">
        <f t="shared" si="197"/>
        <v>094OMS</v>
      </c>
      <c r="F717" t="str">
        <f>""</f>
        <v/>
      </c>
      <c r="G717" t="str">
        <f>""</f>
        <v/>
      </c>
      <c r="H717" s="1">
        <v>41670</v>
      </c>
      <c r="I717" t="str">
        <f>"PCD00641"</f>
        <v>PCD00641</v>
      </c>
      <c r="J717" t="str">
        <f>"210490"</f>
        <v>210490</v>
      </c>
      <c r="K717" t="str">
        <f t="shared" si="198"/>
        <v>AS89</v>
      </c>
      <c r="L717" t="s">
        <v>2295</v>
      </c>
      <c r="M717">
        <v>189.3</v>
      </c>
    </row>
    <row r="718" spans="1:13" x14ac:dyDescent="0.25">
      <c r="A718" t="str">
        <f t="shared" si="195"/>
        <v>E257</v>
      </c>
      <c r="B718">
        <v>1</v>
      </c>
      <c r="C718" t="str">
        <f t="shared" si="196"/>
        <v>10200</v>
      </c>
      <c r="D718" t="str">
        <f t="shared" si="194"/>
        <v>5620</v>
      </c>
      <c r="E718" t="str">
        <f t="shared" si="197"/>
        <v>094OMS</v>
      </c>
      <c r="F718" t="str">
        <f>""</f>
        <v/>
      </c>
      <c r="G718" t="str">
        <f>""</f>
        <v/>
      </c>
      <c r="H718" s="1">
        <v>41670</v>
      </c>
      <c r="I718" t="str">
        <f>"PCD00641"</f>
        <v>PCD00641</v>
      </c>
      <c r="J718" t="str">
        <f>"210491"</f>
        <v>210491</v>
      </c>
      <c r="K718" t="str">
        <f t="shared" si="198"/>
        <v>AS89</v>
      </c>
      <c r="L718" t="s">
        <v>2295</v>
      </c>
      <c r="M718">
        <v>199.9</v>
      </c>
    </row>
    <row r="719" spans="1:13" x14ac:dyDescent="0.25">
      <c r="A719" t="str">
        <f t="shared" si="195"/>
        <v>E257</v>
      </c>
      <c r="B719">
        <v>1</v>
      </c>
      <c r="C719" t="str">
        <f t="shared" si="196"/>
        <v>10200</v>
      </c>
      <c r="D719" t="str">
        <f t="shared" si="194"/>
        <v>5620</v>
      </c>
      <c r="E719" t="str">
        <f t="shared" si="197"/>
        <v>094OMS</v>
      </c>
      <c r="F719" t="str">
        <f>""</f>
        <v/>
      </c>
      <c r="G719" t="str">
        <f>""</f>
        <v/>
      </c>
      <c r="H719" s="1">
        <v>41698</v>
      </c>
      <c r="I719" t="str">
        <f>"PCD00648"</f>
        <v>PCD00648</v>
      </c>
      <c r="J719" t="str">
        <f>""</f>
        <v/>
      </c>
      <c r="K719" t="str">
        <f t="shared" si="198"/>
        <v>AS89</v>
      </c>
      <c r="L719" t="s">
        <v>2285</v>
      </c>
      <c r="M719">
        <v>513.4</v>
      </c>
    </row>
    <row r="720" spans="1:13" x14ac:dyDescent="0.25">
      <c r="A720" t="str">
        <f t="shared" si="195"/>
        <v>E257</v>
      </c>
      <c r="B720">
        <v>1</v>
      </c>
      <c r="C720" t="str">
        <f t="shared" si="196"/>
        <v>10200</v>
      </c>
      <c r="D720" t="str">
        <f t="shared" si="194"/>
        <v>5620</v>
      </c>
      <c r="E720" t="str">
        <f t="shared" si="197"/>
        <v>094OMS</v>
      </c>
      <c r="F720" t="str">
        <f>""</f>
        <v/>
      </c>
      <c r="G720" t="str">
        <f>""</f>
        <v/>
      </c>
      <c r="H720" s="1">
        <v>41698</v>
      </c>
      <c r="I720" t="str">
        <f>"PCD00648"</f>
        <v>PCD00648</v>
      </c>
      <c r="J720" t="str">
        <f>""</f>
        <v/>
      </c>
      <c r="K720" t="str">
        <f t="shared" si="198"/>
        <v>AS89</v>
      </c>
      <c r="L720" t="s">
        <v>2294</v>
      </c>
      <c r="M720">
        <v>182.45</v>
      </c>
    </row>
    <row r="721" spans="1:13" x14ac:dyDescent="0.25">
      <c r="A721" t="str">
        <f t="shared" si="195"/>
        <v>E257</v>
      </c>
      <c r="B721">
        <v>1</v>
      </c>
      <c r="C721" t="str">
        <f t="shared" si="196"/>
        <v>10200</v>
      </c>
      <c r="D721" t="str">
        <f t="shared" si="194"/>
        <v>5620</v>
      </c>
      <c r="E721" t="str">
        <f t="shared" si="197"/>
        <v>094OMS</v>
      </c>
      <c r="F721" t="str">
        <f>""</f>
        <v/>
      </c>
      <c r="G721" t="str">
        <f>""</f>
        <v/>
      </c>
      <c r="H721" s="1">
        <v>41699</v>
      </c>
      <c r="I721" t="str">
        <f>"PCD00649"</f>
        <v>PCD00649</v>
      </c>
      <c r="J721" t="str">
        <f>""</f>
        <v/>
      </c>
      <c r="K721" t="str">
        <f t="shared" si="198"/>
        <v>AS89</v>
      </c>
      <c r="L721" t="s">
        <v>2294</v>
      </c>
      <c r="M721">
        <v>182.45</v>
      </c>
    </row>
    <row r="722" spans="1:13" x14ac:dyDescent="0.25">
      <c r="A722" t="str">
        <f t="shared" si="195"/>
        <v>E257</v>
      </c>
      <c r="B722">
        <v>1</v>
      </c>
      <c r="C722" t="str">
        <f t="shared" si="196"/>
        <v>10200</v>
      </c>
      <c r="D722" t="str">
        <f t="shared" si="194"/>
        <v>5620</v>
      </c>
      <c r="E722" t="str">
        <f t="shared" si="197"/>
        <v>094OMS</v>
      </c>
      <c r="F722" t="str">
        <f>""</f>
        <v/>
      </c>
      <c r="G722" t="str">
        <f>""</f>
        <v/>
      </c>
      <c r="H722" s="1">
        <v>41699</v>
      </c>
      <c r="I722" t="str">
        <f>"PCD00649"</f>
        <v>PCD00649</v>
      </c>
      <c r="J722" t="str">
        <f>""</f>
        <v/>
      </c>
      <c r="K722" t="str">
        <f t="shared" si="198"/>
        <v>AS89</v>
      </c>
      <c r="L722" t="s">
        <v>2285</v>
      </c>
      <c r="M722">
        <v>513.4</v>
      </c>
    </row>
    <row r="723" spans="1:13" x14ac:dyDescent="0.25">
      <c r="A723" t="str">
        <f t="shared" si="195"/>
        <v>E257</v>
      </c>
      <c r="B723">
        <v>1</v>
      </c>
      <c r="C723" t="str">
        <f t="shared" si="196"/>
        <v>10200</v>
      </c>
      <c r="D723" t="str">
        <f t="shared" si="194"/>
        <v>5620</v>
      </c>
      <c r="E723" t="str">
        <f t="shared" si="197"/>
        <v>094OMS</v>
      </c>
      <c r="F723" t="str">
        <f>""</f>
        <v/>
      </c>
      <c r="G723" t="str">
        <f>""</f>
        <v/>
      </c>
      <c r="H723" s="1">
        <v>41759</v>
      </c>
      <c r="I723" t="str">
        <f>"PCD00660"</f>
        <v>PCD00660</v>
      </c>
      <c r="J723" t="str">
        <f>""</f>
        <v/>
      </c>
      <c r="K723" t="str">
        <f t="shared" si="198"/>
        <v>AS89</v>
      </c>
      <c r="L723" t="s">
        <v>2293</v>
      </c>
      <c r="M723">
        <v>882.37</v>
      </c>
    </row>
    <row r="724" spans="1:13" x14ac:dyDescent="0.25">
      <c r="A724" t="str">
        <f t="shared" si="195"/>
        <v>E257</v>
      </c>
      <c r="B724">
        <v>1</v>
      </c>
      <c r="C724" t="str">
        <f t="shared" si="196"/>
        <v>10200</v>
      </c>
      <c r="D724" t="str">
        <f t="shared" si="194"/>
        <v>5620</v>
      </c>
      <c r="E724" t="str">
        <f t="shared" si="197"/>
        <v>094OMS</v>
      </c>
      <c r="F724" t="str">
        <f>""</f>
        <v/>
      </c>
      <c r="G724" t="str">
        <f>""</f>
        <v/>
      </c>
      <c r="H724" s="1">
        <v>41820</v>
      </c>
      <c r="I724" t="str">
        <f>"PCD00670"</f>
        <v>PCD00670</v>
      </c>
      <c r="J724" t="str">
        <f>""</f>
        <v/>
      </c>
      <c r="K724" t="str">
        <f t="shared" si="198"/>
        <v>AS89</v>
      </c>
      <c r="L724" t="s">
        <v>2292</v>
      </c>
      <c r="M724">
        <v>361.75</v>
      </c>
    </row>
    <row r="725" spans="1:13" x14ac:dyDescent="0.25">
      <c r="A725" t="str">
        <f t="shared" si="195"/>
        <v>E257</v>
      </c>
      <c r="B725">
        <v>1</v>
      </c>
      <c r="C725" t="str">
        <f t="shared" si="196"/>
        <v>10200</v>
      </c>
      <c r="D725" t="str">
        <f t="shared" si="194"/>
        <v>5620</v>
      </c>
      <c r="E725" t="str">
        <f t="shared" si="197"/>
        <v>094OMS</v>
      </c>
      <c r="F725" t="str">
        <f>""</f>
        <v/>
      </c>
      <c r="G725" t="str">
        <f>""</f>
        <v/>
      </c>
      <c r="H725" s="1">
        <v>41820</v>
      </c>
      <c r="I725" t="str">
        <f>"PCD00670"</f>
        <v>PCD00670</v>
      </c>
      <c r="J725" t="str">
        <f>""</f>
        <v/>
      </c>
      <c r="K725" t="str">
        <f t="shared" si="198"/>
        <v>AS89</v>
      </c>
      <c r="L725" t="s">
        <v>2291</v>
      </c>
      <c r="M725">
        <v>378.77</v>
      </c>
    </row>
    <row r="726" spans="1:13" x14ac:dyDescent="0.25">
      <c r="A726" t="str">
        <f t="shared" si="195"/>
        <v>E257</v>
      </c>
      <c r="B726">
        <v>1</v>
      </c>
      <c r="C726" t="str">
        <f t="shared" si="196"/>
        <v>10200</v>
      </c>
      <c r="D726" t="str">
        <f t="shared" si="194"/>
        <v>5620</v>
      </c>
      <c r="E726" t="str">
        <f t="shared" si="197"/>
        <v>094OMS</v>
      </c>
      <c r="F726" t="str">
        <f>""</f>
        <v/>
      </c>
      <c r="G726" t="str">
        <f>""</f>
        <v/>
      </c>
      <c r="H726" s="1">
        <v>41820</v>
      </c>
      <c r="I726" t="str">
        <f>"PCD00670"</f>
        <v>PCD00670</v>
      </c>
      <c r="J726" t="str">
        <f>""</f>
        <v/>
      </c>
      <c r="K726" t="str">
        <f t="shared" si="198"/>
        <v>AS89</v>
      </c>
      <c r="L726" t="s">
        <v>2290</v>
      </c>
      <c r="M726">
        <v>359.2</v>
      </c>
    </row>
    <row r="727" spans="1:13" x14ac:dyDescent="0.25">
      <c r="A727" t="str">
        <f t="shared" si="195"/>
        <v>E257</v>
      </c>
      <c r="B727">
        <v>1</v>
      </c>
      <c r="C727" t="str">
        <f t="shared" si="196"/>
        <v>10200</v>
      </c>
      <c r="D727" t="str">
        <f t="shared" si="194"/>
        <v>5620</v>
      </c>
      <c r="E727" t="str">
        <f t="shared" si="197"/>
        <v>094OMS</v>
      </c>
      <c r="F727" t="str">
        <f>""</f>
        <v/>
      </c>
      <c r="G727" t="str">
        <f>""</f>
        <v/>
      </c>
      <c r="H727" s="1">
        <v>41820</v>
      </c>
      <c r="I727" t="str">
        <f>"PCD00670"</f>
        <v>PCD00670</v>
      </c>
      <c r="J727" t="str">
        <f>""</f>
        <v/>
      </c>
      <c r="K727" t="str">
        <f t="shared" si="198"/>
        <v>AS89</v>
      </c>
      <c r="L727" t="s">
        <v>2289</v>
      </c>
      <c r="M727">
        <v>359.2</v>
      </c>
    </row>
    <row r="728" spans="1:13" x14ac:dyDescent="0.25">
      <c r="A728" t="str">
        <f t="shared" si="195"/>
        <v>E257</v>
      </c>
      <c r="B728">
        <v>1</v>
      </c>
      <c r="C728" t="str">
        <f t="shared" si="196"/>
        <v>10200</v>
      </c>
      <c r="D728" t="str">
        <f t="shared" si="194"/>
        <v>5620</v>
      </c>
      <c r="E728" t="str">
        <f t="shared" si="197"/>
        <v>094OMS</v>
      </c>
      <c r="F728" t="str">
        <f>""</f>
        <v/>
      </c>
      <c r="G728" t="str">
        <f>""</f>
        <v/>
      </c>
      <c r="H728" s="1">
        <v>41820</v>
      </c>
      <c r="I728" t="str">
        <f>"PCD00670"</f>
        <v>PCD00670</v>
      </c>
      <c r="J728" t="str">
        <f>""</f>
        <v/>
      </c>
      <c r="K728" t="str">
        <f t="shared" si="198"/>
        <v>AS89</v>
      </c>
      <c r="L728" t="s">
        <v>2288</v>
      </c>
      <c r="M728">
        <v>908.73</v>
      </c>
    </row>
    <row r="729" spans="1:13" x14ac:dyDescent="0.25">
      <c r="A729" t="str">
        <f t="shared" si="195"/>
        <v>E257</v>
      </c>
      <c r="B729">
        <v>1</v>
      </c>
      <c r="C729" t="str">
        <f>"32040"</f>
        <v>32040</v>
      </c>
      <c r="D729" t="str">
        <f>"5610"</f>
        <v>5610</v>
      </c>
      <c r="E729" t="str">
        <f t="shared" ref="E729:E734" si="199">"850LOS"</f>
        <v>850LOS</v>
      </c>
      <c r="F729" t="str">
        <f>""</f>
        <v/>
      </c>
      <c r="G729" t="str">
        <f>""</f>
        <v/>
      </c>
      <c r="H729" s="1">
        <v>41670</v>
      </c>
      <c r="I729" t="str">
        <f>"PCD00641"</f>
        <v>PCD00641</v>
      </c>
      <c r="J729" t="str">
        <f>"209812"</f>
        <v>209812</v>
      </c>
      <c r="K729" t="str">
        <f t="shared" si="198"/>
        <v>AS89</v>
      </c>
      <c r="L729" t="s">
        <v>2286</v>
      </c>
      <c r="M729">
        <v>401.4</v>
      </c>
    </row>
    <row r="730" spans="1:13" x14ac:dyDescent="0.25">
      <c r="A730" t="str">
        <f t="shared" si="195"/>
        <v>E257</v>
      </c>
      <c r="B730">
        <v>1</v>
      </c>
      <c r="C730" t="str">
        <f>"32040"</f>
        <v>32040</v>
      </c>
      <c r="D730" t="str">
        <f>"5620"</f>
        <v>5620</v>
      </c>
      <c r="E730" t="str">
        <f t="shared" si="199"/>
        <v>850LOS</v>
      </c>
      <c r="F730" t="str">
        <f>""</f>
        <v/>
      </c>
      <c r="G730" t="str">
        <f>""</f>
        <v/>
      </c>
      <c r="H730" s="1">
        <v>41764</v>
      </c>
      <c r="I730" t="str">
        <f>"J0008508"</f>
        <v>J0008508</v>
      </c>
      <c r="J730" t="str">
        <f>""</f>
        <v/>
      </c>
      <c r="K730" t="str">
        <f>"J079"</f>
        <v>J079</v>
      </c>
      <c r="L730" t="s">
        <v>2200</v>
      </c>
      <c r="M730">
        <v>436.75</v>
      </c>
    </row>
    <row r="731" spans="1:13" x14ac:dyDescent="0.25">
      <c r="A731" t="str">
        <f t="shared" si="195"/>
        <v>E257</v>
      </c>
      <c r="B731">
        <v>1</v>
      </c>
      <c r="C731" t="str">
        <f t="shared" ref="C731:C739" si="200">"43000"</f>
        <v>43000</v>
      </c>
      <c r="D731" t="str">
        <f>"5620"</f>
        <v>5620</v>
      </c>
      <c r="E731" t="str">
        <f t="shared" si="199"/>
        <v>850LOS</v>
      </c>
      <c r="F731" t="str">
        <f>""</f>
        <v/>
      </c>
      <c r="G731" t="str">
        <f>""</f>
        <v/>
      </c>
      <c r="H731" s="1">
        <v>41820</v>
      </c>
      <c r="I731" t="str">
        <f>"J0010489"</f>
        <v>J0010489</v>
      </c>
      <c r="J731" t="str">
        <f>""</f>
        <v/>
      </c>
      <c r="K731" t="str">
        <f>"J079"</f>
        <v>J079</v>
      </c>
      <c r="L731" t="s">
        <v>2209</v>
      </c>
      <c r="M731" s="2">
        <v>1173.6500000000001</v>
      </c>
    </row>
    <row r="732" spans="1:13" x14ac:dyDescent="0.25">
      <c r="A732" t="str">
        <f t="shared" si="195"/>
        <v>E257</v>
      </c>
      <c r="B732">
        <v>1</v>
      </c>
      <c r="C732" t="str">
        <f t="shared" si="200"/>
        <v>43000</v>
      </c>
      <c r="D732" t="str">
        <f t="shared" ref="D732:D739" si="201">"5740"</f>
        <v>5740</v>
      </c>
      <c r="E732" t="str">
        <f t="shared" si="199"/>
        <v>850LOS</v>
      </c>
      <c r="F732" t="str">
        <f>""</f>
        <v/>
      </c>
      <c r="G732" t="str">
        <f>""</f>
        <v/>
      </c>
      <c r="H732" s="1">
        <v>41547</v>
      </c>
      <c r="I732" t="str">
        <f>"PCD00621"</f>
        <v>PCD00621</v>
      </c>
      <c r="J732" t="str">
        <f>"202385"</f>
        <v>202385</v>
      </c>
      <c r="K732" t="str">
        <f t="shared" ref="K732:K739" si="202">"AS89"</f>
        <v>AS89</v>
      </c>
      <c r="L732" t="s">
        <v>2287</v>
      </c>
      <c r="M732">
        <v>107.57</v>
      </c>
    </row>
    <row r="733" spans="1:13" x14ac:dyDescent="0.25">
      <c r="A733" t="str">
        <f t="shared" si="195"/>
        <v>E257</v>
      </c>
      <c r="B733">
        <v>1</v>
      </c>
      <c r="C733" t="str">
        <f t="shared" si="200"/>
        <v>43000</v>
      </c>
      <c r="D733" t="str">
        <f t="shared" si="201"/>
        <v>5740</v>
      </c>
      <c r="E733" t="str">
        <f t="shared" si="199"/>
        <v>850LOS</v>
      </c>
      <c r="F733" t="str">
        <f>""</f>
        <v/>
      </c>
      <c r="G733" t="str">
        <f>""</f>
        <v/>
      </c>
      <c r="H733" s="1">
        <v>41639</v>
      </c>
      <c r="I733" t="str">
        <f>"PCD00636"</f>
        <v>PCD00636</v>
      </c>
      <c r="J733" t="str">
        <f>"208122"</f>
        <v>208122</v>
      </c>
      <c r="K733" t="str">
        <f t="shared" si="202"/>
        <v>AS89</v>
      </c>
      <c r="L733" t="s">
        <v>2280</v>
      </c>
      <c r="M733">
        <v>863.17</v>
      </c>
    </row>
    <row r="734" spans="1:13" x14ac:dyDescent="0.25">
      <c r="A734" t="str">
        <f t="shared" si="195"/>
        <v>E257</v>
      </c>
      <c r="B734">
        <v>1</v>
      </c>
      <c r="C734" t="str">
        <f t="shared" si="200"/>
        <v>43000</v>
      </c>
      <c r="D734" t="str">
        <f t="shared" si="201"/>
        <v>5740</v>
      </c>
      <c r="E734" t="str">
        <f t="shared" si="199"/>
        <v>850LOS</v>
      </c>
      <c r="F734" t="str">
        <f>""</f>
        <v/>
      </c>
      <c r="G734" t="str">
        <f>""</f>
        <v/>
      </c>
      <c r="H734" s="1">
        <v>41670</v>
      </c>
      <c r="I734" t="str">
        <f>"PCD00641"</f>
        <v>PCD00641</v>
      </c>
      <c r="J734" t="str">
        <f>"210512"</f>
        <v>210512</v>
      </c>
      <c r="K734" t="str">
        <f t="shared" si="202"/>
        <v>AS89</v>
      </c>
      <c r="L734" t="s">
        <v>2278</v>
      </c>
      <c r="M734">
        <v>131.69</v>
      </c>
    </row>
    <row r="735" spans="1:13" x14ac:dyDescent="0.25">
      <c r="A735" t="str">
        <f t="shared" si="195"/>
        <v>E257</v>
      </c>
      <c r="B735">
        <v>1</v>
      </c>
      <c r="C735" t="str">
        <f t="shared" si="200"/>
        <v>43000</v>
      </c>
      <c r="D735" t="str">
        <f t="shared" si="201"/>
        <v>5740</v>
      </c>
      <c r="E735" t="str">
        <f>"850PKE"</f>
        <v>850PKE</v>
      </c>
      <c r="F735" t="str">
        <f>""</f>
        <v/>
      </c>
      <c r="G735" t="str">
        <f>""</f>
        <v/>
      </c>
      <c r="H735" s="1">
        <v>41544</v>
      </c>
      <c r="I735" t="str">
        <f>"PCD00620"</f>
        <v>PCD00620</v>
      </c>
      <c r="J735" t="str">
        <f>"201521"</f>
        <v>201521</v>
      </c>
      <c r="K735" t="str">
        <f t="shared" si="202"/>
        <v>AS89</v>
      </c>
      <c r="L735" t="s">
        <v>2284</v>
      </c>
      <c r="M735">
        <v>181.14</v>
      </c>
    </row>
    <row r="736" spans="1:13" x14ac:dyDescent="0.25">
      <c r="A736" t="str">
        <f t="shared" si="195"/>
        <v>E257</v>
      </c>
      <c r="B736">
        <v>1</v>
      </c>
      <c r="C736" t="str">
        <f t="shared" si="200"/>
        <v>43000</v>
      </c>
      <c r="D736" t="str">
        <f t="shared" si="201"/>
        <v>5740</v>
      </c>
      <c r="E736" t="str">
        <f>"850PKE"</f>
        <v>850PKE</v>
      </c>
      <c r="F736" t="str">
        <f>""</f>
        <v/>
      </c>
      <c r="G736" t="str">
        <f>""</f>
        <v/>
      </c>
      <c r="H736" s="1">
        <v>41544</v>
      </c>
      <c r="I736" t="str">
        <f>"PCD00620"</f>
        <v>PCD00620</v>
      </c>
      <c r="J736" t="str">
        <f>"202131"</f>
        <v>202131</v>
      </c>
      <c r="K736" t="str">
        <f t="shared" si="202"/>
        <v>AS89</v>
      </c>
      <c r="L736" t="s">
        <v>2283</v>
      </c>
      <c r="M736">
        <v>298.63</v>
      </c>
    </row>
    <row r="737" spans="1:13" x14ac:dyDescent="0.25">
      <c r="A737" t="str">
        <f t="shared" si="195"/>
        <v>E257</v>
      </c>
      <c r="B737">
        <v>1</v>
      </c>
      <c r="C737" t="str">
        <f t="shared" si="200"/>
        <v>43000</v>
      </c>
      <c r="D737" t="str">
        <f t="shared" si="201"/>
        <v>5740</v>
      </c>
      <c r="E737" t="str">
        <f>"850PKE"</f>
        <v>850PKE</v>
      </c>
      <c r="F737" t="str">
        <f>""</f>
        <v/>
      </c>
      <c r="G737" t="str">
        <f>""</f>
        <v/>
      </c>
      <c r="H737" s="1">
        <v>41578</v>
      </c>
      <c r="I737" t="str">
        <f>"PCD00626"</f>
        <v>PCD00626</v>
      </c>
      <c r="J737" t="str">
        <f>"204457"</f>
        <v>204457</v>
      </c>
      <c r="K737" t="str">
        <f t="shared" si="202"/>
        <v>AS89</v>
      </c>
      <c r="L737" t="s">
        <v>2282</v>
      </c>
      <c r="M737">
        <v>155.33000000000001</v>
      </c>
    </row>
    <row r="738" spans="1:13" x14ac:dyDescent="0.25">
      <c r="A738" t="str">
        <f t="shared" si="195"/>
        <v>E257</v>
      </c>
      <c r="B738">
        <v>1</v>
      </c>
      <c r="C738" t="str">
        <f t="shared" si="200"/>
        <v>43000</v>
      </c>
      <c r="D738" t="str">
        <f t="shared" si="201"/>
        <v>5740</v>
      </c>
      <c r="E738" t="str">
        <f>"850PKE"</f>
        <v>850PKE</v>
      </c>
      <c r="F738" t="str">
        <f>""</f>
        <v/>
      </c>
      <c r="G738" t="str">
        <f>""</f>
        <v/>
      </c>
      <c r="H738" s="1">
        <v>41608</v>
      </c>
      <c r="I738" t="str">
        <f>"PCD00631"</f>
        <v>PCD00631</v>
      </c>
      <c r="J738" t="str">
        <f>"205806"</f>
        <v>205806</v>
      </c>
      <c r="K738" t="str">
        <f t="shared" si="202"/>
        <v>AS89</v>
      </c>
      <c r="L738" t="s">
        <v>2281</v>
      </c>
      <c r="M738">
        <v>225.33</v>
      </c>
    </row>
    <row r="739" spans="1:13" x14ac:dyDescent="0.25">
      <c r="A739" t="str">
        <f t="shared" si="195"/>
        <v>E257</v>
      </c>
      <c r="B739">
        <v>1</v>
      </c>
      <c r="C739" t="str">
        <f t="shared" si="200"/>
        <v>43000</v>
      </c>
      <c r="D739" t="str">
        <f t="shared" si="201"/>
        <v>5740</v>
      </c>
      <c r="E739" t="str">
        <f>"850PKE"</f>
        <v>850PKE</v>
      </c>
      <c r="F739" t="str">
        <f>""</f>
        <v/>
      </c>
      <c r="G739" t="str">
        <f>""</f>
        <v/>
      </c>
      <c r="H739" s="1">
        <v>41639</v>
      </c>
      <c r="I739" t="str">
        <f>"PCD00636"</f>
        <v>PCD00636</v>
      </c>
      <c r="J739" t="str">
        <f>"208122"</f>
        <v>208122</v>
      </c>
      <c r="K739" t="str">
        <f t="shared" si="202"/>
        <v>AS89</v>
      </c>
      <c r="L739" t="s">
        <v>2280</v>
      </c>
      <c r="M739">
        <v>106.33</v>
      </c>
    </row>
    <row r="740" spans="1:13" x14ac:dyDescent="0.25">
      <c r="A740" t="str">
        <f t="shared" ref="A740:A750" si="203">"E261"</f>
        <v>E261</v>
      </c>
      <c r="B740">
        <v>1</v>
      </c>
      <c r="C740" t="str">
        <f t="shared" ref="C740:C748" si="204">"10200"</f>
        <v>10200</v>
      </c>
      <c r="D740" t="str">
        <f t="shared" ref="D740:D749" si="205">"5620"</f>
        <v>5620</v>
      </c>
      <c r="E740" t="str">
        <f t="shared" ref="E740:E748" si="206">"094OMS"</f>
        <v>094OMS</v>
      </c>
      <c r="F740" t="str">
        <f>""</f>
        <v/>
      </c>
      <c r="G740" t="str">
        <f>""</f>
        <v/>
      </c>
      <c r="H740" s="1">
        <v>41820</v>
      </c>
      <c r="I740" t="str">
        <f>"85226294"</f>
        <v>85226294</v>
      </c>
      <c r="J740" t="str">
        <f>"D219748"</f>
        <v>D219748</v>
      </c>
      <c r="K740" t="str">
        <f>"INEI"</f>
        <v>INEI</v>
      </c>
      <c r="L740" t="s">
        <v>281</v>
      </c>
      <c r="M740">
        <v>268.12</v>
      </c>
    </row>
    <row r="741" spans="1:13" x14ac:dyDescent="0.25">
      <c r="A741" t="str">
        <f t="shared" si="203"/>
        <v>E261</v>
      </c>
      <c r="B741">
        <v>1</v>
      </c>
      <c r="C741" t="str">
        <f t="shared" si="204"/>
        <v>10200</v>
      </c>
      <c r="D741" t="str">
        <f t="shared" si="205"/>
        <v>5620</v>
      </c>
      <c r="E741" t="str">
        <f t="shared" si="206"/>
        <v>094OMS</v>
      </c>
      <c r="F741" t="str">
        <f>""</f>
        <v/>
      </c>
      <c r="G741" t="str">
        <f>""</f>
        <v/>
      </c>
      <c r="H741" s="1">
        <v>41820</v>
      </c>
      <c r="I741" t="str">
        <f t="shared" ref="I741:I748" si="207">"PCD00669"</f>
        <v>PCD00669</v>
      </c>
      <c r="J741" t="str">
        <f>""</f>
        <v/>
      </c>
      <c r="K741" t="str">
        <f t="shared" ref="K741:K748" si="208">"AS89"</f>
        <v>AS89</v>
      </c>
      <c r="L741" t="s">
        <v>2277</v>
      </c>
      <c r="M741">
        <v>299</v>
      </c>
    </row>
    <row r="742" spans="1:13" x14ac:dyDescent="0.25">
      <c r="A742" t="str">
        <f t="shared" si="203"/>
        <v>E261</v>
      </c>
      <c r="B742">
        <v>1</v>
      </c>
      <c r="C742" t="str">
        <f t="shared" si="204"/>
        <v>10200</v>
      </c>
      <c r="D742" t="str">
        <f t="shared" si="205"/>
        <v>5620</v>
      </c>
      <c r="E742" t="str">
        <f t="shared" si="206"/>
        <v>094OMS</v>
      </c>
      <c r="F742" t="str">
        <f>""</f>
        <v/>
      </c>
      <c r="G742" t="str">
        <f>""</f>
        <v/>
      </c>
      <c r="H742" s="1">
        <v>41820</v>
      </c>
      <c r="I742" t="str">
        <f t="shared" si="207"/>
        <v>PCD00669</v>
      </c>
      <c r="J742" t="str">
        <f>""</f>
        <v/>
      </c>
      <c r="K742" t="str">
        <f t="shared" si="208"/>
        <v>AS89</v>
      </c>
      <c r="L742" t="s">
        <v>2276</v>
      </c>
      <c r="M742">
        <v>275</v>
      </c>
    </row>
    <row r="743" spans="1:13" x14ac:dyDescent="0.25">
      <c r="A743" t="str">
        <f t="shared" si="203"/>
        <v>E261</v>
      </c>
      <c r="B743">
        <v>1</v>
      </c>
      <c r="C743" t="str">
        <f t="shared" si="204"/>
        <v>10200</v>
      </c>
      <c r="D743" t="str">
        <f t="shared" si="205"/>
        <v>5620</v>
      </c>
      <c r="E743" t="str">
        <f t="shared" si="206"/>
        <v>094OMS</v>
      </c>
      <c r="F743" t="str">
        <f>""</f>
        <v/>
      </c>
      <c r="G743" t="str">
        <f>""</f>
        <v/>
      </c>
      <c r="H743" s="1">
        <v>41820</v>
      </c>
      <c r="I743" t="str">
        <f t="shared" si="207"/>
        <v>PCD00669</v>
      </c>
      <c r="J743" t="str">
        <f>""</f>
        <v/>
      </c>
      <c r="K743" t="str">
        <f t="shared" si="208"/>
        <v>AS89</v>
      </c>
      <c r="L743" t="s">
        <v>2275</v>
      </c>
      <c r="M743">
        <v>150</v>
      </c>
    </row>
    <row r="744" spans="1:13" x14ac:dyDescent="0.25">
      <c r="A744" t="str">
        <f t="shared" si="203"/>
        <v>E261</v>
      </c>
      <c r="B744">
        <v>1</v>
      </c>
      <c r="C744" t="str">
        <f t="shared" si="204"/>
        <v>10200</v>
      </c>
      <c r="D744" t="str">
        <f t="shared" si="205"/>
        <v>5620</v>
      </c>
      <c r="E744" t="str">
        <f t="shared" si="206"/>
        <v>094OMS</v>
      </c>
      <c r="F744" t="str">
        <f>""</f>
        <v/>
      </c>
      <c r="G744" t="str">
        <f>""</f>
        <v/>
      </c>
      <c r="H744" s="1">
        <v>41820</v>
      </c>
      <c r="I744" t="str">
        <f t="shared" si="207"/>
        <v>PCD00669</v>
      </c>
      <c r="J744" t="str">
        <f>""</f>
        <v/>
      </c>
      <c r="K744" t="str">
        <f t="shared" si="208"/>
        <v>AS89</v>
      </c>
      <c r="L744" t="s">
        <v>2274</v>
      </c>
      <c r="M744">
        <v>300</v>
      </c>
    </row>
    <row r="745" spans="1:13" x14ac:dyDescent="0.25">
      <c r="A745" t="str">
        <f t="shared" si="203"/>
        <v>E261</v>
      </c>
      <c r="B745">
        <v>1</v>
      </c>
      <c r="C745" t="str">
        <f t="shared" si="204"/>
        <v>10200</v>
      </c>
      <c r="D745" t="str">
        <f t="shared" si="205"/>
        <v>5620</v>
      </c>
      <c r="E745" t="str">
        <f t="shared" si="206"/>
        <v>094OMS</v>
      </c>
      <c r="F745" t="str">
        <f>""</f>
        <v/>
      </c>
      <c r="G745" t="str">
        <f>""</f>
        <v/>
      </c>
      <c r="H745" s="1">
        <v>41820</v>
      </c>
      <c r="I745" t="str">
        <f t="shared" si="207"/>
        <v>PCD00669</v>
      </c>
      <c r="J745" t="str">
        <f>""</f>
        <v/>
      </c>
      <c r="K745" t="str">
        <f t="shared" si="208"/>
        <v>AS89</v>
      </c>
      <c r="L745" t="s">
        <v>2273</v>
      </c>
      <c r="M745">
        <v>195</v>
      </c>
    </row>
    <row r="746" spans="1:13" x14ac:dyDescent="0.25">
      <c r="A746" t="str">
        <f t="shared" si="203"/>
        <v>E261</v>
      </c>
      <c r="B746">
        <v>1</v>
      </c>
      <c r="C746" t="str">
        <f t="shared" si="204"/>
        <v>10200</v>
      </c>
      <c r="D746" t="str">
        <f t="shared" si="205"/>
        <v>5620</v>
      </c>
      <c r="E746" t="str">
        <f t="shared" si="206"/>
        <v>094OMS</v>
      </c>
      <c r="F746" t="str">
        <f>""</f>
        <v/>
      </c>
      <c r="G746" t="str">
        <f>""</f>
        <v/>
      </c>
      <c r="H746" s="1">
        <v>41820</v>
      </c>
      <c r="I746" t="str">
        <f t="shared" si="207"/>
        <v>PCD00669</v>
      </c>
      <c r="J746" t="str">
        <f>""</f>
        <v/>
      </c>
      <c r="K746" t="str">
        <f t="shared" si="208"/>
        <v>AS89</v>
      </c>
      <c r="L746" t="s">
        <v>2272</v>
      </c>
      <c r="M746">
        <v>686.57</v>
      </c>
    </row>
    <row r="747" spans="1:13" x14ac:dyDescent="0.25">
      <c r="A747" t="str">
        <f t="shared" si="203"/>
        <v>E261</v>
      </c>
      <c r="B747">
        <v>1</v>
      </c>
      <c r="C747" t="str">
        <f t="shared" si="204"/>
        <v>10200</v>
      </c>
      <c r="D747" t="str">
        <f t="shared" si="205"/>
        <v>5620</v>
      </c>
      <c r="E747" t="str">
        <f t="shared" si="206"/>
        <v>094OMS</v>
      </c>
      <c r="F747" t="str">
        <f>""</f>
        <v/>
      </c>
      <c r="G747" t="str">
        <f>""</f>
        <v/>
      </c>
      <c r="H747" s="1">
        <v>41820</v>
      </c>
      <c r="I747" t="str">
        <f t="shared" si="207"/>
        <v>PCD00669</v>
      </c>
      <c r="J747" t="str">
        <f>""</f>
        <v/>
      </c>
      <c r="K747" t="str">
        <f t="shared" si="208"/>
        <v>AS89</v>
      </c>
      <c r="L747" t="s">
        <v>2271</v>
      </c>
      <c r="M747">
        <v>250</v>
      </c>
    </row>
    <row r="748" spans="1:13" x14ac:dyDescent="0.25">
      <c r="A748" t="str">
        <f t="shared" si="203"/>
        <v>E261</v>
      </c>
      <c r="B748">
        <v>1</v>
      </c>
      <c r="C748" t="str">
        <f t="shared" si="204"/>
        <v>10200</v>
      </c>
      <c r="D748" t="str">
        <f t="shared" si="205"/>
        <v>5620</v>
      </c>
      <c r="E748" t="str">
        <f t="shared" si="206"/>
        <v>094OMS</v>
      </c>
      <c r="F748" t="str">
        <f>""</f>
        <v/>
      </c>
      <c r="G748" t="str">
        <f>""</f>
        <v/>
      </c>
      <c r="H748" s="1">
        <v>41820</v>
      </c>
      <c r="I748" t="str">
        <f t="shared" si="207"/>
        <v>PCD00669</v>
      </c>
      <c r="J748" t="str">
        <f>""</f>
        <v/>
      </c>
      <c r="K748" t="str">
        <f t="shared" si="208"/>
        <v>AS89</v>
      </c>
      <c r="L748" t="s">
        <v>2270</v>
      </c>
      <c r="M748">
        <v>175</v>
      </c>
    </row>
    <row r="749" spans="1:13" x14ac:dyDescent="0.25">
      <c r="A749" t="str">
        <f t="shared" si="203"/>
        <v>E261</v>
      </c>
      <c r="B749">
        <v>1</v>
      </c>
      <c r="C749" t="str">
        <f>"43000"</f>
        <v>43000</v>
      </c>
      <c r="D749" t="str">
        <f t="shared" si="205"/>
        <v>5620</v>
      </c>
      <c r="E749" t="str">
        <f>"850LOS"</f>
        <v>850LOS</v>
      </c>
      <c r="F749" t="str">
        <f>""</f>
        <v/>
      </c>
      <c r="G749" t="str">
        <f>""</f>
        <v/>
      </c>
      <c r="H749" s="1">
        <v>41820</v>
      </c>
      <c r="I749" t="str">
        <f>"J0010489"</f>
        <v>J0010489</v>
      </c>
      <c r="J749" t="str">
        <f>""</f>
        <v/>
      </c>
      <c r="K749" t="str">
        <f>"J079"</f>
        <v>J079</v>
      </c>
      <c r="L749" t="s">
        <v>2209</v>
      </c>
      <c r="M749" s="2">
        <v>2500</v>
      </c>
    </row>
    <row r="750" spans="1:13" x14ac:dyDescent="0.25">
      <c r="A750" t="str">
        <f t="shared" si="203"/>
        <v>E261</v>
      </c>
      <c r="B750">
        <v>1</v>
      </c>
      <c r="C750" t="str">
        <f>"43000"</f>
        <v>43000</v>
      </c>
      <c r="D750" t="str">
        <f>"5740"</f>
        <v>5740</v>
      </c>
      <c r="E750" t="str">
        <f>"850LOS"</f>
        <v>850LOS</v>
      </c>
      <c r="F750" t="str">
        <f>""</f>
        <v/>
      </c>
      <c r="G750" t="str">
        <f>""</f>
        <v/>
      </c>
      <c r="H750" s="1">
        <v>41655</v>
      </c>
      <c r="I750" t="str">
        <f>"218288"</f>
        <v>218288</v>
      </c>
      <c r="J750" t="str">
        <f>""</f>
        <v/>
      </c>
      <c r="K750" t="str">
        <f t="shared" ref="K750:K755" si="209">"INNI"</f>
        <v>INNI</v>
      </c>
      <c r="L750" t="s">
        <v>2269</v>
      </c>
      <c r="M750" s="2">
        <v>2500</v>
      </c>
    </row>
    <row r="751" spans="1:13" x14ac:dyDescent="0.25">
      <c r="A751" t="str">
        <f t="shared" ref="A751:A760" si="210">"E263"</f>
        <v>E263</v>
      </c>
      <c r="B751">
        <v>1</v>
      </c>
      <c r="C751" t="str">
        <f t="shared" ref="C751:C756" si="211">"10200"</f>
        <v>10200</v>
      </c>
      <c r="D751" t="str">
        <f t="shared" ref="D751:D757" si="212">"5620"</f>
        <v>5620</v>
      </c>
      <c r="E751" t="str">
        <f t="shared" ref="E751:E756" si="213">"094OMS"</f>
        <v>094OMS</v>
      </c>
      <c r="F751" t="str">
        <f>""</f>
        <v/>
      </c>
      <c r="G751" t="str">
        <f>""</f>
        <v/>
      </c>
      <c r="H751" s="1">
        <v>41477</v>
      </c>
      <c r="I751" t="str">
        <f>"Q72156"</f>
        <v>Q72156</v>
      </c>
      <c r="J751" t="str">
        <f>""</f>
        <v/>
      </c>
      <c r="K751" t="str">
        <f t="shared" si="209"/>
        <v>INNI</v>
      </c>
      <c r="L751" t="s">
        <v>1948</v>
      </c>
      <c r="M751">
        <v>160.68</v>
      </c>
    </row>
    <row r="752" spans="1:13" x14ac:dyDescent="0.25">
      <c r="A752" t="str">
        <f t="shared" si="210"/>
        <v>E263</v>
      </c>
      <c r="B752">
        <v>1</v>
      </c>
      <c r="C752" t="str">
        <f t="shared" si="211"/>
        <v>10200</v>
      </c>
      <c r="D752" t="str">
        <f t="shared" si="212"/>
        <v>5620</v>
      </c>
      <c r="E752" t="str">
        <f t="shared" si="213"/>
        <v>094OMS</v>
      </c>
      <c r="F752" t="str">
        <f>""</f>
        <v/>
      </c>
      <c r="G752" t="str">
        <f>""</f>
        <v/>
      </c>
      <c r="H752" s="1">
        <v>41477</v>
      </c>
      <c r="I752" t="str">
        <f>"210981"</f>
        <v>210981</v>
      </c>
      <c r="J752" t="str">
        <f>""</f>
        <v/>
      </c>
      <c r="K752" t="str">
        <f t="shared" si="209"/>
        <v>INNI</v>
      </c>
      <c r="L752" t="s">
        <v>1702</v>
      </c>
      <c r="M752">
        <v>245.25</v>
      </c>
    </row>
    <row r="753" spans="1:13" x14ac:dyDescent="0.25">
      <c r="A753" t="str">
        <f t="shared" si="210"/>
        <v>E263</v>
      </c>
      <c r="B753">
        <v>1</v>
      </c>
      <c r="C753" t="str">
        <f t="shared" si="211"/>
        <v>10200</v>
      </c>
      <c r="D753" t="str">
        <f t="shared" si="212"/>
        <v>5620</v>
      </c>
      <c r="E753" t="str">
        <f t="shared" si="213"/>
        <v>094OMS</v>
      </c>
      <c r="F753" t="str">
        <f>""</f>
        <v/>
      </c>
      <c r="G753" t="str">
        <f>""</f>
        <v/>
      </c>
      <c r="H753" s="1">
        <v>41548</v>
      </c>
      <c r="I753" t="str">
        <f>"Q72161"</f>
        <v>Q72161</v>
      </c>
      <c r="J753" t="str">
        <f>""</f>
        <v/>
      </c>
      <c r="K753" t="str">
        <f t="shared" si="209"/>
        <v>INNI</v>
      </c>
      <c r="L753" t="s">
        <v>1948</v>
      </c>
      <c r="M753">
        <v>220.75</v>
      </c>
    </row>
    <row r="754" spans="1:13" x14ac:dyDescent="0.25">
      <c r="A754" t="str">
        <f t="shared" si="210"/>
        <v>E263</v>
      </c>
      <c r="B754">
        <v>1</v>
      </c>
      <c r="C754" t="str">
        <f t="shared" si="211"/>
        <v>10200</v>
      </c>
      <c r="D754" t="str">
        <f t="shared" si="212"/>
        <v>5620</v>
      </c>
      <c r="E754" t="str">
        <f t="shared" si="213"/>
        <v>094OMS</v>
      </c>
      <c r="F754" t="str">
        <f>""</f>
        <v/>
      </c>
      <c r="G754" t="str">
        <f>""</f>
        <v/>
      </c>
      <c r="H754" s="1">
        <v>41549</v>
      </c>
      <c r="I754" t="str">
        <f>"210989"</f>
        <v>210989</v>
      </c>
      <c r="J754" t="str">
        <f>""</f>
        <v/>
      </c>
      <c r="K754" t="str">
        <f t="shared" si="209"/>
        <v>INNI</v>
      </c>
      <c r="L754" t="s">
        <v>1702</v>
      </c>
      <c r="M754">
        <v>399.31</v>
      </c>
    </row>
    <row r="755" spans="1:13" x14ac:dyDescent="0.25">
      <c r="A755" t="str">
        <f t="shared" si="210"/>
        <v>E263</v>
      </c>
      <c r="B755">
        <v>1</v>
      </c>
      <c r="C755" t="str">
        <f t="shared" si="211"/>
        <v>10200</v>
      </c>
      <c r="D755" t="str">
        <f t="shared" si="212"/>
        <v>5620</v>
      </c>
      <c r="E755" t="str">
        <f t="shared" si="213"/>
        <v>094OMS</v>
      </c>
      <c r="F755" t="str">
        <f>""</f>
        <v/>
      </c>
      <c r="G755" t="str">
        <f>""</f>
        <v/>
      </c>
      <c r="H755" s="1">
        <v>41708</v>
      </c>
      <c r="I755" t="str">
        <f>"218327A"</f>
        <v>218327A</v>
      </c>
      <c r="J755" t="str">
        <f>""</f>
        <v/>
      </c>
      <c r="K755" t="str">
        <f t="shared" si="209"/>
        <v>INNI</v>
      </c>
      <c r="L755" t="s">
        <v>2268</v>
      </c>
      <c r="M755">
        <v>126</v>
      </c>
    </row>
    <row r="756" spans="1:13" x14ac:dyDescent="0.25">
      <c r="A756" t="str">
        <f t="shared" si="210"/>
        <v>E263</v>
      </c>
      <c r="B756">
        <v>1</v>
      </c>
      <c r="C756" t="str">
        <f t="shared" si="211"/>
        <v>10200</v>
      </c>
      <c r="D756" t="str">
        <f t="shared" si="212"/>
        <v>5620</v>
      </c>
      <c r="E756" t="str">
        <f t="shared" si="213"/>
        <v>094OMS</v>
      </c>
      <c r="F756" t="str">
        <f>""</f>
        <v/>
      </c>
      <c r="G756" t="str">
        <f>""</f>
        <v/>
      </c>
      <c r="H756" s="1">
        <v>41820</v>
      </c>
      <c r="I756" t="str">
        <f>"PCD00669"</f>
        <v>PCD00669</v>
      </c>
      <c r="J756" t="str">
        <f>"220952"</f>
        <v>220952</v>
      </c>
      <c r="K756" t="str">
        <f>"AS89"</f>
        <v>AS89</v>
      </c>
      <c r="L756" t="s">
        <v>2267</v>
      </c>
      <c r="M756">
        <v>153.75</v>
      </c>
    </row>
    <row r="757" spans="1:13" x14ac:dyDescent="0.25">
      <c r="A757" t="str">
        <f t="shared" si="210"/>
        <v>E263</v>
      </c>
      <c r="B757">
        <v>1</v>
      </c>
      <c r="C757" t="str">
        <f>"43000"</f>
        <v>43000</v>
      </c>
      <c r="D757" t="str">
        <f t="shared" si="212"/>
        <v>5620</v>
      </c>
      <c r="E757" t="str">
        <f t="shared" ref="E757:E771" si="214">"850LOS"</f>
        <v>850LOS</v>
      </c>
      <c r="F757" t="str">
        <f>""</f>
        <v/>
      </c>
      <c r="G757" t="str">
        <f>""</f>
        <v/>
      </c>
      <c r="H757" s="1">
        <v>41820</v>
      </c>
      <c r="I757" t="str">
        <f>"J0010489"</f>
        <v>J0010489</v>
      </c>
      <c r="J757" t="str">
        <f>""</f>
        <v/>
      </c>
      <c r="K757" t="str">
        <f>"J079"</f>
        <v>J079</v>
      </c>
      <c r="L757" t="s">
        <v>2209</v>
      </c>
      <c r="M757">
        <v>647.28</v>
      </c>
    </row>
    <row r="758" spans="1:13" x14ac:dyDescent="0.25">
      <c r="A758" t="str">
        <f t="shared" si="210"/>
        <v>E263</v>
      </c>
      <c r="B758">
        <v>1</v>
      </c>
      <c r="C758" t="str">
        <f>"43000"</f>
        <v>43000</v>
      </c>
      <c r="D758" t="str">
        <f>"5740"</f>
        <v>5740</v>
      </c>
      <c r="E758" t="str">
        <f t="shared" si="214"/>
        <v>850LOS</v>
      </c>
      <c r="F758" t="str">
        <f>""</f>
        <v/>
      </c>
      <c r="G758" t="str">
        <f>""</f>
        <v/>
      </c>
      <c r="H758" s="1">
        <v>41477</v>
      </c>
      <c r="I758" t="str">
        <f>"210981"</f>
        <v>210981</v>
      </c>
      <c r="J758" t="str">
        <f>""</f>
        <v/>
      </c>
      <c r="K758" t="str">
        <f>"INNI"</f>
        <v>INNI</v>
      </c>
      <c r="L758" t="s">
        <v>1702</v>
      </c>
      <c r="M758">
        <v>135.31</v>
      </c>
    </row>
    <row r="759" spans="1:13" x14ac:dyDescent="0.25">
      <c r="A759" t="str">
        <f t="shared" si="210"/>
        <v>E263</v>
      </c>
      <c r="B759">
        <v>1</v>
      </c>
      <c r="C759" t="str">
        <f>"43000"</f>
        <v>43000</v>
      </c>
      <c r="D759" t="str">
        <f>"5740"</f>
        <v>5740</v>
      </c>
      <c r="E759" t="str">
        <f t="shared" si="214"/>
        <v>850LOS</v>
      </c>
      <c r="F759" t="str">
        <f>""</f>
        <v/>
      </c>
      <c r="G759" t="str">
        <f>""</f>
        <v/>
      </c>
      <c r="H759" s="1">
        <v>41548</v>
      </c>
      <c r="I759" t="str">
        <f>"Q72161"</f>
        <v>Q72161</v>
      </c>
      <c r="J759" t="str">
        <f>""</f>
        <v/>
      </c>
      <c r="K759" t="str">
        <f>"INNI"</f>
        <v>INNI</v>
      </c>
      <c r="L759" t="s">
        <v>1948</v>
      </c>
      <c r="M759">
        <v>195.67</v>
      </c>
    </row>
    <row r="760" spans="1:13" x14ac:dyDescent="0.25">
      <c r="A760" t="str">
        <f t="shared" si="210"/>
        <v>E263</v>
      </c>
      <c r="B760">
        <v>1</v>
      </c>
      <c r="C760" t="str">
        <f>"43000"</f>
        <v>43000</v>
      </c>
      <c r="D760" t="str">
        <f>"5740"</f>
        <v>5740</v>
      </c>
      <c r="E760" t="str">
        <f t="shared" si="214"/>
        <v>850LOS</v>
      </c>
      <c r="F760" t="str">
        <f>""</f>
        <v/>
      </c>
      <c r="G760" t="str">
        <f>""</f>
        <v/>
      </c>
      <c r="H760" s="1">
        <v>41549</v>
      </c>
      <c r="I760" t="str">
        <f>"210989"</f>
        <v>210989</v>
      </c>
      <c r="J760" t="str">
        <f>""</f>
        <v/>
      </c>
      <c r="K760" t="str">
        <f>"INNI"</f>
        <v>INNI</v>
      </c>
      <c r="L760" t="s">
        <v>1702</v>
      </c>
      <c r="M760">
        <v>166.38</v>
      </c>
    </row>
    <row r="761" spans="1:13" x14ac:dyDescent="0.25">
      <c r="A761" t="str">
        <f t="shared" ref="A761:A771" si="215">"E267"</f>
        <v>E267</v>
      </c>
      <c r="B761">
        <v>1</v>
      </c>
      <c r="C761" t="str">
        <f>"32040"</f>
        <v>32040</v>
      </c>
      <c r="D761" t="str">
        <f>"5610"</f>
        <v>5610</v>
      </c>
      <c r="E761" t="str">
        <f t="shared" si="214"/>
        <v>850LOS</v>
      </c>
      <c r="F761" t="str">
        <f>""</f>
        <v/>
      </c>
      <c r="G761" t="str">
        <f>""</f>
        <v/>
      </c>
      <c r="H761" s="1">
        <v>41578</v>
      </c>
      <c r="I761" t="str">
        <f>"BJV00346"</f>
        <v>BJV00346</v>
      </c>
      <c r="J761" t="str">
        <f>""</f>
        <v/>
      </c>
      <c r="K761" t="str">
        <f>"AS96"</f>
        <v>AS96</v>
      </c>
      <c r="L761" t="s">
        <v>2264</v>
      </c>
      <c r="M761" s="2">
        <v>3224</v>
      </c>
    </row>
    <row r="762" spans="1:13" x14ac:dyDescent="0.25">
      <c r="A762" t="str">
        <f t="shared" si="215"/>
        <v>E267</v>
      </c>
      <c r="B762">
        <v>1</v>
      </c>
      <c r="C762" t="str">
        <f>"32040"</f>
        <v>32040</v>
      </c>
      <c r="D762" t="str">
        <f>"5610"</f>
        <v>5610</v>
      </c>
      <c r="E762" t="str">
        <f t="shared" si="214"/>
        <v>850LOS</v>
      </c>
      <c r="F762" t="str">
        <f>""</f>
        <v/>
      </c>
      <c r="G762" t="str">
        <f>""</f>
        <v/>
      </c>
      <c r="H762" s="1">
        <v>41667</v>
      </c>
      <c r="I762" t="str">
        <f>"BJV00347"</f>
        <v>BJV00347</v>
      </c>
      <c r="J762" t="str">
        <f>""</f>
        <v/>
      </c>
      <c r="K762" t="str">
        <f>"AS96"</f>
        <v>AS96</v>
      </c>
      <c r="L762" t="s">
        <v>2263</v>
      </c>
      <c r="M762" s="2">
        <v>2730</v>
      </c>
    </row>
    <row r="763" spans="1:13" x14ac:dyDescent="0.25">
      <c r="A763" t="str">
        <f t="shared" si="215"/>
        <v>E267</v>
      </c>
      <c r="B763">
        <v>1</v>
      </c>
      <c r="C763" t="str">
        <f>"32040"</f>
        <v>32040</v>
      </c>
      <c r="D763" t="str">
        <f t="shared" ref="D763:D768" si="216">"5620"</f>
        <v>5620</v>
      </c>
      <c r="E763" t="str">
        <f t="shared" si="214"/>
        <v>850LOS</v>
      </c>
      <c r="F763" t="str">
        <f>""</f>
        <v/>
      </c>
      <c r="G763" t="str">
        <f>""</f>
        <v/>
      </c>
      <c r="H763" s="1">
        <v>41764</v>
      </c>
      <c r="I763" t="str">
        <f>"J0008508"</f>
        <v>J0008508</v>
      </c>
      <c r="J763" t="str">
        <f>""</f>
        <v/>
      </c>
      <c r="K763" t="str">
        <f>"J079"</f>
        <v>J079</v>
      </c>
      <c r="L763" t="s">
        <v>2200</v>
      </c>
      <c r="M763" s="2">
        <v>5954</v>
      </c>
    </row>
    <row r="764" spans="1:13" x14ac:dyDescent="0.25">
      <c r="A764" t="str">
        <f t="shared" si="215"/>
        <v>E267</v>
      </c>
      <c r="B764">
        <v>1</v>
      </c>
      <c r="C764" t="str">
        <f>"32040"</f>
        <v>32040</v>
      </c>
      <c r="D764" t="str">
        <f t="shared" si="216"/>
        <v>5620</v>
      </c>
      <c r="E764" t="str">
        <f t="shared" si="214"/>
        <v>850LOS</v>
      </c>
      <c r="F764" t="str">
        <f>""</f>
        <v/>
      </c>
      <c r="G764" t="str">
        <f>""</f>
        <v/>
      </c>
      <c r="H764" s="1">
        <v>41765</v>
      </c>
      <c r="I764" t="str">
        <f>"BJV00351"</f>
        <v>BJV00351</v>
      </c>
      <c r="J764" t="str">
        <f>""</f>
        <v/>
      </c>
      <c r="K764" t="str">
        <f>"AS96"</f>
        <v>AS96</v>
      </c>
      <c r="L764" t="s">
        <v>2266</v>
      </c>
      <c r="M764" s="2">
        <v>2285</v>
      </c>
    </row>
    <row r="765" spans="1:13" x14ac:dyDescent="0.25">
      <c r="A765" t="str">
        <f t="shared" si="215"/>
        <v>E267</v>
      </c>
      <c r="B765">
        <v>1</v>
      </c>
      <c r="C765" t="str">
        <f>"32040"</f>
        <v>32040</v>
      </c>
      <c r="D765" t="str">
        <f t="shared" si="216"/>
        <v>5620</v>
      </c>
      <c r="E765" t="str">
        <f t="shared" si="214"/>
        <v>850LOS</v>
      </c>
      <c r="F765" t="str">
        <f>""</f>
        <v/>
      </c>
      <c r="G765" t="str">
        <f>""</f>
        <v/>
      </c>
      <c r="H765" s="1">
        <v>41820</v>
      </c>
      <c r="I765" t="str">
        <f>"BJV00361"</f>
        <v>BJV00361</v>
      </c>
      <c r="J765" t="str">
        <f>""</f>
        <v/>
      </c>
      <c r="K765" t="str">
        <f>"AS96"</f>
        <v>AS96</v>
      </c>
      <c r="L765" t="s">
        <v>2265</v>
      </c>
      <c r="M765" s="2">
        <v>2927</v>
      </c>
    </row>
    <row r="766" spans="1:13" x14ac:dyDescent="0.25">
      <c r="A766" t="str">
        <f t="shared" si="215"/>
        <v>E267</v>
      </c>
      <c r="B766">
        <v>1</v>
      </c>
      <c r="C766" t="str">
        <f t="shared" ref="C766:C771" si="217">"43000"</f>
        <v>43000</v>
      </c>
      <c r="D766" t="str">
        <f t="shared" si="216"/>
        <v>5620</v>
      </c>
      <c r="E766" t="str">
        <f t="shared" si="214"/>
        <v>850LOS</v>
      </c>
      <c r="F766" t="str">
        <f>""</f>
        <v/>
      </c>
      <c r="G766" t="str">
        <f>""</f>
        <v/>
      </c>
      <c r="H766" s="1">
        <v>41765</v>
      </c>
      <c r="I766" t="str">
        <f>"BJV00351"</f>
        <v>BJV00351</v>
      </c>
      <c r="J766" t="str">
        <f>""</f>
        <v/>
      </c>
      <c r="K766" t="str">
        <f>"AS96"</f>
        <v>AS96</v>
      </c>
      <c r="L766" t="s">
        <v>2266</v>
      </c>
      <c r="M766" s="2">
        <v>16768</v>
      </c>
    </row>
    <row r="767" spans="1:13" x14ac:dyDescent="0.25">
      <c r="A767" t="str">
        <f t="shared" si="215"/>
        <v>E267</v>
      </c>
      <c r="B767">
        <v>1</v>
      </c>
      <c r="C767" t="str">
        <f t="shared" si="217"/>
        <v>43000</v>
      </c>
      <c r="D767" t="str">
        <f t="shared" si="216"/>
        <v>5620</v>
      </c>
      <c r="E767" t="str">
        <f t="shared" si="214"/>
        <v>850LOS</v>
      </c>
      <c r="F767" t="str">
        <f>""</f>
        <v/>
      </c>
      <c r="G767" t="str">
        <f>""</f>
        <v/>
      </c>
      <c r="H767" s="1">
        <v>41820</v>
      </c>
      <c r="I767" t="str">
        <f>"BJV00361"</f>
        <v>BJV00361</v>
      </c>
      <c r="J767" t="str">
        <f>""</f>
        <v/>
      </c>
      <c r="K767" t="str">
        <f>"AS96"</f>
        <v>AS96</v>
      </c>
      <c r="L767" t="s">
        <v>2265</v>
      </c>
      <c r="M767" s="2">
        <v>16435</v>
      </c>
    </row>
    <row r="768" spans="1:13" x14ac:dyDescent="0.25">
      <c r="A768" t="str">
        <f t="shared" si="215"/>
        <v>E267</v>
      </c>
      <c r="B768">
        <v>1</v>
      </c>
      <c r="C768" t="str">
        <f t="shared" si="217"/>
        <v>43000</v>
      </c>
      <c r="D768" t="str">
        <f t="shared" si="216"/>
        <v>5620</v>
      </c>
      <c r="E768" t="str">
        <f t="shared" si="214"/>
        <v>850LOS</v>
      </c>
      <c r="F768" t="str">
        <f>""</f>
        <v/>
      </c>
      <c r="G768" t="str">
        <f>""</f>
        <v/>
      </c>
      <c r="H768" s="1">
        <v>41820</v>
      </c>
      <c r="I768" t="str">
        <f>"J0010489"</f>
        <v>J0010489</v>
      </c>
      <c r="J768" t="str">
        <f>""</f>
        <v/>
      </c>
      <c r="K768" t="str">
        <f>"J079"</f>
        <v>J079</v>
      </c>
      <c r="L768" t="s">
        <v>2209</v>
      </c>
      <c r="M768" s="2">
        <v>44669</v>
      </c>
    </row>
    <row r="769" spans="1:13" x14ac:dyDescent="0.25">
      <c r="A769" t="str">
        <f t="shared" si="215"/>
        <v>E267</v>
      </c>
      <c r="B769">
        <v>1</v>
      </c>
      <c r="C769" t="str">
        <f t="shared" si="217"/>
        <v>43000</v>
      </c>
      <c r="D769" t="str">
        <f>"5740"</f>
        <v>5740</v>
      </c>
      <c r="E769" t="str">
        <f t="shared" si="214"/>
        <v>850LOS</v>
      </c>
      <c r="F769" t="str">
        <f>""</f>
        <v/>
      </c>
      <c r="G769" t="str">
        <f>""</f>
        <v/>
      </c>
      <c r="H769" s="1">
        <v>41578</v>
      </c>
      <c r="I769" t="str">
        <f>"BJV00346"</f>
        <v>BJV00346</v>
      </c>
      <c r="J769" t="str">
        <f>""</f>
        <v/>
      </c>
      <c r="K769" t="str">
        <f>"AS96"</f>
        <v>AS96</v>
      </c>
      <c r="L769" t="s">
        <v>2264</v>
      </c>
      <c r="M769" s="2">
        <v>26189</v>
      </c>
    </row>
    <row r="770" spans="1:13" x14ac:dyDescent="0.25">
      <c r="A770" t="str">
        <f t="shared" si="215"/>
        <v>E267</v>
      </c>
      <c r="B770">
        <v>1</v>
      </c>
      <c r="C770" t="str">
        <f t="shared" si="217"/>
        <v>43000</v>
      </c>
      <c r="D770" t="str">
        <f>"5740"</f>
        <v>5740</v>
      </c>
      <c r="E770" t="str">
        <f t="shared" si="214"/>
        <v>850LOS</v>
      </c>
      <c r="F770" t="str">
        <f>""</f>
        <v/>
      </c>
      <c r="G770" t="str">
        <f>""</f>
        <v/>
      </c>
      <c r="H770" s="1">
        <v>41667</v>
      </c>
      <c r="I770" t="str">
        <f>"BJV00347"</f>
        <v>BJV00347</v>
      </c>
      <c r="J770" t="str">
        <f>""</f>
        <v/>
      </c>
      <c r="K770" t="str">
        <f>"AS96"</f>
        <v>AS96</v>
      </c>
      <c r="L770" t="s">
        <v>2263</v>
      </c>
      <c r="M770" s="2">
        <v>16632</v>
      </c>
    </row>
    <row r="771" spans="1:13" x14ac:dyDescent="0.25">
      <c r="A771" t="str">
        <f t="shared" si="215"/>
        <v>E267</v>
      </c>
      <c r="B771">
        <v>1</v>
      </c>
      <c r="C771" t="str">
        <f t="shared" si="217"/>
        <v>43000</v>
      </c>
      <c r="D771" t="str">
        <f>"5740"</f>
        <v>5740</v>
      </c>
      <c r="E771" t="str">
        <f t="shared" si="214"/>
        <v>850LOS</v>
      </c>
      <c r="F771" t="str">
        <f>""</f>
        <v/>
      </c>
      <c r="G771" t="str">
        <f>""</f>
        <v/>
      </c>
      <c r="H771" s="1">
        <v>41723</v>
      </c>
      <c r="I771" t="str">
        <f>"BJV00350"</f>
        <v>BJV00350</v>
      </c>
      <c r="J771" t="str">
        <f>""</f>
        <v/>
      </c>
      <c r="K771" t="str">
        <f>"AS96"</f>
        <v>AS96</v>
      </c>
      <c r="L771" t="s">
        <v>2262</v>
      </c>
      <c r="M771" s="2">
        <v>1848</v>
      </c>
    </row>
    <row r="772" spans="1:13" x14ac:dyDescent="0.25">
      <c r="A772" t="str">
        <f>"E276"</f>
        <v>E276</v>
      </c>
      <c r="B772">
        <v>1</v>
      </c>
      <c r="C772" t="str">
        <f>"10200"</f>
        <v>10200</v>
      </c>
      <c r="D772" t="str">
        <f>"5620"</f>
        <v>5620</v>
      </c>
      <c r="E772" t="str">
        <f>"094OMS"</f>
        <v>094OMS</v>
      </c>
      <c r="F772" t="str">
        <f>""</f>
        <v/>
      </c>
      <c r="G772" t="str">
        <f>""</f>
        <v/>
      </c>
      <c r="H772" s="1">
        <v>41817</v>
      </c>
      <c r="I772" t="str">
        <f>"J0009851"</f>
        <v>J0009851</v>
      </c>
      <c r="J772" t="str">
        <f>""</f>
        <v/>
      </c>
      <c r="K772" t="str">
        <f>"J089"</f>
        <v>J089</v>
      </c>
      <c r="L772" t="s">
        <v>2261</v>
      </c>
      <c r="M772" s="2">
        <v>4748.13</v>
      </c>
    </row>
    <row r="773" spans="1:13" x14ac:dyDescent="0.25">
      <c r="A773" t="str">
        <f>"E276"</f>
        <v>E276</v>
      </c>
      <c r="B773">
        <v>1</v>
      </c>
      <c r="C773" t="str">
        <f>"23275"</f>
        <v>23275</v>
      </c>
      <c r="D773" t="str">
        <f>"5741"</f>
        <v>5741</v>
      </c>
      <c r="E773" t="str">
        <f>"063STF"</f>
        <v>063STF</v>
      </c>
      <c r="F773" t="str">
        <f>""</f>
        <v/>
      </c>
      <c r="G773" t="str">
        <f>""</f>
        <v/>
      </c>
      <c r="H773" s="1">
        <v>41609</v>
      </c>
      <c r="I773" t="str">
        <f>"J0006460"</f>
        <v>J0006460</v>
      </c>
      <c r="J773" t="str">
        <f>""</f>
        <v/>
      </c>
      <c r="K773" t="str">
        <f>"J096"</f>
        <v>J096</v>
      </c>
      <c r="L773" t="s">
        <v>2225</v>
      </c>
      <c r="M773">
        <v>101.79</v>
      </c>
    </row>
    <row r="774" spans="1:13" x14ac:dyDescent="0.25">
      <c r="A774" t="str">
        <f>"E276"</f>
        <v>E276</v>
      </c>
      <c r="B774">
        <v>1</v>
      </c>
      <c r="C774" t="str">
        <f>"32040"</f>
        <v>32040</v>
      </c>
      <c r="D774" t="str">
        <f>"5610"</f>
        <v>5610</v>
      </c>
      <c r="E774" t="str">
        <f>"850LOS"</f>
        <v>850LOS</v>
      </c>
      <c r="F774" t="str">
        <f>""</f>
        <v/>
      </c>
      <c r="G774" t="str">
        <f>""</f>
        <v/>
      </c>
      <c r="H774" s="1">
        <v>41817</v>
      </c>
      <c r="I774" t="str">
        <f>"J0009851"</f>
        <v>J0009851</v>
      </c>
      <c r="J774" t="str">
        <f>""</f>
        <v/>
      </c>
      <c r="K774" t="str">
        <f>"J089"</f>
        <v>J089</v>
      </c>
      <c r="L774" t="s">
        <v>2260</v>
      </c>
      <c r="M774" s="2">
        <v>6183.61</v>
      </c>
    </row>
    <row r="775" spans="1:13" x14ac:dyDescent="0.25">
      <c r="A775" t="str">
        <f>"E276"</f>
        <v>E276</v>
      </c>
      <c r="B775">
        <v>1</v>
      </c>
      <c r="C775" t="str">
        <f>"32040"</f>
        <v>32040</v>
      </c>
      <c r="D775" t="str">
        <f>"5620"</f>
        <v>5620</v>
      </c>
      <c r="E775" t="str">
        <f>"850LOS"</f>
        <v>850LOS</v>
      </c>
      <c r="F775" t="str">
        <f>""</f>
        <v/>
      </c>
      <c r="G775" t="str">
        <f>""</f>
        <v/>
      </c>
      <c r="H775" s="1">
        <v>41820</v>
      </c>
      <c r="I775" t="str">
        <f>"J0010520"</f>
        <v>J0010520</v>
      </c>
      <c r="J775" t="str">
        <f>""</f>
        <v/>
      </c>
      <c r="K775" t="str">
        <f>"J079"</f>
        <v>J079</v>
      </c>
      <c r="L775" t="s">
        <v>2199</v>
      </c>
      <c r="M775" s="2">
        <v>6183.61</v>
      </c>
    </row>
    <row r="776" spans="1:13" x14ac:dyDescent="0.25">
      <c r="A776" t="str">
        <f>"E278"</f>
        <v>E278</v>
      </c>
      <c r="B776">
        <v>1</v>
      </c>
      <c r="C776" t="str">
        <f>"23275"</f>
        <v>23275</v>
      </c>
      <c r="D776" t="str">
        <f>"5620"</f>
        <v>5620</v>
      </c>
      <c r="E776" t="str">
        <f>"063STF"</f>
        <v>063STF</v>
      </c>
      <c r="F776" t="str">
        <f>""</f>
        <v/>
      </c>
      <c r="G776" t="str">
        <f>""</f>
        <v/>
      </c>
      <c r="H776" s="1">
        <v>41820</v>
      </c>
      <c r="I776" t="str">
        <f>"HSG00502"</f>
        <v>HSG00502</v>
      </c>
      <c r="J776" t="str">
        <f>""</f>
        <v/>
      </c>
      <c r="K776" t="str">
        <f>"AS96"</f>
        <v>AS96</v>
      </c>
      <c r="L776" t="s">
        <v>2259</v>
      </c>
      <c r="M776" s="2">
        <v>8267.15</v>
      </c>
    </row>
    <row r="777" spans="1:13" x14ac:dyDescent="0.25">
      <c r="A777" t="str">
        <f>"E278"</f>
        <v>E278</v>
      </c>
      <c r="B777">
        <v>1</v>
      </c>
      <c r="C777" t="str">
        <f>"23275"</f>
        <v>23275</v>
      </c>
      <c r="D777" t="str">
        <f>"5620"</f>
        <v>5620</v>
      </c>
      <c r="E777" t="str">
        <f>"063STF"</f>
        <v>063STF</v>
      </c>
      <c r="F777" t="str">
        <f>""</f>
        <v/>
      </c>
      <c r="G777" t="str">
        <f>""</f>
        <v/>
      </c>
      <c r="H777" s="1">
        <v>41820</v>
      </c>
      <c r="I777" t="str">
        <f>"J0010207"</f>
        <v>J0010207</v>
      </c>
      <c r="J777" t="str">
        <f>""</f>
        <v/>
      </c>
      <c r="K777" t="str">
        <f>"J079"</f>
        <v>J079</v>
      </c>
      <c r="L777" t="s">
        <v>2257</v>
      </c>
      <c r="M777">
        <v>827.01</v>
      </c>
    </row>
    <row r="778" spans="1:13" x14ac:dyDescent="0.25">
      <c r="A778" t="str">
        <f>"E278"</f>
        <v>E278</v>
      </c>
      <c r="B778">
        <v>1</v>
      </c>
      <c r="C778" t="str">
        <f>"23275"</f>
        <v>23275</v>
      </c>
      <c r="D778" t="str">
        <f>"5741"</f>
        <v>5741</v>
      </c>
      <c r="E778" t="str">
        <f>"063STF"</f>
        <v>063STF</v>
      </c>
      <c r="F778" t="str">
        <f>""</f>
        <v/>
      </c>
      <c r="G778" t="str">
        <f>""</f>
        <v/>
      </c>
      <c r="H778" s="1">
        <v>41820</v>
      </c>
      <c r="I778" t="str">
        <f>"HSG00500"</f>
        <v>HSG00500</v>
      </c>
      <c r="J778" t="str">
        <f>""</f>
        <v/>
      </c>
      <c r="K778" t="str">
        <f>"AS96"</f>
        <v>AS96</v>
      </c>
      <c r="L778" t="s">
        <v>2258</v>
      </c>
      <c r="M778">
        <v>827.01</v>
      </c>
    </row>
    <row r="779" spans="1:13" x14ac:dyDescent="0.25">
      <c r="A779" t="str">
        <f t="shared" ref="A779:A801" si="218">"E279"</f>
        <v>E279</v>
      </c>
      <c r="B779">
        <v>1</v>
      </c>
      <c r="C779" t="str">
        <f>"10200"</f>
        <v>10200</v>
      </c>
      <c r="D779" t="str">
        <f>"5620"</f>
        <v>5620</v>
      </c>
      <c r="E779" t="str">
        <f>"081ZAC"</f>
        <v>081ZAC</v>
      </c>
      <c r="F779" t="str">
        <f>"EMPBUS"</f>
        <v>EMPBUS</v>
      </c>
      <c r="G779" t="str">
        <f>""</f>
        <v/>
      </c>
      <c r="H779" s="1">
        <v>41813</v>
      </c>
      <c r="I779" t="str">
        <f>"J0009570"</f>
        <v>J0009570</v>
      </c>
      <c r="J779" t="str">
        <f>""</f>
        <v/>
      </c>
      <c r="K779" t="str">
        <f>"J096"</f>
        <v>J096</v>
      </c>
      <c r="L779" t="s">
        <v>2195</v>
      </c>
      <c r="M779" s="2">
        <v>2303</v>
      </c>
    </row>
    <row r="780" spans="1:13" x14ac:dyDescent="0.25">
      <c r="A780" t="str">
        <f t="shared" si="218"/>
        <v>E279</v>
      </c>
      <c r="B780">
        <v>1</v>
      </c>
      <c r="C780" t="str">
        <f>"10200"</f>
        <v>10200</v>
      </c>
      <c r="D780" t="str">
        <f>"5620"</f>
        <v>5620</v>
      </c>
      <c r="E780" t="str">
        <f>"081ZAC"</f>
        <v>081ZAC</v>
      </c>
      <c r="F780" t="str">
        <f>"EMPBUS"</f>
        <v>EMPBUS</v>
      </c>
      <c r="G780" t="str">
        <f>""</f>
        <v/>
      </c>
      <c r="H780" s="1">
        <v>41813</v>
      </c>
      <c r="I780" t="str">
        <f>"J0009570"</f>
        <v>J0009570</v>
      </c>
      <c r="J780" t="str">
        <f>""</f>
        <v/>
      </c>
      <c r="K780" t="str">
        <f>"J096"</f>
        <v>J096</v>
      </c>
      <c r="L780" t="s">
        <v>2195</v>
      </c>
      <c r="M780" s="2">
        <v>65761</v>
      </c>
    </row>
    <row r="781" spans="1:13" x14ac:dyDescent="0.25">
      <c r="A781" t="str">
        <f t="shared" si="218"/>
        <v>E279</v>
      </c>
      <c r="B781">
        <v>1</v>
      </c>
      <c r="C781" t="str">
        <f>"10200"</f>
        <v>10200</v>
      </c>
      <c r="D781" t="str">
        <f>"5620"</f>
        <v>5620</v>
      </c>
      <c r="E781" t="str">
        <f>"850LOS"</f>
        <v>850LOS</v>
      </c>
      <c r="F781" t="str">
        <f>""</f>
        <v/>
      </c>
      <c r="G781" t="str">
        <f>""</f>
        <v/>
      </c>
      <c r="H781" s="1">
        <v>41718</v>
      </c>
      <c r="I781" t="str">
        <f>"I0108274"</f>
        <v>I0108274</v>
      </c>
      <c r="J781" t="str">
        <f>"N113803F"</f>
        <v>N113803F</v>
      </c>
      <c r="K781" t="str">
        <f>"INEI"</f>
        <v>INEI</v>
      </c>
      <c r="L781" t="s">
        <v>330</v>
      </c>
      <c r="M781" s="2">
        <v>2303</v>
      </c>
    </row>
    <row r="782" spans="1:13" x14ac:dyDescent="0.25">
      <c r="A782" t="str">
        <f t="shared" si="218"/>
        <v>E279</v>
      </c>
      <c r="B782">
        <v>1</v>
      </c>
      <c r="C782" t="str">
        <f>"10200"</f>
        <v>10200</v>
      </c>
      <c r="D782" t="str">
        <f>"5740"</f>
        <v>5740</v>
      </c>
      <c r="E782" t="str">
        <f>"850LOS"</f>
        <v>850LOS</v>
      </c>
      <c r="F782" t="str">
        <f>""</f>
        <v/>
      </c>
      <c r="G782" t="str">
        <f>""</f>
        <v/>
      </c>
      <c r="H782" s="1">
        <v>41626</v>
      </c>
      <c r="I782" t="str">
        <f>"2013825"</f>
        <v>2013825</v>
      </c>
      <c r="J782" t="str">
        <f>"N113803F"</f>
        <v>N113803F</v>
      </c>
      <c r="K782" t="str">
        <f>"INEI"</f>
        <v>INEI</v>
      </c>
      <c r="L782" t="s">
        <v>330</v>
      </c>
      <c r="M782" s="2">
        <v>65761</v>
      </c>
    </row>
    <row r="783" spans="1:13" x14ac:dyDescent="0.25">
      <c r="A783" t="str">
        <f t="shared" si="218"/>
        <v>E279</v>
      </c>
      <c r="B783">
        <v>1</v>
      </c>
      <c r="C783" t="str">
        <f>"23275"</f>
        <v>23275</v>
      </c>
      <c r="D783" t="str">
        <f>"5620"</f>
        <v>5620</v>
      </c>
      <c r="E783" t="str">
        <f>"063STF"</f>
        <v>063STF</v>
      </c>
      <c r="F783" t="str">
        <f>""</f>
        <v/>
      </c>
      <c r="G783" t="str">
        <f>""</f>
        <v/>
      </c>
      <c r="H783" s="1">
        <v>41816</v>
      </c>
      <c r="I783" t="str">
        <f>"J0009784"</f>
        <v>J0009784</v>
      </c>
      <c r="J783" t="str">
        <f>""</f>
        <v/>
      </c>
      <c r="K783" t="str">
        <f>"J079"</f>
        <v>J079</v>
      </c>
      <c r="L783" t="s">
        <v>2226</v>
      </c>
      <c r="M783" s="2">
        <v>922712.5</v>
      </c>
    </row>
    <row r="784" spans="1:13" x14ac:dyDescent="0.25">
      <c r="A784" t="str">
        <f t="shared" si="218"/>
        <v>E279</v>
      </c>
      <c r="B784">
        <v>1</v>
      </c>
      <c r="C784" t="str">
        <f>"23275"</f>
        <v>23275</v>
      </c>
      <c r="D784" t="str">
        <f>"5741"</f>
        <v>5741</v>
      </c>
      <c r="E784" t="str">
        <f>"063STF"</f>
        <v>063STF</v>
      </c>
      <c r="F784" t="str">
        <f>""</f>
        <v/>
      </c>
      <c r="G784" t="str">
        <f>""</f>
        <v/>
      </c>
      <c r="H784" s="1">
        <v>41458</v>
      </c>
      <c r="I784" t="str">
        <f>"J0004913"</f>
        <v>J0004913</v>
      </c>
      <c r="J784" t="str">
        <f>""</f>
        <v/>
      </c>
      <c r="K784" t="str">
        <f>"J089"</f>
        <v>J089</v>
      </c>
      <c r="L784" t="s">
        <v>2256</v>
      </c>
      <c r="M784" s="2">
        <v>132243.5</v>
      </c>
    </row>
    <row r="785" spans="1:13" x14ac:dyDescent="0.25">
      <c r="A785" t="str">
        <f t="shared" si="218"/>
        <v>E279</v>
      </c>
      <c r="B785">
        <v>1</v>
      </c>
      <c r="C785" t="str">
        <f>"23275"</f>
        <v>23275</v>
      </c>
      <c r="D785" t="str">
        <f>"5741"</f>
        <v>5741</v>
      </c>
      <c r="E785" t="str">
        <f>"063STF"</f>
        <v>063STF</v>
      </c>
      <c r="F785" t="str">
        <f>""</f>
        <v/>
      </c>
      <c r="G785" t="str">
        <f>""</f>
        <v/>
      </c>
      <c r="H785" s="1">
        <v>41571</v>
      </c>
      <c r="I785" t="str">
        <f>"2013681"</f>
        <v>2013681</v>
      </c>
      <c r="J785" t="str">
        <f>"N188442A"</f>
        <v>N188442A</v>
      </c>
      <c r="K785" t="str">
        <f>"INEI"</f>
        <v>INEI</v>
      </c>
      <c r="L785" t="s">
        <v>330</v>
      </c>
      <c r="M785" s="2">
        <v>263490</v>
      </c>
    </row>
    <row r="786" spans="1:13" x14ac:dyDescent="0.25">
      <c r="A786" t="str">
        <f t="shared" si="218"/>
        <v>E279</v>
      </c>
      <c r="B786">
        <v>1</v>
      </c>
      <c r="C786" t="str">
        <f>"23275"</f>
        <v>23275</v>
      </c>
      <c r="D786" t="str">
        <f>"5741"</f>
        <v>5741</v>
      </c>
      <c r="E786" t="str">
        <f>"063STF"</f>
        <v>063STF</v>
      </c>
      <c r="F786" t="str">
        <f>""</f>
        <v/>
      </c>
      <c r="G786" t="str">
        <f>""</f>
        <v/>
      </c>
      <c r="H786" s="1">
        <v>41662</v>
      </c>
      <c r="I786" t="str">
        <f>"2012027"</f>
        <v>2012027</v>
      </c>
      <c r="J786" t="str">
        <f>"N188442A"</f>
        <v>N188442A</v>
      </c>
      <c r="K786" t="str">
        <f>"INEI"</f>
        <v>INEI</v>
      </c>
      <c r="L786" t="s">
        <v>330</v>
      </c>
      <c r="M786" s="2">
        <v>263490</v>
      </c>
    </row>
    <row r="787" spans="1:13" x14ac:dyDescent="0.25">
      <c r="A787" t="str">
        <f t="shared" si="218"/>
        <v>E279</v>
      </c>
      <c r="B787">
        <v>1</v>
      </c>
      <c r="C787" t="str">
        <f>"23275"</f>
        <v>23275</v>
      </c>
      <c r="D787" t="str">
        <f>"5741"</f>
        <v>5741</v>
      </c>
      <c r="E787" t="str">
        <f>"063STF"</f>
        <v>063STF</v>
      </c>
      <c r="F787" t="str">
        <f>""</f>
        <v/>
      </c>
      <c r="G787" t="str">
        <f>""</f>
        <v/>
      </c>
      <c r="H787" s="1">
        <v>41747</v>
      </c>
      <c r="I787" t="str">
        <f>"I0108715"</f>
        <v>I0108715</v>
      </c>
      <c r="J787" t="str">
        <f>"N188442A"</f>
        <v>N188442A</v>
      </c>
      <c r="K787" t="str">
        <f>"INEI"</f>
        <v>INEI</v>
      </c>
      <c r="L787" t="s">
        <v>330</v>
      </c>
      <c r="M787" s="2">
        <v>263489</v>
      </c>
    </row>
    <row r="788" spans="1:13" x14ac:dyDescent="0.25">
      <c r="A788" t="str">
        <f t="shared" si="218"/>
        <v>E279</v>
      </c>
      <c r="B788">
        <v>1</v>
      </c>
      <c r="C788" t="str">
        <f>"43000"</f>
        <v>43000</v>
      </c>
      <c r="D788" t="str">
        <f>"5620"</f>
        <v>5620</v>
      </c>
      <c r="E788" t="str">
        <f>"850BUS"</f>
        <v>850BUS</v>
      </c>
      <c r="F788" t="str">
        <f>""</f>
        <v/>
      </c>
      <c r="G788" t="str">
        <f>""</f>
        <v/>
      </c>
      <c r="H788" s="1">
        <v>41813</v>
      </c>
      <c r="I788" t="str">
        <f>"J0009570"</f>
        <v>J0009570</v>
      </c>
      <c r="J788" t="str">
        <f>""</f>
        <v/>
      </c>
      <c r="K788" t="str">
        <f>"J096"</f>
        <v>J096</v>
      </c>
      <c r="L788" t="s">
        <v>2195</v>
      </c>
      <c r="M788" s="2">
        <v>38147.08</v>
      </c>
    </row>
    <row r="789" spans="1:13" x14ac:dyDescent="0.25">
      <c r="A789" t="str">
        <f t="shared" si="218"/>
        <v>E279</v>
      </c>
      <c r="B789">
        <v>1</v>
      </c>
      <c r="C789" t="str">
        <f>"43000"</f>
        <v>43000</v>
      </c>
      <c r="D789" t="str">
        <f>"5620"</f>
        <v>5620</v>
      </c>
      <c r="E789" t="str">
        <f>"850BUS"</f>
        <v>850BUS</v>
      </c>
      <c r="F789" t="str">
        <f>""</f>
        <v/>
      </c>
      <c r="G789" t="str">
        <f>""</f>
        <v/>
      </c>
      <c r="H789" s="1">
        <v>41820</v>
      </c>
      <c r="I789" t="str">
        <f>"J0010535"</f>
        <v>J0010535</v>
      </c>
      <c r="J789" t="str">
        <f>""</f>
        <v/>
      </c>
      <c r="K789" t="str">
        <f>"J096"</f>
        <v>J096</v>
      </c>
      <c r="L789" t="s">
        <v>2202</v>
      </c>
      <c r="M789" s="2">
        <v>1380</v>
      </c>
    </row>
    <row r="790" spans="1:13" x14ac:dyDescent="0.25">
      <c r="A790" t="str">
        <f t="shared" si="218"/>
        <v>E279</v>
      </c>
      <c r="B790">
        <v>1</v>
      </c>
      <c r="C790" t="str">
        <f>"43000"</f>
        <v>43000</v>
      </c>
      <c r="D790" t="str">
        <f>"5741"</f>
        <v>5741</v>
      </c>
      <c r="E790" t="str">
        <f t="shared" ref="E790:E801" si="219">"850LOS"</f>
        <v>850LOS</v>
      </c>
      <c r="F790" t="str">
        <f>""</f>
        <v/>
      </c>
      <c r="G790" t="str">
        <f>""</f>
        <v/>
      </c>
      <c r="H790" s="1">
        <v>41626</v>
      </c>
      <c r="I790" t="str">
        <f>"2013825"</f>
        <v>2013825</v>
      </c>
      <c r="J790" t="str">
        <f>"N113803F"</f>
        <v>N113803F</v>
      </c>
      <c r="K790" t="str">
        <f>"INEI"</f>
        <v>INEI</v>
      </c>
      <c r="L790" t="s">
        <v>330</v>
      </c>
      <c r="M790" s="2">
        <v>57396.15</v>
      </c>
    </row>
    <row r="791" spans="1:13" x14ac:dyDescent="0.25">
      <c r="A791" t="str">
        <f t="shared" si="218"/>
        <v>E279</v>
      </c>
      <c r="B791">
        <v>1</v>
      </c>
      <c r="C791" t="str">
        <f>"43000"</f>
        <v>43000</v>
      </c>
      <c r="D791" t="str">
        <f>"5741"</f>
        <v>5741</v>
      </c>
      <c r="E791" t="str">
        <f t="shared" si="219"/>
        <v>850LOS</v>
      </c>
      <c r="F791" t="str">
        <f>""</f>
        <v/>
      </c>
      <c r="G791" t="str">
        <f>""</f>
        <v/>
      </c>
      <c r="H791" s="1">
        <v>41813</v>
      </c>
      <c r="I791" t="str">
        <f>"I0109849"</f>
        <v>I0109849</v>
      </c>
      <c r="J791" t="str">
        <f>"N113803F"</f>
        <v>N113803F</v>
      </c>
      <c r="K791" t="str">
        <f>"INEI"</f>
        <v>INEI</v>
      </c>
      <c r="L791" t="s">
        <v>330</v>
      </c>
      <c r="M791" s="2">
        <v>2303</v>
      </c>
    </row>
    <row r="792" spans="1:13" x14ac:dyDescent="0.25">
      <c r="A792" t="str">
        <f t="shared" si="218"/>
        <v>E279</v>
      </c>
      <c r="B792">
        <v>1</v>
      </c>
      <c r="C792" t="str">
        <f t="shared" ref="C792:C801" si="220">"43004"</f>
        <v>43004</v>
      </c>
      <c r="D792" t="str">
        <f>"5620"</f>
        <v>5620</v>
      </c>
      <c r="E792" t="str">
        <f t="shared" si="219"/>
        <v>850LOS</v>
      </c>
      <c r="F792" t="str">
        <f>""</f>
        <v/>
      </c>
      <c r="G792" t="str">
        <f>""</f>
        <v/>
      </c>
      <c r="H792" s="1">
        <v>41820</v>
      </c>
      <c r="I792" t="str">
        <f>"J0010379"</f>
        <v>J0010379</v>
      </c>
      <c r="J792" t="str">
        <f>""</f>
        <v/>
      </c>
      <c r="K792" t="str">
        <f>"J089"</f>
        <v>J089</v>
      </c>
      <c r="L792" t="s">
        <v>2203</v>
      </c>
      <c r="M792">
        <v>901.1</v>
      </c>
    </row>
    <row r="793" spans="1:13" x14ac:dyDescent="0.25">
      <c r="A793" t="str">
        <f t="shared" si="218"/>
        <v>E279</v>
      </c>
      <c r="B793">
        <v>1</v>
      </c>
      <c r="C793" t="str">
        <f t="shared" si="220"/>
        <v>43004</v>
      </c>
      <c r="D793" t="str">
        <f t="shared" ref="D793:D801" si="221">"5741"</f>
        <v>5741</v>
      </c>
      <c r="E793" t="str">
        <f t="shared" si="219"/>
        <v>850LOS</v>
      </c>
      <c r="F793" t="str">
        <f>""</f>
        <v/>
      </c>
      <c r="G793" t="str">
        <f>""</f>
        <v/>
      </c>
      <c r="H793" s="1">
        <v>41505</v>
      </c>
      <c r="I793" t="str">
        <f>"2013489"</f>
        <v>2013489</v>
      </c>
      <c r="J793" t="str">
        <f>"N113803E"</f>
        <v>N113803E</v>
      </c>
      <c r="K793" t="str">
        <f>"INEI"</f>
        <v>INEI</v>
      </c>
      <c r="L793" t="s">
        <v>330</v>
      </c>
      <c r="M793" s="2">
        <v>10497.5</v>
      </c>
    </row>
    <row r="794" spans="1:13" x14ac:dyDescent="0.25">
      <c r="A794" t="str">
        <f t="shared" si="218"/>
        <v>E279</v>
      </c>
      <c r="B794">
        <v>1</v>
      </c>
      <c r="C794" t="str">
        <f t="shared" si="220"/>
        <v>43004</v>
      </c>
      <c r="D794" t="str">
        <f t="shared" si="221"/>
        <v>5741</v>
      </c>
      <c r="E794" t="str">
        <f t="shared" si="219"/>
        <v>850LOS</v>
      </c>
      <c r="F794" t="str">
        <f>""</f>
        <v/>
      </c>
      <c r="G794" t="str">
        <f>""</f>
        <v/>
      </c>
      <c r="H794" s="1">
        <v>41518</v>
      </c>
      <c r="I794" t="str">
        <f>"J0005582"</f>
        <v>J0005582</v>
      </c>
      <c r="J794" t="str">
        <f>""</f>
        <v/>
      </c>
      <c r="K794" t="str">
        <f>"J096"</f>
        <v>J096</v>
      </c>
      <c r="L794" t="s">
        <v>2205</v>
      </c>
      <c r="M794">
        <v>552.5</v>
      </c>
    </row>
    <row r="795" spans="1:13" x14ac:dyDescent="0.25">
      <c r="A795" t="str">
        <f t="shared" si="218"/>
        <v>E279</v>
      </c>
      <c r="B795">
        <v>1</v>
      </c>
      <c r="C795" t="str">
        <f t="shared" si="220"/>
        <v>43004</v>
      </c>
      <c r="D795" t="str">
        <f t="shared" si="221"/>
        <v>5741</v>
      </c>
      <c r="E795" t="str">
        <f t="shared" si="219"/>
        <v>850LOS</v>
      </c>
      <c r="F795" t="str">
        <f>""</f>
        <v/>
      </c>
      <c r="G795" t="str">
        <f>""</f>
        <v/>
      </c>
      <c r="H795" s="1">
        <v>41626</v>
      </c>
      <c r="I795" t="str">
        <f>"2013825"</f>
        <v>2013825</v>
      </c>
      <c r="J795" t="str">
        <f>"N113803F"</f>
        <v>N113803F</v>
      </c>
      <c r="K795" t="str">
        <f>"INEI"</f>
        <v>INEI</v>
      </c>
      <c r="L795" t="s">
        <v>330</v>
      </c>
      <c r="M795" s="2">
        <v>29153.599999999999</v>
      </c>
    </row>
    <row r="796" spans="1:13" x14ac:dyDescent="0.25">
      <c r="A796" t="str">
        <f t="shared" si="218"/>
        <v>E279</v>
      </c>
      <c r="B796">
        <v>1</v>
      </c>
      <c r="C796" t="str">
        <f t="shared" si="220"/>
        <v>43004</v>
      </c>
      <c r="D796" t="str">
        <f t="shared" si="221"/>
        <v>5741</v>
      </c>
      <c r="E796" t="str">
        <f t="shared" si="219"/>
        <v>850LOS</v>
      </c>
      <c r="F796" t="str">
        <f>""</f>
        <v/>
      </c>
      <c r="G796" t="str">
        <f>""</f>
        <v/>
      </c>
      <c r="H796" s="1">
        <v>41626</v>
      </c>
      <c r="I796" t="str">
        <f>"2013825"</f>
        <v>2013825</v>
      </c>
      <c r="J796" t="str">
        <f>"N113803F"</f>
        <v>N113803F</v>
      </c>
      <c r="K796" t="str">
        <f>"INEI"</f>
        <v>INEI</v>
      </c>
      <c r="L796" t="s">
        <v>330</v>
      </c>
      <c r="M796" s="2">
        <v>21765</v>
      </c>
    </row>
    <row r="797" spans="1:13" x14ac:dyDescent="0.25">
      <c r="A797" t="str">
        <f t="shared" si="218"/>
        <v>E279</v>
      </c>
      <c r="B797">
        <v>1</v>
      </c>
      <c r="C797" t="str">
        <f t="shared" si="220"/>
        <v>43004</v>
      </c>
      <c r="D797" t="str">
        <f t="shared" si="221"/>
        <v>5741</v>
      </c>
      <c r="E797" t="str">
        <f t="shared" si="219"/>
        <v>850LOS</v>
      </c>
      <c r="F797" t="str">
        <f>""</f>
        <v/>
      </c>
      <c r="G797" t="str">
        <f>""</f>
        <v/>
      </c>
      <c r="H797" s="1">
        <v>41656</v>
      </c>
      <c r="I797" t="str">
        <f>"J0006989"</f>
        <v>J0006989</v>
      </c>
      <c r="J797" t="str">
        <f>""</f>
        <v/>
      </c>
      <c r="K797" t="str">
        <f>"J096"</f>
        <v>J096</v>
      </c>
      <c r="L797" t="s">
        <v>2204</v>
      </c>
      <c r="M797" s="2">
        <v>4795</v>
      </c>
    </row>
    <row r="798" spans="1:13" x14ac:dyDescent="0.25">
      <c r="A798" t="str">
        <f t="shared" si="218"/>
        <v>E279</v>
      </c>
      <c r="B798">
        <v>1</v>
      </c>
      <c r="C798" t="str">
        <f t="shared" si="220"/>
        <v>43004</v>
      </c>
      <c r="D798" t="str">
        <f t="shared" si="221"/>
        <v>5741</v>
      </c>
      <c r="E798" t="str">
        <f t="shared" si="219"/>
        <v>850LOS</v>
      </c>
      <c r="F798" t="str">
        <f>""</f>
        <v/>
      </c>
      <c r="G798" t="str">
        <f>""</f>
        <v/>
      </c>
      <c r="H798" s="1">
        <v>41718</v>
      </c>
      <c r="I798" t="str">
        <f>"I0108274"</f>
        <v>I0108274</v>
      </c>
      <c r="J798" t="str">
        <f>"N113803F"</f>
        <v>N113803F</v>
      </c>
      <c r="K798" t="str">
        <f>"INEI"</f>
        <v>INEI</v>
      </c>
      <c r="L798" t="s">
        <v>330</v>
      </c>
      <c r="M798" s="2">
        <v>1131</v>
      </c>
    </row>
    <row r="799" spans="1:13" x14ac:dyDescent="0.25">
      <c r="A799" t="str">
        <f t="shared" si="218"/>
        <v>E279</v>
      </c>
      <c r="B799">
        <v>1</v>
      </c>
      <c r="C799" t="str">
        <f t="shared" si="220"/>
        <v>43004</v>
      </c>
      <c r="D799" t="str">
        <f t="shared" si="221"/>
        <v>5741</v>
      </c>
      <c r="E799" t="str">
        <f t="shared" si="219"/>
        <v>850LOS</v>
      </c>
      <c r="F799" t="str">
        <f>""</f>
        <v/>
      </c>
      <c r="G799" t="str">
        <f>""</f>
        <v/>
      </c>
      <c r="H799" s="1">
        <v>41751</v>
      </c>
      <c r="I799" t="str">
        <f>"J0008284"</f>
        <v>J0008284</v>
      </c>
      <c r="J799" t="str">
        <f>""</f>
        <v/>
      </c>
      <c r="K799" t="str">
        <f>"J096"</f>
        <v>J096</v>
      </c>
      <c r="L799" t="s">
        <v>2207</v>
      </c>
      <c r="M799">
        <v>203</v>
      </c>
    </row>
    <row r="800" spans="1:13" x14ac:dyDescent="0.25">
      <c r="A800" t="str">
        <f t="shared" si="218"/>
        <v>E279</v>
      </c>
      <c r="B800">
        <v>1</v>
      </c>
      <c r="C800" t="str">
        <f t="shared" si="220"/>
        <v>43004</v>
      </c>
      <c r="D800" t="str">
        <f t="shared" si="221"/>
        <v>5741</v>
      </c>
      <c r="E800" t="str">
        <f t="shared" si="219"/>
        <v>850LOS</v>
      </c>
      <c r="F800" t="str">
        <f>""</f>
        <v/>
      </c>
      <c r="G800" t="str">
        <f>""</f>
        <v/>
      </c>
      <c r="H800" s="1">
        <v>41813</v>
      </c>
      <c r="I800" t="str">
        <f>"I0109849"</f>
        <v>I0109849</v>
      </c>
      <c r="J800" t="str">
        <f>"N113803F"</f>
        <v>N113803F</v>
      </c>
      <c r="K800" t="str">
        <f>"INEI"</f>
        <v>INEI</v>
      </c>
      <c r="L800" t="s">
        <v>330</v>
      </c>
      <c r="M800" s="2">
        <v>1170</v>
      </c>
    </row>
    <row r="801" spans="1:13" x14ac:dyDescent="0.25">
      <c r="A801" t="str">
        <f t="shared" si="218"/>
        <v>E279</v>
      </c>
      <c r="B801">
        <v>1</v>
      </c>
      <c r="C801" t="str">
        <f t="shared" si="220"/>
        <v>43004</v>
      </c>
      <c r="D801" t="str">
        <f t="shared" si="221"/>
        <v>5741</v>
      </c>
      <c r="E801" t="str">
        <f t="shared" si="219"/>
        <v>850LOS</v>
      </c>
      <c r="F801" t="str">
        <f>""</f>
        <v/>
      </c>
      <c r="G801" t="str">
        <f>""</f>
        <v/>
      </c>
      <c r="H801" s="1">
        <v>41816</v>
      </c>
      <c r="I801" t="str">
        <f>"J0009761"</f>
        <v>J0009761</v>
      </c>
      <c r="J801" t="str">
        <f>""</f>
        <v/>
      </c>
      <c r="K801" t="str">
        <f>"J096"</f>
        <v>J096</v>
      </c>
      <c r="L801" t="s">
        <v>2206</v>
      </c>
      <c r="M801">
        <v>210</v>
      </c>
    </row>
    <row r="802" spans="1:13" x14ac:dyDescent="0.25">
      <c r="A802" t="str">
        <f>"E284"</f>
        <v>E284</v>
      </c>
      <c r="B802">
        <v>1</v>
      </c>
      <c r="C802" t="str">
        <f>"31040"</f>
        <v>31040</v>
      </c>
      <c r="D802" t="str">
        <f t="shared" ref="D802:D815" si="222">"5620"</f>
        <v>5620</v>
      </c>
      <c r="E802" t="str">
        <f t="shared" ref="E802:E814" si="223">"094OMS"</f>
        <v>094OMS</v>
      </c>
      <c r="F802" t="str">
        <f>""</f>
        <v/>
      </c>
      <c r="G802" t="str">
        <f>""</f>
        <v/>
      </c>
      <c r="H802" s="1">
        <v>41820</v>
      </c>
      <c r="I802" t="str">
        <f>"J0008498"</f>
        <v>J0008498</v>
      </c>
      <c r="J802" t="str">
        <f>""</f>
        <v/>
      </c>
      <c r="K802" t="str">
        <f>"J096"</f>
        <v>J096</v>
      </c>
      <c r="L802" t="s">
        <v>2198</v>
      </c>
      <c r="M802" s="2">
        <v>36686.07</v>
      </c>
    </row>
    <row r="803" spans="1:13" x14ac:dyDescent="0.25">
      <c r="A803" t="str">
        <f>"E284"</f>
        <v>E284</v>
      </c>
      <c r="B803">
        <v>1</v>
      </c>
      <c r="C803" t="str">
        <f>"31040"</f>
        <v>31040</v>
      </c>
      <c r="D803" t="str">
        <f t="shared" si="222"/>
        <v>5620</v>
      </c>
      <c r="E803" t="str">
        <f t="shared" si="223"/>
        <v>094OMS</v>
      </c>
      <c r="F803" t="str">
        <f>""</f>
        <v/>
      </c>
      <c r="G803" t="str">
        <f>""</f>
        <v/>
      </c>
      <c r="H803" s="1">
        <v>41820</v>
      </c>
      <c r="I803" t="str">
        <f>"J0009195"</f>
        <v>J0009195</v>
      </c>
      <c r="J803" t="str">
        <f>""</f>
        <v/>
      </c>
      <c r="K803" t="str">
        <f>"J096"</f>
        <v>J096</v>
      </c>
      <c r="L803" t="s">
        <v>2255</v>
      </c>
      <c r="M803" s="2">
        <v>36686</v>
      </c>
    </row>
    <row r="804" spans="1:13" x14ac:dyDescent="0.25">
      <c r="A804" t="str">
        <f t="shared" ref="A804:A820" si="224">"E351"</f>
        <v>E351</v>
      </c>
      <c r="B804">
        <v>1</v>
      </c>
      <c r="C804" t="str">
        <f t="shared" ref="C804:C814" si="225">"10200"</f>
        <v>10200</v>
      </c>
      <c r="D804" t="str">
        <f t="shared" si="222"/>
        <v>5620</v>
      </c>
      <c r="E804" t="str">
        <f t="shared" si="223"/>
        <v>094OMS</v>
      </c>
      <c r="F804" t="str">
        <f>""</f>
        <v/>
      </c>
      <c r="G804" t="str">
        <f>""</f>
        <v/>
      </c>
      <c r="H804" s="1">
        <v>41494</v>
      </c>
      <c r="I804" t="str">
        <f>"V129781"</f>
        <v>V129781</v>
      </c>
      <c r="J804" t="str">
        <f>""</f>
        <v/>
      </c>
      <c r="K804" t="str">
        <f>"INNI"</f>
        <v>INNI</v>
      </c>
      <c r="L804" t="s">
        <v>336</v>
      </c>
      <c r="M804">
        <v>125</v>
      </c>
    </row>
    <row r="805" spans="1:13" x14ac:dyDescent="0.25">
      <c r="A805" t="str">
        <f t="shared" si="224"/>
        <v>E351</v>
      </c>
      <c r="B805">
        <v>1</v>
      </c>
      <c r="C805" t="str">
        <f t="shared" si="225"/>
        <v>10200</v>
      </c>
      <c r="D805" t="str">
        <f t="shared" si="222"/>
        <v>5620</v>
      </c>
      <c r="E805" t="str">
        <f t="shared" si="223"/>
        <v>094OMS</v>
      </c>
      <c r="F805" t="str">
        <f>""</f>
        <v/>
      </c>
      <c r="G805" t="str">
        <f>""</f>
        <v/>
      </c>
      <c r="H805" s="1">
        <v>41571</v>
      </c>
      <c r="I805" t="str">
        <f>"V133878"</f>
        <v>V133878</v>
      </c>
      <c r="J805" t="str">
        <f>""</f>
        <v/>
      </c>
      <c r="K805" t="str">
        <f>"INNI"</f>
        <v>INNI</v>
      </c>
      <c r="L805" t="s">
        <v>338</v>
      </c>
      <c r="M805">
        <v>201</v>
      </c>
    </row>
    <row r="806" spans="1:13" x14ac:dyDescent="0.25">
      <c r="A806" t="str">
        <f t="shared" si="224"/>
        <v>E351</v>
      </c>
      <c r="B806">
        <v>1</v>
      </c>
      <c r="C806" t="str">
        <f t="shared" si="225"/>
        <v>10200</v>
      </c>
      <c r="D806" t="str">
        <f t="shared" si="222"/>
        <v>5620</v>
      </c>
      <c r="E806" t="str">
        <f t="shared" si="223"/>
        <v>094OMS</v>
      </c>
      <c r="F806" t="str">
        <f>""</f>
        <v/>
      </c>
      <c r="G806" t="str">
        <f>""</f>
        <v/>
      </c>
      <c r="H806" s="1">
        <v>41571</v>
      </c>
      <c r="I806" t="str">
        <f>"V133877"</f>
        <v>V133877</v>
      </c>
      <c r="J806" t="str">
        <f>""</f>
        <v/>
      </c>
      <c r="K806" t="str">
        <f>"INNI"</f>
        <v>INNI</v>
      </c>
      <c r="L806" t="s">
        <v>197</v>
      </c>
      <c r="M806">
        <v>573.24</v>
      </c>
    </row>
    <row r="807" spans="1:13" x14ac:dyDescent="0.25">
      <c r="A807" t="str">
        <f t="shared" si="224"/>
        <v>E351</v>
      </c>
      <c r="B807">
        <v>1</v>
      </c>
      <c r="C807" t="str">
        <f t="shared" si="225"/>
        <v>10200</v>
      </c>
      <c r="D807" t="str">
        <f t="shared" si="222"/>
        <v>5620</v>
      </c>
      <c r="E807" t="str">
        <f t="shared" si="223"/>
        <v>094OMS</v>
      </c>
      <c r="F807" t="str">
        <f>""</f>
        <v/>
      </c>
      <c r="G807" t="str">
        <f>""</f>
        <v/>
      </c>
      <c r="H807" s="1">
        <v>41626</v>
      </c>
      <c r="I807" t="str">
        <f>"TR001030"</f>
        <v>TR001030</v>
      </c>
      <c r="J807" t="str">
        <f>"TA001236"</f>
        <v>TA001236</v>
      </c>
      <c r="K807" t="str">
        <f>"INEI"</f>
        <v>INEI</v>
      </c>
      <c r="L807" t="s">
        <v>2243</v>
      </c>
      <c r="M807">
        <v>184.3</v>
      </c>
    </row>
    <row r="808" spans="1:13" x14ac:dyDescent="0.25">
      <c r="A808" t="str">
        <f t="shared" si="224"/>
        <v>E351</v>
      </c>
      <c r="B808">
        <v>1</v>
      </c>
      <c r="C808" t="str">
        <f t="shared" si="225"/>
        <v>10200</v>
      </c>
      <c r="D808" t="str">
        <f t="shared" si="222"/>
        <v>5620</v>
      </c>
      <c r="E808" t="str">
        <f t="shared" si="223"/>
        <v>094OMS</v>
      </c>
      <c r="F808" t="str">
        <f>""</f>
        <v/>
      </c>
      <c r="G808" t="str">
        <f>""</f>
        <v/>
      </c>
      <c r="H808" s="1">
        <v>41627</v>
      </c>
      <c r="I808" t="str">
        <f>"TR001051"</f>
        <v>TR001051</v>
      </c>
      <c r="J808" t="str">
        <f>"TA001095"</f>
        <v>TA001095</v>
      </c>
      <c r="K808" t="str">
        <f>"INEI"</f>
        <v>INEI</v>
      </c>
      <c r="L808" t="s">
        <v>335</v>
      </c>
      <c r="M808">
        <v>106</v>
      </c>
    </row>
    <row r="809" spans="1:13" x14ac:dyDescent="0.25">
      <c r="A809" t="str">
        <f t="shared" si="224"/>
        <v>E351</v>
      </c>
      <c r="B809">
        <v>1</v>
      </c>
      <c r="C809" t="str">
        <f t="shared" si="225"/>
        <v>10200</v>
      </c>
      <c r="D809" t="str">
        <f t="shared" si="222"/>
        <v>5620</v>
      </c>
      <c r="E809" t="str">
        <f t="shared" si="223"/>
        <v>094OMS</v>
      </c>
      <c r="F809" t="str">
        <f>""</f>
        <v/>
      </c>
      <c r="G809" t="str">
        <f>""</f>
        <v/>
      </c>
      <c r="H809" s="1">
        <v>41628</v>
      </c>
      <c r="I809" t="str">
        <f>"TR001057"</f>
        <v>TR001057</v>
      </c>
      <c r="J809" t="str">
        <f>"TA001094"</f>
        <v>TA001094</v>
      </c>
      <c r="K809" t="str">
        <f>"INEI"</f>
        <v>INEI</v>
      </c>
      <c r="L809" t="s">
        <v>1930</v>
      </c>
      <c r="M809">
        <v>210</v>
      </c>
    </row>
    <row r="810" spans="1:13" x14ac:dyDescent="0.25">
      <c r="A810" t="str">
        <f t="shared" si="224"/>
        <v>E351</v>
      </c>
      <c r="B810">
        <v>1</v>
      </c>
      <c r="C810" t="str">
        <f t="shared" si="225"/>
        <v>10200</v>
      </c>
      <c r="D810" t="str">
        <f t="shared" si="222"/>
        <v>5620</v>
      </c>
      <c r="E810" t="str">
        <f t="shared" si="223"/>
        <v>094OMS</v>
      </c>
      <c r="F810" t="str">
        <f>""</f>
        <v/>
      </c>
      <c r="G810" t="str">
        <f>""</f>
        <v/>
      </c>
      <c r="H810" s="1">
        <v>41639</v>
      </c>
      <c r="I810" t="str">
        <f>"TR001080"</f>
        <v>TR001080</v>
      </c>
      <c r="J810" t="str">
        <f>"TA001328"</f>
        <v>TA001328</v>
      </c>
      <c r="K810" t="str">
        <f>"INEI"</f>
        <v>INEI</v>
      </c>
      <c r="L810" t="s">
        <v>2242</v>
      </c>
      <c r="M810">
        <v>205.41</v>
      </c>
    </row>
    <row r="811" spans="1:13" x14ac:dyDescent="0.25">
      <c r="A811" t="str">
        <f t="shared" si="224"/>
        <v>E351</v>
      </c>
      <c r="B811">
        <v>1</v>
      </c>
      <c r="C811" t="str">
        <f t="shared" si="225"/>
        <v>10200</v>
      </c>
      <c r="D811" t="str">
        <f t="shared" si="222"/>
        <v>5620</v>
      </c>
      <c r="E811" t="str">
        <f t="shared" si="223"/>
        <v>094OMS</v>
      </c>
      <c r="F811" t="str">
        <f>""</f>
        <v/>
      </c>
      <c r="G811" t="str">
        <f>""</f>
        <v/>
      </c>
      <c r="H811" s="1">
        <v>41647</v>
      </c>
      <c r="I811" t="str">
        <f>"TR001109"</f>
        <v>TR001109</v>
      </c>
      <c r="J811" t="str">
        <f>"TA001340"</f>
        <v>TA001340</v>
      </c>
      <c r="K811" t="str">
        <f>"INEI"</f>
        <v>INEI</v>
      </c>
      <c r="L811" t="s">
        <v>334</v>
      </c>
      <c r="M811">
        <v>868.48</v>
      </c>
    </row>
    <row r="812" spans="1:13" x14ac:dyDescent="0.25">
      <c r="A812" t="str">
        <f t="shared" si="224"/>
        <v>E351</v>
      </c>
      <c r="B812">
        <v>1</v>
      </c>
      <c r="C812" t="str">
        <f t="shared" si="225"/>
        <v>10200</v>
      </c>
      <c r="D812" t="str">
        <f t="shared" si="222"/>
        <v>5620</v>
      </c>
      <c r="E812" t="str">
        <f t="shared" si="223"/>
        <v>094OMS</v>
      </c>
      <c r="F812" t="str">
        <f>""</f>
        <v/>
      </c>
      <c r="G812" t="str">
        <f>""</f>
        <v/>
      </c>
      <c r="H812" s="1">
        <v>41725</v>
      </c>
      <c r="I812" t="str">
        <f>"V129787"</f>
        <v>V129787</v>
      </c>
      <c r="J812" t="str">
        <f>""</f>
        <v/>
      </c>
      <c r="K812" t="str">
        <f>"INNI"</f>
        <v>INNI</v>
      </c>
      <c r="L812" t="s">
        <v>478</v>
      </c>
      <c r="M812" s="2">
        <v>2193.7199999999998</v>
      </c>
    </row>
    <row r="813" spans="1:13" x14ac:dyDescent="0.25">
      <c r="A813" t="str">
        <f t="shared" si="224"/>
        <v>E351</v>
      </c>
      <c r="B813">
        <v>1</v>
      </c>
      <c r="C813" t="str">
        <f t="shared" si="225"/>
        <v>10200</v>
      </c>
      <c r="D813" t="str">
        <f t="shared" si="222"/>
        <v>5620</v>
      </c>
      <c r="E813" t="str">
        <f t="shared" si="223"/>
        <v>094OMS</v>
      </c>
      <c r="F813" t="str">
        <f>""</f>
        <v/>
      </c>
      <c r="G813" t="str">
        <f>""</f>
        <v/>
      </c>
      <c r="H813" s="1">
        <v>41747</v>
      </c>
      <c r="I813" t="str">
        <f>"TR002294"</f>
        <v>TR002294</v>
      </c>
      <c r="J813" t="str">
        <f>"TA001806"</f>
        <v>TA001806</v>
      </c>
      <c r="K813" t="str">
        <f>"INEI"</f>
        <v>INEI</v>
      </c>
      <c r="L813" t="s">
        <v>823</v>
      </c>
      <c r="M813" s="2">
        <v>1190.9000000000001</v>
      </c>
    </row>
    <row r="814" spans="1:13" x14ac:dyDescent="0.25">
      <c r="A814" t="str">
        <f t="shared" si="224"/>
        <v>E351</v>
      </c>
      <c r="B814">
        <v>1</v>
      </c>
      <c r="C814" t="str">
        <f t="shared" si="225"/>
        <v>10200</v>
      </c>
      <c r="D814" t="str">
        <f t="shared" si="222"/>
        <v>5620</v>
      </c>
      <c r="E814" t="str">
        <f t="shared" si="223"/>
        <v>094OMS</v>
      </c>
      <c r="F814" t="str">
        <f>""</f>
        <v/>
      </c>
      <c r="G814" t="str">
        <f>""</f>
        <v/>
      </c>
      <c r="H814" s="1">
        <v>41759</v>
      </c>
      <c r="I814" t="str">
        <f>"TR002428"</f>
        <v>TR002428</v>
      </c>
      <c r="J814" t="str">
        <f>"TA002716"</f>
        <v>TA002716</v>
      </c>
      <c r="K814" t="str">
        <f>"INEI"</f>
        <v>INEI</v>
      </c>
      <c r="L814" t="s">
        <v>1235</v>
      </c>
      <c r="M814">
        <v>206.13</v>
      </c>
    </row>
    <row r="815" spans="1:13" x14ac:dyDescent="0.25">
      <c r="A815" t="str">
        <f t="shared" si="224"/>
        <v>E351</v>
      </c>
      <c r="B815">
        <v>1</v>
      </c>
      <c r="C815" t="str">
        <f>"23275"</f>
        <v>23275</v>
      </c>
      <c r="D815" t="str">
        <f t="shared" si="222"/>
        <v>5620</v>
      </c>
      <c r="E815" t="str">
        <f>"063STF"</f>
        <v>063STF</v>
      </c>
      <c r="F815" t="str">
        <f>""</f>
        <v/>
      </c>
      <c r="G815" t="str">
        <f>""</f>
        <v/>
      </c>
      <c r="H815" s="1">
        <v>41816</v>
      </c>
      <c r="I815" t="str">
        <f>"J0009784"</f>
        <v>J0009784</v>
      </c>
      <c r="J815" t="str">
        <f>""</f>
        <v/>
      </c>
      <c r="K815" t="str">
        <f>"J079"</f>
        <v>J079</v>
      </c>
      <c r="L815" t="s">
        <v>2226</v>
      </c>
      <c r="M815">
        <v>697.89</v>
      </c>
    </row>
    <row r="816" spans="1:13" x14ac:dyDescent="0.25">
      <c r="A816" t="str">
        <f t="shared" si="224"/>
        <v>E351</v>
      </c>
      <c r="B816">
        <v>1</v>
      </c>
      <c r="C816" t="str">
        <f>"23275"</f>
        <v>23275</v>
      </c>
      <c r="D816" t="str">
        <f>"5741"</f>
        <v>5741</v>
      </c>
      <c r="E816" t="str">
        <f>"063STF"</f>
        <v>063STF</v>
      </c>
      <c r="F816" t="str">
        <f>""</f>
        <v/>
      </c>
      <c r="G816" t="str">
        <f>""</f>
        <v/>
      </c>
      <c r="H816" s="1">
        <v>41739</v>
      </c>
      <c r="I816" t="str">
        <f>"V90063"</f>
        <v>V90063</v>
      </c>
      <c r="J816" t="str">
        <f>""</f>
        <v/>
      </c>
      <c r="K816" t="str">
        <f>"INNI"</f>
        <v>INNI</v>
      </c>
      <c r="L816" t="s">
        <v>345</v>
      </c>
      <c r="M816">
        <v>101.16</v>
      </c>
    </row>
    <row r="817" spans="1:13" x14ac:dyDescent="0.25">
      <c r="A817" t="str">
        <f t="shared" si="224"/>
        <v>E351</v>
      </c>
      <c r="B817">
        <v>1</v>
      </c>
      <c r="C817" t="str">
        <f>"23275"</f>
        <v>23275</v>
      </c>
      <c r="D817" t="str">
        <f>"5741"</f>
        <v>5741</v>
      </c>
      <c r="E817" t="str">
        <f>"063STF"</f>
        <v>063STF</v>
      </c>
      <c r="F817" t="str">
        <f>""</f>
        <v/>
      </c>
      <c r="G817" t="str">
        <f>""</f>
        <v/>
      </c>
      <c r="H817" s="1">
        <v>41739</v>
      </c>
      <c r="I817" t="str">
        <f>"V90064"</f>
        <v>V90064</v>
      </c>
      <c r="J817" t="str">
        <f>""</f>
        <v/>
      </c>
      <c r="K817" t="str">
        <f>"INNI"</f>
        <v>INNI</v>
      </c>
      <c r="L817" t="s">
        <v>2254</v>
      </c>
      <c r="M817">
        <v>596.73</v>
      </c>
    </row>
    <row r="818" spans="1:13" x14ac:dyDescent="0.25">
      <c r="A818" t="str">
        <f t="shared" si="224"/>
        <v>E351</v>
      </c>
      <c r="B818">
        <v>1</v>
      </c>
      <c r="C818" t="str">
        <f>"43000"</f>
        <v>43000</v>
      </c>
      <c r="D818" t="str">
        <f>"5620"</f>
        <v>5620</v>
      </c>
      <c r="E818" t="str">
        <f>"850LOS"</f>
        <v>850LOS</v>
      </c>
      <c r="F818" t="str">
        <f>""</f>
        <v/>
      </c>
      <c r="G818" t="str">
        <f>""</f>
        <v/>
      </c>
      <c r="H818" s="1">
        <v>41820</v>
      </c>
      <c r="I818" t="str">
        <f>"J0010489"</f>
        <v>J0010489</v>
      </c>
      <c r="J818" t="str">
        <f>""</f>
        <v/>
      </c>
      <c r="K818" t="str">
        <f>"J079"</f>
        <v>J079</v>
      </c>
      <c r="L818" t="s">
        <v>2209</v>
      </c>
      <c r="M818">
        <v>374.06</v>
      </c>
    </row>
    <row r="819" spans="1:13" x14ac:dyDescent="0.25">
      <c r="A819" t="str">
        <f t="shared" si="224"/>
        <v>E351</v>
      </c>
      <c r="B819">
        <v>1</v>
      </c>
      <c r="C819" t="str">
        <f>"43000"</f>
        <v>43000</v>
      </c>
      <c r="D819" t="str">
        <f>"5740"</f>
        <v>5740</v>
      </c>
      <c r="E819" t="str">
        <f>"850LOS"</f>
        <v>850LOS</v>
      </c>
      <c r="F819" t="str">
        <f>""</f>
        <v/>
      </c>
      <c r="G819" t="str">
        <f>""</f>
        <v/>
      </c>
      <c r="H819" s="1">
        <v>41740</v>
      </c>
      <c r="I819" t="str">
        <f>"TR002183"</f>
        <v>TR002183</v>
      </c>
      <c r="J819" t="str">
        <f>"TA001733"</f>
        <v>TA001733</v>
      </c>
      <c r="K819" t="str">
        <f>"INEI"</f>
        <v>INEI</v>
      </c>
      <c r="L819" t="s">
        <v>284</v>
      </c>
      <c r="M819">
        <v>484.06</v>
      </c>
    </row>
    <row r="820" spans="1:13" x14ac:dyDescent="0.25">
      <c r="A820" t="str">
        <f t="shared" si="224"/>
        <v>E351</v>
      </c>
      <c r="B820">
        <v>1</v>
      </c>
      <c r="C820" t="str">
        <f>"43000"</f>
        <v>43000</v>
      </c>
      <c r="D820" t="str">
        <f>"5740"</f>
        <v>5740</v>
      </c>
      <c r="E820" t="str">
        <f>"850LOS"</f>
        <v>850LOS</v>
      </c>
      <c r="F820" t="str">
        <f>""</f>
        <v/>
      </c>
      <c r="G820" t="str">
        <f>""</f>
        <v/>
      </c>
      <c r="H820" s="1">
        <v>41760</v>
      </c>
      <c r="I820" t="str">
        <f>"TR002268"</f>
        <v>TR002268</v>
      </c>
      <c r="J820" t="str">
        <f>""</f>
        <v/>
      </c>
      <c r="K820" t="str">
        <f>"INNI"</f>
        <v>INNI</v>
      </c>
      <c r="L820" t="s">
        <v>284</v>
      </c>
      <c r="M820">
        <v>374.06</v>
      </c>
    </row>
    <row r="821" spans="1:13" x14ac:dyDescent="0.25">
      <c r="A821" t="str">
        <f>"E353"</f>
        <v>E353</v>
      </c>
      <c r="B821">
        <v>1</v>
      </c>
      <c r="C821" t="str">
        <f>"10200"</f>
        <v>10200</v>
      </c>
      <c r="D821" t="str">
        <f>"5620"</f>
        <v>5620</v>
      </c>
      <c r="E821" t="str">
        <f>"094OMS"</f>
        <v>094OMS</v>
      </c>
      <c r="F821" t="str">
        <f>""</f>
        <v/>
      </c>
      <c r="G821" t="str">
        <f>""</f>
        <v/>
      </c>
      <c r="H821" s="1">
        <v>41647</v>
      </c>
      <c r="I821" t="str">
        <f>"TR001109"</f>
        <v>TR001109</v>
      </c>
      <c r="J821" t="str">
        <f>""</f>
        <v/>
      </c>
      <c r="K821" t="str">
        <f>"INNI"</f>
        <v>INNI</v>
      </c>
      <c r="L821" t="s">
        <v>334</v>
      </c>
      <c r="M821">
        <v>288.14999999999998</v>
      </c>
    </row>
    <row r="822" spans="1:13" x14ac:dyDescent="0.25">
      <c r="A822" t="str">
        <f>"E353"</f>
        <v>E353</v>
      </c>
      <c r="B822">
        <v>1</v>
      </c>
      <c r="C822" t="str">
        <f>"10200"</f>
        <v>10200</v>
      </c>
      <c r="D822" t="str">
        <f>"5620"</f>
        <v>5620</v>
      </c>
      <c r="E822" t="str">
        <f>"094OMS"</f>
        <v>094OMS</v>
      </c>
      <c r="F822" t="str">
        <f>""</f>
        <v/>
      </c>
      <c r="G822" t="str">
        <f>""</f>
        <v/>
      </c>
      <c r="H822" s="1">
        <v>41725</v>
      </c>
      <c r="I822" t="str">
        <f>"V129787"</f>
        <v>V129787</v>
      </c>
      <c r="J822" t="str">
        <f>""</f>
        <v/>
      </c>
      <c r="K822" t="str">
        <f>"INNI"</f>
        <v>INNI</v>
      </c>
      <c r="L822" t="s">
        <v>478</v>
      </c>
      <c r="M822">
        <v>291.76</v>
      </c>
    </row>
    <row r="823" spans="1:13" x14ac:dyDescent="0.25">
      <c r="A823" t="str">
        <f>"E353"</f>
        <v>E353</v>
      </c>
      <c r="B823">
        <v>1</v>
      </c>
      <c r="C823" t="str">
        <f>"43000"</f>
        <v>43000</v>
      </c>
      <c r="D823" t="str">
        <f>"5620"</f>
        <v>5620</v>
      </c>
      <c r="E823" t="str">
        <f>"850LOS"</f>
        <v>850LOS</v>
      </c>
      <c r="F823" t="str">
        <f>""</f>
        <v/>
      </c>
      <c r="G823" t="str">
        <f>""</f>
        <v/>
      </c>
      <c r="H823" s="1">
        <v>41820</v>
      </c>
      <c r="I823" t="str">
        <f>"J0010489"</f>
        <v>J0010489</v>
      </c>
      <c r="J823" t="str">
        <f>""</f>
        <v/>
      </c>
      <c r="K823" t="str">
        <f>"J079"</f>
        <v>J079</v>
      </c>
      <c r="L823" t="s">
        <v>2209</v>
      </c>
      <c r="M823">
        <v>166.88</v>
      </c>
    </row>
    <row r="824" spans="1:13" x14ac:dyDescent="0.25">
      <c r="A824" t="str">
        <f>"E353"</f>
        <v>E353</v>
      </c>
      <c r="B824">
        <v>1</v>
      </c>
      <c r="C824" t="str">
        <f>"43000"</f>
        <v>43000</v>
      </c>
      <c r="D824" t="str">
        <f>"5740"</f>
        <v>5740</v>
      </c>
      <c r="E824" t="str">
        <f>"850LOS"</f>
        <v>850LOS</v>
      </c>
      <c r="F824" t="str">
        <f>""</f>
        <v/>
      </c>
      <c r="G824" t="str">
        <f>""</f>
        <v/>
      </c>
      <c r="H824" s="1">
        <v>41740</v>
      </c>
      <c r="I824" t="str">
        <f>"TR002183"</f>
        <v>TR002183</v>
      </c>
      <c r="J824" t="str">
        <f>"TA001733"</f>
        <v>TA001733</v>
      </c>
      <c r="K824" t="str">
        <f>"INEI"</f>
        <v>INEI</v>
      </c>
      <c r="L824" t="s">
        <v>284</v>
      </c>
      <c r="M824">
        <v>100.8</v>
      </c>
    </row>
    <row r="825" spans="1:13" x14ac:dyDescent="0.25">
      <c r="A825" t="str">
        <f>"E353"</f>
        <v>E353</v>
      </c>
      <c r="B825">
        <v>1</v>
      </c>
      <c r="C825" t="str">
        <f>"43000"</f>
        <v>43000</v>
      </c>
      <c r="D825" t="str">
        <f>"5740"</f>
        <v>5740</v>
      </c>
      <c r="E825" t="str">
        <f>"850LOS"</f>
        <v>850LOS</v>
      </c>
      <c r="F825" t="str">
        <f>""</f>
        <v/>
      </c>
      <c r="G825" t="str">
        <f>""</f>
        <v/>
      </c>
      <c r="H825" s="1">
        <v>41760</v>
      </c>
      <c r="I825" t="str">
        <f>"TR002268"</f>
        <v>TR002268</v>
      </c>
      <c r="J825" t="str">
        <f>""</f>
        <v/>
      </c>
      <c r="K825" t="str">
        <f>"INNI"</f>
        <v>INNI</v>
      </c>
      <c r="L825" t="s">
        <v>284</v>
      </c>
      <c r="M825">
        <v>100.8</v>
      </c>
    </row>
    <row r="826" spans="1:13" x14ac:dyDescent="0.25">
      <c r="A826" t="str">
        <f>"E354"</f>
        <v>E354</v>
      </c>
      <c r="B826">
        <v>1</v>
      </c>
      <c r="C826" t="str">
        <f>"43000"</f>
        <v>43000</v>
      </c>
      <c r="D826" t="str">
        <f t="shared" ref="D826:D832" si="226">"5620"</f>
        <v>5620</v>
      </c>
      <c r="E826" t="str">
        <f>"850LOS"</f>
        <v>850LOS</v>
      </c>
      <c r="F826" t="str">
        <f>""</f>
        <v/>
      </c>
      <c r="G826" t="str">
        <f>""</f>
        <v/>
      </c>
      <c r="H826" s="1">
        <v>41820</v>
      </c>
      <c r="I826" t="str">
        <f>"J0010489"</f>
        <v>J0010489</v>
      </c>
      <c r="J826" t="str">
        <f>""</f>
        <v/>
      </c>
      <c r="K826" t="str">
        <f>"J079"</f>
        <v>J079</v>
      </c>
      <c r="L826" t="s">
        <v>2209</v>
      </c>
      <c r="M826">
        <v>156.74</v>
      </c>
    </row>
    <row r="827" spans="1:13" x14ac:dyDescent="0.25">
      <c r="A827" t="str">
        <f>"E356"</f>
        <v>E356</v>
      </c>
      <c r="B827">
        <v>1</v>
      </c>
      <c r="C827" t="str">
        <f>"10200"</f>
        <v>10200</v>
      </c>
      <c r="D827" t="str">
        <f t="shared" si="226"/>
        <v>5620</v>
      </c>
      <c r="E827" t="str">
        <f>"094OMS"</f>
        <v>094OMS</v>
      </c>
      <c r="F827" t="str">
        <f>""</f>
        <v/>
      </c>
      <c r="G827" t="str">
        <f>""</f>
        <v/>
      </c>
      <c r="H827" s="1">
        <v>41722</v>
      </c>
      <c r="I827" t="str">
        <f>"V98137"</f>
        <v>V98137</v>
      </c>
      <c r="J827" t="str">
        <f>""</f>
        <v/>
      </c>
      <c r="K827" t="str">
        <f>"INNI"</f>
        <v>INNI</v>
      </c>
      <c r="L827" t="s">
        <v>2253</v>
      </c>
      <c r="M827">
        <v>267.32</v>
      </c>
    </row>
    <row r="828" spans="1:13" x14ac:dyDescent="0.25">
      <c r="A828" t="str">
        <f>"E356"</f>
        <v>E356</v>
      </c>
      <c r="B828">
        <v>1</v>
      </c>
      <c r="C828" t="str">
        <f>"10200"</f>
        <v>10200</v>
      </c>
      <c r="D828" t="str">
        <f t="shared" si="226"/>
        <v>5620</v>
      </c>
      <c r="E828" t="str">
        <f>"094OMS"</f>
        <v>094OMS</v>
      </c>
      <c r="F828" t="str">
        <f>""</f>
        <v/>
      </c>
      <c r="G828" t="str">
        <f>""</f>
        <v/>
      </c>
      <c r="H828" s="1">
        <v>41757</v>
      </c>
      <c r="I828" t="str">
        <f>"V98139"</f>
        <v>V98139</v>
      </c>
      <c r="J828" t="str">
        <f>""</f>
        <v/>
      </c>
      <c r="K828" t="str">
        <f>"INNI"</f>
        <v>INNI</v>
      </c>
      <c r="L828" t="s">
        <v>2252</v>
      </c>
      <c r="M828">
        <v>478</v>
      </c>
    </row>
    <row r="829" spans="1:13" x14ac:dyDescent="0.25">
      <c r="A829" t="str">
        <f t="shared" ref="A829:A857" si="227">"E365"</f>
        <v>E365</v>
      </c>
      <c r="B829">
        <v>1</v>
      </c>
      <c r="C829" t="str">
        <f t="shared" ref="C829:C859" si="228">"23275"</f>
        <v>23275</v>
      </c>
      <c r="D829" t="str">
        <f t="shared" si="226"/>
        <v>5620</v>
      </c>
      <c r="E829" t="str">
        <f t="shared" ref="E829:E859" si="229">"063STF"</f>
        <v>063STF</v>
      </c>
      <c r="F829" t="str">
        <f>""</f>
        <v/>
      </c>
      <c r="G829" t="str">
        <f>""</f>
        <v/>
      </c>
      <c r="H829" s="1">
        <v>41792</v>
      </c>
      <c r="I829" t="str">
        <f>"00008693"</f>
        <v>00008693</v>
      </c>
      <c r="J829" t="str">
        <f>"N132881E"</f>
        <v>N132881E</v>
      </c>
      <c r="K829" t="str">
        <f>"INEI"</f>
        <v>INEI</v>
      </c>
      <c r="L829" t="s">
        <v>1994</v>
      </c>
      <c r="M829" s="2">
        <v>3540.89</v>
      </c>
    </row>
    <row r="830" spans="1:13" x14ac:dyDescent="0.25">
      <c r="A830" t="str">
        <f t="shared" si="227"/>
        <v>E365</v>
      </c>
      <c r="B830">
        <v>1</v>
      </c>
      <c r="C830" t="str">
        <f t="shared" si="228"/>
        <v>23275</v>
      </c>
      <c r="D830" t="str">
        <f t="shared" si="226"/>
        <v>5620</v>
      </c>
      <c r="E830" t="str">
        <f t="shared" si="229"/>
        <v>063STF</v>
      </c>
      <c r="F830" t="str">
        <f>""</f>
        <v/>
      </c>
      <c r="G830" t="str">
        <f>""</f>
        <v/>
      </c>
      <c r="H830" s="1">
        <v>41792</v>
      </c>
      <c r="I830" t="str">
        <f>"00008694"</f>
        <v>00008694</v>
      </c>
      <c r="J830" t="str">
        <f>"N132881E"</f>
        <v>N132881E</v>
      </c>
      <c r="K830" t="str">
        <f>"INEI"</f>
        <v>INEI</v>
      </c>
      <c r="L830" t="s">
        <v>1994</v>
      </c>
      <c r="M830" s="2">
        <v>3540.89</v>
      </c>
    </row>
    <row r="831" spans="1:13" x14ac:dyDescent="0.25">
      <c r="A831" t="str">
        <f t="shared" si="227"/>
        <v>E365</v>
      </c>
      <c r="B831">
        <v>1</v>
      </c>
      <c r="C831" t="str">
        <f t="shared" si="228"/>
        <v>23275</v>
      </c>
      <c r="D831" t="str">
        <f t="shared" si="226"/>
        <v>5620</v>
      </c>
      <c r="E831" t="str">
        <f t="shared" si="229"/>
        <v>063STF</v>
      </c>
      <c r="F831" t="str">
        <f>""</f>
        <v/>
      </c>
      <c r="G831" t="str">
        <f>""</f>
        <v/>
      </c>
      <c r="H831" s="1">
        <v>41816</v>
      </c>
      <c r="I831" t="str">
        <f>"J0009784"</f>
        <v>J0009784</v>
      </c>
      <c r="J831" t="str">
        <f>""</f>
        <v/>
      </c>
      <c r="K831" t="str">
        <f>"J079"</f>
        <v>J079</v>
      </c>
      <c r="L831" t="s">
        <v>2226</v>
      </c>
      <c r="M831" s="2">
        <v>89101.23</v>
      </c>
    </row>
    <row r="832" spans="1:13" x14ac:dyDescent="0.25">
      <c r="A832" t="str">
        <f t="shared" si="227"/>
        <v>E365</v>
      </c>
      <c r="B832">
        <v>1</v>
      </c>
      <c r="C832" t="str">
        <f t="shared" si="228"/>
        <v>23275</v>
      </c>
      <c r="D832" t="str">
        <f t="shared" si="226"/>
        <v>5620</v>
      </c>
      <c r="E832" t="str">
        <f t="shared" si="229"/>
        <v>063STF</v>
      </c>
      <c r="F832" t="str">
        <f>""</f>
        <v/>
      </c>
      <c r="G832" t="str">
        <f>""</f>
        <v/>
      </c>
      <c r="H832" s="1">
        <v>41820</v>
      </c>
      <c r="I832" t="str">
        <f>"J0010226"</f>
        <v>J0010226</v>
      </c>
      <c r="J832" t="str">
        <f>""</f>
        <v/>
      </c>
      <c r="K832" t="str">
        <f>"J079"</f>
        <v>J079</v>
      </c>
      <c r="L832" t="s">
        <v>2251</v>
      </c>
      <c r="M832" s="2">
        <v>26213.61</v>
      </c>
    </row>
    <row r="833" spans="1:13" x14ac:dyDescent="0.25">
      <c r="A833" t="str">
        <f t="shared" si="227"/>
        <v>E365</v>
      </c>
      <c r="B833">
        <v>1</v>
      </c>
      <c r="C833" t="str">
        <f t="shared" si="228"/>
        <v>23275</v>
      </c>
      <c r="D833" t="str">
        <f t="shared" ref="D833:D857" si="230">"5741"</f>
        <v>5741</v>
      </c>
      <c r="E833" t="str">
        <f t="shared" si="229"/>
        <v>063STF</v>
      </c>
      <c r="F833" t="str">
        <f>""</f>
        <v/>
      </c>
      <c r="G833" t="str">
        <f>""</f>
        <v/>
      </c>
      <c r="H833" s="1">
        <v>41563</v>
      </c>
      <c r="I833" t="str">
        <f>"00008524"</f>
        <v>00008524</v>
      </c>
      <c r="J833" t="str">
        <f t="shared" ref="J833:J857" si="231">"N132881E"</f>
        <v>N132881E</v>
      </c>
      <c r="K833" t="str">
        <f t="shared" ref="K833:K857" si="232">"INEI"</f>
        <v>INEI</v>
      </c>
      <c r="L833" t="s">
        <v>1994</v>
      </c>
      <c r="M833" s="2">
        <v>3718.69</v>
      </c>
    </row>
    <row r="834" spans="1:13" x14ac:dyDescent="0.25">
      <c r="A834" t="str">
        <f t="shared" si="227"/>
        <v>E365</v>
      </c>
      <c r="B834">
        <v>1</v>
      </c>
      <c r="C834" t="str">
        <f t="shared" si="228"/>
        <v>23275</v>
      </c>
      <c r="D834" t="str">
        <f t="shared" si="230"/>
        <v>5741</v>
      </c>
      <c r="E834" t="str">
        <f t="shared" si="229"/>
        <v>063STF</v>
      </c>
      <c r="F834" t="str">
        <f>""</f>
        <v/>
      </c>
      <c r="G834" t="str">
        <f>""</f>
        <v/>
      </c>
      <c r="H834" s="1">
        <v>41579</v>
      </c>
      <c r="I834" t="str">
        <f>"00008528"</f>
        <v>00008528</v>
      </c>
      <c r="J834" t="str">
        <f t="shared" si="231"/>
        <v>N132881E</v>
      </c>
      <c r="K834" t="str">
        <f t="shared" si="232"/>
        <v>INEI</v>
      </c>
      <c r="L834" t="s">
        <v>1994</v>
      </c>
      <c r="M834" s="2">
        <v>3540.89</v>
      </c>
    </row>
    <row r="835" spans="1:13" x14ac:dyDescent="0.25">
      <c r="A835" t="str">
        <f t="shared" si="227"/>
        <v>E365</v>
      </c>
      <c r="B835">
        <v>1</v>
      </c>
      <c r="C835" t="str">
        <f t="shared" si="228"/>
        <v>23275</v>
      </c>
      <c r="D835" t="str">
        <f t="shared" si="230"/>
        <v>5741</v>
      </c>
      <c r="E835" t="str">
        <f t="shared" si="229"/>
        <v>063STF</v>
      </c>
      <c r="F835" t="str">
        <f>""</f>
        <v/>
      </c>
      <c r="G835" t="str">
        <f>""</f>
        <v/>
      </c>
      <c r="H835" s="1">
        <v>41579</v>
      </c>
      <c r="I835" t="str">
        <f>"00008529"</f>
        <v>00008529</v>
      </c>
      <c r="J835" t="str">
        <f t="shared" si="231"/>
        <v>N132881E</v>
      </c>
      <c r="K835" t="str">
        <f t="shared" si="232"/>
        <v>INEI</v>
      </c>
      <c r="L835" t="s">
        <v>1994</v>
      </c>
      <c r="M835" s="2">
        <v>3563.11</v>
      </c>
    </row>
    <row r="836" spans="1:13" x14ac:dyDescent="0.25">
      <c r="A836" t="str">
        <f t="shared" si="227"/>
        <v>E365</v>
      </c>
      <c r="B836">
        <v>1</v>
      </c>
      <c r="C836" t="str">
        <f t="shared" si="228"/>
        <v>23275</v>
      </c>
      <c r="D836" t="str">
        <f t="shared" si="230"/>
        <v>5741</v>
      </c>
      <c r="E836" t="str">
        <f t="shared" si="229"/>
        <v>063STF</v>
      </c>
      <c r="F836" t="str">
        <f>""</f>
        <v/>
      </c>
      <c r="G836" t="str">
        <f>""</f>
        <v/>
      </c>
      <c r="H836" s="1">
        <v>41579</v>
      </c>
      <c r="I836" t="str">
        <f>"00008533"</f>
        <v>00008533</v>
      </c>
      <c r="J836" t="str">
        <f t="shared" si="231"/>
        <v>N132881E</v>
      </c>
      <c r="K836" t="str">
        <f t="shared" si="232"/>
        <v>INEI</v>
      </c>
      <c r="L836" t="s">
        <v>1994</v>
      </c>
      <c r="M836" s="2">
        <v>3540.89</v>
      </c>
    </row>
    <row r="837" spans="1:13" x14ac:dyDescent="0.25">
      <c r="A837" t="str">
        <f t="shared" si="227"/>
        <v>E365</v>
      </c>
      <c r="B837">
        <v>1</v>
      </c>
      <c r="C837" t="str">
        <f t="shared" si="228"/>
        <v>23275</v>
      </c>
      <c r="D837" t="str">
        <f t="shared" si="230"/>
        <v>5741</v>
      </c>
      <c r="E837" t="str">
        <f t="shared" si="229"/>
        <v>063STF</v>
      </c>
      <c r="F837" t="str">
        <f>""</f>
        <v/>
      </c>
      <c r="G837" t="str">
        <f>""</f>
        <v/>
      </c>
      <c r="H837" s="1">
        <v>41579</v>
      </c>
      <c r="I837" t="str">
        <f>"0008531A"</f>
        <v>0008531A</v>
      </c>
      <c r="J837" t="str">
        <f t="shared" si="231"/>
        <v>N132881E</v>
      </c>
      <c r="K837" t="str">
        <f t="shared" si="232"/>
        <v>INEI</v>
      </c>
      <c r="L837" t="s">
        <v>1994</v>
      </c>
      <c r="M837" s="2">
        <v>3540.89</v>
      </c>
    </row>
    <row r="838" spans="1:13" x14ac:dyDescent="0.25">
      <c r="A838" t="str">
        <f t="shared" si="227"/>
        <v>E365</v>
      </c>
      <c r="B838">
        <v>1</v>
      </c>
      <c r="C838" t="str">
        <f t="shared" si="228"/>
        <v>23275</v>
      </c>
      <c r="D838" t="str">
        <f t="shared" si="230"/>
        <v>5741</v>
      </c>
      <c r="E838" t="str">
        <f t="shared" si="229"/>
        <v>063STF</v>
      </c>
      <c r="F838" t="str">
        <f>""</f>
        <v/>
      </c>
      <c r="G838" t="str">
        <f>""</f>
        <v/>
      </c>
      <c r="H838" s="1">
        <v>41617</v>
      </c>
      <c r="I838" t="str">
        <f>"0008556A"</f>
        <v>0008556A</v>
      </c>
      <c r="J838" t="str">
        <f t="shared" si="231"/>
        <v>N132881E</v>
      </c>
      <c r="K838" t="str">
        <f t="shared" si="232"/>
        <v>INEI</v>
      </c>
      <c r="L838" t="s">
        <v>1994</v>
      </c>
      <c r="M838" s="2">
        <v>3540.89</v>
      </c>
    </row>
    <row r="839" spans="1:13" x14ac:dyDescent="0.25">
      <c r="A839" t="str">
        <f t="shared" si="227"/>
        <v>E365</v>
      </c>
      <c r="B839">
        <v>1</v>
      </c>
      <c r="C839" t="str">
        <f t="shared" si="228"/>
        <v>23275</v>
      </c>
      <c r="D839" t="str">
        <f t="shared" si="230"/>
        <v>5741</v>
      </c>
      <c r="E839" t="str">
        <f t="shared" si="229"/>
        <v>063STF</v>
      </c>
      <c r="F839" t="str">
        <f>""</f>
        <v/>
      </c>
      <c r="G839" t="str">
        <f>""</f>
        <v/>
      </c>
      <c r="H839" s="1">
        <v>41617</v>
      </c>
      <c r="I839" t="str">
        <f>"00008552"</f>
        <v>00008552</v>
      </c>
      <c r="J839" t="str">
        <f t="shared" si="231"/>
        <v>N132881E</v>
      </c>
      <c r="K839" t="str">
        <f t="shared" si="232"/>
        <v>INEI</v>
      </c>
      <c r="L839" t="s">
        <v>1994</v>
      </c>
      <c r="M839" s="2">
        <v>3540.89</v>
      </c>
    </row>
    <row r="840" spans="1:13" x14ac:dyDescent="0.25">
      <c r="A840" t="str">
        <f t="shared" si="227"/>
        <v>E365</v>
      </c>
      <c r="B840">
        <v>1</v>
      </c>
      <c r="C840" t="str">
        <f t="shared" si="228"/>
        <v>23275</v>
      </c>
      <c r="D840" t="str">
        <f t="shared" si="230"/>
        <v>5741</v>
      </c>
      <c r="E840" t="str">
        <f t="shared" si="229"/>
        <v>063STF</v>
      </c>
      <c r="F840" t="str">
        <f>""</f>
        <v/>
      </c>
      <c r="G840" t="str">
        <f>""</f>
        <v/>
      </c>
      <c r="H840" s="1">
        <v>41617</v>
      </c>
      <c r="I840" t="str">
        <f>"00008551"</f>
        <v>00008551</v>
      </c>
      <c r="J840" t="str">
        <f t="shared" si="231"/>
        <v>N132881E</v>
      </c>
      <c r="K840" t="str">
        <f t="shared" si="232"/>
        <v>INEI</v>
      </c>
      <c r="L840" t="s">
        <v>1994</v>
      </c>
      <c r="M840" s="2">
        <v>4229.8599999999997</v>
      </c>
    </row>
    <row r="841" spans="1:13" x14ac:dyDescent="0.25">
      <c r="A841" t="str">
        <f t="shared" si="227"/>
        <v>E365</v>
      </c>
      <c r="B841">
        <v>1</v>
      </c>
      <c r="C841" t="str">
        <f t="shared" si="228"/>
        <v>23275</v>
      </c>
      <c r="D841" t="str">
        <f t="shared" si="230"/>
        <v>5741</v>
      </c>
      <c r="E841" t="str">
        <f t="shared" si="229"/>
        <v>063STF</v>
      </c>
      <c r="F841" t="str">
        <f>""</f>
        <v/>
      </c>
      <c r="G841" t="str">
        <f>""</f>
        <v/>
      </c>
      <c r="H841" s="1">
        <v>41647</v>
      </c>
      <c r="I841" t="str">
        <f>"00008576"</f>
        <v>00008576</v>
      </c>
      <c r="J841" t="str">
        <f t="shared" si="231"/>
        <v>N132881E</v>
      </c>
      <c r="K841" t="str">
        <f t="shared" si="232"/>
        <v>INEI</v>
      </c>
      <c r="L841" t="s">
        <v>1994</v>
      </c>
      <c r="M841" s="2">
        <v>3540.89</v>
      </c>
    </row>
    <row r="842" spans="1:13" x14ac:dyDescent="0.25">
      <c r="A842" t="str">
        <f t="shared" si="227"/>
        <v>E365</v>
      </c>
      <c r="B842">
        <v>1</v>
      </c>
      <c r="C842" t="str">
        <f t="shared" si="228"/>
        <v>23275</v>
      </c>
      <c r="D842" t="str">
        <f t="shared" si="230"/>
        <v>5741</v>
      </c>
      <c r="E842" t="str">
        <f t="shared" si="229"/>
        <v>063STF</v>
      </c>
      <c r="F842" t="str">
        <f>""</f>
        <v/>
      </c>
      <c r="G842" t="str">
        <f>""</f>
        <v/>
      </c>
      <c r="H842" s="1">
        <v>41647</v>
      </c>
      <c r="I842" t="str">
        <f>"00008573"</f>
        <v>00008573</v>
      </c>
      <c r="J842" t="str">
        <f t="shared" si="231"/>
        <v>N132881E</v>
      </c>
      <c r="K842" t="str">
        <f t="shared" si="232"/>
        <v>INEI</v>
      </c>
      <c r="L842" t="s">
        <v>1994</v>
      </c>
      <c r="M842" s="2">
        <v>3812.08</v>
      </c>
    </row>
    <row r="843" spans="1:13" x14ac:dyDescent="0.25">
      <c r="A843" t="str">
        <f t="shared" si="227"/>
        <v>E365</v>
      </c>
      <c r="B843">
        <v>1</v>
      </c>
      <c r="C843" t="str">
        <f t="shared" si="228"/>
        <v>23275</v>
      </c>
      <c r="D843" t="str">
        <f t="shared" si="230"/>
        <v>5741</v>
      </c>
      <c r="E843" t="str">
        <f t="shared" si="229"/>
        <v>063STF</v>
      </c>
      <c r="F843" t="str">
        <f>""</f>
        <v/>
      </c>
      <c r="G843" t="str">
        <f>""</f>
        <v/>
      </c>
      <c r="H843" s="1">
        <v>41647</v>
      </c>
      <c r="I843" t="str">
        <f>"00008572"</f>
        <v>00008572</v>
      </c>
      <c r="J843" t="str">
        <f t="shared" si="231"/>
        <v>N132881E</v>
      </c>
      <c r="K843" t="str">
        <f t="shared" si="232"/>
        <v>INEI</v>
      </c>
      <c r="L843" t="s">
        <v>1994</v>
      </c>
      <c r="M843" s="2">
        <v>2387.6799999999998</v>
      </c>
    </row>
    <row r="844" spans="1:13" x14ac:dyDescent="0.25">
      <c r="A844" t="str">
        <f t="shared" si="227"/>
        <v>E365</v>
      </c>
      <c r="B844">
        <v>1</v>
      </c>
      <c r="C844" t="str">
        <f t="shared" si="228"/>
        <v>23275</v>
      </c>
      <c r="D844" t="str">
        <f t="shared" si="230"/>
        <v>5741</v>
      </c>
      <c r="E844" t="str">
        <f t="shared" si="229"/>
        <v>063STF</v>
      </c>
      <c r="F844" t="str">
        <f>""</f>
        <v/>
      </c>
      <c r="G844" t="str">
        <f>""</f>
        <v/>
      </c>
      <c r="H844" s="1">
        <v>41647</v>
      </c>
      <c r="I844" t="str">
        <f>"00008557"</f>
        <v>00008557</v>
      </c>
      <c r="J844" t="str">
        <f t="shared" si="231"/>
        <v>N132881E</v>
      </c>
      <c r="K844" t="str">
        <f t="shared" si="232"/>
        <v>INEI</v>
      </c>
      <c r="L844" t="s">
        <v>1994</v>
      </c>
      <c r="M844" s="2">
        <v>3540.89</v>
      </c>
    </row>
    <row r="845" spans="1:13" x14ac:dyDescent="0.25">
      <c r="A845" t="str">
        <f t="shared" si="227"/>
        <v>E365</v>
      </c>
      <c r="B845">
        <v>1</v>
      </c>
      <c r="C845" t="str">
        <f t="shared" si="228"/>
        <v>23275</v>
      </c>
      <c r="D845" t="str">
        <f t="shared" si="230"/>
        <v>5741</v>
      </c>
      <c r="E845" t="str">
        <f t="shared" si="229"/>
        <v>063STF</v>
      </c>
      <c r="F845" t="str">
        <f>""</f>
        <v/>
      </c>
      <c r="G845" t="str">
        <f>""</f>
        <v/>
      </c>
      <c r="H845" s="1">
        <v>41674</v>
      </c>
      <c r="I845" t="str">
        <f>"00008594"</f>
        <v>00008594</v>
      </c>
      <c r="J845" t="str">
        <f t="shared" si="231"/>
        <v>N132881E</v>
      </c>
      <c r="K845" t="str">
        <f t="shared" si="232"/>
        <v>INEI</v>
      </c>
      <c r="L845" t="s">
        <v>1994</v>
      </c>
      <c r="M845" s="2">
        <v>3718.69</v>
      </c>
    </row>
    <row r="846" spans="1:13" x14ac:dyDescent="0.25">
      <c r="A846" t="str">
        <f t="shared" si="227"/>
        <v>E365</v>
      </c>
      <c r="B846">
        <v>1</v>
      </c>
      <c r="C846" t="str">
        <f t="shared" si="228"/>
        <v>23275</v>
      </c>
      <c r="D846" t="str">
        <f t="shared" si="230"/>
        <v>5741</v>
      </c>
      <c r="E846" t="str">
        <f t="shared" si="229"/>
        <v>063STF</v>
      </c>
      <c r="F846" t="str">
        <f>""</f>
        <v/>
      </c>
      <c r="G846" t="str">
        <f>""</f>
        <v/>
      </c>
      <c r="H846" s="1">
        <v>41674</v>
      </c>
      <c r="I846" t="str">
        <f>"00008595"</f>
        <v>00008595</v>
      </c>
      <c r="J846" t="str">
        <f t="shared" si="231"/>
        <v>N132881E</v>
      </c>
      <c r="K846" t="str">
        <f t="shared" si="232"/>
        <v>INEI</v>
      </c>
      <c r="L846" t="s">
        <v>1994</v>
      </c>
      <c r="M846" s="2">
        <v>3604.52</v>
      </c>
    </row>
    <row r="847" spans="1:13" x14ac:dyDescent="0.25">
      <c r="A847" t="str">
        <f t="shared" si="227"/>
        <v>E365</v>
      </c>
      <c r="B847">
        <v>1</v>
      </c>
      <c r="C847" t="str">
        <f t="shared" si="228"/>
        <v>23275</v>
      </c>
      <c r="D847" t="str">
        <f t="shared" si="230"/>
        <v>5741</v>
      </c>
      <c r="E847" t="str">
        <f t="shared" si="229"/>
        <v>063STF</v>
      </c>
      <c r="F847" t="str">
        <f>""</f>
        <v/>
      </c>
      <c r="G847" t="str">
        <f>""</f>
        <v/>
      </c>
      <c r="H847" s="1">
        <v>41674</v>
      </c>
      <c r="I847" t="str">
        <f>"00008596"</f>
        <v>00008596</v>
      </c>
      <c r="J847" t="str">
        <f t="shared" si="231"/>
        <v>N132881E</v>
      </c>
      <c r="K847" t="str">
        <f t="shared" si="232"/>
        <v>INEI</v>
      </c>
      <c r="L847" t="s">
        <v>1994</v>
      </c>
      <c r="M847" s="2">
        <v>3540.89</v>
      </c>
    </row>
    <row r="848" spans="1:13" x14ac:dyDescent="0.25">
      <c r="A848" t="str">
        <f t="shared" si="227"/>
        <v>E365</v>
      </c>
      <c r="B848">
        <v>1</v>
      </c>
      <c r="C848" t="str">
        <f t="shared" si="228"/>
        <v>23275</v>
      </c>
      <c r="D848" t="str">
        <f t="shared" si="230"/>
        <v>5741</v>
      </c>
      <c r="E848" t="str">
        <f t="shared" si="229"/>
        <v>063STF</v>
      </c>
      <c r="F848" t="str">
        <f>""</f>
        <v/>
      </c>
      <c r="G848" t="str">
        <f>""</f>
        <v/>
      </c>
      <c r="H848" s="1">
        <v>41702</v>
      </c>
      <c r="I848" t="str">
        <f>"00008615"</f>
        <v>00008615</v>
      </c>
      <c r="J848" t="str">
        <f t="shared" si="231"/>
        <v>N132881E</v>
      </c>
      <c r="K848" t="str">
        <f t="shared" si="232"/>
        <v>INEI</v>
      </c>
      <c r="L848" t="s">
        <v>1994</v>
      </c>
      <c r="M848" s="2">
        <v>3540.89</v>
      </c>
    </row>
    <row r="849" spans="1:13" x14ac:dyDescent="0.25">
      <c r="A849" t="str">
        <f t="shared" si="227"/>
        <v>E365</v>
      </c>
      <c r="B849">
        <v>1</v>
      </c>
      <c r="C849" t="str">
        <f t="shared" si="228"/>
        <v>23275</v>
      </c>
      <c r="D849" t="str">
        <f t="shared" si="230"/>
        <v>5741</v>
      </c>
      <c r="E849" t="str">
        <f t="shared" si="229"/>
        <v>063STF</v>
      </c>
      <c r="F849" t="str">
        <f>""</f>
        <v/>
      </c>
      <c r="G849" t="str">
        <f>""</f>
        <v/>
      </c>
      <c r="H849" s="1">
        <v>41702</v>
      </c>
      <c r="I849" t="str">
        <f>"00008618"</f>
        <v>00008618</v>
      </c>
      <c r="J849" t="str">
        <f t="shared" si="231"/>
        <v>N132881E</v>
      </c>
      <c r="K849" t="str">
        <f t="shared" si="232"/>
        <v>INEI</v>
      </c>
      <c r="L849" t="s">
        <v>1994</v>
      </c>
      <c r="M849" s="2">
        <v>3540.89</v>
      </c>
    </row>
    <row r="850" spans="1:13" x14ac:dyDescent="0.25">
      <c r="A850" t="str">
        <f t="shared" si="227"/>
        <v>E365</v>
      </c>
      <c r="B850">
        <v>1</v>
      </c>
      <c r="C850" t="str">
        <f t="shared" si="228"/>
        <v>23275</v>
      </c>
      <c r="D850" t="str">
        <f t="shared" si="230"/>
        <v>5741</v>
      </c>
      <c r="E850" t="str">
        <f t="shared" si="229"/>
        <v>063STF</v>
      </c>
      <c r="F850" t="str">
        <f>""</f>
        <v/>
      </c>
      <c r="G850" t="str">
        <f>""</f>
        <v/>
      </c>
      <c r="H850" s="1">
        <v>41709</v>
      </c>
      <c r="I850" t="str">
        <f>"00008620"</f>
        <v>00008620</v>
      </c>
      <c r="J850" t="str">
        <f t="shared" si="231"/>
        <v>N132881E</v>
      </c>
      <c r="K850" t="str">
        <f t="shared" si="232"/>
        <v>INEI</v>
      </c>
      <c r="L850" t="s">
        <v>1994</v>
      </c>
      <c r="M850" s="2">
        <v>3663.12</v>
      </c>
    </row>
    <row r="851" spans="1:13" x14ac:dyDescent="0.25">
      <c r="A851" t="str">
        <f t="shared" si="227"/>
        <v>E365</v>
      </c>
      <c r="B851">
        <v>1</v>
      </c>
      <c r="C851" t="str">
        <f t="shared" si="228"/>
        <v>23275</v>
      </c>
      <c r="D851" t="str">
        <f t="shared" si="230"/>
        <v>5741</v>
      </c>
      <c r="E851" t="str">
        <f t="shared" si="229"/>
        <v>063STF</v>
      </c>
      <c r="F851" t="str">
        <f>""</f>
        <v/>
      </c>
      <c r="G851" t="str">
        <f>""</f>
        <v/>
      </c>
      <c r="H851" s="1">
        <v>41709</v>
      </c>
      <c r="I851" t="str">
        <f>"00008621"</f>
        <v>00008621</v>
      </c>
      <c r="J851" t="str">
        <f t="shared" si="231"/>
        <v>N132881E</v>
      </c>
      <c r="K851" t="str">
        <f t="shared" si="232"/>
        <v>INEI</v>
      </c>
      <c r="L851" t="s">
        <v>1994</v>
      </c>
      <c r="M851" s="2">
        <v>3540.89</v>
      </c>
    </row>
    <row r="852" spans="1:13" x14ac:dyDescent="0.25">
      <c r="A852" t="str">
        <f t="shared" si="227"/>
        <v>E365</v>
      </c>
      <c r="B852">
        <v>1</v>
      </c>
      <c r="C852" t="str">
        <f t="shared" si="228"/>
        <v>23275</v>
      </c>
      <c r="D852" t="str">
        <f t="shared" si="230"/>
        <v>5741</v>
      </c>
      <c r="E852" t="str">
        <f t="shared" si="229"/>
        <v>063STF</v>
      </c>
      <c r="F852" t="str">
        <f>""</f>
        <v/>
      </c>
      <c r="G852" t="str">
        <f>""</f>
        <v/>
      </c>
      <c r="H852" s="1">
        <v>41717</v>
      </c>
      <c r="I852" t="str">
        <f>"00008637"</f>
        <v>00008637</v>
      </c>
      <c r="J852" t="str">
        <f t="shared" si="231"/>
        <v>N132881E</v>
      </c>
      <c r="K852" t="str">
        <f t="shared" si="232"/>
        <v>INEI</v>
      </c>
      <c r="L852" t="s">
        <v>1994</v>
      </c>
      <c r="M852" s="2">
        <v>2698.83</v>
      </c>
    </row>
    <row r="853" spans="1:13" x14ac:dyDescent="0.25">
      <c r="A853" t="str">
        <f t="shared" si="227"/>
        <v>E365</v>
      </c>
      <c r="B853">
        <v>1</v>
      </c>
      <c r="C853" t="str">
        <f t="shared" si="228"/>
        <v>23275</v>
      </c>
      <c r="D853" t="str">
        <f t="shared" si="230"/>
        <v>5741</v>
      </c>
      <c r="E853" t="str">
        <f t="shared" si="229"/>
        <v>063STF</v>
      </c>
      <c r="F853" t="str">
        <f>""</f>
        <v/>
      </c>
      <c r="G853" t="str">
        <f>""</f>
        <v/>
      </c>
      <c r="H853" s="1">
        <v>41724</v>
      </c>
      <c r="I853" t="str">
        <f>"00008645"</f>
        <v>00008645</v>
      </c>
      <c r="J853" t="str">
        <f t="shared" si="231"/>
        <v>N132881E</v>
      </c>
      <c r="K853" t="str">
        <f t="shared" si="232"/>
        <v>INEI</v>
      </c>
      <c r="L853" t="s">
        <v>1994</v>
      </c>
      <c r="M853" s="2">
        <v>3540.89</v>
      </c>
    </row>
    <row r="854" spans="1:13" x14ac:dyDescent="0.25">
      <c r="A854" t="str">
        <f t="shared" si="227"/>
        <v>E365</v>
      </c>
      <c r="B854">
        <v>1</v>
      </c>
      <c r="C854" t="str">
        <f t="shared" si="228"/>
        <v>23275</v>
      </c>
      <c r="D854" t="str">
        <f t="shared" si="230"/>
        <v>5741</v>
      </c>
      <c r="E854" t="str">
        <f t="shared" si="229"/>
        <v>063STF</v>
      </c>
      <c r="F854" t="str">
        <f>""</f>
        <v/>
      </c>
      <c r="G854" t="str">
        <f>""</f>
        <v/>
      </c>
      <c r="H854" s="1">
        <v>41724</v>
      </c>
      <c r="I854" t="str">
        <f>"00008646"</f>
        <v>00008646</v>
      </c>
      <c r="J854" t="str">
        <f t="shared" si="231"/>
        <v>N132881E</v>
      </c>
      <c r="K854" t="str">
        <f t="shared" si="232"/>
        <v>INEI</v>
      </c>
      <c r="L854" t="s">
        <v>1994</v>
      </c>
      <c r="M854" s="2">
        <v>3540.89</v>
      </c>
    </row>
    <row r="855" spans="1:13" x14ac:dyDescent="0.25">
      <c r="A855" t="str">
        <f t="shared" si="227"/>
        <v>E365</v>
      </c>
      <c r="B855">
        <v>1</v>
      </c>
      <c r="C855" t="str">
        <f t="shared" si="228"/>
        <v>23275</v>
      </c>
      <c r="D855" t="str">
        <f t="shared" si="230"/>
        <v>5741</v>
      </c>
      <c r="E855" t="str">
        <f t="shared" si="229"/>
        <v>063STF</v>
      </c>
      <c r="F855" t="str">
        <f>""</f>
        <v/>
      </c>
      <c r="G855" t="str">
        <f>""</f>
        <v/>
      </c>
      <c r="H855" s="1">
        <v>41732</v>
      </c>
      <c r="I855" t="str">
        <f>"00008649"</f>
        <v>00008649</v>
      </c>
      <c r="J855" t="str">
        <f t="shared" si="231"/>
        <v>N132881E</v>
      </c>
      <c r="K855" t="str">
        <f t="shared" si="232"/>
        <v>INEI</v>
      </c>
      <c r="L855" t="s">
        <v>1994</v>
      </c>
      <c r="M855" s="2">
        <v>4502.3999999999996</v>
      </c>
    </row>
    <row r="856" spans="1:13" x14ac:dyDescent="0.25">
      <c r="A856" t="str">
        <f t="shared" si="227"/>
        <v>E365</v>
      </c>
      <c r="B856">
        <v>1</v>
      </c>
      <c r="C856" t="str">
        <f t="shared" si="228"/>
        <v>23275</v>
      </c>
      <c r="D856" t="str">
        <f t="shared" si="230"/>
        <v>5741</v>
      </c>
      <c r="E856" t="str">
        <f t="shared" si="229"/>
        <v>063STF</v>
      </c>
      <c r="F856" t="str">
        <f>""</f>
        <v/>
      </c>
      <c r="G856" t="str">
        <f>""</f>
        <v/>
      </c>
      <c r="H856" s="1">
        <v>41751</v>
      </c>
      <c r="I856" t="str">
        <f>"00008668"</f>
        <v>00008668</v>
      </c>
      <c r="J856" t="str">
        <f t="shared" si="231"/>
        <v>N132881E</v>
      </c>
      <c r="K856" t="str">
        <f t="shared" si="232"/>
        <v>INEI</v>
      </c>
      <c r="L856" t="s">
        <v>1994</v>
      </c>
      <c r="M856" s="2">
        <v>3540.89</v>
      </c>
    </row>
    <row r="857" spans="1:13" x14ac:dyDescent="0.25">
      <c r="A857" t="str">
        <f t="shared" si="227"/>
        <v>E365</v>
      </c>
      <c r="B857">
        <v>1</v>
      </c>
      <c r="C857" t="str">
        <f t="shared" si="228"/>
        <v>23275</v>
      </c>
      <c r="D857" t="str">
        <f t="shared" si="230"/>
        <v>5741</v>
      </c>
      <c r="E857" t="str">
        <f t="shared" si="229"/>
        <v>063STF</v>
      </c>
      <c r="F857" t="str">
        <f>""</f>
        <v/>
      </c>
      <c r="G857" t="str">
        <f>""</f>
        <v/>
      </c>
      <c r="H857" s="1">
        <v>41761</v>
      </c>
      <c r="I857" t="str">
        <f>"00008669"</f>
        <v>00008669</v>
      </c>
      <c r="J857" t="str">
        <f t="shared" si="231"/>
        <v>N132881E</v>
      </c>
      <c r="K857" t="str">
        <f t="shared" si="232"/>
        <v>INEI</v>
      </c>
      <c r="L857" t="s">
        <v>1994</v>
      </c>
      <c r="M857" s="2">
        <v>3629.79</v>
      </c>
    </row>
    <row r="858" spans="1:13" x14ac:dyDescent="0.25">
      <c r="A858" t="str">
        <f t="shared" ref="A858:A864" si="233">"E367"</f>
        <v>E367</v>
      </c>
      <c r="B858">
        <v>1</v>
      </c>
      <c r="C858" t="str">
        <f t="shared" si="228"/>
        <v>23275</v>
      </c>
      <c r="D858" t="str">
        <f>"5620"</f>
        <v>5620</v>
      </c>
      <c r="E858" t="str">
        <f t="shared" si="229"/>
        <v>063STF</v>
      </c>
      <c r="F858" t="str">
        <f>""</f>
        <v/>
      </c>
      <c r="G858" t="str">
        <f>""</f>
        <v/>
      </c>
      <c r="H858" s="1">
        <v>41816</v>
      </c>
      <c r="I858" t="str">
        <f>"J0009784"</f>
        <v>J0009784</v>
      </c>
      <c r="J858" t="str">
        <f>""</f>
        <v/>
      </c>
      <c r="K858" t="str">
        <f>"J079"</f>
        <v>J079</v>
      </c>
      <c r="L858" t="s">
        <v>2226</v>
      </c>
      <c r="M858">
        <v>598.5</v>
      </c>
    </row>
    <row r="859" spans="1:13" x14ac:dyDescent="0.25">
      <c r="A859" t="str">
        <f t="shared" si="233"/>
        <v>E367</v>
      </c>
      <c r="B859">
        <v>1</v>
      </c>
      <c r="C859" t="str">
        <f t="shared" si="228"/>
        <v>23275</v>
      </c>
      <c r="D859" t="str">
        <f>"5741"</f>
        <v>5741</v>
      </c>
      <c r="E859" t="str">
        <f t="shared" si="229"/>
        <v>063STF</v>
      </c>
      <c r="F859" t="str">
        <f>""</f>
        <v/>
      </c>
      <c r="G859" t="str">
        <f>""</f>
        <v/>
      </c>
      <c r="H859" s="1">
        <v>41725</v>
      </c>
      <c r="I859" t="str">
        <f>"TRV10173"</f>
        <v>TRV10173</v>
      </c>
      <c r="J859" t="str">
        <f>"TE824400"</f>
        <v>TE824400</v>
      </c>
      <c r="K859" t="str">
        <f>"AS89"</f>
        <v>AS89</v>
      </c>
      <c r="L859" t="s">
        <v>2250</v>
      </c>
      <c r="M859">
        <v>598.5</v>
      </c>
    </row>
    <row r="860" spans="1:13" x14ac:dyDescent="0.25">
      <c r="A860" t="str">
        <f t="shared" si="233"/>
        <v>E367</v>
      </c>
      <c r="B860">
        <v>1</v>
      </c>
      <c r="C860" t="str">
        <f>"32040"</f>
        <v>32040</v>
      </c>
      <c r="D860" t="str">
        <f>"5610"</f>
        <v>5610</v>
      </c>
      <c r="E860" t="str">
        <f>"850LOS"</f>
        <v>850LOS</v>
      </c>
      <c r="F860" t="str">
        <f>""</f>
        <v/>
      </c>
      <c r="G860" t="str">
        <f>""</f>
        <v/>
      </c>
      <c r="H860" s="1">
        <v>41788</v>
      </c>
      <c r="I860" t="str">
        <f>"TRV10175"</f>
        <v>TRV10175</v>
      </c>
      <c r="J860" t="str">
        <f>"TA002832"</f>
        <v>TA002832</v>
      </c>
      <c r="K860" t="str">
        <f>"AS89"</f>
        <v>AS89</v>
      </c>
      <c r="L860" t="s">
        <v>2249</v>
      </c>
      <c r="M860">
        <v>816</v>
      </c>
    </row>
    <row r="861" spans="1:13" x14ac:dyDescent="0.25">
      <c r="A861" t="str">
        <f t="shared" si="233"/>
        <v>E367</v>
      </c>
      <c r="B861">
        <v>1</v>
      </c>
      <c r="C861" t="str">
        <f>"32040"</f>
        <v>32040</v>
      </c>
      <c r="D861" t="str">
        <f>"5620"</f>
        <v>5620</v>
      </c>
      <c r="E861" t="str">
        <f>"850LOS"</f>
        <v>850LOS</v>
      </c>
      <c r="F861" t="str">
        <f>""</f>
        <v/>
      </c>
      <c r="G861" t="str">
        <f>""</f>
        <v/>
      </c>
      <c r="H861" s="1">
        <v>41820</v>
      </c>
      <c r="I861" t="str">
        <f>"J0010520"</f>
        <v>J0010520</v>
      </c>
      <c r="J861" t="str">
        <f>""</f>
        <v/>
      </c>
      <c r="K861" t="str">
        <f>"J079"</f>
        <v>J079</v>
      </c>
      <c r="L861" t="s">
        <v>2199</v>
      </c>
      <c r="M861">
        <v>816</v>
      </c>
    </row>
    <row r="862" spans="1:13" x14ac:dyDescent="0.25">
      <c r="A862" t="str">
        <f t="shared" si="233"/>
        <v>E367</v>
      </c>
      <c r="B862">
        <v>1</v>
      </c>
      <c r="C862" t="str">
        <f>"43000"</f>
        <v>43000</v>
      </c>
      <c r="D862" t="str">
        <f>"5620"</f>
        <v>5620</v>
      </c>
      <c r="E862" t="str">
        <f>"850LOS"</f>
        <v>850LOS</v>
      </c>
      <c r="F862" t="str">
        <f>""</f>
        <v/>
      </c>
      <c r="G862" t="str">
        <f>""</f>
        <v/>
      </c>
      <c r="H862" s="1">
        <v>41820</v>
      </c>
      <c r="I862" t="str">
        <f>"J0010489"</f>
        <v>J0010489</v>
      </c>
      <c r="J862" t="str">
        <f>""</f>
        <v/>
      </c>
      <c r="K862" t="str">
        <f>"J079"</f>
        <v>J079</v>
      </c>
      <c r="L862" t="s">
        <v>2209</v>
      </c>
      <c r="M862">
        <v>649.86</v>
      </c>
    </row>
    <row r="863" spans="1:13" x14ac:dyDescent="0.25">
      <c r="A863" t="str">
        <f t="shared" si="233"/>
        <v>E367</v>
      </c>
      <c r="B863">
        <v>1</v>
      </c>
      <c r="C863" t="str">
        <f>"43000"</f>
        <v>43000</v>
      </c>
      <c r="D863" t="str">
        <f>"5740"</f>
        <v>5740</v>
      </c>
      <c r="E863" t="str">
        <f>"850LOS"</f>
        <v>850LOS</v>
      </c>
      <c r="F863" t="str">
        <f>""</f>
        <v/>
      </c>
      <c r="G863" t="str">
        <f>""</f>
        <v/>
      </c>
      <c r="H863" s="1">
        <v>41572</v>
      </c>
      <c r="I863" t="str">
        <f>"TRV10168"</f>
        <v>TRV10168</v>
      </c>
      <c r="J863" t="str">
        <f>"TE787204"</f>
        <v>TE787204</v>
      </c>
      <c r="K863" t="str">
        <f>"AS89"</f>
        <v>AS89</v>
      </c>
      <c r="L863" t="s">
        <v>2248</v>
      </c>
      <c r="M863">
        <v>324.93</v>
      </c>
    </row>
    <row r="864" spans="1:13" x14ac:dyDescent="0.25">
      <c r="A864" t="str">
        <f t="shared" si="233"/>
        <v>E367</v>
      </c>
      <c r="B864">
        <v>1</v>
      </c>
      <c r="C864" t="str">
        <f>"43000"</f>
        <v>43000</v>
      </c>
      <c r="D864" t="str">
        <f>"5740"</f>
        <v>5740</v>
      </c>
      <c r="E864" t="str">
        <f>"850LOS"</f>
        <v>850LOS</v>
      </c>
      <c r="F864" t="str">
        <f>""</f>
        <v/>
      </c>
      <c r="G864" t="str">
        <f>""</f>
        <v/>
      </c>
      <c r="H864" s="1">
        <v>41572</v>
      </c>
      <c r="I864" t="str">
        <f>"TRV10168"</f>
        <v>TRV10168</v>
      </c>
      <c r="J864" t="str">
        <f>"TE787210"</f>
        <v>TE787210</v>
      </c>
      <c r="K864" t="str">
        <f>"AS89"</f>
        <v>AS89</v>
      </c>
      <c r="L864" t="s">
        <v>2247</v>
      </c>
      <c r="M864">
        <v>324.93</v>
      </c>
    </row>
    <row r="865" spans="1:13" x14ac:dyDescent="0.25">
      <c r="A865" t="str">
        <f>"E368"</f>
        <v>E368</v>
      </c>
      <c r="B865">
        <v>1</v>
      </c>
      <c r="C865" t="str">
        <f>"10200"</f>
        <v>10200</v>
      </c>
      <c r="D865" t="str">
        <f>"5620"</f>
        <v>5620</v>
      </c>
      <c r="E865" t="str">
        <f>"094OMS"</f>
        <v>094OMS</v>
      </c>
      <c r="F865" t="str">
        <f>""</f>
        <v/>
      </c>
      <c r="G865" t="str">
        <f>""</f>
        <v/>
      </c>
      <c r="H865" s="1">
        <v>41725</v>
      </c>
      <c r="I865" t="str">
        <f>"TRV10173"</f>
        <v>TRV10173</v>
      </c>
      <c r="J865" t="str">
        <f>"TE825587"</f>
        <v>TE825587</v>
      </c>
      <c r="K865" t="str">
        <f>"AS89"</f>
        <v>AS89</v>
      </c>
      <c r="L865" t="s">
        <v>2246</v>
      </c>
      <c r="M865">
        <v>420</v>
      </c>
    </row>
    <row r="866" spans="1:13" x14ac:dyDescent="0.25">
      <c r="A866" t="str">
        <f>"E368"</f>
        <v>E368</v>
      </c>
      <c r="B866">
        <v>1</v>
      </c>
      <c r="C866" t="str">
        <f>"10200"</f>
        <v>10200</v>
      </c>
      <c r="D866" t="str">
        <f>"5620"</f>
        <v>5620</v>
      </c>
      <c r="E866" t="str">
        <f>"094OMS"</f>
        <v>094OMS</v>
      </c>
      <c r="F866" t="str">
        <f>""</f>
        <v/>
      </c>
      <c r="G866" t="str">
        <f>""</f>
        <v/>
      </c>
      <c r="H866" s="1">
        <v>41732</v>
      </c>
      <c r="I866" t="str">
        <f>"218338"</f>
        <v>218338</v>
      </c>
      <c r="J866" t="str">
        <f>""</f>
        <v/>
      </c>
      <c r="K866" t="str">
        <f>"INNI"</f>
        <v>INNI</v>
      </c>
      <c r="L866" t="s">
        <v>2245</v>
      </c>
      <c r="M866">
        <v>275.67</v>
      </c>
    </row>
    <row r="867" spans="1:13" x14ac:dyDescent="0.25">
      <c r="A867" t="str">
        <f t="shared" ref="A867:A875" si="234">"E370"</f>
        <v>E370</v>
      </c>
      <c r="B867">
        <v>1</v>
      </c>
      <c r="C867" t="str">
        <f>"23275"</f>
        <v>23275</v>
      </c>
      <c r="D867" t="str">
        <f>"5620"</f>
        <v>5620</v>
      </c>
      <c r="E867" t="str">
        <f>"063STF"</f>
        <v>063STF</v>
      </c>
      <c r="F867" t="str">
        <f>""</f>
        <v/>
      </c>
      <c r="G867" t="str">
        <f>""</f>
        <v/>
      </c>
      <c r="H867" s="1">
        <v>41816</v>
      </c>
      <c r="I867" t="str">
        <f>"J0009784"</f>
        <v>J0009784</v>
      </c>
      <c r="J867" t="str">
        <f>""</f>
        <v/>
      </c>
      <c r="K867" t="str">
        <f>"J079"</f>
        <v>J079</v>
      </c>
      <c r="L867" t="s">
        <v>2226</v>
      </c>
      <c r="M867">
        <v>369.5</v>
      </c>
    </row>
    <row r="868" spans="1:13" x14ac:dyDescent="0.25">
      <c r="A868" t="str">
        <f t="shared" si="234"/>
        <v>E370</v>
      </c>
      <c r="B868">
        <v>1</v>
      </c>
      <c r="C868" t="str">
        <f>"23275"</f>
        <v>23275</v>
      </c>
      <c r="D868" t="str">
        <f>"5741"</f>
        <v>5741</v>
      </c>
      <c r="E868" t="str">
        <f>"063STF"</f>
        <v>063STF</v>
      </c>
      <c r="F868" t="str">
        <f>""</f>
        <v/>
      </c>
      <c r="G868" t="str">
        <f>""</f>
        <v/>
      </c>
      <c r="H868" s="1">
        <v>41739</v>
      </c>
      <c r="I868" t="str">
        <f>"V90063"</f>
        <v>V90063</v>
      </c>
      <c r="J868" t="str">
        <f>""</f>
        <v/>
      </c>
      <c r="K868" t="str">
        <f>"INNI"</f>
        <v>INNI</v>
      </c>
      <c r="L868" t="s">
        <v>345</v>
      </c>
      <c r="M868">
        <v>369.5</v>
      </c>
    </row>
    <row r="869" spans="1:13" x14ac:dyDescent="0.25">
      <c r="A869" t="str">
        <f t="shared" si="234"/>
        <v>E370</v>
      </c>
      <c r="B869">
        <v>1</v>
      </c>
      <c r="C869" t="str">
        <f>"32040"</f>
        <v>32040</v>
      </c>
      <c r="D869" t="str">
        <f>"5610"</f>
        <v>5610</v>
      </c>
      <c r="E869" t="str">
        <f t="shared" ref="E869:E875" si="235">"850LOS"</f>
        <v>850LOS</v>
      </c>
      <c r="F869" t="str">
        <f>""</f>
        <v/>
      </c>
      <c r="G869" t="str">
        <f>""</f>
        <v/>
      </c>
      <c r="H869" s="1">
        <v>41772</v>
      </c>
      <c r="I869" t="str">
        <f>"TR002636"</f>
        <v>TR002636</v>
      </c>
      <c r="J869" t="str">
        <f>"TA002832"</f>
        <v>TA002832</v>
      </c>
      <c r="K869" t="str">
        <f>"INEI"</f>
        <v>INEI</v>
      </c>
      <c r="L869" t="s">
        <v>2241</v>
      </c>
      <c r="M869">
        <v>726.16</v>
      </c>
    </row>
    <row r="870" spans="1:13" x14ac:dyDescent="0.25">
      <c r="A870" t="str">
        <f t="shared" si="234"/>
        <v>E370</v>
      </c>
      <c r="B870">
        <v>1</v>
      </c>
      <c r="C870" t="str">
        <f>"32040"</f>
        <v>32040</v>
      </c>
      <c r="D870" t="str">
        <f>"5620"</f>
        <v>5620</v>
      </c>
      <c r="E870" t="str">
        <f t="shared" si="235"/>
        <v>850LOS</v>
      </c>
      <c r="F870" t="str">
        <f>""</f>
        <v/>
      </c>
      <c r="G870" t="str">
        <f>""</f>
        <v/>
      </c>
      <c r="H870" s="1">
        <v>41820</v>
      </c>
      <c r="I870" t="str">
        <f>"J0010520"</f>
        <v>J0010520</v>
      </c>
      <c r="J870" t="str">
        <f>""</f>
        <v/>
      </c>
      <c r="K870" t="str">
        <f>"J079"</f>
        <v>J079</v>
      </c>
      <c r="L870" t="s">
        <v>2199</v>
      </c>
      <c r="M870">
        <v>726.16</v>
      </c>
    </row>
    <row r="871" spans="1:13" x14ac:dyDescent="0.25">
      <c r="A871" t="str">
        <f t="shared" si="234"/>
        <v>E370</v>
      </c>
      <c r="B871">
        <v>1</v>
      </c>
      <c r="C871" t="str">
        <f>"43000"</f>
        <v>43000</v>
      </c>
      <c r="D871" t="str">
        <f>"5620"</f>
        <v>5620</v>
      </c>
      <c r="E871" t="str">
        <f t="shared" si="235"/>
        <v>850LOS</v>
      </c>
      <c r="F871" t="str">
        <f>""</f>
        <v/>
      </c>
      <c r="G871" t="str">
        <f>""</f>
        <v/>
      </c>
      <c r="H871" s="1">
        <v>41820</v>
      </c>
      <c r="I871" t="str">
        <f>"J0010489"</f>
        <v>J0010489</v>
      </c>
      <c r="J871" t="str">
        <f>""</f>
        <v/>
      </c>
      <c r="K871" t="str">
        <f>"J079"</f>
        <v>J079</v>
      </c>
      <c r="L871" t="s">
        <v>2209</v>
      </c>
      <c r="M871" s="2">
        <v>2750.03</v>
      </c>
    </row>
    <row r="872" spans="1:13" x14ac:dyDescent="0.25">
      <c r="A872" t="str">
        <f t="shared" si="234"/>
        <v>E370</v>
      </c>
      <c r="B872">
        <v>1</v>
      </c>
      <c r="C872" t="str">
        <f>"43000"</f>
        <v>43000</v>
      </c>
      <c r="D872" t="str">
        <f>"5740"</f>
        <v>5740</v>
      </c>
      <c r="E872" t="str">
        <f t="shared" si="235"/>
        <v>850LOS</v>
      </c>
      <c r="F872" t="str">
        <f>""</f>
        <v/>
      </c>
      <c r="G872" t="str">
        <f>""</f>
        <v/>
      </c>
      <c r="H872" s="1">
        <v>41521</v>
      </c>
      <c r="I872" t="str">
        <f>"V129784"</f>
        <v>V129784</v>
      </c>
      <c r="J872" t="str">
        <f>""</f>
        <v/>
      </c>
      <c r="K872" t="str">
        <f>"INNI"</f>
        <v>INNI</v>
      </c>
      <c r="L872" t="s">
        <v>284</v>
      </c>
      <c r="M872">
        <v>418.57</v>
      </c>
    </row>
    <row r="873" spans="1:13" x14ac:dyDescent="0.25">
      <c r="A873" t="str">
        <f t="shared" si="234"/>
        <v>E370</v>
      </c>
      <c r="B873">
        <v>1</v>
      </c>
      <c r="C873" t="str">
        <f>"43000"</f>
        <v>43000</v>
      </c>
      <c r="D873" t="str">
        <f>"5740"</f>
        <v>5740</v>
      </c>
      <c r="E873" t="str">
        <f t="shared" si="235"/>
        <v>850LOS</v>
      </c>
      <c r="F873" t="str">
        <f>""</f>
        <v/>
      </c>
      <c r="G873" t="str">
        <f>""</f>
        <v/>
      </c>
      <c r="H873" s="1">
        <v>41613</v>
      </c>
      <c r="I873" t="str">
        <f>"V129786"</f>
        <v>V129786</v>
      </c>
      <c r="J873" t="str">
        <f>""</f>
        <v/>
      </c>
      <c r="K873" t="str">
        <f>"INNI"</f>
        <v>INNI</v>
      </c>
      <c r="L873" t="s">
        <v>284</v>
      </c>
      <c r="M873" s="2">
        <v>1957.04</v>
      </c>
    </row>
    <row r="874" spans="1:13" x14ac:dyDescent="0.25">
      <c r="A874" t="str">
        <f t="shared" si="234"/>
        <v>E370</v>
      </c>
      <c r="B874">
        <v>1</v>
      </c>
      <c r="C874" t="str">
        <f>"43000"</f>
        <v>43000</v>
      </c>
      <c r="D874" t="str">
        <f>"5740"</f>
        <v>5740</v>
      </c>
      <c r="E874" t="str">
        <f t="shared" si="235"/>
        <v>850LOS</v>
      </c>
      <c r="F874" t="str">
        <f>""</f>
        <v/>
      </c>
      <c r="G874" t="str">
        <f>""</f>
        <v/>
      </c>
      <c r="H874" s="1">
        <v>41618</v>
      </c>
      <c r="I874" t="str">
        <f>"V129785"</f>
        <v>V129785</v>
      </c>
      <c r="J874" t="str">
        <f>""</f>
        <v/>
      </c>
      <c r="K874" t="str">
        <f>"INNI"</f>
        <v>INNI</v>
      </c>
      <c r="L874" t="s">
        <v>1697</v>
      </c>
      <c r="M874">
        <v>174</v>
      </c>
    </row>
    <row r="875" spans="1:13" x14ac:dyDescent="0.25">
      <c r="A875" t="str">
        <f t="shared" si="234"/>
        <v>E370</v>
      </c>
      <c r="B875">
        <v>1</v>
      </c>
      <c r="C875" t="str">
        <f>"43000"</f>
        <v>43000</v>
      </c>
      <c r="D875" t="str">
        <f>"5740"</f>
        <v>5740</v>
      </c>
      <c r="E875" t="str">
        <f t="shared" si="235"/>
        <v>850LOS</v>
      </c>
      <c r="F875" t="str">
        <f>""</f>
        <v/>
      </c>
      <c r="G875" t="str">
        <f>""</f>
        <v/>
      </c>
      <c r="H875" s="1">
        <v>41760</v>
      </c>
      <c r="I875" t="str">
        <f>"TR002269"</f>
        <v>TR002269</v>
      </c>
      <c r="J875" t="str">
        <f>"TA002678"</f>
        <v>TA002678</v>
      </c>
      <c r="K875" t="str">
        <f>"INEI"</f>
        <v>INEI</v>
      </c>
      <c r="L875" t="s">
        <v>284</v>
      </c>
      <c r="M875">
        <v>200.42</v>
      </c>
    </row>
    <row r="876" spans="1:13" x14ac:dyDescent="0.25">
      <c r="A876" t="str">
        <f>"E371"</f>
        <v>E371</v>
      </c>
      <c r="B876">
        <v>1</v>
      </c>
      <c r="C876" t="str">
        <f>"23275"</f>
        <v>23275</v>
      </c>
      <c r="D876" t="str">
        <f>"5620"</f>
        <v>5620</v>
      </c>
      <c r="E876" t="str">
        <f>"063STF"</f>
        <v>063STF</v>
      </c>
      <c r="F876" t="str">
        <f>""</f>
        <v/>
      </c>
      <c r="G876" t="str">
        <f>""</f>
        <v/>
      </c>
      <c r="H876" s="1">
        <v>41816</v>
      </c>
      <c r="I876" t="str">
        <f>"J0009784"</f>
        <v>J0009784</v>
      </c>
      <c r="J876" t="str">
        <f>""</f>
        <v/>
      </c>
      <c r="K876" t="str">
        <f>"J079"</f>
        <v>J079</v>
      </c>
      <c r="L876" t="s">
        <v>2226</v>
      </c>
      <c r="M876">
        <v>598.5</v>
      </c>
    </row>
    <row r="877" spans="1:13" x14ac:dyDescent="0.25">
      <c r="A877" t="str">
        <f>"E371"</f>
        <v>E371</v>
      </c>
      <c r="B877">
        <v>1</v>
      </c>
      <c r="C877" t="str">
        <f>"23275"</f>
        <v>23275</v>
      </c>
      <c r="D877" t="str">
        <f>"5741"</f>
        <v>5741</v>
      </c>
      <c r="E877" t="str">
        <f>"063STF"</f>
        <v>063STF</v>
      </c>
      <c r="F877" t="str">
        <f>""</f>
        <v/>
      </c>
      <c r="G877" t="str">
        <f>""</f>
        <v/>
      </c>
      <c r="H877" s="1">
        <v>41725</v>
      </c>
      <c r="I877" t="str">
        <f>"TRV10173"</f>
        <v>TRV10173</v>
      </c>
      <c r="J877" t="str">
        <f>"TE824400"</f>
        <v>TE824400</v>
      </c>
      <c r="K877" t="str">
        <f>"AS89"</f>
        <v>AS89</v>
      </c>
      <c r="L877" t="s">
        <v>2244</v>
      </c>
      <c r="M877">
        <v>598.5</v>
      </c>
    </row>
    <row r="878" spans="1:13" x14ac:dyDescent="0.25">
      <c r="A878" t="str">
        <f>"E373"</f>
        <v>E373</v>
      </c>
      <c r="B878">
        <v>1</v>
      </c>
      <c r="C878" t="str">
        <f>"10200"</f>
        <v>10200</v>
      </c>
      <c r="D878" t="str">
        <f>"5620"</f>
        <v>5620</v>
      </c>
      <c r="E878" t="str">
        <f>"094OMS"</f>
        <v>094OMS</v>
      </c>
      <c r="F878" t="str">
        <f>""</f>
        <v/>
      </c>
      <c r="G878" t="str">
        <f>""</f>
        <v/>
      </c>
      <c r="H878" s="1">
        <v>41571</v>
      </c>
      <c r="I878" t="str">
        <f>"V133877"</f>
        <v>V133877</v>
      </c>
      <c r="J878" t="str">
        <f>""</f>
        <v/>
      </c>
      <c r="K878" t="str">
        <f>"INNI"</f>
        <v>INNI</v>
      </c>
      <c r="L878" t="s">
        <v>197</v>
      </c>
      <c r="M878">
        <v>122.18</v>
      </c>
    </row>
    <row r="879" spans="1:13" x14ac:dyDescent="0.25">
      <c r="A879" t="str">
        <f>"E402"</f>
        <v>E402</v>
      </c>
      <c r="B879">
        <v>1</v>
      </c>
      <c r="C879" t="str">
        <f>"10200"</f>
        <v>10200</v>
      </c>
      <c r="D879" t="str">
        <f>"5620"</f>
        <v>5620</v>
      </c>
      <c r="E879" t="str">
        <f>"094OMS"</f>
        <v>094OMS</v>
      </c>
      <c r="F879" t="str">
        <f>""</f>
        <v/>
      </c>
      <c r="G879" t="str">
        <f>""</f>
        <v/>
      </c>
      <c r="H879" s="1">
        <v>41547</v>
      </c>
      <c r="I879" t="str">
        <f>"PCD00621"</f>
        <v>PCD00621</v>
      </c>
      <c r="J879" t="str">
        <f>"201544"</f>
        <v>201544</v>
      </c>
      <c r="K879" t="str">
        <f>"AS89"</f>
        <v>AS89</v>
      </c>
      <c r="L879" t="s">
        <v>2240</v>
      </c>
      <c r="M879">
        <v>370.2</v>
      </c>
    </row>
    <row r="880" spans="1:13" x14ac:dyDescent="0.25">
      <c r="A880" t="str">
        <f>"E402"</f>
        <v>E402</v>
      </c>
      <c r="B880">
        <v>1</v>
      </c>
      <c r="C880" t="str">
        <f>"43000"</f>
        <v>43000</v>
      </c>
      <c r="D880" t="str">
        <f>"5620"</f>
        <v>5620</v>
      </c>
      <c r="E880" t="str">
        <f>"850LOS"</f>
        <v>850LOS</v>
      </c>
      <c r="F880" t="str">
        <f>""</f>
        <v/>
      </c>
      <c r="G880" t="str">
        <f>""</f>
        <v/>
      </c>
      <c r="H880" s="1">
        <v>41820</v>
      </c>
      <c r="I880" t="str">
        <f>"J0010489"</f>
        <v>J0010489</v>
      </c>
      <c r="J880" t="str">
        <f>""</f>
        <v/>
      </c>
      <c r="K880" t="str">
        <f>"J079"</f>
        <v>J079</v>
      </c>
      <c r="L880" t="s">
        <v>2209</v>
      </c>
      <c r="M880" s="2">
        <v>1304.4000000000001</v>
      </c>
    </row>
    <row r="881" spans="1:13" x14ac:dyDescent="0.25">
      <c r="A881" t="str">
        <f>"E402"</f>
        <v>E402</v>
      </c>
      <c r="B881">
        <v>1</v>
      </c>
      <c r="C881" t="str">
        <f>"43000"</f>
        <v>43000</v>
      </c>
      <c r="D881" t="str">
        <f>"5740"</f>
        <v>5740</v>
      </c>
      <c r="E881" t="str">
        <f>"850LOS"</f>
        <v>850LOS</v>
      </c>
      <c r="F881" t="str">
        <f>""</f>
        <v/>
      </c>
      <c r="G881" t="str">
        <f>""</f>
        <v/>
      </c>
      <c r="H881" s="1">
        <v>41640</v>
      </c>
      <c r="I881" t="str">
        <f>"HW003153"</f>
        <v>HW003153</v>
      </c>
      <c r="J881" t="str">
        <f>"F210996"</f>
        <v>F210996</v>
      </c>
      <c r="K881" t="str">
        <f>"INEI"</f>
        <v>INEI</v>
      </c>
      <c r="L881" t="s">
        <v>229</v>
      </c>
      <c r="M881" s="2">
        <v>1304.4000000000001</v>
      </c>
    </row>
    <row r="882" spans="1:13" x14ac:dyDescent="0.25">
      <c r="A882" t="str">
        <f>"E403"</f>
        <v>E403</v>
      </c>
      <c r="B882">
        <v>1</v>
      </c>
      <c r="C882" t="str">
        <f>"10200"</f>
        <v>10200</v>
      </c>
      <c r="D882" t="str">
        <f>"5620"</f>
        <v>5620</v>
      </c>
      <c r="E882" t="str">
        <f>"094OMS"</f>
        <v>094OMS</v>
      </c>
      <c r="F882" t="str">
        <f>""</f>
        <v/>
      </c>
      <c r="G882" t="str">
        <f>""</f>
        <v/>
      </c>
      <c r="H882" s="1">
        <v>41759</v>
      </c>
      <c r="I882" t="str">
        <f>"PCD00660"</f>
        <v>PCD00660</v>
      </c>
      <c r="J882" t="str">
        <f>""</f>
        <v/>
      </c>
      <c r="K882" t="str">
        <f>"AS89"</f>
        <v>AS89</v>
      </c>
      <c r="L882" t="s">
        <v>2239</v>
      </c>
      <c r="M882">
        <v>611.95000000000005</v>
      </c>
    </row>
    <row r="883" spans="1:13" x14ac:dyDescent="0.25">
      <c r="A883" t="str">
        <f t="shared" ref="A883:A892" si="236">"E404"</f>
        <v>E404</v>
      </c>
      <c r="B883">
        <v>1</v>
      </c>
      <c r="C883" t="str">
        <f>"10200"</f>
        <v>10200</v>
      </c>
      <c r="D883" t="str">
        <f>"5620"</f>
        <v>5620</v>
      </c>
      <c r="E883" t="str">
        <f>"094OMS"</f>
        <v>094OMS</v>
      </c>
      <c r="F883" t="str">
        <f>""</f>
        <v/>
      </c>
      <c r="G883" t="str">
        <f>""</f>
        <v/>
      </c>
      <c r="H883" s="1">
        <v>41608</v>
      </c>
      <c r="I883" t="str">
        <f>"PCD00631"</f>
        <v>PCD00631</v>
      </c>
      <c r="J883" t="str">
        <f>"207067"</f>
        <v>207067</v>
      </c>
      <c r="K883" t="str">
        <f>"AS89"</f>
        <v>AS89</v>
      </c>
      <c r="L883" t="s">
        <v>2238</v>
      </c>
      <c r="M883">
        <v>542.49</v>
      </c>
    </row>
    <row r="884" spans="1:13" x14ac:dyDescent="0.25">
      <c r="A884" t="str">
        <f t="shared" si="236"/>
        <v>E404</v>
      </c>
      <c r="B884">
        <v>1</v>
      </c>
      <c r="C884" t="str">
        <f>"10200"</f>
        <v>10200</v>
      </c>
      <c r="D884" t="str">
        <f>"5620"</f>
        <v>5620</v>
      </c>
      <c r="E884" t="str">
        <f>"094OMS"</f>
        <v>094OMS</v>
      </c>
      <c r="F884" t="str">
        <f>""</f>
        <v/>
      </c>
      <c r="G884" t="str">
        <f>""</f>
        <v/>
      </c>
      <c r="H884" s="1">
        <v>41608</v>
      </c>
      <c r="I884" t="str">
        <f>"PCD00631"</f>
        <v>PCD00631</v>
      </c>
      <c r="J884" t="str">
        <f>"207294"</f>
        <v>207294</v>
      </c>
      <c r="K884" t="str">
        <f>"AS89"</f>
        <v>AS89</v>
      </c>
      <c r="L884" t="s">
        <v>2237</v>
      </c>
      <c r="M884">
        <v>890.73</v>
      </c>
    </row>
    <row r="885" spans="1:13" x14ac:dyDescent="0.25">
      <c r="A885" t="str">
        <f t="shared" si="236"/>
        <v>E404</v>
      </c>
      <c r="B885">
        <v>1</v>
      </c>
      <c r="C885" t="str">
        <f>"10200"</f>
        <v>10200</v>
      </c>
      <c r="D885" t="str">
        <f>"5620"</f>
        <v>5620</v>
      </c>
      <c r="E885" t="str">
        <f>"094OMS"</f>
        <v>094OMS</v>
      </c>
      <c r="F885" t="str">
        <f>""</f>
        <v/>
      </c>
      <c r="G885" t="str">
        <f>""</f>
        <v/>
      </c>
      <c r="H885" s="1">
        <v>41670</v>
      </c>
      <c r="I885" t="str">
        <f>"PCD00641"</f>
        <v>PCD00641</v>
      </c>
      <c r="J885" t="str">
        <f>"209279"</f>
        <v>209279</v>
      </c>
      <c r="K885" t="str">
        <f>"AS89"</f>
        <v>AS89</v>
      </c>
      <c r="L885" t="s">
        <v>2236</v>
      </c>
      <c r="M885">
        <v>132.83000000000001</v>
      </c>
    </row>
    <row r="886" spans="1:13" x14ac:dyDescent="0.25">
      <c r="A886" t="str">
        <f t="shared" si="236"/>
        <v>E404</v>
      </c>
      <c r="B886">
        <v>1</v>
      </c>
      <c r="C886" t="str">
        <f>"32040"</f>
        <v>32040</v>
      </c>
      <c r="D886" t="str">
        <f>"5610"</f>
        <v>5610</v>
      </c>
      <c r="E886" t="str">
        <f t="shared" ref="E886:E896" si="237">"850LOS"</f>
        <v>850LOS</v>
      </c>
      <c r="F886" t="str">
        <f>""</f>
        <v/>
      </c>
      <c r="G886" t="str">
        <f>""</f>
        <v/>
      </c>
      <c r="H886" s="1">
        <v>41486</v>
      </c>
      <c r="I886" t="str">
        <f>"PCD00610"</f>
        <v>PCD00610</v>
      </c>
      <c r="J886" t="str">
        <f>"198273"</f>
        <v>198273</v>
      </c>
      <c r="K886" t="str">
        <f>"AS89"</f>
        <v>AS89</v>
      </c>
      <c r="L886" t="s">
        <v>2235</v>
      </c>
      <c r="M886">
        <v>148.5</v>
      </c>
    </row>
    <row r="887" spans="1:13" x14ac:dyDescent="0.25">
      <c r="A887" t="str">
        <f t="shared" si="236"/>
        <v>E404</v>
      </c>
      <c r="B887">
        <v>1</v>
      </c>
      <c r="C887" t="str">
        <f>"32040"</f>
        <v>32040</v>
      </c>
      <c r="D887" t="str">
        <f>"5610"</f>
        <v>5610</v>
      </c>
      <c r="E887" t="str">
        <f t="shared" si="237"/>
        <v>850LOS</v>
      </c>
      <c r="F887" t="str">
        <f>""</f>
        <v/>
      </c>
      <c r="G887" t="str">
        <f>""</f>
        <v/>
      </c>
      <c r="H887" s="1">
        <v>41529</v>
      </c>
      <c r="I887" t="str">
        <f>"200329IN"</f>
        <v>200329IN</v>
      </c>
      <c r="J887" t="str">
        <f>"F210983"</f>
        <v>F210983</v>
      </c>
      <c r="K887" t="str">
        <f>"INEI"</f>
        <v>INEI</v>
      </c>
      <c r="L887" t="s">
        <v>1924</v>
      </c>
      <c r="M887">
        <v>179.16</v>
      </c>
    </row>
    <row r="888" spans="1:13" x14ac:dyDescent="0.25">
      <c r="A888" t="str">
        <f t="shared" si="236"/>
        <v>E404</v>
      </c>
      <c r="B888">
        <v>1</v>
      </c>
      <c r="C888" t="str">
        <f>"32040"</f>
        <v>32040</v>
      </c>
      <c r="D888" t="str">
        <f>"5620"</f>
        <v>5620</v>
      </c>
      <c r="E888" t="str">
        <f t="shared" si="237"/>
        <v>850LOS</v>
      </c>
      <c r="F888" t="str">
        <f>""</f>
        <v/>
      </c>
      <c r="G888" t="str">
        <f>""</f>
        <v/>
      </c>
      <c r="H888" s="1">
        <v>41764</v>
      </c>
      <c r="I888" t="str">
        <f>"J0008508"</f>
        <v>J0008508</v>
      </c>
      <c r="J888" t="str">
        <f>""</f>
        <v/>
      </c>
      <c r="K888" t="str">
        <f>"J079"</f>
        <v>J079</v>
      </c>
      <c r="L888" t="s">
        <v>2200</v>
      </c>
      <c r="M888">
        <v>327.66000000000003</v>
      </c>
    </row>
    <row r="889" spans="1:13" x14ac:dyDescent="0.25">
      <c r="A889" t="str">
        <f t="shared" si="236"/>
        <v>E404</v>
      </c>
      <c r="B889">
        <v>1</v>
      </c>
      <c r="C889" t="str">
        <f t="shared" ref="C889:C898" si="238">"43000"</f>
        <v>43000</v>
      </c>
      <c r="D889" t="str">
        <f>"5620"</f>
        <v>5620</v>
      </c>
      <c r="E889" t="str">
        <f t="shared" si="237"/>
        <v>850LOS</v>
      </c>
      <c r="F889" t="str">
        <f>""</f>
        <v/>
      </c>
      <c r="G889" t="str">
        <f>""</f>
        <v/>
      </c>
      <c r="H889" s="1">
        <v>41820</v>
      </c>
      <c r="I889" t="str">
        <f>"J0010489"</f>
        <v>J0010489</v>
      </c>
      <c r="J889" t="str">
        <f>""</f>
        <v/>
      </c>
      <c r="K889" t="str">
        <f>"J079"</f>
        <v>J079</v>
      </c>
      <c r="L889" t="s">
        <v>2209</v>
      </c>
      <c r="M889" s="2">
        <v>2442.58</v>
      </c>
    </row>
    <row r="890" spans="1:13" x14ac:dyDescent="0.25">
      <c r="A890" t="str">
        <f t="shared" si="236"/>
        <v>E404</v>
      </c>
      <c r="B890">
        <v>1</v>
      </c>
      <c r="C890" t="str">
        <f t="shared" si="238"/>
        <v>43000</v>
      </c>
      <c r="D890" t="str">
        <f>"5740"</f>
        <v>5740</v>
      </c>
      <c r="E890" t="str">
        <f t="shared" si="237"/>
        <v>850LOS</v>
      </c>
      <c r="F890" t="str">
        <f>""</f>
        <v/>
      </c>
      <c r="G890" t="str">
        <f>""</f>
        <v/>
      </c>
      <c r="H890" s="1">
        <v>41670</v>
      </c>
      <c r="I890" t="str">
        <f>"PCD00641"</f>
        <v>PCD00641</v>
      </c>
      <c r="J890" t="str">
        <f>"209267"</f>
        <v>209267</v>
      </c>
      <c r="K890" t="str">
        <f>"AS89"</f>
        <v>AS89</v>
      </c>
      <c r="L890" t="s">
        <v>2234</v>
      </c>
      <c r="M890">
        <v>816.42</v>
      </c>
    </row>
    <row r="891" spans="1:13" x14ac:dyDescent="0.25">
      <c r="A891" t="str">
        <f t="shared" si="236"/>
        <v>E404</v>
      </c>
      <c r="B891">
        <v>1</v>
      </c>
      <c r="C891" t="str">
        <f t="shared" si="238"/>
        <v>43000</v>
      </c>
      <c r="D891" t="str">
        <f>"5740"</f>
        <v>5740</v>
      </c>
      <c r="E891" t="str">
        <f t="shared" si="237"/>
        <v>850LOS</v>
      </c>
      <c r="F891" t="str">
        <f>""</f>
        <v/>
      </c>
      <c r="G891" t="str">
        <f>""</f>
        <v/>
      </c>
      <c r="H891" s="1">
        <v>41759</v>
      </c>
      <c r="I891" t="str">
        <f>"PCD00660"</f>
        <v>PCD00660</v>
      </c>
      <c r="J891" t="str">
        <f>""</f>
        <v/>
      </c>
      <c r="K891" t="str">
        <f>"AS89"</f>
        <v>AS89</v>
      </c>
      <c r="L891" t="s">
        <v>2233</v>
      </c>
      <c r="M891" s="2">
        <v>1496.01</v>
      </c>
    </row>
    <row r="892" spans="1:13" x14ac:dyDescent="0.25">
      <c r="A892" t="str">
        <f t="shared" si="236"/>
        <v>E404</v>
      </c>
      <c r="B892">
        <v>1</v>
      </c>
      <c r="C892" t="str">
        <f t="shared" si="238"/>
        <v>43000</v>
      </c>
      <c r="D892" t="str">
        <f>"5740"</f>
        <v>5740</v>
      </c>
      <c r="E892" t="str">
        <f t="shared" si="237"/>
        <v>850LOS</v>
      </c>
      <c r="F892" t="str">
        <f>""</f>
        <v/>
      </c>
      <c r="G892" t="str">
        <f>""</f>
        <v/>
      </c>
      <c r="H892" s="1">
        <v>41759</v>
      </c>
      <c r="I892" t="str">
        <f>"PCD00660"</f>
        <v>PCD00660</v>
      </c>
      <c r="J892" t="str">
        <f>""</f>
        <v/>
      </c>
      <c r="K892" t="str">
        <f>"AS89"</f>
        <v>AS89</v>
      </c>
      <c r="L892" t="s">
        <v>2232</v>
      </c>
      <c r="M892">
        <v>130.15</v>
      </c>
    </row>
    <row r="893" spans="1:13" x14ac:dyDescent="0.25">
      <c r="A893" t="str">
        <f t="shared" ref="A893:A898" si="239">"E405"</f>
        <v>E405</v>
      </c>
      <c r="B893">
        <v>1</v>
      </c>
      <c r="C893" t="str">
        <f t="shared" si="238"/>
        <v>43000</v>
      </c>
      <c r="D893" t="str">
        <f>"5620"</f>
        <v>5620</v>
      </c>
      <c r="E893" t="str">
        <f t="shared" si="237"/>
        <v>850LOS</v>
      </c>
      <c r="F893" t="str">
        <f>""</f>
        <v/>
      </c>
      <c r="G893" t="str">
        <f>""</f>
        <v/>
      </c>
      <c r="H893" s="1">
        <v>41820</v>
      </c>
      <c r="I893" t="str">
        <f>"J0010489"</f>
        <v>J0010489</v>
      </c>
      <c r="J893" t="str">
        <f>""</f>
        <v/>
      </c>
      <c r="K893" t="str">
        <f>"J079"</f>
        <v>J079</v>
      </c>
      <c r="L893" t="s">
        <v>2209</v>
      </c>
      <c r="M893" s="2">
        <v>2732.43</v>
      </c>
    </row>
    <row r="894" spans="1:13" x14ac:dyDescent="0.25">
      <c r="A894" t="str">
        <f t="shared" si="239"/>
        <v>E405</v>
      </c>
      <c r="B894">
        <v>1</v>
      </c>
      <c r="C894" t="str">
        <f t="shared" si="238"/>
        <v>43000</v>
      </c>
      <c r="D894" t="str">
        <f>"5740"</f>
        <v>5740</v>
      </c>
      <c r="E894" t="str">
        <f t="shared" si="237"/>
        <v>850LOS</v>
      </c>
      <c r="F894" t="str">
        <f>""</f>
        <v/>
      </c>
      <c r="G894" t="str">
        <f>""</f>
        <v/>
      </c>
      <c r="H894" s="1">
        <v>41484</v>
      </c>
      <c r="I894" t="str">
        <f>"19705"</f>
        <v>19705</v>
      </c>
      <c r="J894" t="str">
        <f>"F210979"</f>
        <v>F210979</v>
      </c>
      <c r="K894" t="str">
        <f t="shared" ref="K894:K899" si="240">"INEI"</f>
        <v>INEI</v>
      </c>
      <c r="L894" t="s">
        <v>1925</v>
      </c>
      <c r="M894" s="2">
        <v>1830.62</v>
      </c>
    </row>
    <row r="895" spans="1:13" x14ac:dyDescent="0.25">
      <c r="A895" t="str">
        <f t="shared" si="239"/>
        <v>E405</v>
      </c>
      <c r="B895">
        <v>1</v>
      </c>
      <c r="C895" t="str">
        <f t="shared" si="238"/>
        <v>43000</v>
      </c>
      <c r="D895" t="str">
        <f>"5740"</f>
        <v>5740</v>
      </c>
      <c r="E895" t="str">
        <f t="shared" si="237"/>
        <v>850LOS</v>
      </c>
      <c r="F895" t="str">
        <f>""</f>
        <v/>
      </c>
      <c r="G895" t="str">
        <f>""</f>
        <v/>
      </c>
      <c r="H895" s="1">
        <v>41484</v>
      </c>
      <c r="I895" t="str">
        <f>"29966A"</f>
        <v>29966A</v>
      </c>
      <c r="J895" t="str">
        <f>"F210979"</f>
        <v>F210979</v>
      </c>
      <c r="K895" t="str">
        <f t="shared" si="240"/>
        <v>INEI</v>
      </c>
      <c r="L895" t="s">
        <v>1925</v>
      </c>
      <c r="M895" s="2">
        <v>1830.62</v>
      </c>
    </row>
    <row r="896" spans="1:13" x14ac:dyDescent="0.25">
      <c r="A896" t="str">
        <f t="shared" si="239"/>
        <v>E405</v>
      </c>
      <c r="B896">
        <v>1</v>
      </c>
      <c r="C896" t="str">
        <f t="shared" si="238"/>
        <v>43000</v>
      </c>
      <c r="D896" t="str">
        <f>"5740"</f>
        <v>5740</v>
      </c>
      <c r="E896" t="str">
        <f t="shared" si="237"/>
        <v>850LOS</v>
      </c>
      <c r="F896" t="str">
        <f>""</f>
        <v/>
      </c>
      <c r="G896" t="str">
        <f>""</f>
        <v/>
      </c>
      <c r="H896" s="1">
        <v>41627</v>
      </c>
      <c r="I896" t="str">
        <f>"207762IN"</f>
        <v>207762IN</v>
      </c>
      <c r="J896" t="str">
        <f>"F210995"</f>
        <v>F210995</v>
      </c>
      <c r="K896" t="str">
        <f t="shared" si="240"/>
        <v>INEI</v>
      </c>
      <c r="L896" t="s">
        <v>1924</v>
      </c>
      <c r="M896">
        <v>901.81</v>
      </c>
    </row>
    <row r="897" spans="1:13" x14ac:dyDescent="0.25">
      <c r="A897" t="str">
        <f t="shared" si="239"/>
        <v>E405</v>
      </c>
      <c r="B897">
        <v>1</v>
      </c>
      <c r="C897" t="str">
        <f t="shared" si="238"/>
        <v>43000</v>
      </c>
      <c r="D897" t="str">
        <f>"5740"</f>
        <v>5740</v>
      </c>
      <c r="E897" t="str">
        <f>"850PKE"</f>
        <v>850PKE</v>
      </c>
      <c r="F897" t="str">
        <f>""</f>
        <v/>
      </c>
      <c r="G897" t="str">
        <f>""</f>
        <v/>
      </c>
      <c r="H897" s="1">
        <v>41484</v>
      </c>
      <c r="I897" t="str">
        <f>"19705"</f>
        <v>19705</v>
      </c>
      <c r="J897" t="str">
        <f>"F210979"</f>
        <v>F210979</v>
      </c>
      <c r="K897" t="str">
        <f t="shared" si="240"/>
        <v>INEI</v>
      </c>
      <c r="L897" t="s">
        <v>1925</v>
      </c>
      <c r="M897">
        <v>457.68</v>
      </c>
    </row>
    <row r="898" spans="1:13" x14ac:dyDescent="0.25">
      <c r="A898" t="str">
        <f t="shared" si="239"/>
        <v>E405</v>
      </c>
      <c r="B898">
        <v>1</v>
      </c>
      <c r="C898" t="str">
        <f t="shared" si="238"/>
        <v>43000</v>
      </c>
      <c r="D898" t="str">
        <f>"5740"</f>
        <v>5740</v>
      </c>
      <c r="E898" t="str">
        <f>"850PKE"</f>
        <v>850PKE</v>
      </c>
      <c r="F898" t="str">
        <f>""</f>
        <v/>
      </c>
      <c r="G898" t="str">
        <f>""</f>
        <v/>
      </c>
      <c r="H898" s="1">
        <v>41484</v>
      </c>
      <c r="I898" t="str">
        <f>"29966A"</f>
        <v>29966A</v>
      </c>
      <c r="J898" t="str">
        <f>"F210979"</f>
        <v>F210979</v>
      </c>
      <c r="K898" t="str">
        <f t="shared" si="240"/>
        <v>INEI</v>
      </c>
      <c r="L898" t="s">
        <v>1925</v>
      </c>
      <c r="M898">
        <v>457.68</v>
      </c>
    </row>
    <row r="899" spans="1:13" x14ac:dyDescent="0.25">
      <c r="A899" t="str">
        <f t="shared" ref="A899:A904" si="241">"E407"</f>
        <v>E407</v>
      </c>
      <c r="B899">
        <v>1</v>
      </c>
      <c r="C899" t="str">
        <f>"10200"</f>
        <v>10200</v>
      </c>
      <c r="D899" t="str">
        <f>"5620"</f>
        <v>5620</v>
      </c>
      <c r="E899" t="str">
        <f>"094OMS"</f>
        <v>094OMS</v>
      </c>
      <c r="F899" t="str">
        <f>""</f>
        <v/>
      </c>
      <c r="G899" t="str">
        <f>""</f>
        <v/>
      </c>
      <c r="H899" s="1">
        <v>41699</v>
      </c>
      <c r="I899" t="str">
        <f>"0008163A"</f>
        <v>0008163A</v>
      </c>
      <c r="J899" t="str">
        <f>"N218291"</f>
        <v>N218291</v>
      </c>
      <c r="K899" t="str">
        <f t="shared" si="240"/>
        <v>INEI</v>
      </c>
      <c r="L899" t="s">
        <v>2231</v>
      </c>
      <c r="M899">
        <v>325.01</v>
      </c>
    </row>
    <row r="900" spans="1:13" x14ac:dyDescent="0.25">
      <c r="A900" t="str">
        <f t="shared" si="241"/>
        <v>E407</v>
      </c>
      <c r="B900">
        <v>1</v>
      </c>
      <c r="C900" t="str">
        <f>"43000"</f>
        <v>43000</v>
      </c>
      <c r="D900" t="str">
        <f>"5620"</f>
        <v>5620</v>
      </c>
      <c r="E900" t="str">
        <f>"850LOS"</f>
        <v>850LOS</v>
      </c>
      <c r="F900" t="str">
        <f>""</f>
        <v/>
      </c>
      <c r="G900" t="str">
        <f>""</f>
        <v/>
      </c>
      <c r="H900" s="1">
        <v>41820</v>
      </c>
      <c r="I900" t="str">
        <f>"J0010489"</f>
        <v>J0010489</v>
      </c>
      <c r="J900" t="str">
        <f>""</f>
        <v/>
      </c>
      <c r="K900" t="str">
        <f>"J079"</f>
        <v>J079</v>
      </c>
      <c r="L900" t="s">
        <v>2209</v>
      </c>
      <c r="M900" s="2">
        <v>4913.3900000000003</v>
      </c>
    </row>
    <row r="901" spans="1:13" x14ac:dyDescent="0.25">
      <c r="A901" t="str">
        <f t="shared" si="241"/>
        <v>E407</v>
      </c>
      <c r="B901">
        <v>1</v>
      </c>
      <c r="C901" t="str">
        <f>"43000"</f>
        <v>43000</v>
      </c>
      <c r="D901" t="str">
        <f>"5620"</f>
        <v>5620</v>
      </c>
      <c r="E901" t="str">
        <f>"850LOS"</f>
        <v>850LOS</v>
      </c>
      <c r="F901" t="str">
        <f>""</f>
        <v/>
      </c>
      <c r="G901" t="str">
        <f>""</f>
        <v/>
      </c>
      <c r="H901" s="1">
        <v>41820</v>
      </c>
      <c r="I901" t="str">
        <f>"PCD00670"</f>
        <v>PCD00670</v>
      </c>
      <c r="J901" t="str">
        <f>"220954"</f>
        <v>220954</v>
      </c>
      <c r="K901" t="str">
        <f>"AS89"</f>
        <v>AS89</v>
      </c>
      <c r="L901" t="s">
        <v>2230</v>
      </c>
      <c r="M901" s="2">
        <v>4792.62</v>
      </c>
    </row>
    <row r="902" spans="1:13" x14ac:dyDescent="0.25">
      <c r="A902" t="str">
        <f t="shared" si="241"/>
        <v>E407</v>
      </c>
      <c r="B902">
        <v>1</v>
      </c>
      <c r="C902" t="str">
        <f>"43000"</f>
        <v>43000</v>
      </c>
      <c r="D902" t="str">
        <f>"5740"</f>
        <v>5740</v>
      </c>
      <c r="E902" t="str">
        <f>"850LOS"</f>
        <v>850LOS</v>
      </c>
      <c r="F902" t="str">
        <f>""</f>
        <v/>
      </c>
      <c r="G902" t="str">
        <f>""</f>
        <v/>
      </c>
      <c r="H902" s="1">
        <v>41670</v>
      </c>
      <c r="I902" t="str">
        <f>"PCD00641"</f>
        <v>PCD00641</v>
      </c>
      <c r="J902" t="str">
        <f>"210949"</f>
        <v>210949</v>
      </c>
      <c r="K902" t="str">
        <f>"AS89"</f>
        <v>AS89</v>
      </c>
      <c r="L902" t="s">
        <v>2229</v>
      </c>
      <c r="M902" s="2">
        <v>2536.92</v>
      </c>
    </row>
    <row r="903" spans="1:13" x14ac:dyDescent="0.25">
      <c r="A903" t="str">
        <f t="shared" si="241"/>
        <v>E407</v>
      </c>
      <c r="B903">
        <v>1</v>
      </c>
      <c r="C903" t="str">
        <f>"43000"</f>
        <v>43000</v>
      </c>
      <c r="D903" t="str">
        <f>"5740"</f>
        <v>5740</v>
      </c>
      <c r="E903" t="str">
        <f>"850LOS"</f>
        <v>850LOS</v>
      </c>
      <c r="F903" t="str">
        <f>""</f>
        <v/>
      </c>
      <c r="G903" t="str">
        <f>""</f>
        <v/>
      </c>
      <c r="H903" s="1">
        <v>41670</v>
      </c>
      <c r="I903" t="str">
        <f>"PCD00641"</f>
        <v>PCD00641</v>
      </c>
      <c r="J903" t="str">
        <f>"210949"</f>
        <v>210949</v>
      </c>
      <c r="K903" t="str">
        <f>"AS89"</f>
        <v>AS89</v>
      </c>
      <c r="L903" t="s">
        <v>2229</v>
      </c>
      <c r="M903">
        <v>845.66</v>
      </c>
    </row>
    <row r="904" spans="1:13" x14ac:dyDescent="0.25">
      <c r="A904" t="str">
        <f t="shared" si="241"/>
        <v>E407</v>
      </c>
      <c r="B904">
        <v>1</v>
      </c>
      <c r="C904" t="str">
        <f>"43000"</f>
        <v>43000</v>
      </c>
      <c r="D904" t="str">
        <f>"5740"</f>
        <v>5740</v>
      </c>
      <c r="E904" t="str">
        <f>"850LOS"</f>
        <v>850LOS</v>
      </c>
      <c r="F904" t="str">
        <f>""</f>
        <v/>
      </c>
      <c r="G904" t="str">
        <f>""</f>
        <v/>
      </c>
      <c r="H904" s="1">
        <v>41670</v>
      </c>
      <c r="I904" t="str">
        <f>"PCD00641"</f>
        <v>PCD00641</v>
      </c>
      <c r="J904" t="str">
        <f>"210950"</f>
        <v>210950</v>
      </c>
      <c r="K904" t="str">
        <f>"AS89"</f>
        <v>AS89</v>
      </c>
      <c r="L904" t="s">
        <v>2229</v>
      </c>
      <c r="M904" s="2">
        <v>1530.81</v>
      </c>
    </row>
    <row r="905" spans="1:13" x14ac:dyDescent="0.25">
      <c r="A905" t="str">
        <f t="shared" ref="A905:A911" si="242">"E408"</f>
        <v>E408</v>
      </c>
      <c r="B905">
        <v>1</v>
      </c>
      <c r="C905" t="str">
        <f t="shared" ref="C905:C911" si="243">"10200"</f>
        <v>10200</v>
      </c>
      <c r="D905" t="str">
        <f t="shared" ref="D905:D912" si="244">"5620"</f>
        <v>5620</v>
      </c>
      <c r="E905" t="str">
        <f t="shared" ref="E905:E911" si="245">"094OMS"</f>
        <v>094OMS</v>
      </c>
      <c r="F905" t="str">
        <f>""</f>
        <v/>
      </c>
      <c r="G905" t="str">
        <f>""</f>
        <v/>
      </c>
      <c r="H905" s="1">
        <v>41620</v>
      </c>
      <c r="I905" t="str">
        <f>"210994"</f>
        <v>210994</v>
      </c>
      <c r="J905" t="str">
        <f>""</f>
        <v/>
      </c>
      <c r="K905" t="str">
        <f t="shared" ref="K905:K911" si="246">"INNI"</f>
        <v>INNI</v>
      </c>
      <c r="L905" t="s">
        <v>1923</v>
      </c>
      <c r="M905" s="2">
        <v>4089.79</v>
      </c>
    </row>
    <row r="906" spans="1:13" x14ac:dyDescent="0.25">
      <c r="A906" t="str">
        <f t="shared" si="242"/>
        <v>E408</v>
      </c>
      <c r="B906">
        <v>1</v>
      </c>
      <c r="C906" t="str">
        <f t="shared" si="243"/>
        <v>10200</v>
      </c>
      <c r="D906" t="str">
        <f t="shared" si="244"/>
        <v>5620</v>
      </c>
      <c r="E906" t="str">
        <f t="shared" si="245"/>
        <v>094OMS</v>
      </c>
      <c r="F906" t="str">
        <f>""</f>
        <v/>
      </c>
      <c r="G906" t="str">
        <f>""</f>
        <v/>
      </c>
      <c r="H906" s="1">
        <v>41645</v>
      </c>
      <c r="I906" t="str">
        <f>"210984"</f>
        <v>210984</v>
      </c>
      <c r="J906" t="str">
        <f>""</f>
        <v/>
      </c>
      <c r="K906" t="str">
        <f t="shared" si="246"/>
        <v>INNI</v>
      </c>
      <c r="L906" t="s">
        <v>366</v>
      </c>
      <c r="M906" s="2">
        <v>3887.92</v>
      </c>
    </row>
    <row r="907" spans="1:13" x14ac:dyDescent="0.25">
      <c r="A907" t="str">
        <f t="shared" si="242"/>
        <v>E408</v>
      </c>
      <c r="B907">
        <v>1</v>
      </c>
      <c r="C907" t="str">
        <f t="shared" si="243"/>
        <v>10200</v>
      </c>
      <c r="D907" t="str">
        <f t="shared" si="244"/>
        <v>5620</v>
      </c>
      <c r="E907" t="str">
        <f t="shared" si="245"/>
        <v>094OMS</v>
      </c>
      <c r="F907" t="str">
        <f>""</f>
        <v/>
      </c>
      <c r="G907" t="str">
        <f>""</f>
        <v/>
      </c>
      <c r="H907" s="1">
        <v>41645</v>
      </c>
      <c r="I907" t="str">
        <f>"210984A"</f>
        <v>210984A</v>
      </c>
      <c r="J907" t="str">
        <f>""</f>
        <v/>
      </c>
      <c r="K907" t="str">
        <f t="shared" si="246"/>
        <v>INNI</v>
      </c>
      <c r="L907" t="s">
        <v>366</v>
      </c>
      <c r="M907">
        <v>758.21</v>
      </c>
    </row>
    <row r="908" spans="1:13" x14ac:dyDescent="0.25">
      <c r="A908" t="str">
        <f t="shared" si="242"/>
        <v>E408</v>
      </c>
      <c r="B908">
        <v>1</v>
      </c>
      <c r="C908" t="str">
        <f t="shared" si="243"/>
        <v>10200</v>
      </c>
      <c r="D908" t="str">
        <f t="shared" si="244"/>
        <v>5620</v>
      </c>
      <c r="E908" t="str">
        <f t="shared" si="245"/>
        <v>094OMS</v>
      </c>
      <c r="F908" t="str">
        <f>""</f>
        <v/>
      </c>
      <c r="G908" t="str">
        <f>""</f>
        <v/>
      </c>
      <c r="H908" s="1">
        <v>41767</v>
      </c>
      <c r="I908" t="str">
        <f>"218297B"</f>
        <v>218297B</v>
      </c>
      <c r="J908" t="str">
        <f>""</f>
        <v/>
      </c>
      <c r="K908" t="str">
        <f t="shared" si="246"/>
        <v>INNI</v>
      </c>
      <c r="L908" t="s">
        <v>366</v>
      </c>
      <c r="M908">
        <v>254.83</v>
      </c>
    </row>
    <row r="909" spans="1:13" x14ac:dyDescent="0.25">
      <c r="A909" t="str">
        <f t="shared" si="242"/>
        <v>E408</v>
      </c>
      <c r="B909">
        <v>1</v>
      </c>
      <c r="C909" t="str">
        <f t="shared" si="243"/>
        <v>10200</v>
      </c>
      <c r="D909" t="str">
        <f t="shared" si="244"/>
        <v>5620</v>
      </c>
      <c r="E909" t="str">
        <f t="shared" si="245"/>
        <v>094OMS</v>
      </c>
      <c r="F909" t="str">
        <f>""</f>
        <v/>
      </c>
      <c r="G909" t="str">
        <f>""</f>
        <v/>
      </c>
      <c r="H909" s="1">
        <v>41767</v>
      </c>
      <c r="I909" t="str">
        <f>"218297C"</f>
        <v>218297C</v>
      </c>
      <c r="J909" t="str">
        <f>""</f>
        <v/>
      </c>
      <c r="K909" t="str">
        <f t="shared" si="246"/>
        <v>INNI</v>
      </c>
      <c r="L909" t="s">
        <v>366</v>
      </c>
      <c r="M909" s="2">
        <v>1108.0899999999999</v>
      </c>
    </row>
    <row r="910" spans="1:13" x14ac:dyDescent="0.25">
      <c r="A910" t="str">
        <f t="shared" si="242"/>
        <v>E408</v>
      </c>
      <c r="B910">
        <v>1</v>
      </c>
      <c r="C910" t="str">
        <f t="shared" si="243"/>
        <v>10200</v>
      </c>
      <c r="D910" t="str">
        <f t="shared" si="244"/>
        <v>5620</v>
      </c>
      <c r="E910" t="str">
        <f t="shared" si="245"/>
        <v>094OMS</v>
      </c>
      <c r="F910" t="str">
        <f>""</f>
        <v/>
      </c>
      <c r="G910" t="str">
        <f>""</f>
        <v/>
      </c>
      <c r="H910" s="1">
        <v>41820</v>
      </c>
      <c r="I910" t="str">
        <f>"220956"</f>
        <v>220956</v>
      </c>
      <c r="J910" t="str">
        <f>""</f>
        <v/>
      </c>
      <c r="K910" t="str">
        <f t="shared" si="246"/>
        <v>INNI</v>
      </c>
      <c r="L910" t="s">
        <v>366</v>
      </c>
      <c r="M910">
        <v>673.67</v>
      </c>
    </row>
    <row r="911" spans="1:13" x14ac:dyDescent="0.25">
      <c r="A911" t="str">
        <f t="shared" si="242"/>
        <v>E408</v>
      </c>
      <c r="B911">
        <v>1</v>
      </c>
      <c r="C911" t="str">
        <f t="shared" si="243"/>
        <v>10200</v>
      </c>
      <c r="D911" t="str">
        <f t="shared" si="244"/>
        <v>5620</v>
      </c>
      <c r="E911" t="str">
        <f t="shared" si="245"/>
        <v>094OMS</v>
      </c>
      <c r="F911" t="str">
        <f>""</f>
        <v/>
      </c>
      <c r="G911" t="str">
        <f>""</f>
        <v/>
      </c>
      <c r="H911" s="1">
        <v>41820</v>
      </c>
      <c r="I911" t="str">
        <f>"220956A"</f>
        <v>220956A</v>
      </c>
      <c r="J911" t="str">
        <f>""</f>
        <v/>
      </c>
      <c r="K911" t="str">
        <f t="shared" si="246"/>
        <v>INNI</v>
      </c>
      <c r="L911" t="s">
        <v>366</v>
      </c>
      <c r="M911" s="2">
        <v>1710.72</v>
      </c>
    </row>
    <row r="912" spans="1:13" x14ac:dyDescent="0.25">
      <c r="A912" t="str">
        <f t="shared" ref="A912:A918" si="247">"E414"</f>
        <v>E414</v>
      </c>
      <c r="B912">
        <v>1</v>
      </c>
      <c r="C912" t="str">
        <f>"23275"</f>
        <v>23275</v>
      </c>
      <c r="D912" t="str">
        <f t="shared" si="244"/>
        <v>5620</v>
      </c>
      <c r="E912" t="str">
        <f>"063STF"</f>
        <v>063STF</v>
      </c>
      <c r="F912" t="str">
        <f>""</f>
        <v/>
      </c>
      <c r="G912" t="str">
        <f>""</f>
        <v/>
      </c>
      <c r="H912" s="1">
        <v>41816</v>
      </c>
      <c r="I912" t="str">
        <f>"J0009784"</f>
        <v>J0009784</v>
      </c>
      <c r="J912" t="str">
        <f>""</f>
        <v/>
      </c>
      <c r="K912" t="str">
        <f>"J079"</f>
        <v>J079</v>
      </c>
      <c r="L912" t="s">
        <v>2226</v>
      </c>
      <c r="M912" s="2">
        <v>25591.5</v>
      </c>
    </row>
    <row r="913" spans="1:13" x14ac:dyDescent="0.25">
      <c r="A913" t="str">
        <f t="shared" si="247"/>
        <v>E414</v>
      </c>
      <c r="B913">
        <v>1</v>
      </c>
      <c r="C913" t="str">
        <f>"23275"</f>
        <v>23275</v>
      </c>
      <c r="D913" t="str">
        <f>"5741"</f>
        <v>5741</v>
      </c>
      <c r="E913" t="str">
        <f>"063STF"</f>
        <v>063STF</v>
      </c>
      <c r="F913" t="str">
        <f>""</f>
        <v/>
      </c>
      <c r="G913" t="str">
        <f>""</f>
        <v/>
      </c>
      <c r="H913" s="1">
        <v>41562</v>
      </c>
      <c r="I913" t="str">
        <f>"BL73084"</f>
        <v>BL73084</v>
      </c>
      <c r="J913" t="str">
        <f>"F188448B"</f>
        <v>F188448B</v>
      </c>
      <c r="K913" t="str">
        <f>"INEI"</f>
        <v>INEI</v>
      </c>
      <c r="L913" t="s">
        <v>2228</v>
      </c>
      <c r="M913" s="2">
        <v>25591.5</v>
      </c>
    </row>
    <row r="914" spans="1:13" x14ac:dyDescent="0.25">
      <c r="A914" t="str">
        <f t="shared" si="247"/>
        <v>E414</v>
      </c>
      <c r="B914">
        <v>1</v>
      </c>
      <c r="C914" t="str">
        <f>"43000"</f>
        <v>43000</v>
      </c>
      <c r="D914" t="str">
        <f>"5740"</f>
        <v>5740</v>
      </c>
      <c r="E914" t="str">
        <f>"850PKE"</f>
        <v>850PKE</v>
      </c>
      <c r="F914" t="str">
        <f>"PKOEQP"</f>
        <v>PKOEQP</v>
      </c>
      <c r="G914" t="str">
        <f>""</f>
        <v/>
      </c>
      <c r="H914" s="1">
        <v>41494</v>
      </c>
      <c r="I914" t="str">
        <f>"I0106636"</f>
        <v>I0106636</v>
      </c>
      <c r="J914" t="str">
        <f>"F210965"</f>
        <v>F210965</v>
      </c>
      <c r="K914" t="str">
        <f>"INEI"</f>
        <v>INEI</v>
      </c>
      <c r="L914" t="s">
        <v>1920</v>
      </c>
      <c r="M914">
        <v>509.83</v>
      </c>
    </row>
    <row r="915" spans="1:13" x14ac:dyDescent="0.25">
      <c r="A915" t="str">
        <f t="shared" si="247"/>
        <v>E414</v>
      </c>
      <c r="B915">
        <v>1</v>
      </c>
      <c r="C915" t="str">
        <f>"43000"</f>
        <v>43000</v>
      </c>
      <c r="D915" t="str">
        <f>"5740"</f>
        <v>5740</v>
      </c>
      <c r="E915" t="str">
        <f>"850PKE"</f>
        <v>850PKE</v>
      </c>
      <c r="F915" t="str">
        <f>"PKOEQP"</f>
        <v>PKOEQP</v>
      </c>
      <c r="G915" t="str">
        <f>""</f>
        <v/>
      </c>
      <c r="H915" s="1">
        <v>41494</v>
      </c>
      <c r="I915" t="str">
        <f>"I0106636"</f>
        <v>I0106636</v>
      </c>
      <c r="J915" t="str">
        <f>"F210965"</f>
        <v>F210965</v>
      </c>
      <c r="K915" t="str">
        <f>"INEI"</f>
        <v>INEI</v>
      </c>
      <c r="L915" t="s">
        <v>1920</v>
      </c>
      <c r="M915" s="2">
        <v>22813.46</v>
      </c>
    </row>
    <row r="916" spans="1:13" x14ac:dyDescent="0.25">
      <c r="A916" t="str">
        <f t="shared" si="247"/>
        <v>E414</v>
      </c>
      <c r="B916">
        <v>1</v>
      </c>
      <c r="C916" t="str">
        <f>"43007"</f>
        <v>43007</v>
      </c>
      <c r="D916" t="str">
        <f>"5620"</f>
        <v>5620</v>
      </c>
      <c r="E916" t="str">
        <f>"850PKE"</f>
        <v>850PKE</v>
      </c>
      <c r="F916" t="str">
        <f>"PKOEQP"</f>
        <v>PKOEQP</v>
      </c>
      <c r="G916" t="str">
        <f>""</f>
        <v/>
      </c>
      <c r="H916" s="1">
        <v>41806</v>
      </c>
      <c r="I916" t="str">
        <f>"J0009321"</f>
        <v>J0009321</v>
      </c>
      <c r="J916" t="str">
        <f>""</f>
        <v/>
      </c>
      <c r="K916" t="str">
        <f>"J079"</f>
        <v>J079</v>
      </c>
      <c r="L916" t="s">
        <v>2201</v>
      </c>
      <c r="M916" s="2">
        <v>23323.29</v>
      </c>
    </row>
    <row r="917" spans="1:13" x14ac:dyDescent="0.25">
      <c r="A917" t="str">
        <f t="shared" si="247"/>
        <v>E414</v>
      </c>
      <c r="B917">
        <v>1</v>
      </c>
      <c r="C917" t="str">
        <f>"43007"</f>
        <v>43007</v>
      </c>
      <c r="D917" t="str">
        <f>"5740"</f>
        <v>5740</v>
      </c>
      <c r="E917" t="str">
        <f>"850PKE"</f>
        <v>850PKE</v>
      </c>
      <c r="F917" t="str">
        <f>"PKOEQP"</f>
        <v>PKOEQP</v>
      </c>
      <c r="G917" t="str">
        <f>""</f>
        <v/>
      </c>
      <c r="H917" s="1">
        <v>41746</v>
      </c>
      <c r="I917" t="str">
        <f>"J0008178"</f>
        <v>J0008178</v>
      </c>
      <c r="J917" t="str">
        <f>""</f>
        <v/>
      </c>
      <c r="K917" t="str">
        <f>"J089"</f>
        <v>J089</v>
      </c>
      <c r="L917" t="s">
        <v>2227</v>
      </c>
      <c r="M917">
        <v>509.83</v>
      </c>
    </row>
    <row r="918" spans="1:13" x14ac:dyDescent="0.25">
      <c r="A918" t="str">
        <f t="shared" si="247"/>
        <v>E414</v>
      </c>
      <c r="B918">
        <v>1</v>
      </c>
      <c r="C918" t="str">
        <f>"43007"</f>
        <v>43007</v>
      </c>
      <c r="D918" t="str">
        <f>"5740"</f>
        <v>5740</v>
      </c>
      <c r="E918" t="str">
        <f>"850PKE"</f>
        <v>850PKE</v>
      </c>
      <c r="F918" t="str">
        <f>"PKOEQP"</f>
        <v>PKOEQP</v>
      </c>
      <c r="G918" t="str">
        <f>""</f>
        <v/>
      </c>
      <c r="H918" s="1">
        <v>41746</v>
      </c>
      <c r="I918" t="str">
        <f>"J0008178"</f>
        <v>J0008178</v>
      </c>
      <c r="J918" t="str">
        <f>""</f>
        <v/>
      </c>
      <c r="K918" t="str">
        <f>"J089"</f>
        <v>J089</v>
      </c>
      <c r="L918" t="s">
        <v>2227</v>
      </c>
      <c r="M918" s="2">
        <v>22813.46</v>
      </c>
    </row>
    <row r="919" spans="1:13" x14ac:dyDescent="0.25">
      <c r="A919" t="str">
        <f>"E494"</f>
        <v>E494</v>
      </c>
      <c r="B919">
        <v>1</v>
      </c>
      <c r="C919" t="str">
        <f>"43000"</f>
        <v>43000</v>
      </c>
      <c r="D919" t="str">
        <f>"5620"</f>
        <v>5620</v>
      </c>
      <c r="E919" t="str">
        <f>"850LOS"</f>
        <v>850LOS</v>
      </c>
      <c r="F919" t="str">
        <f>""</f>
        <v/>
      </c>
      <c r="G919" t="str">
        <f>""</f>
        <v/>
      </c>
      <c r="H919" s="1">
        <v>41820</v>
      </c>
      <c r="I919" t="str">
        <f>"J0010489"</f>
        <v>J0010489</v>
      </c>
      <c r="J919" t="str">
        <f>""</f>
        <v/>
      </c>
      <c r="K919" t="str">
        <f>"J079"</f>
        <v>J079</v>
      </c>
      <c r="L919" t="s">
        <v>2209</v>
      </c>
      <c r="M919" s="2">
        <v>16125</v>
      </c>
    </row>
    <row r="920" spans="1:13" x14ac:dyDescent="0.25">
      <c r="A920" t="str">
        <f>"E494"</f>
        <v>E494</v>
      </c>
      <c r="B920">
        <v>1</v>
      </c>
      <c r="C920" t="str">
        <f>"43000"</f>
        <v>43000</v>
      </c>
      <c r="D920" t="str">
        <f>"5740"</f>
        <v>5740</v>
      </c>
      <c r="E920" t="str">
        <f>"850LOS"</f>
        <v>850LOS</v>
      </c>
      <c r="F920" t="str">
        <f>""</f>
        <v/>
      </c>
      <c r="G920" t="str">
        <f>""</f>
        <v/>
      </c>
      <c r="H920" s="1">
        <v>41663</v>
      </c>
      <c r="I920" t="str">
        <f>"729E"</f>
        <v>729E</v>
      </c>
      <c r="J920" t="str">
        <f>"B211912"</f>
        <v>B211912</v>
      </c>
      <c r="K920" t="str">
        <f>"INNI"</f>
        <v>INNI</v>
      </c>
      <c r="L920" t="s">
        <v>1683</v>
      </c>
      <c r="M920" s="2">
        <v>4055</v>
      </c>
    </row>
    <row r="921" spans="1:13" x14ac:dyDescent="0.25">
      <c r="A921" t="str">
        <f>"E494"</f>
        <v>E494</v>
      </c>
      <c r="B921">
        <v>1</v>
      </c>
      <c r="C921" t="str">
        <f>"43000"</f>
        <v>43000</v>
      </c>
      <c r="D921" t="str">
        <f>"5740"</f>
        <v>5740</v>
      </c>
      <c r="E921" t="str">
        <f>"850LOS"</f>
        <v>850LOS</v>
      </c>
      <c r="F921" t="str">
        <f>""</f>
        <v/>
      </c>
      <c r="G921" t="str">
        <f>""</f>
        <v/>
      </c>
      <c r="H921" s="1">
        <v>41717</v>
      </c>
      <c r="I921" t="str">
        <f>"748D"</f>
        <v>748D</v>
      </c>
      <c r="J921" t="str">
        <f>"B211912"</f>
        <v>B211912</v>
      </c>
      <c r="K921" t="str">
        <f>"INNI"</f>
        <v>INNI</v>
      </c>
      <c r="L921" t="s">
        <v>1683</v>
      </c>
      <c r="M921" s="2">
        <v>5605</v>
      </c>
    </row>
    <row r="922" spans="1:13" x14ac:dyDescent="0.25">
      <c r="A922" t="str">
        <f>"E494"</f>
        <v>E494</v>
      </c>
      <c r="B922">
        <v>1</v>
      </c>
      <c r="C922" t="str">
        <f>"43000"</f>
        <v>43000</v>
      </c>
      <c r="D922" t="str">
        <f>"5740"</f>
        <v>5740</v>
      </c>
      <c r="E922" t="str">
        <f>"850LOS"</f>
        <v>850LOS</v>
      </c>
      <c r="F922" t="str">
        <f>""</f>
        <v/>
      </c>
      <c r="G922" t="str">
        <f>""</f>
        <v/>
      </c>
      <c r="H922" s="1">
        <v>41752</v>
      </c>
      <c r="I922" t="str">
        <f>"776"</f>
        <v>776</v>
      </c>
      <c r="J922" t="str">
        <f>"B211912"</f>
        <v>B211912</v>
      </c>
      <c r="K922" t="str">
        <f>"INNI"</f>
        <v>INNI</v>
      </c>
      <c r="L922" t="s">
        <v>1683</v>
      </c>
      <c r="M922" s="2">
        <v>1762.5</v>
      </c>
    </row>
    <row r="923" spans="1:13" x14ac:dyDescent="0.25">
      <c r="A923" t="str">
        <f>"E494"</f>
        <v>E494</v>
      </c>
      <c r="B923">
        <v>1</v>
      </c>
      <c r="C923" t="str">
        <f>"43000"</f>
        <v>43000</v>
      </c>
      <c r="D923" t="str">
        <f>"5740"</f>
        <v>5740</v>
      </c>
      <c r="E923" t="str">
        <f>"850LOS"</f>
        <v>850LOS</v>
      </c>
      <c r="F923" t="str">
        <f>""</f>
        <v/>
      </c>
      <c r="G923" t="str">
        <f>""</f>
        <v/>
      </c>
      <c r="H923" s="1">
        <v>41780</v>
      </c>
      <c r="I923" t="str">
        <f>"801C"</f>
        <v>801C</v>
      </c>
      <c r="J923" t="str">
        <f>"B211912"</f>
        <v>B211912</v>
      </c>
      <c r="K923" t="str">
        <f>"INNI"</f>
        <v>INNI</v>
      </c>
      <c r="L923" t="s">
        <v>1683</v>
      </c>
      <c r="M923" s="2">
        <v>4702.5</v>
      </c>
    </row>
  </sheetData>
  <autoFilter ref="A1:M92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2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1.140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 t="shared" ref="D2:D33" si="0">"5620"</f>
        <v>5620</v>
      </c>
      <c r="E2" t="str">
        <f>"850LOS"</f>
        <v>850LOS</v>
      </c>
      <c r="F2" t="str">
        <f>""</f>
        <v/>
      </c>
      <c r="G2" t="str">
        <f>""</f>
        <v/>
      </c>
      <c r="H2" s="1">
        <v>42044</v>
      </c>
      <c r="I2" t="str">
        <f>"J0013311"</f>
        <v>J0013311</v>
      </c>
      <c r="J2" t="str">
        <f>""</f>
        <v/>
      </c>
      <c r="K2" t="str">
        <f>"J089"</f>
        <v>J089</v>
      </c>
      <c r="L2" t="s">
        <v>2771</v>
      </c>
      <c r="M2" s="2">
        <v>6141</v>
      </c>
    </row>
    <row r="3" spans="1:13" x14ac:dyDescent="0.25">
      <c r="A3" t="str">
        <f>"E053"</f>
        <v>E053</v>
      </c>
      <c r="B3">
        <v>1</v>
      </c>
      <c r="C3" t="str">
        <f t="shared" ref="C3:C28" si="1">"10200"</f>
        <v>10200</v>
      </c>
      <c r="D3" t="str">
        <f t="shared" si="0"/>
        <v>5620</v>
      </c>
      <c r="E3" t="str">
        <f t="shared" ref="E3:E28" si="2">"094OMS"</f>
        <v>094OMS</v>
      </c>
      <c r="F3" t="str">
        <f>""</f>
        <v/>
      </c>
      <c r="G3" t="str">
        <f>""</f>
        <v/>
      </c>
      <c r="H3" s="1">
        <v>42124</v>
      </c>
      <c r="I3" t="str">
        <f>"PCD00720"</f>
        <v>PCD00720</v>
      </c>
      <c r="J3" t="str">
        <f>""</f>
        <v/>
      </c>
      <c r="K3" t="str">
        <f>"AS89"</f>
        <v>AS89</v>
      </c>
      <c r="L3" t="s">
        <v>2770</v>
      </c>
      <c r="M3">
        <v>105</v>
      </c>
    </row>
    <row r="4" spans="1:13" x14ac:dyDescent="0.25">
      <c r="A4" t="str">
        <f>"E056"</f>
        <v>E056</v>
      </c>
      <c r="B4">
        <v>1</v>
      </c>
      <c r="C4" t="str">
        <f t="shared" si="1"/>
        <v>10200</v>
      </c>
      <c r="D4" t="str">
        <f t="shared" si="0"/>
        <v>5620</v>
      </c>
      <c r="E4" t="str">
        <f t="shared" si="2"/>
        <v>094OMS</v>
      </c>
      <c r="F4" t="str">
        <f>""</f>
        <v/>
      </c>
      <c r="G4" t="str">
        <f>""</f>
        <v/>
      </c>
      <c r="H4" s="1">
        <v>41974</v>
      </c>
      <c r="I4" t="str">
        <f>"223383"</f>
        <v>223383</v>
      </c>
      <c r="J4" t="str">
        <f>""</f>
        <v/>
      </c>
      <c r="K4" t="str">
        <f>"INNI"</f>
        <v>INNI</v>
      </c>
      <c r="L4" t="s">
        <v>4</v>
      </c>
      <c r="M4">
        <v>525</v>
      </c>
    </row>
    <row r="5" spans="1:13" x14ac:dyDescent="0.25">
      <c r="A5" t="str">
        <f>"E063"</f>
        <v>E063</v>
      </c>
      <c r="B5">
        <v>1</v>
      </c>
      <c r="C5" t="str">
        <f t="shared" si="1"/>
        <v>10200</v>
      </c>
      <c r="D5" t="str">
        <f t="shared" si="0"/>
        <v>5620</v>
      </c>
      <c r="E5" t="str">
        <f t="shared" si="2"/>
        <v>094OMS</v>
      </c>
      <c r="F5" t="str">
        <f>""</f>
        <v/>
      </c>
      <c r="G5" t="str">
        <f>""</f>
        <v/>
      </c>
      <c r="H5" s="1">
        <v>41936</v>
      </c>
      <c r="I5" t="str">
        <f>"PCD00689"</f>
        <v>PCD00689</v>
      </c>
      <c r="J5" t="str">
        <f>""</f>
        <v/>
      </c>
      <c r="K5" t="str">
        <f>"AS89"</f>
        <v>AS89</v>
      </c>
      <c r="L5" t="s">
        <v>2769</v>
      </c>
      <c r="M5">
        <v>354.96</v>
      </c>
    </row>
    <row r="6" spans="1:13" x14ac:dyDescent="0.25">
      <c r="A6" t="str">
        <f t="shared" ref="A6:A37" si="3">"E111"</f>
        <v>E111</v>
      </c>
      <c r="B6">
        <v>1</v>
      </c>
      <c r="C6" t="str">
        <f t="shared" si="1"/>
        <v>10200</v>
      </c>
      <c r="D6" t="str">
        <f t="shared" si="0"/>
        <v>5620</v>
      </c>
      <c r="E6" t="str">
        <f t="shared" si="2"/>
        <v>094OMS</v>
      </c>
      <c r="F6" t="str">
        <f>""</f>
        <v/>
      </c>
      <c r="G6" t="str">
        <f>""</f>
        <v/>
      </c>
      <c r="H6" s="1">
        <v>41822</v>
      </c>
      <c r="I6" t="str">
        <f>"C0021600"</f>
        <v>C0021600</v>
      </c>
      <c r="J6" t="str">
        <f>""</f>
        <v/>
      </c>
      <c r="K6" t="str">
        <f>"ISSU"</f>
        <v>ISSU</v>
      </c>
      <c r="L6" t="s">
        <v>2768</v>
      </c>
      <c r="M6">
        <v>215.2</v>
      </c>
    </row>
    <row r="7" spans="1:13" x14ac:dyDescent="0.25">
      <c r="A7" t="str">
        <f t="shared" si="3"/>
        <v>E111</v>
      </c>
      <c r="B7">
        <v>1</v>
      </c>
      <c r="C7" t="str">
        <f t="shared" si="1"/>
        <v>10200</v>
      </c>
      <c r="D7" t="str">
        <f t="shared" si="0"/>
        <v>5620</v>
      </c>
      <c r="E7" t="str">
        <f t="shared" si="2"/>
        <v>094OMS</v>
      </c>
      <c r="F7" t="str">
        <f>""</f>
        <v/>
      </c>
      <c r="G7" t="str">
        <f>""</f>
        <v/>
      </c>
      <c r="H7" s="1">
        <v>41851</v>
      </c>
      <c r="I7" t="str">
        <f>"PCD00675"</f>
        <v>PCD00675</v>
      </c>
      <c r="J7" t="str">
        <f>""</f>
        <v/>
      </c>
      <c r="K7" t="str">
        <f>"AS89"</f>
        <v>AS89</v>
      </c>
      <c r="L7" t="s">
        <v>2767</v>
      </c>
      <c r="M7">
        <v>135.34</v>
      </c>
    </row>
    <row r="8" spans="1:13" x14ac:dyDescent="0.25">
      <c r="A8" t="str">
        <f t="shared" si="3"/>
        <v>E111</v>
      </c>
      <c r="B8">
        <v>1</v>
      </c>
      <c r="C8" t="str">
        <f t="shared" si="1"/>
        <v>10200</v>
      </c>
      <c r="D8" t="str">
        <f t="shared" si="0"/>
        <v>5620</v>
      </c>
      <c r="E8" t="str">
        <f t="shared" si="2"/>
        <v>094OMS</v>
      </c>
      <c r="F8" t="str">
        <f>""</f>
        <v/>
      </c>
      <c r="G8" t="str">
        <f>""</f>
        <v/>
      </c>
      <c r="H8" s="1">
        <v>41921</v>
      </c>
      <c r="I8" t="str">
        <f>"220958A"</f>
        <v>220958A</v>
      </c>
      <c r="J8" t="str">
        <f>""</f>
        <v/>
      </c>
      <c r="K8" t="str">
        <f>"INNI"</f>
        <v>INNI</v>
      </c>
      <c r="L8" t="s">
        <v>2766</v>
      </c>
      <c r="M8" s="2">
        <v>2633.37</v>
      </c>
    </row>
    <row r="9" spans="1:13" x14ac:dyDescent="0.25">
      <c r="A9" t="str">
        <f t="shared" si="3"/>
        <v>E111</v>
      </c>
      <c r="B9">
        <v>1</v>
      </c>
      <c r="C9" t="str">
        <f t="shared" si="1"/>
        <v>10200</v>
      </c>
      <c r="D9" t="str">
        <f t="shared" si="0"/>
        <v>5620</v>
      </c>
      <c r="E9" t="str">
        <f t="shared" si="2"/>
        <v>094OMS</v>
      </c>
      <c r="F9" t="str">
        <f>""</f>
        <v/>
      </c>
      <c r="G9" t="str">
        <f>""</f>
        <v/>
      </c>
      <c r="H9" s="1">
        <v>41973</v>
      </c>
      <c r="I9" t="str">
        <f>"PCD00694"</f>
        <v>PCD00694</v>
      </c>
      <c r="J9" t="str">
        <f>""</f>
        <v/>
      </c>
      <c r="K9" t="str">
        <f>"AS89"</f>
        <v>AS89</v>
      </c>
      <c r="L9" t="s">
        <v>2746</v>
      </c>
      <c r="M9">
        <v>301.20999999999998</v>
      </c>
    </row>
    <row r="10" spans="1:13" x14ac:dyDescent="0.25">
      <c r="A10" t="str">
        <f t="shared" si="3"/>
        <v>E111</v>
      </c>
      <c r="B10">
        <v>1</v>
      </c>
      <c r="C10" t="str">
        <f t="shared" si="1"/>
        <v>10200</v>
      </c>
      <c r="D10" t="str">
        <f t="shared" si="0"/>
        <v>5620</v>
      </c>
      <c r="E10" t="str">
        <f t="shared" si="2"/>
        <v>094OMS</v>
      </c>
      <c r="F10" t="str">
        <f>""</f>
        <v/>
      </c>
      <c r="G10" t="str">
        <f>""</f>
        <v/>
      </c>
      <c r="H10" s="1">
        <v>42004</v>
      </c>
      <c r="I10" t="str">
        <f>"PCD00700"</f>
        <v>PCD00700</v>
      </c>
      <c r="J10" t="str">
        <f>""</f>
        <v/>
      </c>
      <c r="K10" t="str">
        <f>"AS89"</f>
        <v>AS89</v>
      </c>
      <c r="L10" t="s">
        <v>2765</v>
      </c>
      <c r="M10">
        <v>102.51</v>
      </c>
    </row>
    <row r="11" spans="1:13" x14ac:dyDescent="0.25">
      <c r="A11" t="str">
        <f t="shared" si="3"/>
        <v>E111</v>
      </c>
      <c r="B11">
        <v>1</v>
      </c>
      <c r="C11" t="str">
        <f t="shared" si="1"/>
        <v>10200</v>
      </c>
      <c r="D11" t="str">
        <f t="shared" si="0"/>
        <v>5620</v>
      </c>
      <c r="E11" t="str">
        <f t="shared" si="2"/>
        <v>094OMS</v>
      </c>
      <c r="F11" t="str">
        <f>""</f>
        <v/>
      </c>
      <c r="G11" t="str">
        <f>""</f>
        <v/>
      </c>
      <c r="H11" s="1">
        <v>42005</v>
      </c>
      <c r="I11" t="str">
        <f>"I0114030"</f>
        <v>I0114030</v>
      </c>
      <c r="J11" t="str">
        <f>"F220967"</f>
        <v>F220967</v>
      </c>
      <c r="K11" t="str">
        <f>"INEI"</f>
        <v>INEI</v>
      </c>
      <c r="L11" t="s">
        <v>366</v>
      </c>
      <c r="M11">
        <v>628.29</v>
      </c>
    </row>
    <row r="12" spans="1:13" x14ac:dyDescent="0.25">
      <c r="A12" t="str">
        <f t="shared" si="3"/>
        <v>E111</v>
      </c>
      <c r="B12">
        <v>1</v>
      </c>
      <c r="C12" t="str">
        <f t="shared" si="1"/>
        <v>10200</v>
      </c>
      <c r="D12" t="str">
        <f t="shared" si="0"/>
        <v>5620</v>
      </c>
      <c r="E12" t="str">
        <f t="shared" si="2"/>
        <v>094OMS</v>
      </c>
      <c r="F12" t="str">
        <f>""</f>
        <v/>
      </c>
      <c r="G12" t="str">
        <f>""</f>
        <v/>
      </c>
      <c r="H12" s="1">
        <v>42005</v>
      </c>
      <c r="I12" t="str">
        <f>"I0114030"</f>
        <v>I0114030</v>
      </c>
      <c r="J12" t="str">
        <f>"F220967"</f>
        <v>F220967</v>
      </c>
      <c r="K12" t="str">
        <f>"INEI"</f>
        <v>INEI</v>
      </c>
      <c r="L12" t="s">
        <v>366</v>
      </c>
      <c r="M12">
        <v>524.95000000000005</v>
      </c>
    </row>
    <row r="13" spans="1:13" x14ac:dyDescent="0.25">
      <c r="A13" t="str">
        <f t="shared" si="3"/>
        <v>E111</v>
      </c>
      <c r="B13">
        <v>1</v>
      </c>
      <c r="C13" t="str">
        <f t="shared" si="1"/>
        <v>10200</v>
      </c>
      <c r="D13" t="str">
        <f t="shared" si="0"/>
        <v>5620</v>
      </c>
      <c r="E13" t="str">
        <f t="shared" si="2"/>
        <v>094OMS</v>
      </c>
      <c r="F13" t="str">
        <f>""</f>
        <v/>
      </c>
      <c r="G13" t="str">
        <f>""</f>
        <v/>
      </c>
      <c r="H13" s="1">
        <v>42005</v>
      </c>
      <c r="I13" t="str">
        <f>"I0114032"</f>
        <v>I0114032</v>
      </c>
      <c r="J13" t="str">
        <f>"F220968"</f>
        <v>F220968</v>
      </c>
      <c r="K13" t="str">
        <f>"INEI"</f>
        <v>INEI</v>
      </c>
      <c r="L13" t="s">
        <v>366</v>
      </c>
      <c r="M13">
        <v>529.34</v>
      </c>
    </row>
    <row r="14" spans="1:13" x14ac:dyDescent="0.25">
      <c r="A14" t="str">
        <f t="shared" si="3"/>
        <v>E111</v>
      </c>
      <c r="B14">
        <v>1</v>
      </c>
      <c r="C14" t="str">
        <f t="shared" si="1"/>
        <v>10200</v>
      </c>
      <c r="D14" t="str">
        <f t="shared" si="0"/>
        <v>5620</v>
      </c>
      <c r="E14" t="str">
        <f t="shared" si="2"/>
        <v>094OMS</v>
      </c>
      <c r="F14" t="str">
        <f>""</f>
        <v/>
      </c>
      <c r="G14" t="str">
        <f>""</f>
        <v/>
      </c>
      <c r="H14" s="1">
        <v>42005</v>
      </c>
      <c r="I14" t="str">
        <f>"I0114032"</f>
        <v>I0114032</v>
      </c>
      <c r="J14" t="str">
        <f>"F220968"</f>
        <v>F220968</v>
      </c>
      <c r="K14" t="str">
        <f>"INEI"</f>
        <v>INEI</v>
      </c>
      <c r="L14" t="s">
        <v>366</v>
      </c>
      <c r="M14">
        <v>707.64</v>
      </c>
    </row>
    <row r="15" spans="1:13" x14ac:dyDescent="0.25">
      <c r="A15" t="str">
        <f t="shared" si="3"/>
        <v>E111</v>
      </c>
      <c r="B15">
        <v>1</v>
      </c>
      <c r="C15" t="str">
        <f t="shared" si="1"/>
        <v>10200</v>
      </c>
      <c r="D15" t="str">
        <f t="shared" si="0"/>
        <v>5620</v>
      </c>
      <c r="E15" t="str">
        <f t="shared" si="2"/>
        <v>094OMS</v>
      </c>
      <c r="F15" t="str">
        <f>""</f>
        <v/>
      </c>
      <c r="G15" t="str">
        <f>""</f>
        <v/>
      </c>
      <c r="H15" s="1">
        <v>42013</v>
      </c>
      <c r="I15" t="str">
        <f>"PCD00701"</f>
        <v>PCD00701</v>
      </c>
      <c r="J15" t="str">
        <f>""</f>
        <v/>
      </c>
      <c r="K15" t="str">
        <f>"AS89"</f>
        <v>AS89</v>
      </c>
      <c r="L15" t="s">
        <v>2764</v>
      </c>
      <c r="M15">
        <v>278.3</v>
      </c>
    </row>
    <row r="16" spans="1:13" x14ac:dyDescent="0.25">
      <c r="A16" t="str">
        <f t="shared" si="3"/>
        <v>E111</v>
      </c>
      <c r="B16">
        <v>1</v>
      </c>
      <c r="C16" t="str">
        <f t="shared" si="1"/>
        <v>10200</v>
      </c>
      <c r="D16" t="str">
        <f t="shared" si="0"/>
        <v>5620</v>
      </c>
      <c r="E16" t="str">
        <f t="shared" si="2"/>
        <v>094OMS</v>
      </c>
      <c r="F16" t="str">
        <f>""</f>
        <v/>
      </c>
      <c r="G16" t="str">
        <f>""</f>
        <v/>
      </c>
      <c r="H16" s="1">
        <v>42025</v>
      </c>
      <c r="I16" t="str">
        <f>"222513"</f>
        <v>222513</v>
      </c>
      <c r="J16" t="str">
        <f>""</f>
        <v/>
      </c>
      <c r="K16" t="str">
        <f>"INNI"</f>
        <v>INNI</v>
      </c>
      <c r="L16" t="s">
        <v>366</v>
      </c>
      <c r="M16" s="2">
        <v>1679.37</v>
      </c>
    </row>
    <row r="17" spans="1:13" x14ac:dyDescent="0.25">
      <c r="A17" t="str">
        <f t="shared" si="3"/>
        <v>E111</v>
      </c>
      <c r="B17">
        <v>1</v>
      </c>
      <c r="C17" t="str">
        <f t="shared" si="1"/>
        <v>10200</v>
      </c>
      <c r="D17" t="str">
        <f t="shared" si="0"/>
        <v>5620</v>
      </c>
      <c r="E17" t="str">
        <f t="shared" si="2"/>
        <v>094OMS</v>
      </c>
      <c r="F17" t="str">
        <f>""</f>
        <v/>
      </c>
      <c r="G17" t="str">
        <f>""</f>
        <v/>
      </c>
      <c r="H17" s="1">
        <v>42035</v>
      </c>
      <c r="I17" t="str">
        <f>"PCD00705"</f>
        <v>PCD00705</v>
      </c>
      <c r="J17" t="str">
        <f>""</f>
        <v/>
      </c>
      <c r="K17" t="str">
        <f t="shared" ref="K17:K30" si="4">"AS89"</f>
        <v>AS89</v>
      </c>
      <c r="L17" t="s">
        <v>2743</v>
      </c>
      <c r="M17">
        <v>262.11</v>
      </c>
    </row>
    <row r="18" spans="1:13" x14ac:dyDescent="0.25">
      <c r="A18" t="str">
        <f t="shared" si="3"/>
        <v>E111</v>
      </c>
      <c r="B18">
        <v>1</v>
      </c>
      <c r="C18" t="str">
        <f t="shared" si="1"/>
        <v>10200</v>
      </c>
      <c r="D18" t="str">
        <f t="shared" si="0"/>
        <v>5620</v>
      </c>
      <c r="E18" t="str">
        <f t="shared" si="2"/>
        <v>094OMS</v>
      </c>
      <c r="F18" t="str">
        <f>""</f>
        <v/>
      </c>
      <c r="G18" t="str">
        <f>""</f>
        <v/>
      </c>
      <c r="H18" s="1">
        <v>42035</v>
      </c>
      <c r="I18" t="str">
        <f>"PCD00705"</f>
        <v>PCD00705</v>
      </c>
      <c r="J18" t="str">
        <f>""</f>
        <v/>
      </c>
      <c r="K18" t="str">
        <f t="shared" si="4"/>
        <v>AS89</v>
      </c>
      <c r="L18" t="s">
        <v>2763</v>
      </c>
      <c r="M18">
        <v>139.13999999999999</v>
      </c>
    </row>
    <row r="19" spans="1:13" x14ac:dyDescent="0.25">
      <c r="A19" t="str">
        <f t="shared" si="3"/>
        <v>E111</v>
      </c>
      <c r="B19">
        <v>1</v>
      </c>
      <c r="C19" t="str">
        <f t="shared" si="1"/>
        <v>10200</v>
      </c>
      <c r="D19" t="str">
        <f t="shared" si="0"/>
        <v>5620</v>
      </c>
      <c r="E19" t="str">
        <f t="shared" si="2"/>
        <v>094OMS</v>
      </c>
      <c r="F19" t="str">
        <f>""</f>
        <v/>
      </c>
      <c r="G19" t="str">
        <f>""</f>
        <v/>
      </c>
      <c r="H19" s="1">
        <v>42062</v>
      </c>
      <c r="I19" t="str">
        <f>"PCD00709"</f>
        <v>PCD00709</v>
      </c>
      <c r="J19" t="str">
        <f>""</f>
        <v/>
      </c>
      <c r="K19" t="str">
        <f t="shared" si="4"/>
        <v>AS89</v>
      </c>
      <c r="L19" t="s">
        <v>2762</v>
      </c>
      <c r="M19">
        <v>199.19</v>
      </c>
    </row>
    <row r="20" spans="1:13" x14ac:dyDescent="0.25">
      <c r="A20" t="str">
        <f t="shared" si="3"/>
        <v>E111</v>
      </c>
      <c r="B20">
        <v>1</v>
      </c>
      <c r="C20" t="str">
        <f t="shared" si="1"/>
        <v>10200</v>
      </c>
      <c r="D20" t="str">
        <f t="shared" si="0"/>
        <v>5620</v>
      </c>
      <c r="E20" t="str">
        <f t="shared" si="2"/>
        <v>094OMS</v>
      </c>
      <c r="F20" t="str">
        <f>""</f>
        <v/>
      </c>
      <c r="G20" t="str">
        <f>""</f>
        <v/>
      </c>
      <c r="H20" s="1">
        <v>42062</v>
      </c>
      <c r="I20" t="str">
        <f>"PCD00709"</f>
        <v>PCD00709</v>
      </c>
      <c r="J20" t="str">
        <f>""</f>
        <v/>
      </c>
      <c r="K20" t="str">
        <f t="shared" si="4"/>
        <v>AS89</v>
      </c>
      <c r="L20" t="s">
        <v>2761</v>
      </c>
      <c r="M20">
        <v>450.09</v>
      </c>
    </row>
    <row r="21" spans="1:13" x14ac:dyDescent="0.25">
      <c r="A21" t="str">
        <f t="shared" si="3"/>
        <v>E111</v>
      </c>
      <c r="B21">
        <v>1</v>
      </c>
      <c r="C21" t="str">
        <f t="shared" si="1"/>
        <v>10200</v>
      </c>
      <c r="D21" t="str">
        <f t="shared" si="0"/>
        <v>5620</v>
      </c>
      <c r="E21" t="str">
        <f t="shared" si="2"/>
        <v>094OMS</v>
      </c>
      <c r="F21" t="str">
        <f>""</f>
        <v/>
      </c>
      <c r="G21" t="str">
        <f>""</f>
        <v/>
      </c>
      <c r="H21" s="1">
        <v>42094</v>
      </c>
      <c r="I21" t="str">
        <f>"PCD00715"</f>
        <v>PCD00715</v>
      </c>
      <c r="J21" t="str">
        <f>""</f>
        <v/>
      </c>
      <c r="K21" t="str">
        <f t="shared" si="4"/>
        <v>AS89</v>
      </c>
      <c r="L21" t="s">
        <v>2760</v>
      </c>
      <c r="M21">
        <v>305.52</v>
      </c>
    </row>
    <row r="22" spans="1:13" x14ac:dyDescent="0.25">
      <c r="A22" t="str">
        <f t="shared" si="3"/>
        <v>E111</v>
      </c>
      <c r="B22">
        <v>1</v>
      </c>
      <c r="C22" t="str">
        <f t="shared" si="1"/>
        <v>10200</v>
      </c>
      <c r="D22" t="str">
        <f t="shared" si="0"/>
        <v>5620</v>
      </c>
      <c r="E22" t="str">
        <f t="shared" si="2"/>
        <v>094OMS</v>
      </c>
      <c r="F22" t="str">
        <f>""</f>
        <v/>
      </c>
      <c r="G22" t="str">
        <f>""</f>
        <v/>
      </c>
      <c r="H22" s="1">
        <v>42124</v>
      </c>
      <c r="I22" t="str">
        <f>"PCD00720"</f>
        <v>PCD00720</v>
      </c>
      <c r="J22" t="str">
        <f>""</f>
        <v/>
      </c>
      <c r="K22" t="str">
        <f t="shared" si="4"/>
        <v>AS89</v>
      </c>
      <c r="L22" t="s">
        <v>2759</v>
      </c>
      <c r="M22">
        <v>209.1</v>
      </c>
    </row>
    <row r="23" spans="1:13" x14ac:dyDescent="0.25">
      <c r="A23" t="str">
        <f t="shared" si="3"/>
        <v>E111</v>
      </c>
      <c r="B23">
        <v>1</v>
      </c>
      <c r="C23" t="str">
        <f t="shared" si="1"/>
        <v>10200</v>
      </c>
      <c r="D23" t="str">
        <f t="shared" si="0"/>
        <v>5620</v>
      </c>
      <c r="E23" t="str">
        <f t="shared" si="2"/>
        <v>094OMS</v>
      </c>
      <c r="F23" t="str">
        <f>""</f>
        <v/>
      </c>
      <c r="G23" t="str">
        <f>""</f>
        <v/>
      </c>
      <c r="H23" s="1">
        <v>42124</v>
      </c>
      <c r="I23" t="str">
        <f>"PCD00720"</f>
        <v>PCD00720</v>
      </c>
      <c r="J23" t="str">
        <f>""</f>
        <v/>
      </c>
      <c r="K23" t="str">
        <f t="shared" si="4"/>
        <v>AS89</v>
      </c>
      <c r="L23" t="s">
        <v>2732</v>
      </c>
      <c r="M23">
        <v>101.68</v>
      </c>
    </row>
    <row r="24" spans="1:13" x14ac:dyDescent="0.25">
      <c r="A24" t="str">
        <f t="shared" si="3"/>
        <v>E111</v>
      </c>
      <c r="B24">
        <v>1</v>
      </c>
      <c r="C24" t="str">
        <f t="shared" si="1"/>
        <v>10200</v>
      </c>
      <c r="D24" t="str">
        <f t="shared" si="0"/>
        <v>5620</v>
      </c>
      <c r="E24" t="str">
        <f t="shared" si="2"/>
        <v>094OMS</v>
      </c>
      <c r="F24" t="str">
        <f>""</f>
        <v/>
      </c>
      <c r="G24" t="str">
        <f>""</f>
        <v/>
      </c>
      <c r="H24" s="1">
        <v>42155</v>
      </c>
      <c r="I24" t="str">
        <f>"PCD00725"</f>
        <v>PCD00725</v>
      </c>
      <c r="J24" t="str">
        <f>""</f>
        <v/>
      </c>
      <c r="K24" t="str">
        <f t="shared" si="4"/>
        <v>AS89</v>
      </c>
      <c r="L24" t="s">
        <v>2758</v>
      </c>
      <c r="M24">
        <v>197.83</v>
      </c>
    </row>
    <row r="25" spans="1:13" x14ac:dyDescent="0.25">
      <c r="A25" t="str">
        <f t="shared" si="3"/>
        <v>E111</v>
      </c>
      <c r="B25">
        <v>1</v>
      </c>
      <c r="C25" t="str">
        <f t="shared" si="1"/>
        <v>10200</v>
      </c>
      <c r="D25" t="str">
        <f t="shared" si="0"/>
        <v>5620</v>
      </c>
      <c r="E25" t="str">
        <f t="shared" si="2"/>
        <v>094OMS</v>
      </c>
      <c r="F25" t="str">
        <f>""</f>
        <v/>
      </c>
      <c r="G25" t="str">
        <f>""</f>
        <v/>
      </c>
      <c r="H25" s="1">
        <v>42185</v>
      </c>
      <c r="I25" t="str">
        <f>"PCD00730"</f>
        <v>PCD00730</v>
      </c>
      <c r="J25" t="str">
        <f>""</f>
        <v/>
      </c>
      <c r="K25" t="str">
        <f t="shared" si="4"/>
        <v>AS89</v>
      </c>
      <c r="L25" t="s">
        <v>2729</v>
      </c>
      <c r="M25">
        <v>116.03</v>
      </c>
    </row>
    <row r="26" spans="1:13" x14ac:dyDescent="0.25">
      <c r="A26" t="str">
        <f t="shared" si="3"/>
        <v>E111</v>
      </c>
      <c r="B26">
        <v>1</v>
      </c>
      <c r="C26" t="str">
        <f t="shared" si="1"/>
        <v>10200</v>
      </c>
      <c r="D26" t="str">
        <f t="shared" si="0"/>
        <v>5620</v>
      </c>
      <c r="E26" t="str">
        <f t="shared" si="2"/>
        <v>094OMS</v>
      </c>
      <c r="F26" t="str">
        <f>""</f>
        <v/>
      </c>
      <c r="G26" t="str">
        <f>""</f>
        <v/>
      </c>
      <c r="H26" s="1">
        <v>42185</v>
      </c>
      <c r="I26" t="str">
        <f>"PCD00730"</f>
        <v>PCD00730</v>
      </c>
      <c r="J26" t="str">
        <f>""</f>
        <v/>
      </c>
      <c r="K26" t="str">
        <f t="shared" si="4"/>
        <v>AS89</v>
      </c>
      <c r="L26" t="s">
        <v>2757</v>
      </c>
      <c r="M26">
        <v>265.2</v>
      </c>
    </row>
    <row r="27" spans="1:13" x14ac:dyDescent="0.25">
      <c r="A27" t="str">
        <f t="shared" si="3"/>
        <v>E111</v>
      </c>
      <c r="B27">
        <v>1</v>
      </c>
      <c r="C27" t="str">
        <f t="shared" si="1"/>
        <v>10200</v>
      </c>
      <c r="D27" t="str">
        <f t="shared" si="0"/>
        <v>5620</v>
      </c>
      <c r="E27" t="str">
        <f t="shared" si="2"/>
        <v>094OMS</v>
      </c>
      <c r="F27" t="str">
        <f>""</f>
        <v/>
      </c>
      <c r="G27" t="str">
        <f>""</f>
        <v/>
      </c>
      <c r="H27" s="1">
        <v>42185</v>
      </c>
      <c r="I27" t="str">
        <f>"PCD00730"</f>
        <v>PCD00730</v>
      </c>
      <c r="J27" t="str">
        <f>""</f>
        <v/>
      </c>
      <c r="K27" t="str">
        <f t="shared" si="4"/>
        <v>AS89</v>
      </c>
      <c r="L27" t="s">
        <v>2756</v>
      </c>
      <c r="M27">
        <v>386.65</v>
      </c>
    </row>
    <row r="28" spans="1:13" x14ac:dyDescent="0.25">
      <c r="A28" t="str">
        <f t="shared" si="3"/>
        <v>E111</v>
      </c>
      <c r="B28">
        <v>1</v>
      </c>
      <c r="C28" t="str">
        <f t="shared" si="1"/>
        <v>10200</v>
      </c>
      <c r="D28" t="str">
        <f t="shared" si="0"/>
        <v>5620</v>
      </c>
      <c r="E28" t="str">
        <f t="shared" si="2"/>
        <v>094OMS</v>
      </c>
      <c r="F28" t="str">
        <f>""</f>
        <v/>
      </c>
      <c r="G28" t="str">
        <f>""</f>
        <v/>
      </c>
      <c r="H28" s="1">
        <v>42185</v>
      </c>
      <c r="I28" t="str">
        <f>"PCD00730"</f>
        <v>PCD00730</v>
      </c>
      <c r="J28" t="str">
        <f>""</f>
        <v/>
      </c>
      <c r="K28" t="str">
        <f t="shared" si="4"/>
        <v>AS89</v>
      </c>
      <c r="L28" t="s">
        <v>2755</v>
      </c>
      <c r="M28">
        <v>361.9</v>
      </c>
    </row>
    <row r="29" spans="1:13" x14ac:dyDescent="0.25">
      <c r="A29" t="str">
        <f t="shared" si="3"/>
        <v>E111</v>
      </c>
      <c r="B29">
        <v>1</v>
      </c>
      <c r="C29" t="str">
        <f>"23275"</f>
        <v>23275</v>
      </c>
      <c r="D29" t="str">
        <f t="shared" si="0"/>
        <v>5620</v>
      </c>
      <c r="E29" t="str">
        <f>"063STF"</f>
        <v>063STF</v>
      </c>
      <c r="F29" t="str">
        <f>""</f>
        <v/>
      </c>
      <c r="G29" t="str">
        <f>""</f>
        <v/>
      </c>
      <c r="H29" s="1">
        <v>41943</v>
      </c>
      <c r="I29" t="str">
        <f>"PCD00690"</f>
        <v>PCD00690</v>
      </c>
      <c r="J29" t="str">
        <f>""</f>
        <v/>
      </c>
      <c r="K29" t="str">
        <f t="shared" si="4"/>
        <v>AS89</v>
      </c>
      <c r="L29" t="s">
        <v>2754</v>
      </c>
      <c r="M29">
        <v>114.79</v>
      </c>
    </row>
    <row r="30" spans="1:13" x14ac:dyDescent="0.25">
      <c r="A30" t="str">
        <f t="shared" si="3"/>
        <v>E111</v>
      </c>
      <c r="B30">
        <v>1</v>
      </c>
      <c r="C30" t="str">
        <f t="shared" ref="C30:C61" si="5">"32040"</f>
        <v>32040</v>
      </c>
      <c r="D30" t="str">
        <f t="shared" si="0"/>
        <v>5620</v>
      </c>
      <c r="E30" t="str">
        <f t="shared" ref="E30:E60" si="6">"850LCK"</f>
        <v>850LCK</v>
      </c>
      <c r="F30" t="str">
        <f>""</f>
        <v/>
      </c>
      <c r="G30" t="str">
        <f>""</f>
        <v/>
      </c>
      <c r="H30" s="1">
        <v>42035</v>
      </c>
      <c r="I30" t="str">
        <f>"PCD00705"</f>
        <v>PCD00705</v>
      </c>
      <c r="J30" t="str">
        <f>""</f>
        <v/>
      </c>
      <c r="K30" t="str">
        <f t="shared" si="4"/>
        <v>AS89</v>
      </c>
      <c r="L30" t="s">
        <v>2744</v>
      </c>
      <c r="M30">
        <v>283.68</v>
      </c>
    </row>
    <row r="31" spans="1:13" x14ac:dyDescent="0.25">
      <c r="A31" t="str">
        <f t="shared" si="3"/>
        <v>E111</v>
      </c>
      <c r="B31">
        <v>1</v>
      </c>
      <c r="C31" t="str">
        <f t="shared" si="5"/>
        <v>32040</v>
      </c>
      <c r="D31" t="str">
        <f t="shared" si="0"/>
        <v>5620</v>
      </c>
      <c r="E31" t="str">
        <f t="shared" si="6"/>
        <v>850LCK</v>
      </c>
      <c r="F31" t="str">
        <f>""</f>
        <v/>
      </c>
      <c r="G31" t="str">
        <f>""</f>
        <v/>
      </c>
      <c r="H31" s="1">
        <v>42052</v>
      </c>
      <c r="I31" t="str">
        <f>"I0115395"</f>
        <v>I0115395</v>
      </c>
      <c r="J31" t="str">
        <f t="shared" ref="J31:J46" si="7">"NP52205V"</f>
        <v>NP52205V</v>
      </c>
      <c r="K31" t="str">
        <f t="shared" ref="K31:K46" si="8">"INEI"</f>
        <v>INEI</v>
      </c>
      <c r="L31" t="s">
        <v>2474</v>
      </c>
      <c r="M31" s="2">
        <v>4392.68</v>
      </c>
    </row>
    <row r="32" spans="1:13" x14ac:dyDescent="0.25">
      <c r="A32" t="str">
        <f t="shared" si="3"/>
        <v>E111</v>
      </c>
      <c r="B32">
        <v>1</v>
      </c>
      <c r="C32" t="str">
        <f t="shared" si="5"/>
        <v>32040</v>
      </c>
      <c r="D32" t="str">
        <f t="shared" si="0"/>
        <v>5620</v>
      </c>
      <c r="E32" t="str">
        <f t="shared" si="6"/>
        <v>850LCK</v>
      </c>
      <c r="F32" t="str">
        <f>""</f>
        <v/>
      </c>
      <c r="G32" t="str">
        <f>""</f>
        <v/>
      </c>
      <c r="H32" s="1">
        <v>42052</v>
      </c>
      <c r="I32" t="str">
        <f>"I0115396"</f>
        <v>I0115396</v>
      </c>
      <c r="J32" t="str">
        <f t="shared" si="7"/>
        <v>NP52205V</v>
      </c>
      <c r="K32" t="str">
        <f t="shared" si="8"/>
        <v>INEI</v>
      </c>
      <c r="L32" t="s">
        <v>2474</v>
      </c>
      <c r="M32" s="2">
        <v>1181.0899999999999</v>
      </c>
    </row>
    <row r="33" spans="1:13" x14ac:dyDescent="0.25">
      <c r="A33" t="str">
        <f t="shared" si="3"/>
        <v>E111</v>
      </c>
      <c r="B33">
        <v>1</v>
      </c>
      <c r="C33" t="str">
        <f t="shared" si="5"/>
        <v>32040</v>
      </c>
      <c r="D33" t="str">
        <f t="shared" si="0"/>
        <v>5620</v>
      </c>
      <c r="E33" t="str">
        <f t="shared" si="6"/>
        <v>850LCK</v>
      </c>
      <c r="F33" t="str">
        <f>""</f>
        <v/>
      </c>
      <c r="G33" t="str">
        <f>""</f>
        <v/>
      </c>
      <c r="H33" s="1">
        <v>42058</v>
      </c>
      <c r="I33" t="str">
        <f>"I0115520"</f>
        <v>I0115520</v>
      </c>
      <c r="J33" t="str">
        <f t="shared" si="7"/>
        <v>NP52205V</v>
      </c>
      <c r="K33" t="str">
        <f t="shared" si="8"/>
        <v>INEI</v>
      </c>
      <c r="L33" t="s">
        <v>2474</v>
      </c>
      <c r="M33">
        <v>261.58999999999997</v>
      </c>
    </row>
    <row r="34" spans="1:13" x14ac:dyDescent="0.25">
      <c r="A34" t="str">
        <f t="shared" si="3"/>
        <v>E111</v>
      </c>
      <c r="B34">
        <v>1</v>
      </c>
      <c r="C34" t="str">
        <f t="shared" si="5"/>
        <v>32040</v>
      </c>
      <c r="D34" t="str">
        <f t="shared" ref="D34:D65" si="9">"5620"</f>
        <v>5620</v>
      </c>
      <c r="E34" t="str">
        <f t="shared" si="6"/>
        <v>850LCK</v>
      </c>
      <c r="F34" t="str">
        <f>""</f>
        <v/>
      </c>
      <c r="G34" t="str">
        <f>""</f>
        <v/>
      </c>
      <c r="H34" s="1">
        <v>42073</v>
      </c>
      <c r="I34" t="str">
        <f>"I0115997"</f>
        <v>I0115997</v>
      </c>
      <c r="J34" t="str">
        <f t="shared" si="7"/>
        <v>NP52205V</v>
      </c>
      <c r="K34" t="str">
        <f t="shared" si="8"/>
        <v>INEI</v>
      </c>
      <c r="L34" t="s">
        <v>2474</v>
      </c>
      <c r="M34">
        <v>831.73</v>
      </c>
    </row>
    <row r="35" spans="1:13" x14ac:dyDescent="0.25">
      <c r="A35" t="str">
        <f t="shared" si="3"/>
        <v>E111</v>
      </c>
      <c r="B35">
        <v>1</v>
      </c>
      <c r="C35" t="str">
        <f t="shared" si="5"/>
        <v>32040</v>
      </c>
      <c r="D35" t="str">
        <f t="shared" si="9"/>
        <v>5620</v>
      </c>
      <c r="E35" t="str">
        <f t="shared" si="6"/>
        <v>850LCK</v>
      </c>
      <c r="F35" t="str">
        <f>""</f>
        <v/>
      </c>
      <c r="G35" t="str">
        <f>""</f>
        <v/>
      </c>
      <c r="H35" s="1">
        <v>42073</v>
      </c>
      <c r="I35" t="str">
        <f>"I0115999"</f>
        <v>I0115999</v>
      </c>
      <c r="J35" t="str">
        <f t="shared" si="7"/>
        <v>NP52205V</v>
      </c>
      <c r="K35" t="str">
        <f t="shared" si="8"/>
        <v>INEI</v>
      </c>
      <c r="L35" t="s">
        <v>2474</v>
      </c>
      <c r="M35">
        <v>919.97</v>
      </c>
    </row>
    <row r="36" spans="1:13" x14ac:dyDescent="0.25">
      <c r="A36" t="str">
        <f t="shared" si="3"/>
        <v>E111</v>
      </c>
      <c r="B36">
        <v>1</v>
      </c>
      <c r="C36" t="str">
        <f t="shared" si="5"/>
        <v>32040</v>
      </c>
      <c r="D36" t="str">
        <f t="shared" si="9"/>
        <v>5620</v>
      </c>
      <c r="E36" t="str">
        <f t="shared" si="6"/>
        <v>850LCK</v>
      </c>
      <c r="F36" t="str">
        <f>""</f>
        <v/>
      </c>
      <c r="G36" t="str">
        <f>""</f>
        <v/>
      </c>
      <c r="H36" s="1">
        <v>42073</v>
      </c>
      <c r="I36" t="str">
        <f>"I0116000"</f>
        <v>I0116000</v>
      </c>
      <c r="J36" t="str">
        <f t="shared" si="7"/>
        <v>NP52205V</v>
      </c>
      <c r="K36" t="str">
        <f t="shared" si="8"/>
        <v>INEI</v>
      </c>
      <c r="L36" t="s">
        <v>2474</v>
      </c>
      <c r="M36">
        <v>672.36</v>
      </c>
    </row>
    <row r="37" spans="1:13" x14ac:dyDescent="0.25">
      <c r="A37" t="str">
        <f t="shared" si="3"/>
        <v>E111</v>
      </c>
      <c r="B37">
        <v>1</v>
      </c>
      <c r="C37" t="str">
        <f t="shared" si="5"/>
        <v>32040</v>
      </c>
      <c r="D37" t="str">
        <f t="shared" si="9"/>
        <v>5620</v>
      </c>
      <c r="E37" t="str">
        <f t="shared" si="6"/>
        <v>850LCK</v>
      </c>
      <c r="F37" t="str">
        <f>""</f>
        <v/>
      </c>
      <c r="G37" t="str">
        <f>""</f>
        <v/>
      </c>
      <c r="H37" s="1">
        <v>42073</v>
      </c>
      <c r="I37" t="str">
        <f>"I0116001"</f>
        <v>I0116001</v>
      </c>
      <c r="J37" t="str">
        <f t="shared" si="7"/>
        <v>NP52205V</v>
      </c>
      <c r="K37" t="str">
        <f t="shared" si="8"/>
        <v>INEI</v>
      </c>
      <c r="L37" t="s">
        <v>2474</v>
      </c>
      <c r="M37" s="2">
        <v>1513.97</v>
      </c>
    </row>
    <row r="38" spans="1:13" x14ac:dyDescent="0.25">
      <c r="A38" t="str">
        <f t="shared" ref="A38:A69" si="10">"E111"</f>
        <v>E111</v>
      </c>
      <c r="B38">
        <v>1</v>
      </c>
      <c r="C38" t="str">
        <f t="shared" si="5"/>
        <v>32040</v>
      </c>
      <c r="D38" t="str">
        <f t="shared" si="9"/>
        <v>5620</v>
      </c>
      <c r="E38" t="str">
        <f t="shared" si="6"/>
        <v>850LCK</v>
      </c>
      <c r="F38" t="str">
        <f>""</f>
        <v/>
      </c>
      <c r="G38" t="str">
        <f>""</f>
        <v/>
      </c>
      <c r="H38" s="1">
        <v>42073</v>
      </c>
      <c r="I38" t="str">
        <f>"I0116002"</f>
        <v>I0116002</v>
      </c>
      <c r="J38" t="str">
        <f t="shared" si="7"/>
        <v>NP52205V</v>
      </c>
      <c r="K38" t="str">
        <f t="shared" si="8"/>
        <v>INEI</v>
      </c>
      <c r="L38" t="s">
        <v>2474</v>
      </c>
      <c r="M38" s="2">
        <v>5282.75</v>
      </c>
    </row>
    <row r="39" spans="1:13" x14ac:dyDescent="0.25">
      <c r="A39" t="str">
        <f t="shared" si="10"/>
        <v>E111</v>
      </c>
      <c r="B39">
        <v>1</v>
      </c>
      <c r="C39" t="str">
        <f t="shared" si="5"/>
        <v>32040</v>
      </c>
      <c r="D39" t="str">
        <f t="shared" si="9"/>
        <v>5620</v>
      </c>
      <c r="E39" t="str">
        <f t="shared" si="6"/>
        <v>850LCK</v>
      </c>
      <c r="F39" t="str">
        <f>""</f>
        <v/>
      </c>
      <c r="G39" t="str">
        <f>""</f>
        <v/>
      </c>
      <c r="H39" s="1">
        <v>42081</v>
      </c>
      <c r="I39" t="str">
        <f>"I0116183"</f>
        <v>I0116183</v>
      </c>
      <c r="J39" t="str">
        <f t="shared" si="7"/>
        <v>NP52205V</v>
      </c>
      <c r="K39" t="str">
        <f t="shared" si="8"/>
        <v>INEI</v>
      </c>
      <c r="L39" t="s">
        <v>2474</v>
      </c>
      <c r="M39">
        <v>919.97</v>
      </c>
    </row>
    <row r="40" spans="1:13" x14ac:dyDescent="0.25">
      <c r="A40" t="str">
        <f t="shared" si="10"/>
        <v>E111</v>
      </c>
      <c r="B40">
        <v>1</v>
      </c>
      <c r="C40" t="str">
        <f t="shared" si="5"/>
        <v>32040</v>
      </c>
      <c r="D40" t="str">
        <f t="shared" si="9"/>
        <v>5620</v>
      </c>
      <c r="E40" t="str">
        <f t="shared" si="6"/>
        <v>850LCK</v>
      </c>
      <c r="F40" t="str">
        <f>""</f>
        <v/>
      </c>
      <c r="G40" t="str">
        <f>""</f>
        <v/>
      </c>
      <c r="H40" s="1">
        <v>42081</v>
      </c>
      <c r="I40" t="str">
        <f>"I0116184"</f>
        <v>I0116184</v>
      </c>
      <c r="J40" t="str">
        <f t="shared" si="7"/>
        <v>NP52205V</v>
      </c>
      <c r="K40" t="str">
        <f t="shared" si="8"/>
        <v>INEI</v>
      </c>
      <c r="L40" t="s">
        <v>2474</v>
      </c>
      <c r="M40">
        <v>676.39</v>
      </c>
    </row>
    <row r="41" spans="1:13" x14ac:dyDescent="0.25">
      <c r="A41" t="str">
        <f t="shared" si="10"/>
        <v>E111</v>
      </c>
      <c r="B41">
        <v>1</v>
      </c>
      <c r="C41" t="str">
        <f t="shared" si="5"/>
        <v>32040</v>
      </c>
      <c r="D41" t="str">
        <f t="shared" si="9"/>
        <v>5620</v>
      </c>
      <c r="E41" t="str">
        <f t="shared" si="6"/>
        <v>850LCK</v>
      </c>
      <c r="F41" t="str">
        <f>""</f>
        <v/>
      </c>
      <c r="G41" t="str">
        <f>""</f>
        <v/>
      </c>
      <c r="H41" s="1">
        <v>42094</v>
      </c>
      <c r="I41" t="str">
        <f>"I0116698"</f>
        <v>I0116698</v>
      </c>
      <c r="J41" t="str">
        <f t="shared" si="7"/>
        <v>NP52205V</v>
      </c>
      <c r="K41" t="str">
        <f t="shared" si="8"/>
        <v>INEI</v>
      </c>
      <c r="L41" t="s">
        <v>2474</v>
      </c>
      <c r="M41">
        <v>129.35</v>
      </c>
    </row>
    <row r="42" spans="1:13" x14ac:dyDescent="0.25">
      <c r="A42" t="str">
        <f t="shared" si="10"/>
        <v>E111</v>
      </c>
      <c r="B42">
        <v>1</v>
      </c>
      <c r="C42" t="str">
        <f t="shared" si="5"/>
        <v>32040</v>
      </c>
      <c r="D42" t="str">
        <f t="shared" si="9"/>
        <v>5620</v>
      </c>
      <c r="E42" t="str">
        <f t="shared" si="6"/>
        <v>850LCK</v>
      </c>
      <c r="F42" t="str">
        <f>""</f>
        <v/>
      </c>
      <c r="G42" t="str">
        <f>""</f>
        <v/>
      </c>
      <c r="H42" s="1">
        <v>42094</v>
      </c>
      <c r="I42" t="str">
        <f>"I0116700"</f>
        <v>I0116700</v>
      </c>
      <c r="J42" t="str">
        <f t="shared" si="7"/>
        <v>NP52205V</v>
      </c>
      <c r="K42" t="str">
        <f t="shared" si="8"/>
        <v>INEI</v>
      </c>
      <c r="L42" t="s">
        <v>2474</v>
      </c>
      <c r="M42" s="2">
        <v>4714.13</v>
      </c>
    </row>
    <row r="43" spans="1:13" x14ac:dyDescent="0.25">
      <c r="A43" t="str">
        <f t="shared" si="10"/>
        <v>E111</v>
      </c>
      <c r="B43">
        <v>1</v>
      </c>
      <c r="C43" t="str">
        <f t="shared" si="5"/>
        <v>32040</v>
      </c>
      <c r="D43" t="str">
        <f t="shared" si="9"/>
        <v>5620</v>
      </c>
      <c r="E43" t="str">
        <f t="shared" si="6"/>
        <v>850LCK</v>
      </c>
      <c r="F43" t="str">
        <f>""</f>
        <v/>
      </c>
      <c r="G43" t="str">
        <f>""</f>
        <v/>
      </c>
      <c r="H43" s="1">
        <v>42124</v>
      </c>
      <c r="I43" t="str">
        <f>"I0117560"</f>
        <v>I0117560</v>
      </c>
      <c r="J43" t="str">
        <f t="shared" si="7"/>
        <v>NP52205V</v>
      </c>
      <c r="K43" t="str">
        <f t="shared" si="8"/>
        <v>INEI</v>
      </c>
      <c r="L43" t="s">
        <v>2474</v>
      </c>
      <c r="M43">
        <v>265.55</v>
      </c>
    </row>
    <row r="44" spans="1:13" x14ac:dyDescent="0.25">
      <c r="A44" t="str">
        <f t="shared" si="10"/>
        <v>E111</v>
      </c>
      <c r="B44">
        <v>1</v>
      </c>
      <c r="C44" t="str">
        <f t="shared" si="5"/>
        <v>32040</v>
      </c>
      <c r="D44" t="str">
        <f t="shared" si="9"/>
        <v>5620</v>
      </c>
      <c r="E44" t="str">
        <f t="shared" si="6"/>
        <v>850LCK</v>
      </c>
      <c r="F44" t="str">
        <f>""</f>
        <v/>
      </c>
      <c r="G44" t="str">
        <f>""</f>
        <v/>
      </c>
      <c r="H44" s="1">
        <v>42124</v>
      </c>
      <c r="I44" t="str">
        <f>"I0117561"</f>
        <v>I0117561</v>
      </c>
      <c r="J44" t="str">
        <f t="shared" si="7"/>
        <v>NP52205V</v>
      </c>
      <c r="K44" t="str">
        <f t="shared" si="8"/>
        <v>INEI</v>
      </c>
      <c r="L44" t="s">
        <v>2474</v>
      </c>
      <c r="M44">
        <v>244.03</v>
      </c>
    </row>
    <row r="45" spans="1:13" x14ac:dyDescent="0.25">
      <c r="A45" t="str">
        <f t="shared" si="10"/>
        <v>E111</v>
      </c>
      <c r="B45">
        <v>1</v>
      </c>
      <c r="C45" t="str">
        <f t="shared" si="5"/>
        <v>32040</v>
      </c>
      <c r="D45" t="str">
        <f t="shared" si="9"/>
        <v>5620</v>
      </c>
      <c r="E45" t="str">
        <f t="shared" si="6"/>
        <v>850LCK</v>
      </c>
      <c r="F45" t="str">
        <f>""</f>
        <v/>
      </c>
      <c r="G45" t="str">
        <f>""</f>
        <v/>
      </c>
      <c r="H45" s="1">
        <v>42124</v>
      </c>
      <c r="I45" t="str">
        <f>"I0117562"</f>
        <v>I0117562</v>
      </c>
      <c r="J45" t="str">
        <f t="shared" si="7"/>
        <v>NP52205V</v>
      </c>
      <c r="K45" t="str">
        <f t="shared" si="8"/>
        <v>INEI</v>
      </c>
      <c r="L45" t="s">
        <v>2474</v>
      </c>
      <c r="M45">
        <v>439.53</v>
      </c>
    </row>
    <row r="46" spans="1:13" x14ac:dyDescent="0.25">
      <c r="A46" t="str">
        <f t="shared" si="10"/>
        <v>E111</v>
      </c>
      <c r="B46">
        <v>1</v>
      </c>
      <c r="C46" t="str">
        <f t="shared" si="5"/>
        <v>32040</v>
      </c>
      <c r="D46" t="str">
        <f t="shared" si="9"/>
        <v>5620</v>
      </c>
      <c r="E46" t="str">
        <f t="shared" si="6"/>
        <v>850LCK</v>
      </c>
      <c r="F46" t="str">
        <f>""</f>
        <v/>
      </c>
      <c r="G46" t="str">
        <f>""</f>
        <v/>
      </c>
      <c r="H46" s="1">
        <v>42124</v>
      </c>
      <c r="I46" t="str">
        <f>"I0117563"</f>
        <v>I0117563</v>
      </c>
      <c r="J46" t="str">
        <f t="shared" si="7"/>
        <v>NP52205V</v>
      </c>
      <c r="K46" t="str">
        <f t="shared" si="8"/>
        <v>INEI</v>
      </c>
      <c r="L46" t="s">
        <v>2474</v>
      </c>
      <c r="M46">
        <v>726.77</v>
      </c>
    </row>
    <row r="47" spans="1:13" x14ac:dyDescent="0.25">
      <c r="A47" t="str">
        <f t="shared" si="10"/>
        <v>E111</v>
      </c>
      <c r="B47">
        <v>1</v>
      </c>
      <c r="C47" t="str">
        <f t="shared" si="5"/>
        <v>32040</v>
      </c>
      <c r="D47" t="str">
        <f t="shared" si="9"/>
        <v>5620</v>
      </c>
      <c r="E47" t="str">
        <f t="shared" si="6"/>
        <v>850LCK</v>
      </c>
      <c r="F47" t="str">
        <f>""</f>
        <v/>
      </c>
      <c r="G47" t="str">
        <f>""</f>
        <v/>
      </c>
      <c r="H47" s="1">
        <v>42124</v>
      </c>
      <c r="I47" t="str">
        <f>"PCD00720"</f>
        <v>PCD00720</v>
      </c>
      <c r="J47" t="str">
        <f>""</f>
        <v/>
      </c>
      <c r="K47" t="str">
        <f>"AS89"</f>
        <v>AS89</v>
      </c>
      <c r="L47" t="s">
        <v>2753</v>
      </c>
      <c r="M47">
        <v>119.94</v>
      </c>
    </row>
    <row r="48" spans="1:13" x14ac:dyDescent="0.25">
      <c r="A48" t="str">
        <f t="shared" si="10"/>
        <v>E111</v>
      </c>
      <c r="B48">
        <v>1</v>
      </c>
      <c r="C48" t="str">
        <f t="shared" si="5"/>
        <v>32040</v>
      </c>
      <c r="D48" t="str">
        <f t="shared" si="9"/>
        <v>5620</v>
      </c>
      <c r="E48" t="str">
        <f t="shared" si="6"/>
        <v>850LCK</v>
      </c>
      <c r="F48" t="str">
        <f>""</f>
        <v/>
      </c>
      <c r="G48" t="str">
        <f>""</f>
        <v/>
      </c>
      <c r="H48" s="1">
        <v>42155</v>
      </c>
      <c r="I48" t="str">
        <f>"PCD00725"</f>
        <v>PCD00725</v>
      </c>
      <c r="J48" t="str">
        <f>""</f>
        <v/>
      </c>
      <c r="K48" t="str">
        <f>"AS89"</f>
        <v>AS89</v>
      </c>
      <c r="L48" t="s">
        <v>2752</v>
      </c>
      <c r="M48">
        <v>159.80000000000001</v>
      </c>
    </row>
    <row r="49" spans="1:13" x14ac:dyDescent="0.25">
      <c r="A49" t="str">
        <f t="shared" si="10"/>
        <v>E111</v>
      </c>
      <c r="B49">
        <v>1</v>
      </c>
      <c r="C49" t="str">
        <f t="shared" si="5"/>
        <v>32040</v>
      </c>
      <c r="D49" t="str">
        <f t="shared" si="9"/>
        <v>5620</v>
      </c>
      <c r="E49" t="str">
        <f t="shared" si="6"/>
        <v>850LCK</v>
      </c>
      <c r="F49" t="str">
        <f>""</f>
        <v/>
      </c>
      <c r="G49" t="str">
        <f>""</f>
        <v/>
      </c>
      <c r="H49" s="1">
        <v>42164</v>
      </c>
      <c r="I49" t="str">
        <f>"I0118527"</f>
        <v>I0118527</v>
      </c>
      <c r="J49" t="str">
        <f t="shared" ref="J49:J60" si="11">"NP52205V"</f>
        <v>NP52205V</v>
      </c>
      <c r="K49" t="str">
        <f t="shared" ref="K49:K80" si="12">"INEI"</f>
        <v>INEI</v>
      </c>
      <c r="L49" t="s">
        <v>2474</v>
      </c>
      <c r="M49">
        <v>122.55</v>
      </c>
    </row>
    <row r="50" spans="1:13" x14ac:dyDescent="0.25">
      <c r="A50" t="str">
        <f t="shared" si="10"/>
        <v>E111</v>
      </c>
      <c r="B50">
        <v>1</v>
      </c>
      <c r="C50" t="str">
        <f t="shared" si="5"/>
        <v>32040</v>
      </c>
      <c r="D50" t="str">
        <f t="shared" si="9"/>
        <v>5620</v>
      </c>
      <c r="E50" t="str">
        <f t="shared" si="6"/>
        <v>850LCK</v>
      </c>
      <c r="F50" t="str">
        <f>""</f>
        <v/>
      </c>
      <c r="G50" t="str">
        <f>""</f>
        <v/>
      </c>
      <c r="H50" s="1">
        <v>42164</v>
      </c>
      <c r="I50" t="str">
        <f>"I0118528"</f>
        <v>I0118528</v>
      </c>
      <c r="J50" t="str">
        <f t="shared" si="11"/>
        <v>NP52205V</v>
      </c>
      <c r="K50" t="str">
        <f t="shared" si="12"/>
        <v>INEI</v>
      </c>
      <c r="L50" t="s">
        <v>2474</v>
      </c>
      <c r="M50">
        <v>923.78</v>
      </c>
    </row>
    <row r="51" spans="1:13" x14ac:dyDescent="0.25">
      <c r="A51" t="str">
        <f t="shared" si="10"/>
        <v>E111</v>
      </c>
      <c r="B51">
        <v>1</v>
      </c>
      <c r="C51" t="str">
        <f t="shared" si="5"/>
        <v>32040</v>
      </c>
      <c r="D51" t="str">
        <f t="shared" si="9"/>
        <v>5620</v>
      </c>
      <c r="E51" t="str">
        <f t="shared" si="6"/>
        <v>850LCK</v>
      </c>
      <c r="F51" t="str">
        <f>""</f>
        <v/>
      </c>
      <c r="G51" t="str">
        <f>""</f>
        <v/>
      </c>
      <c r="H51" s="1">
        <v>42164</v>
      </c>
      <c r="I51" t="str">
        <f>"I0118529"</f>
        <v>I0118529</v>
      </c>
      <c r="J51" t="str">
        <f t="shared" si="11"/>
        <v>NP52205V</v>
      </c>
      <c r="K51" t="str">
        <f t="shared" si="12"/>
        <v>INEI</v>
      </c>
      <c r="L51" t="s">
        <v>2474</v>
      </c>
      <c r="M51">
        <v>234.81</v>
      </c>
    </row>
    <row r="52" spans="1:13" x14ac:dyDescent="0.25">
      <c r="A52" t="str">
        <f t="shared" si="10"/>
        <v>E111</v>
      </c>
      <c r="B52">
        <v>1</v>
      </c>
      <c r="C52" t="str">
        <f t="shared" si="5"/>
        <v>32040</v>
      </c>
      <c r="D52" t="str">
        <f t="shared" si="9"/>
        <v>5620</v>
      </c>
      <c r="E52" t="str">
        <f t="shared" si="6"/>
        <v>850LCK</v>
      </c>
      <c r="F52" t="str">
        <f>""</f>
        <v/>
      </c>
      <c r="G52" t="str">
        <f>""</f>
        <v/>
      </c>
      <c r="H52" s="1">
        <v>42165</v>
      </c>
      <c r="I52" t="str">
        <f>"I0118539"</f>
        <v>I0118539</v>
      </c>
      <c r="J52" t="str">
        <f t="shared" si="11"/>
        <v>NP52205V</v>
      </c>
      <c r="K52" t="str">
        <f t="shared" si="12"/>
        <v>INEI</v>
      </c>
      <c r="L52" t="s">
        <v>2474</v>
      </c>
      <c r="M52" s="2">
        <v>2382.6999999999998</v>
      </c>
    </row>
    <row r="53" spans="1:13" x14ac:dyDescent="0.25">
      <c r="A53" t="str">
        <f t="shared" si="10"/>
        <v>E111</v>
      </c>
      <c r="B53">
        <v>1</v>
      </c>
      <c r="C53" t="str">
        <f t="shared" si="5"/>
        <v>32040</v>
      </c>
      <c r="D53" t="str">
        <f t="shared" si="9"/>
        <v>5620</v>
      </c>
      <c r="E53" t="str">
        <f t="shared" si="6"/>
        <v>850LCK</v>
      </c>
      <c r="F53" t="str">
        <f>""</f>
        <v/>
      </c>
      <c r="G53" t="str">
        <f>""</f>
        <v/>
      </c>
      <c r="H53" s="1">
        <v>42165</v>
      </c>
      <c r="I53" t="str">
        <f>"I0118540"</f>
        <v>I0118540</v>
      </c>
      <c r="J53" t="str">
        <f t="shared" si="11"/>
        <v>NP52205V</v>
      </c>
      <c r="K53" t="str">
        <f t="shared" si="12"/>
        <v>INEI</v>
      </c>
      <c r="L53" t="s">
        <v>2474</v>
      </c>
      <c r="M53" s="2">
        <v>1007.12</v>
      </c>
    </row>
    <row r="54" spans="1:13" x14ac:dyDescent="0.25">
      <c r="A54" t="str">
        <f t="shared" si="10"/>
        <v>E111</v>
      </c>
      <c r="B54">
        <v>1</v>
      </c>
      <c r="C54" t="str">
        <f t="shared" si="5"/>
        <v>32040</v>
      </c>
      <c r="D54" t="str">
        <f t="shared" si="9"/>
        <v>5620</v>
      </c>
      <c r="E54" t="str">
        <f t="shared" si="6"/>
        <v>850LCK</v>
      </c>
      <c r="F54" t="str">
        <f>""</f>
        <v/>
      </c>
      <c r="G54" t="str">
        <f>""</f>
        <v/>
      </c>
      <c r="H54" s="1">
        <v>42165</v>
      </c>
      <c r="I54" t="str">
        <f>"I0118541"</f>
        <v>I0118541</v>
      </c>
      <c r="J54" t="str">
        <f t="shared" si="11"/>
        <v>NP52205V</v>
      </c>
      <c r="K54" t="str">
        <f t="shared" si="12"/>
        <v>INEI</v>
      </c>
      <c r="L54" t="s">
        <v>2474</v>
      </c>
      <c r="M54" s="2">
        <v>2027.26</v>
      </c>
    </row>
    <row r="55" spans="1:13" x14ac:dyDescent="0.25">
      <c r="A55" t="str">
        <f t="shared" si="10"/>
        <v>E111</v>
      </c>
      <c r="B55">
        <v>1</v>
      </c>
      <c r="C55" t="str">
        <f t="shared" si="5"/>
        <v>32040</v>
      </c>
      <c r="D55" t="str">
        <f t="shared" si="9"/>
        <v>5620</v>
      </c>
      <c r="E55" t="str">
        <f t="shared" si="6"/>
        <v>850LCK</v>
      </c>
      <c r="F55" t="str">
        <f>""</f>
        <v/>
      </c>
      <c r="G55" t="str">
        <f>""</f>
        <v/>
      </c>
      <c r="H55" s="1">
        <v>42171</v>
      </c>
      <c r="I55" t="str">
        <f>"I0118701"</f>
        <v>I0118701</v>
      </c>
      <c r="J55" t="str">
        <f t="shared" si="11"/>
        <v>NP52205V</v>
      </c>
      <c r="K55" t="str">
        <f t="shared" si="12"/>
        <v>INEI</v>
      </c>
      <c r="L55" t="s">
        <v>2474</v>
      </c>
      <c r="M55">
        <v>117.73</v>
      </c>
    </row>
    <row r="56" spans="1:13" x14ac:dyDescent="0.25">
      <c r="A56" t="str">
        <f t="shared" si="10"/>
        <v>E111</v>
      </c>
      <c r="B56">
        <v>1</v>
      </c>
      <c r="C56" t="str">
        <f t="shared" si="5"/>
        <v>32040</v>
      </c>
      <c r="D56" t="str">
        <f t="shared" si="9"/>
        <v>5620</v>
      </c>
      <c r="E56" t="str">
        <f t="shared" si="6"/>
        <v>850LCK</v>
      </c>
      <c r="F56" t="str">
        <f>""</f>
        <v/>
      </c>
      <c r="G56" t="str">
        <f>""</f>
        <v/>
      </c>
      <c r="H56" s="1">
        <v>42172</v>
      </c>
      <c r="I56" t="str">
        <f>"I0118724"</f>
        <v>I0118724</v>
      </c>
      <c r="J56" t="str">
        <f t="shared" si="11"/>
        <v>NP52205V</v>
      </c>
      <c r="K56" t="str">
        <f t="shared" si="12"/>
        <v>INEI</v>
      </c>
      <c r="L56" t="s">
        <v>2474</v>
      </c>
      <c r="M56" s="2">
        <v>2570.9699999999998</v>
      </c>
    </row>
    <row r="57" spans="1:13" x14ac:dyDescent="0.25">
      <c r="A57" t="str">
        <f t="shared" si="10"/>
        <v>E111</v>
      </c>
      <c r="B57">
        <v>1</v>
      </c>
      <c r="C57" t="str">
        <f t="shared" si="5"/>
        <v>32040</v>
      </c>
      <c r="D57" t="str">
        <f t="shared" si="9"/>
        <v>5620</v>
      </c>
      <c r="E57" t="str">
        <f t="shared" si="6"/>
        <v>850LCK</v>
      </c>
      <c r="F57" t="str">
        <f>""</f>
        <v/>
      </c>
      <c r="G57" t="str">
        <f>""</f>
        <v/>
      </c>
      <c r="H57" s="1">
        <v>42185</v>
      </c>
      <c r="I57" t="str">
        <f>"I0119265"</f>
        <v>I0119265</v>
      </c>
      <c r="J57" t="str">
        <f t="shared" si="11"/>
        <v>NP52205V</v>
      </c>
      <c r="K57" t="str">
        <f t="shared" si="12"/>
        <v>INEI</v>
      </c>
      <c r="L57" t="s">
        <v>2474</v>
      </c>
      <c r="M57">
        <v>342.56</v>
      </c>
    </row>
    <row r="58" spans="1:13" x14ac:dyDescent="0.25">
      <c r="A58" t="str">
        <f t="shared" si="10"/>
        <v>E111</v>
      </c>
      <c r="B58">
        <v>1</v>
      </c>
      <c r="C58" t="str">
        <f t="shared" si="5"/>
        <v>32040</v>
      </c>
      <c r="D58" t="str">
        <f t="shared" si="9"/>
        <v>5620</v>
      </c>
      <c r="E58" t="str">
        <f t="shared" si="6"/>
        <v>850LCK</v>
      </c>
      <c r="F58" t="str">
        <f>""</f>
        <v/>
      </c>
      <c r="G58" t="str">
        <f>""</f>
        <v/>
      </c>
      <c r="H58" s="1">
        <v>42185</v>
      </c>
      <c r="I58" t="str">
        <f>"I0119266"</f>
        <v>I0119266</v>
      </c>
      <c r="J58" t="str">
        <f t="shared" si="11"/>
        <v>NP52205V</v>
      </c>
      <c r="K58" t="str">
        <f t="shared" si="12"/>
        <v>INEI</v>
      </c>
      <c r="L58" t="s">
        <v>2474</v>
      </c>
      <c r="M58">
        <v>194.49</v>
      </c>
    </row>
    <row r="59" spans="1:13" x14ac:dyDescent="0.25">
      <c r="A59" t="str">
        <f t="shared" si="10"/>
        <v>E111</v>
      </c>
      <c r="B59">
        <v>1</v>
      </c>
      <c r="C59" t="str">
        <f t="shared" si="5"/>
        <v>32040</v>
      </c>
      <c r="D59" t="str">
        <f t="shared" si="9"/>
        <v>5620</v>
      </c>
      <c r="E59" t="str">
        <f t="shared" si="6"/>
        <v>850LCK</v>
      </c>
      <c r="F59" t="str">
        <f>""</f>
        <v/>
      </c>
      <c r="G59" t="str">
        <f>""</f>
        <v/>
      </c>
      <c r="H59" s="1">
        <v>42185</v>
      </c>
      <c r="I59" t="str">
        <f>"I0119267"</f>
        <v>I0119267</v>
      </c>
      <c r="J59" t="str">
        <f t="shared" si="11"/>
        <v>NP52205V</v>
      </c>
      <c r="K59" t="str">
        <f t="shared" si="12"/>
        <v>INEI</v>
      </c>
      <c r="L59" t="s">
        <v>2474</v>
      </c>
      <c r="M59">
        <v>676.39</v>
      </c>
    </row>
    <row r="60" spans="1:13" x14ac:dyDescent="0.25">
      <c r="A60" t="str">
        <f t="shared" si="10"/>
        <v>E111</v>
      </c>
      <c r="B60">
        <v>1</v>
      </c>
      <c r="C60" t="str">
        <f t="shared" si="5"/>
        <v>32040</v>
      </c>
      <c r="D60" t="str">
        <f t="shared" si="9"/>
        <v>5620</v>
      </c>
      <c r="E60" t="str">
        <f t="shared" si="6"/>
        <v>850LCK</v>
      </c>
      <c r="F60" t="str">
        <f>""</f>
        <v/>
      </c>
      <c r="G60" t="str">
        <f>""</f>
        <v/>
      </c>
      <c r="H60" s="1">
        <v>42185</v>
      </c>
      <c r="I60" t="str">
        <f>"I0119269"</f>
        <v>I0119269</v>
      </c>
      <c r="J60" t="str">
        <f t="shared" si="11"/>
        <v>NP52205V</v>
      </c>
      <c r="K60" t="str">
        <f t="shared" si="12"/>
        <v>INEI</v>
      </c>
      <c r="L60" t="s">
        <v>2474</v>
      </c>
      <c r="M60">
        <v>270.41000000000003</v>
      </c>
    </row>
    <row r="61" spans="1:13" x14ac:dyDescent="0.25">
      <c r="A61" t="str">
        <f t="shared" si="10"/>
        <v>E111</v>
      </c>
      <c r="B61">
        <v>1</v>
      </c>
      <c r="C61" t="str">
        <f t="shared" si="5"/>
        <v>32040</v>
      </c>
      <c r="D61" t="str">
        <f t="shared" si="9"/>
        <v>5620</v>
      </c>
      <c r="E61" t="str">
        <f t="shared" ref="E61:E101" si="13">"850LOS"</f>
        <v>850LOS</v>
      </c>
      <c r="F61" t="str">
        <f>""</f>
        <v/>
      </c>
      <c r="G61" t="str">
        <f>""</f>
        <v/>
      </c>
      <c r="H61" s="1">
        <v>41852</v>
      </c>
      <c r="I61" t="str">
        <f>"3K038618"</f>
        <v>3K038618</v>
      </c>
      <c r="J61" t="str">
        <f t="shared" ref="J61:J101" si="14">"NP52205U"</f>
        <v>NP52205U</v>
      </c>
      <c r="K61" t="str">
        <f t="shared" si="12"/>
        <v>INEI</v>
      </c>
      <c r="L61" t="s">
        <v>2474</v>
      </c>
      <c r="M61" s="2">
        <v>2108.7800000000002</v>
      </c>
    </row>
    <row r="62" spans="1:13" x14ac:dyDescent="0.25">
      <c r="A62" t="str">
        <f t="shared" si="10"/>
        <v>E111</v>
      </c>
      <c r="B62">
        <v>1</v>
      </c>
      <c r="C62" t="str">
        <f t="shared" ref="C62:C93" si="15">"32040"</f>
        <v>32040</v>
      </c>
      <c r="D62" t="str">
        <f t="shared" si="9"/>
        <v>5620</v>
      </c>
      <c r="E62" t="str">
        <f t="shared" si="13"/>
        <v>850LOS</v>
      </c>
      <c r="F62" t="str">
        <f>""</f>
        <v/>
      </c>
      <c r="G62" t="str">
        <f>""</f>
        <v/>
      </c>
      <c r="H62" s="1">
        <v>41852</v>
      </c>
      <c r="I62" t="str">
        <f>"3K038283"</f>
        <v>3K038283</v>
      </c>
      <c r="J62" t="str">
        <f t="shared" si="14"/>
        <v>NP52205U</v>
      </c>
      <c r="K62" t="str">
        <f t="shared" si="12"/>
        <v>INEI</v>
      </c>
      <c r="L62" t="s">
        <v>2474</v>
      </c>
      <c r="M62" s="2">
        <v>1147.3399999999999</v>
      </c>
    </row>
    <row r="63" spans="1:13" x14ac:dyDescent="0.25">
      <c r="A63" t="str">
        <f t="shared" si="10"/>
        <v>E111</v>
      </c>
      <c r="B63">
        <v>1</v>
      </c>
      <c r="C63" t="str">
        <f t="shared" si="15"/>
        <v>32040</v>
      </c>
      <c r="D63" t="str">
        <f t="shared" si="9"/>
        <v>5620</v>
      </c>
      <c r="E63" t="str">
        <f t="shared" si="13"/>
        <v>850LOS</v>
      </c>
      <c r="F63" t="str">
        <f>""</f>
        <v/>
      </c>
      <c r="G63" t="str">
        <f>""</f>
        <v/>
      </c>
      <c r="H63" s="1">
        <v>41852</v>
      </c>
      <c r="I63" t="str">
        <f>"3K039267"</f>
        <v>3K039267</v>
      </c>
      <c r="J63" t="str">
        <f t="shared" si="14"/>
        <v>NP52205U</v>
      </c>
      <c r="K63" t="str">
        <f t="shared" si="12"/>
        <v>INEI</v>
      </c>
      <c r="L63" t="s">
        <v>2474</v>
      </c>
      <c r="M63" s="2">
        <v>1128.05</v>
      </c>
    </row>
    <row r="64" spans="1:13" x14ac:dyDescent="0.25">
      <c r="A64" t="str">
        <f t="shared" si="10"/>
        <v>E111</v>
      </c>
      <c r="B64">
        <v>1</v>
      </c>
      <c r="C64" t="str">
        <f t="shared" si="15"/>
        <v>32040</v>
      </c>
      <c r="D64" t="str">
        <f t="shared" si="9"/>
        <v>5620</v>
      </c>
      <c r="E64" t="str">
        <f t="shared" si="13"/>
        <v>850LOS</v>
      </c>
      <c r="F64" t="str">
        <f>""</f>
        <v/>
      </c>
      <c r="G64" t="str">
        <f>""</f>
        <v/>
      </c>
      <c r="H64" s="1">
        <v>41852</v>
      </c>
      <c r="I64" t="str">
        <f>"3K038279"</f>
        <v>3K038279</v>
      </c>
      <c r="J64" t="str">
        <f t="shared" si="14"/>
        <v>NP52205U</v>
      </c>
      <c r="K64" t="str">
        <f t="shared" si="12"/>
        <v>INEI</v>
      </c>
      <c r="L64" t="s">
        <v>2474</v>
      </c>
      <c r="M64">
        <v>715.25</v>
      </c>
    </row>
    <row r="65" spans="1:13" x14ac:dyDescent="0.25">
      <c r="A65" t="str">
        <f t="shared" si="10"/>
        <v>E111</v>
      </c>
      <c r="B65">
        <v>1</v>
      </c>
      <c r="C65" t="str">
        <f t="shared" si="15"/>
        <v>32040</v>
      </c>
      <c r="D65" t="str">
        <f t="shared" si="9"/>
        <v>5620</v>
      </c>
      <c r="E65" t="str">
        <f t="shared" si="13"/>
        <v>850LOS</v>
      </c>
      <c r="F65" t="str">
        <f>""</f>
        <v/>
      </c>
      <c r="G65" t="str">
        <f>""</f>
        <v/>
      </c>
      <c r="H65" s="1">
        <v>41852</v>
      </c>
      <c r="I65" t="str">
        <f>"3K038280"</f>
        <v>3K038280</v>
      </c>
      <c r="J65" t="str">
        <f t="shared" si="14"/>
        <v>NP52205U</v>
      </c>
      <c r="K65" t="str">
        <f t="shared" si="12"/>
        <v>INEI</v>
      </c>
      <c r="L65" t="s">
        <v>2474</v>
      </c>
      <c r="M65">
        <v>167.03</v>
      </c>
    </row>
    <row r="66" spans="1:13" x14ac:dyDescent="0.25">
      <c r="A66" t="str">
        <f t="shared" si="10"/>
        <v>E111</v>
      </c>
      <c r="B66">
        <v>1</v>
      </c>
      <c r="C66" t="str">
        <f t="shared" si="15"/>
        <v>32040</v>
      </c>
      <c r="D66" t="str">
        <f t="shared" ref="D66:D97" si="16">"5620"</f>
        <v>5620</v>
      </c>
      <c r="E66" t="str">
        <f t="shared" si="13"/>
        <v>850LOS</v>
      </c>
      <c r="F66" t="str">
        <f>""</f>
        <v/>
      </c>
      <c r="G66" t="str">
        <f>""</f>
        <v/>
      </c>
      <c r="H66" s="1">
        <v>41852</v>
      </c>
      <c r="I66" t="str">
        <f>"3K038281"</f>
        <v>3K038281</v>
      </c>
      <c r="J66" t="str">
        <f t="shared" si="14"/>
        <v>NP52205U</v>
      </c>
      <c r="K66" t="str">
        <f t="shared" si="12"/>
        <v>INEI</v>
      </c>
      <c r="L66" t="s">
        <v>2474</v>
      </c>
      <c r="M66">
        <v>618.48</v>
      </c>
    </row>
    <row r="67" spans="1:13" x14ac:dyDescent="0.25">
      <c r="A67" t="str">
        <f t="shared" si="10"/>
        <v>E111</v>
      </c>
      <c r="B67">
        <v>1</v>
      </c>
      <c r="C67" t="str">
        <f t="shared" si="15"/>
        <v>32040</v>
      </c>
      <c r="D67" t="str">
        <f t="shared" si="16"/>
        <v>5620</v>
      </c>
      <c r="E67" t="str">
        <f t="shared" si="13"/>
        <v>850LOS</v>
      </c>
      <c r="F67" t="str">
        <f>""</f>
        <v/>
      </c>
      <c r="G67" t="str">
        <f>""</f>
        <v/>
      </c>
      <c r="H67" s="1">
        <v>41852</v>
      </c>
      <c r="I67" t="str">
        <f>"3K018282"</f>
        <v>3K018282</v>
      </c>
      <c r="J67" t="str">
        <f t="shared" si="14"/>
        <v>NP52205U</v>
      </c>
      <c r="K67" t="str">
        <f t="shared" si="12"/>
        <v>INEI</v>
      </c>
      <c r="L67" t="s">
        <v>2474</v>
      </c>
      <c r="M67">
        <v>199.79</v>
      </c>
    </row>
    <row r="68" spans="1:13" x14ac:dyDescent="0.25">
      <c r="A68" t="str">
        <f t="shared" si="10"/>
        <v>E111</v>
      </c>
      <c r="B68">
        <v>1</v>
      </c>
      <c r="C68" t="str">
        <f t="shared" si="15"/>
        <v>32040</v>
      </c>
      <c r="D68" t="str">
        <f t="shared" si="16"/>
        <v>5620</v>
      </c>
      <c r="E68" t="str">
        <f t="shared" si="13"/>
        <v>850LOS</v>
      </c>
      <c r="F68" t="str">
        <f>""</f>
        <v/>
      </c>
      <c r="G68" t="str">
        <f>""</f>
        <v/>
      </c>
      <c r="H68" s="1">
        <v>41852</v>
      </c>
      <c r="I68" t="str">
        <f>"3K038284"</f>
        <v>3K038284</v>
      </c>
      <c r="J68" t="str">
        <f t="shared" si="14"/>
        <v>NP52205U</v>
      </c>
      <c r="K68" t="str">
        <f t="shared" si="12"/>
        <v>INEI</v>
      </c>
      <c r="L68" t="s">
        <v>2474</v>
      </c>
      <c r="M68">
        <v>352.51</v>
      </c>
    </row>
    <row r="69" spans="1:13" x14ac:dyDescent="0.25">
      <c r="A69" t="str">
        <f t="shared" si="10"/>
        <v>E111</v>
      </c>
      <c r="B69">
        <v>1</v>
      </c>
      <c r="C69" t="str">
        <f t="shared" si="15"/>
        <v>32040</v>
      </c>
      <c r="D69" t="str">
        <f t="shared" si="16"/>
        <v>5620</v>
      </c>
      <c r="E69" t="str">
        <f t="shared" si="13"/>
        <v>850LOS</v>
      </c>
      <c r="F69" t="str">
        <f>""</f>
        <v/>
      </c>
      <c r="G69" t="str">
        <f>""</f>
        <v/>
      </c>
      <c r="H69" s="1">
        <v>41852</v>
      </c>
      <c r="I69" t="str">
        <f>"3K040007"</f>
        <v>3K040007</v>
      </c>
      <c r="J69" t="str">
        <f t="shared" si="14"/>
        <v>NP52205U</v>
      </c>
      <c r="K69" t="str">
        <f t="shared" si="12"/>
        <v>INEI</v>
      </c>
      <c r="L69" t="s">
        <v>2474</v>
      </c>
      <c r="M69">
        <v>245.66</v>
      </c>
    </row>
    <row r="70" spans="1:13" x14ac:dyDescent="0.25">
      <c r="A70" t="str">
        <f t="shared" ref="A70:A101" si="17">"E111"</f>
        <v>E111</v>
      </c>
      <c r="B70">
        <v>1</v>
      </c>
      <c r="C70" t="str">
        <f t="shared" si="15"/>
        <v>32040</v>
      </c>
      <c r="D70" t="str">
        <f t="shared" si="16"/>
        <v>5620</v>
      </c>
      <c r="E70" t="str">
        <f t="shared" si="13"/>
        <v>850LOS</v>
      </c>
      <c r="F70" t="str">
        <f>""</f>
        <v/>
      </c>
      <c r="G70" t="str">
        <f>""</f>
        <v/>
      </c>
      <c r="H70" s="1">
        <v>41852</v>
      </c>
      <c r="I70" t="str">
        <f>"3K040008"</f>
        <v>3K040008</v>
      </c>
      <c r="J70" t="str">
        <f t="shared" si="14"/>
        <v>NP52205U</v>
      </c>
      <c r="K70" t="str">
        <f t="shared" si="12"/>
        <v>INEI</v>
      </c>
      <c r="L70" t="s">
        <v>2474</v>
      </c>
      <c r="M70">
        <v>900.31</v>
      </c>
    </row>
    <row r="71" spans="1:13" x14ac:dyDescent="0.25">
      <c r="A71" t="str">
        <f t="shared" si="17"/>
        <v>E111</v>
      </c>
      <c r="B71">
        <v>1</v>
      </c>
      <c r="C71" t="str">
        <f t="shared" si="15"/>
        <v>32040</v>
      </c>
      <c r="D71" t="str">
        <f t="shared" si="16"/>
        <v>5620</v>
      </c>
      <c r="E71" t="str">
        <f t="shared" si="13"/>
        <v>850LOS</v>
      </c>
      <c r="F71" t="str">
        <f>""</f>
        <v/>
      </c>
      <c r="G71" t="str">
        <f>""</f>
        <v/>
      </c>
      <c r="H71" s="1">
        <v>41863</v>
      </c>
      <c r="I71" t="str">
        <f>"3K040328"</f>
        <v>3K040328</v>
      </c>
      <c r="J71" t="str">
        <f t="shared" si="14"/>
        <v>NP52205U</v>
      </c>
      <c r="K71" t="str">
        <f t="shared" si="12"/>
        <v>INEI</v>
      </c>
      <c r="L71" t="s">
        <v>2474</v>
      </c>
      <c r="M71">
        <v>775.94</v>
      </c>
    </row>
    <row r="72" spans="1:13" x14ac:dyDescent="0.25">
      <c r="A72" t="str">
        <f t="shared" si="17"/>
        <v>E111</v>
      </c>
      <c r="B72">
        <v>1</v>
      </c>
      <c r="C72" t="str">
        <f t="shared" si="15"/>
        <v>32040</v>
      </c>
      <c r="D72" t="str">
        <f t="shared" si="16"/>
        <v>5620</v>
      </c>
      <c r="E72" t="str">
        <f t="shared" si="13"/>
        <v>850LOS</v>
      </c>
      <c r="F72" t="str">
        <f>""</f>
        <v/>
      </c>
      <c r="G72" t="str">
        <f>""</f>
        <v/>
      </c>
      <c r="H72" s="1">
        <v>41863</v>
      </c>
      <c r="I72" t="str">
        <f>"3K040490"</f>
        <v>3K040490</v>
      </c>
      <c r="J72" t="str">
        <f t="shared" si="14"/>
        <v>NP52205U</v>
      </c>
      <c r="K72" t="str">
        <f t="shared" si="12"/>
        <v>INEI</v>
      </c>
      <c r="L72" t="s">
        <v>2474</v>
      </c>
      <c r="M72">
        <v>257.29000000000002</v>
      </c>
    </row>
    <row r="73" spans="1:13" x14ac:dyDescent="0.25">
      <c r="A73" t="str">
        <f t="shared" si="17"/>
        <v>E111</v>
      </c>
      <c r="B73">
        <v>1</v>
      </c>
      <c r="C73" t="str">
        <f t="shared" si="15"/>
        <v>32040</v>
      </c>
      <c r="D73" t="str">
        <f t="shared" si="16"/>
        <v>5620</v>
      </c>
      <c r="E73" t="str">
        <f t="shared" si="13"/>
        <v>850LOS</v>
      </c>
      <c r="F73" t="str">
        <f>""</f>
        <v/>
      </c>
      <c r="G73" t="str">
        <f>""</f>
        <v/>
      </c>
      <c r="H73" s="1">
        <v>41887</v>
      </c>
      <c r="I73" t="str">
        <f>"3K041334"</f>
        <v>3K041334</v>
      </c>
      <c r="J73" t="str">
        <f t="shared" si="14"/>
        <v>NP52205U</v>
      </c>
      <c r="K73" t="str">
        <f t="shared" si="12"/>
        <v>INEI</v>
      </c>
      <c r="L73" t="s">
        <v>2474</v>
      </c>
      <c r="M73">
        <v>500.67</v>
      </c>
    </row>
    <row r="74" spans="1:13" x14ac:dyDescent="0.25">
      <c r="A74" t="str">
        <f t="shared" si="17"/>
        <v>E111</v>
      </c>
      <c r="B74">
        <v>1</v>
      </c>
      <c r="C74" t="str">
        <f t="shared" si="15"/>
        <v>32040</v>
      </c>
      <c r="D74" t="str">
        <f t="shared" si="16"/>
        <v>5620</v>
      </c>
      <c r="E74" t="str">
        <f t="shared" si="13"/>
        <v>850LOS</v>
      </c>
      <c r="F74" t="str">
        <f>""</f>
        <v/>
      </c>
      <c r="G74" t="str">
        <f>""</f>
        <v/>
      </c>
      <c r="H74" s="1">
        <v>41887</v>
      </c>
      <c r="I74" t="str">
        <f>"3K042162"</f>
        <v>3K042162</v>
      </c>
      <c r="J74" t="str">
        <f t="shared" si="14"/>
        <v>NP52205U</v>
      </c>
      <c r="K74" t="str">
        <f t="shared" si="12"/>
        <v>INEI</v>
      </c>
      <c r="L74" t="s">
        <v>2474</v>
      </c>
      <c r="M74">
        <v>393.06</v>
      </c>
    </row>
    <row r="75" spans="1:13" x14ac:dyDescent="0.25">
      <c r="A75" t="str">
        <f t="shared" si="17"/>
        <v>E111</v>
      </c>
      <c r="B75">
        <v>1</v>
      </c>
      <c r="C75" t="str">
        <f t="shared" si="15"/>
        <v>32040</v>
      </c>
      <c r="D75" t="str">
        <f t="shared" si="16"/>
        <v>5620</v>
      </c>
      <c r="E75" t="str">
        <f t="shared" si="13"/>
        <v>850LOS</v>
      </c>
      <c r="F75" t="str">
        <f>""</f>
        <v/>
      </c>
      <c r="G75" t="str">
        <f>""</f>
        <v/>
      </c>
      <c r="H75" s="1">
        <v>41887</v>
      </c>
      <c r="I75" t="str">
        <f>"3K042163"</f>
        <v>3K042163</v>
      </c>
      <c r="J75" t="str">
        <f t="shared" si="14"/>
        <v>NP52205U</v>
      </c>
      <c r="K75" t="str">
        <f t="shared" si="12"/>
        <v>INEI</v>
      </c>
      <c r="L75" t="s">
        <v>2474</v>
      </c>
      <c r="M75">
        <v>202.28</v>
      </c>
    </row>
    <row r="76" spans="1:13" x14ac:dyDescent="0.25">
      <c r="A76" t="str">
        <f t="shared" si="17"/>
        <v>E111</v>
      </c>
      <c r="B76">
        <v>1</v>
      </c>
      <c r="C76" t="str">
        <f t="shared" si="15"/>
        <v>32040</v>
      </c>
      <c r="D76" t="str">
        <f t="shared" si="16"/>
        <v>5620</v>
      </c>
      <c r="E76" t="str">
        <f t="shared" si="13"/>
        <v>850LOS</v>
      </c>
      <c r="F76" t="str">
        <f>""</f>
        <v/>
      </c>
      <c r="G76" t="str">
        <f>""</f>
        <v/>
      </c>
      <c r="H76" s="1">
        <v>41887</v>
      </c>
      <c r="I76" t="str">
        <f>"3K041618"</f>
        <v>3K041618</v>
      </c>
      <c r="J76" t="str">
        <f t="shared" si="14"/>
        <v>NP52205U</v>
      </c>
      <c r="K76" t="str">
        <f t="shared" si="12"/>
        <v>INEI</v>
      </c>
      <c r="L76" t="s">
        <v>2474</v>
      </c>
      <c r="M76" s="2">
        <v>1072.8699999999999</v>
      </c>
    </row>
    <row r="77" spans="1:13" x14ac:dyDescent="0.25">
      <c r="A77" t="str">
        <f t="shared" si="17"/>
        <v>E111</v>
      </c>
      <c r="B77">
        <v>1</v>
      </c>
      <c r="C77" t="str">
        <f t="shared" si="15"/>
        <v>32040</v>
      </c>
      <c r="D77" t="str">
        <f t="shared" si="16"/>
        <v>5620</v>
      </c>
      <c r="E77" t="str">
        <f t="shared" si="13"/>
        <v>850LOS</v>
      </c>
      <c r="F77" t="str">
        <f>""</f>
        <v/>
      </c>
      <c r="G77" t="str">
        <f>""</f>
        <v/>
      </c>
      <c r="H77" s="1">
        <v>41887</v>
      </c>
      <c r="I77" t="str">
        <f>"3K042700"</f>
        <v>3K042700</v>
      </c>
      <c r="J77" t="str">
        <f t="shared" si="14"/>
        <v>NP52205U</v>
      </c>
      <c r="K77" t="str">
        <f t="shared" si="12"/>
        <v>INEI</v>
      </c>
      <c r="L77" t="s">
        <v>2474</v>
      </c>
      <c r="M77">
        <v>156.33000000000001</v>
      </c>
    </row>
    <row r="78" spans="1:13" x14ac:dyDescent="0.25">
      <c r="A78" t="str">
        <f t="shared" si="17"/>
        <v>E111</v>
      </c>
      <c r="B78">
        <v>1</v>
      </c>
      <c r="C78" t="str">
        <f t="shared" si="15"/>
        <v>32040</v>
      </c>
      <c r="D78" t="str">
        <f t="shared" si="16"/>
        <v>5620</v>
      </c>
      <c r="E78" t="str">
        <f t="shared" si="13"/>
        <v>850LOS</v>
      </c>
      <c r="F78" t="str">
        <f>""</f>
        <v/>
      </c>
      <c r="G78" t="str">
        <f>""</f>
        <v/>
      </c>
      <c r="H78" s="1">
        <v>41887</v>
      </c>
      <c r="I78" t="str">
        <f>"3K043550"</f>
        <v>3K043550</v>
      </c>
      <c r="J78" t="str">
        <f t="shared" si="14"/>
        <v>NP52205U</v>
      </c>
      <c r="K78" t="str">
        <f t="shared" si="12"/>
        <v>INEI</v>
      </c>
      <c r="L78" t="s">
        <v>2474</v>
      </c>
      <c r="M78">
        <v>279.36</v>
      </c>
    </row>
    <row r="79" spans="1:13" x14ac:dyDescent="0.25">
      <c r="A79" t="str">
        <f t="shared" si="17"/>
        <v>E111</v>
      </c>
      <c r="B79">
        <v>1</v>
      </c>
      <c r="C79" t="str">
        <f t="shared" si="15"/>
        <v>32040</v>
      </c>
      <c r="D79" t="str">
        <f t="shared" si="16"/>
        <v>5620</v>
      </c>
      <c r="E79" t="str">
        <f t="shared" si="13"/>
        <v>850LOS</v>
      </c>
      <c r="F79" t="str">
        <f>""</f>
        <v/>
      </c>
      <c r="G79" t="str">
        <f>""</f>
        <v/>
      </c>
      <c r="H79" s="1">
        <v>41887</v>
      </c>
      <c r="I79" t="str">
        <f>"3K043726"</f>
        <v>3K043726</v>
      </c>
      <c r="J79" t="str">
        <f t="shared" si="14"/>
        <v>NP52205U</v>
      </c>
      <c r="K79" t="str">
        <f t="shared" si="12"/>
        <v>INEI</v>
      </c>
      <c r="L79" t="s">
        <v>2474</v>
      </c>
      <c r="M79">
        <v>558.66999999999996</v>
      </c>
    </row>
    <row r="80" spans="1:13" x14ac:dyDescent="0.25">
      <c r="A80" t="str">
        <f t="shared" si="17"/>
        <v>E111</v>
      </c>
      <c r="B80">
        <v>1</v>
      </c>
      <c r="C80" t="str">
        <f t="shared" si="15"/>
        <v>32040</v>
      </c>
      <c r="D80" t="str">
        <f t="shared" si="16"/>
        <v>5620</v>
      </c>
      <c r="E80" t="str">
        <f t="shared" si="13"/>
        <v>850LOS</v>
      </c>
      <c r="F80" t="str">
        <f>""</f>
        <v/>
      </c>
      <c r="G80" t="str">
        <f>""</f>
        <v/>
      </c>
      <c r="H80" s="1">
        <v>41894</v>
      </c>
      <c r="I80" t="str">
        <f>"3K044616"</f>
        <v>3K044616</v>
      </c>
      <c r="J80" t="str">
        <f t="shared" si="14"/>
        <v>NP52205U</v>
      </c>
      <c r="K80" t="str">
        <f t="shared" si="12"/>
        <v>INEI</v>
      </c>
      <c r="L80" t="s">
        <v>2474</v>
      </c>
      <c r="M80">
        <v>409.36</v>
      </c>
    </row>
    <row r="81" spans="1:13" x14ac:dyDescent="0.25">
      <c r="A81" t="str">
        <f t="shared" si="17"/>
        <v>E111</v>
      </c>
      <c r="B81">
        <v>1</v>
      </c>
      <c r="C81" t="str">
        <f t="shared" si="15"/>
        <v>32040</v>
      </c>
      <c r="D81" t="str">
        <f t="shared" si="16"/>
        <v>5620</v>
      </c>
      <c r="E81" t="str">
        <f t="shared" si="13"/>
        <v>850LOS</v>
      </c>
      <c r="F81" t="str">
        <f>""</f>
        <v/>
      </c>
      <c r="G81" t="str">
        <f>""</f>
        <v/>
      </c>
      <c r="H81" s="1">
        <v>41920</v>
      </c>
      <c r="I81" t="str">
        <f>"I0111874"</f>
        <v>I0111874</v>
      </c>
      <c r="J81" t="str">
        <f t="shared" si="14"/>
        <v>NP52205U</v>
      </c>
      <c r="K81" t="str">
        <f t="shared" ref="K81:K101" si="18">"INEI"</f>
        <v>INEI</v>
      </c>
      <c r="L81" t="s">
        <v>2474</v>
      </c>
      <c r="M81" s="2">
        <v>1606.13</v>
      </c>
    </row>
    <row r="82" spans="1:13" x14ac:dyDescent="0.25">
      <c r="A82" t="str">
        <f t="shared" si="17"/>
        <v>E111</v>
      </c>
      <c r="B82">
        <v>1</v>
      </c>
      <c r="C82" t="str">
        <f t="shared" si="15"/>
        <v>32040</v>
      </c>
      <c r="D82" t="str">
        <f t="shared" si="16"/>
        <v>5620</v>
      </c>
      <c r="E82" t="str">
        <f t="shared" si="13"/>
        <v>850LOS</v>
      </c>
      <c r="F82" t="str">
        <f>""</f>
        <v/>
      </c>
      <c r="G82" t="str">
        <f>""</f>
        <v/>
      </c>
      <c r="H82" s="1">
        <v>41920</v>
      </c>
      <c r="I82" t="str">
        <f>"I0111875"</f>
        <v>I0111875</v>
      </c>
      <c r="J82" t="str">
        <f t="shared" si="14"/>
        <v>NP52205U</v>
      </c>
      <c r="K82" t="str">
        <f t="shared" si="18"/>
        <v>INEI</v>
      </c>
      <c r="L82" t="s">
        <v>2474</v>
      </c>
      <c r="M82" s="2">
        <v>1330.49</v>
      </c>
    </row>
    <row r="83" spans="1:13" x14ac:dyDescent="0.25">
      <c r="A83" t="str">
        <f t="shared" si="17"/>
        <v>E111</v>
      </c>
      <c r="B83">
        <v>1</v>
      </c>
      <c r="C83" t="str">
        <f t="shared" si="15"/>
        <v>32040</v>
      </c>
      <c r="D83" t="str">
        <f t="shared" si="16"/>
        <v>5620</v>
      </c>
      <c r="E83" t="str">
        <f t="shared" si="13"/>
        <v>850LOS</v>
      </c>
      <c r="F83" t="str">
        <f>""</f>
        <v/>
      </c>
      <c r="G83" t="str">
        <f>""</f>
        <v/>
      </c>
      <c r="H83" s="1">
        <v>41920</v>
      </c>
      <c r="I83" t="str">
        <f>"I0111876"</f>
        <v>I0111876</v>
      </c>
      <c r="J83" t="str">
        <f t="shared" si="14"/>
        <v>NP52205U</v>
      </c>
      <c r="K83" t="str">
        <f t="shared" si="18"/>
        <v>INEI</v>
      </c>
      <c r="L83" t="s">
        <v>2474</v>
      </c>
      <c r="M83" s="2">
        <v>4935.2</v>
      </c>
    </row>
    <row r="84" spans="1:13" x14ac:dyDescent="0.25">
      <c r="A84" t="str">
        <f t="shared" si="17"/>
        <v>E111</v>
      </c>
      <c r="B84">
        <v>1</v>
      </c>
      <c r="C84" t="str">
        <f t="shared" si="15"/>
        <v>32040</v>
      </c>
      <c r="D84" t="str">
        <f t="shared" si="16"/>
        <v>5620</v>
      </c>
      <c r="E84" t="str">
        <f t="shared" si="13"/>
        <v>850LOS</v>
      </c>
      <c r="F84" t="str">
        <f>""</f>
        <v/>
      </c>
      <c r="G84" t="str">
        <f>""</f>
        <v/>
      </c>
      <c r="H84" s="1">
        <v>41920</v>
      </c>
      <c r="I84" t="str">
        <f>"I0111877"</f>
        <v>I0111877</v>
      </c>
      <c r="J84" t="str">
        <f t="shared" si="14"/>
        <v>NP52205U</v>
      </c>
      <c r="K84" t="str">
        <f t="shared" si="18"/>
        <v>INEI</v>
      </c>
      <c r="L84" t="s">
        <v>2474</v>
      </c>
      <c r="M84">
        <v>141.30000000000001</v>
      </c>
    </row>
    <row r="85" spans="1:13" x14ac:dyDescent="0.25">
      <c r="A85" t="str">
        <f t="shared" si="17"/>
        <v>E111</v>
      </c>
      <c r="B85">
        <v>1</v>
      </c>
      <c r="C85" t="str">
        <f t="shared" si="15"/>
        <v>32040</v>
      </c>
      <c r="D85" t="str">
        <f t="shared" si="16"/>
        <v>5620</v>
      </c>
      <c r="E85" t="str">
        <f t="shared" si="13"/>
        <v>850LOS</v>
      </c>
      <c r="F85" t="str">
        <f>""</f>
        <v/>
      </c>
      <c r="G85" t="str">
        <f>""</f>
        <v/>
      </c>
      <c r="H85" s="1">
        <v>41920</v>
      </c>
      <c r="I85" t="str">
        <f>"I0111879"</f>
        <v>I0111879</v>
      </c>
      <c r="J85" t="str">
        <f t="shared" si="14"/>
        <v>NP52205U</v>
      </c>
      <c r="K85" t="str">
        <f t="shared" si="18"/>
        <v>INEI</v>
      </c>
      <c r="L85" t="s">
        <v>2474</v>
      </c>
      <c r="M85">
        <v>223.44</v>
      </c>
    </row>
    <row r="86" spans="1:13" x14ac:dyDescent="0.25">
      <c r="A86" t="str">
        <f t="shared" si="17"/>
        <v>E111</v>
      </c>
      <c r="B86">
        <v>1</v>
      </c>
      <c r="C86" t="str">
        <f t="shared" si="15"/>
        <v>32040</v>
      </c>
      <c r="D86" t="str">
        <f t="shared" si="16"/>
        <v>5620</v>
      </c>
      <c r="E86" t="str">
        <f t="shared" si="13"/>
        <v>850LOS</v>
      </c>
      <c r="F86" t="str">
        <f>""</f>
        <v/>
      </c>
      <c r="G86" t="str">
        <f>""</f>
        <v/>
      </c>
      <c r="H86" s="1">
        <v>41940</v>
      </c>
      <c r="I86" t="str">
        <f>"I0112505"</f>
        <v>I0112505</v>
      </c>
      <c r="J86" t="str">
        <f t="shared" si="14"/>
        <v>NP52205U</v>
      </c>
      <c r="K86" t="str">
        <f t="shared" si="18"/>
        <v>INEI</v>
      </c>
      <c r="L86" t="s">
        <v>2474</v>
      </c>
      <c r="M86" s="2">
        <v>1984.6</v>
      </c>
    </row>
    <row r="87" spans="1:13" x14ac:dyDescent="0.25">
      <c r="A87" t="str">
        <f t="shared" si="17"/>
        <v>E111</v>
      </c>
      <c r="B87">
        <v>1</v>
      </c>
      <c r="C87" t="str">
        <f t="shared" si="15"/>
        <v>32040</v>
      </c>
      <c r="D87" t="str">
        <f t="shared" si="16"/>
        <v>5620</v>
      </c>
      <c r="E87" t="str">
        <f t="shared" si="13"/>
        <v>850LOS</v>
      </c>
      <c r="F87" t="str">
        <f>""</f>
        <v/>
      </c>
      <c r="G87" t="str">
        <f>""</f>
        <v/>
      </c>
      <c r="H87" s="1">
        <v>41940</v>
      </c>
      <c r="I87" t="str">
        <f>"I0112506"</f>
        <v>I0112506</v>
      </c>
      <c r="J87" t="str">
        <f t="shared" si="14"/>
        <v>NP52205U</v>
      </c>
      <c r="K87" t="str">
        <f t="shared" si="18"/>
        <v>INEI</v>
      </c>
      <c r="L87" t="s">
        <v>2474</v>
      </c>
      <c r="M87" s="2">
        <v>1335.92</v>
      </c>
    </row>
    <row r="88" spans="1:13" x14ac:dyDescent="0.25">
      <c r="A88" t="str">
        <f t="shared" si="17"/>
        <v>E111</v>
      </c>
      <c r="B88">
        <v>1</v>
      </c>
      <c r="C88" t="str">
        <f t="shared" si="15"/>
        <v>32040</v>
      </c>
      <c r="D88" t="str">
        <f t="shared" si="16"/>
        <v>5620</v>
      </c>
      <c r="E88" t="str">
        <f t="shared" si="13"/>
        <v>850LOS</v>
      </c>
      <c r="F88" t="str">
        <f>""</f>
        <v/>
      </c>
      <c r="G88" t="str">
        <f>""</f>
        <v/>
      </c>
      <c r="H88" s="1">
        <v>41940</v>
      </c>
      <c r="I88" t="str">
        <f>"I0112507"</f>
        <v>I0112507</v>
      </c>
      <c r="J88" t="str">
        <f t="shared" si="14"/>
        <v>NP52205U</v>
      </c>
      <c r="K88" t="str">
        <f t="shared" si="18"/>
        <v>INEI</v>
      </c>
      <c r="L88" t="s">
        <v>2474</v>
      </c>
      <c r="M88">
        <v>475.94</v>
      </c>
    </row>
    <row r="89" spans="1:13" x14ac:dyDescent="0.25">
      <c r="A89" t="str">
        <f t="shared" si="17"/>
        <v>E111</v>
      </c>
      <c r="B89">
        <v>1</v>
      </c>
      <c r="C89" t="str">
        <f t="shared" si="15"/>
        <v>32040</v>
      </c>
      <c r="D89" t="str">
        <f t="shared" si="16"/>
        <v>5620</v>
      </c>
      <c r="E89" t="str">
        <f t="shared" si="13"/>
        <v>850LOS</v>
      </c>
      <c r="F89" t="str">
        <f>""</f>
        <v/>
      </c>
      <c r="G89" t="str">
        <f>""</f>
        <v/>
      </c>
      <c r="H89" s="1">
        <v>41964</v>
      </c>
      <c r="I89" t="str">
        <f>"I0113153"</f>
        <v>I0113153</v>
      </c>
      <c r="J89" t="str">
        <f t="shared" si="14"/>
        <v>NP52205U</v>
      </c>
      <c r="K89" t="str">
        <f t="shared" si="18"/>
        <v>INEI</v>
      </c>
      <c r="L89" t="s">
        <v>2474</v>
      </c>
      <c r="M89">
        <v>872.32</v>
      </c>
    </row>
    <row r="90" spans="1:13" x14ac:dyDescent="0.25">
      <c r="A90" t="str">
        <f t="shared" si="17"/>
        <v>E111</v>
      </c>
      <c r="B90">
        <v>1</v>
      </c>
      <c r="C90" t="str">
        <f t="shared" si="15"/>
        <v>32040</v>
      </c>
      <c r="D90" t="str">
        <f t="shared" si="16"/>
        <v>5620</v>
      </c>
      <c r="E90" t="str">
        <f t="shared" si="13"/>
        <v>850LOS</v>
      </c>
      <c r="F90" t="str">
        <f>""</f>
        <v/>
      </c>
      <c r="G90" t="str">
        <f>""</f>
        <v/>
      </c>
      <c r="H90" s="1">
        <v>41964</v>
      </c>
      <c r="I90" t="str">
        <f>"I0113154"</f>
        <v>I0113154</v>
      </c>
      <c r="J90" t="str">
        <f t="shared" si="14"/>
        <v>NP52205U</v>
      </c>
      <c r="K90" t="str">
        <f t="shared" si="18"/>
        <v>INEI</v>
      </c>
      <c r="L90" t="s">
        <v>2474</v>
      </c>
      <c r="M90">
        <v>673.45</v>
      </c>
    </row>
    <row r="91" spans="1:13" x14ac:dyDescent="0.25">
      <c r="A91" t="str">
        <f t="shared" si="17"/>
        <v>E111</v>
      </c>
      <c r="B91">
        <v>1</v>
      </c>
      <c r="C91" t="str">
        <f t="shared" si="15"/>
        <v>32040</v>
      </c>
      <c r="D91" t="str">
        <f t="shared" si="16"/>
        <v>5620</v>
      </c>
      <c r="E91" t="str">
        <f t="shared" si="13"/>
        <v>850LOS</v>
      </c>
      <c r="F91" t="str">
        <f>""</f>
        <v/>
      </c>
      <c r="G91" t="str">
        <f>""</f>
        <v/>
      </c>
      <c r="H91" s="1">
        <v>41964</v>
      </c>
      <c r="I91" t="str">
        <f>"I0113155"</f>
        <v>I0113155</v>
      </c>
      <c r="J91" t="str">
        <f t="shared" si="14"/>
        <v>NP52205U</v>
      </c>
      <c r="K91" t="str">
        <f t="shared" si="18"/>
        <v>INEI</v>
      </c>
      <c r="L91" t="s">
        <v>2474</v>
      </c>
      <c r="M91">
        <v>602.9</v>
      </c>
    </row>
    <row r="92" spans="1:13" x14ac:dyDescent="0.25">
      <c r="A92" t="str">
        <f t="shared" si="17"/>
        <v>E111</v>
      </c>
      <c r="B92">
        <v>1</v>
      </c>
      <c r="C92" t="str">
        <f t="shared" si="15"/>
        <v>32040</v>
      </c>
      <c r="D92" t="str">
        <f t="shared" si="16"/>
        <v>5620</v>
      </c>
      <c r="E92" t="str">
        <f t="shared" si="13"/>
        <v>850LOS</v>
      </c>
      <c r="F92" t="str">
        <f>""</f>
        <v/>
      </c>
      <c r="G92" t="str">
        <f>""</f>
        <v/>
      </c>
      <c r="H92" s="1">
        <v>41978</v>
      </c>
      <c r="I92" t="str">
        <f>"I0113485"</f>
        <v>I0113485</v>
      </c>
      <c r="J92" t="str">
        <f t="shared" si="14"/>
        <v>NP52205U</v>
      </c>
      <c r="K92" t="str">
        <f t="shared" si="18"/>
        <v>INEI</v>
      </c>
      <c r="L92" t="s">
        <v>2474</v>
      </c>
      <c r="M92">
        <v>524.67999999999995</v>
      </c>
    </row>
    <row r="93" spans="1:13" x14ac:dyDescent="0.25">
      <c r="A93" t="str">
        <f t="shared" si="17"/>
        <v>E111</v>
      </c>
      <c r="B93">
        <v>1</v>
      </c>
      <c r="C93" t="str">
        <f t="shared" si="15"/>
        <v>32040</v>
      </c>
      <c r="D93" t="str">
        <f t="shared" si="16"/>
        <v>5620</v>
      </c>
      <c r="E93" t="str">
        <f t="shared" si="13"/>
        <v>850LOS</v>
      </c>
      <c r="F93" t="str">
        <f>""</f>
        <v/>
      </c>
      <c r="G93" t="str">
        <f>""</f>
        <v/>
      </c>
      <c r="H93" s="1">
        <v>41981</v>
      </c>
      <c r="I93" t="str">
        <f>"I0113486"</f>
        <v>I0113486</v>
      </c>
      <c r="J93" t="str">
        <f t="shared" si="14"/>
        <v>NP52205U</v>
      </c>
      <c r="K93" t="str">
        <f t="shared" si="18"/>
        <v>INEI</v>
      </c>
      <c r="L93" t="s">
        <v>2474</v>
      </c>
      <c r="M93" s="2">
        <v>1075.5899999999999</v>
      </c>
    </row>
    <row r="94" spans="1:13" x14ac:dyDescent="0.25">
      <c r="A94" t="str">
        <f t="shared" si="17"/>
        <v>E111</v>
      </c>
      <c r="B94">
        <v>1</v>
      </c>
      <c r="C94" t="str">
        <f t="shared" ref="C94:C101" si="19">"32040"</f>
        <v>32040</v>
      </c>
      <c r="D94" t="str">
        <f t="shared" si="16"/>
        <v>5620</v>
      </c>
      <c r="E94" t="str">
        <f t="shared" si="13"/>
        <v>850LOS</v>
      </c>
      <c r="F94" t="str">
        <f>""</f>
        <v/>
      </c>
      <c r="G94" t="str">
        <f>""</f>
        <v/>
      </c>
      <c r="H94" s="1">
        <v>41997</v>
      </c>
      <c r="I94" t="str">
        <f>"I0114161"</f>
        <v>I0114161</v>
      </c>
      <c r="J94" t="str">
        <f t="shared" si="14"/>
        <v>NP52205U</v>
      </c>
      <c r="K94" t="str">
        <f t="shared" si="18"/>
        <v>INEI</v>
      </c>
      <c r="L94" t="s">
        <v>2474</v>
      </c>
      <c r="M94" s="2">
        <v>1679.25</v>
      </c>
    </row>
    <row r="95" spans="1:13" x14ac:dyDescent="0.25">
      <c r="A95" t="str">
        <f t="shared" si="17"/>
        <v>E111</v>
      </c>
      <c r="B95">
        <v>1</v>
      </c>
      <c r="C95" t="str">
        <f t="shared" si="19"/>
        <v>32040</v>
      </c>
      <c r="D95" t="str">
        <f t="shared" si="16"/>
        <v>5620</v>
      </c>
      <c r="E95" t="str">
        <f t="shared" si="13"/>
        <v>850LOS</v>
      </c>
      <c r="F95" t="str">
        <f>""</f>
        <v/>
      </c>
      <c r="G95" t="str">
        <f>""</f>
        <v/>
      </c>
      <c r="H95" s="1">
        <v>42004</v>
      </c>
      <c r="I95" t="str">
        <f>"I0114305"</f>
        <v>I0114305</v>
      </c>
      <c r="J95" t="str">
        <f t="shared" si="14"/>
        <v>NP52205U</v>
      </c>
      <c r="K95" t="str">
        <f t="shared" si="18"/>
        <v>INEI</v>
      </c>
      <c r="L95" t="s">
        <v>2474</v>
      </c>
      <c r="M95">
        <v>700.27</v>
      </c>
    </row>
    <row r="96" spans="1:13" x14ac:dyDescent="0.25">
      <c r="A96" t="str">
        <f t="shared" si="17"/>
        <v>E111</v>
      </c>
      <c r="B96">
        <v>1</v>
      </c>
      <c r="C96" t="str">
        <f t="shared" si="19"/>
        <v>32040</v>
      </c>
      <c r="D96" t="str">
        <f t="shared" si="16"/>
        <v>5620</v>
      </c>
      <c r="E96" t="str">
        <f t="shared" si="13"/>
        <v>850LOS</v>
      </c>
      <c r="F96" t="str">
        <f>""</f>
        <v/>
      </c>
      <c r="G96" t="str">
        <f>""</f>
        <v/>
      </c>
      <c r="H96" s="1">
        <v>42004</v>
      </c>
      <c r="I96" t="str">
        <f>"I0114306"</f>
        <v>I0114306</v>
      </c>
      <c r="J96" t="str">
        <f t="shared" si="14"/>
        <v>NP52205U</v>
      </c>
      <c r="K96" t="str">
        <f t="shared" si="18"/>
        <v>INEI</v>
      </c>
      <c r="L96" t="s">
        <v>2474</v>
      </c>
      <c r="M96">
        <v>418.35</v>
      </c>
    </row>
    <row r="97" spans="1:13" x14ac:dyDescent="0.25">
      <c r="A97" t="str">
        <f t="shared" si="17"/>
        <v>E111</v>
      </c>
      <c r="B97">
        <v>1</v>
      </c>
      <c r="C97" t="str">
        <f t="shared" si="19"/>
        <v>32040</v>
      </c>
      <c r="D97" t="str">
        <f t="shared" si="16"/>
        <v>5620</v>
      </c>
      <c r="E97" t="str">
        <f t="shared" si="13"/>
        <v>850LOS</v>
      </c>
      <c r="F97" t="str">
        <f>""</f>
        <v/>
      </c>
      <c r="G97" t="str">
        <f>""</f>
        <v/>
      </c>
      <c r="H97" s="1">
        <v>42018</v>
      </c>
      <c r="I97" t="str">
        <f>"I0114651"</f>
        <v>I0114651</v>
      </c>
      <c r="J97" t="str">
        <f t="shared" si="14"/>
        <v>NP52205U</v>
      </c>
      <c r="K97" t="str">
        <f t="shared" si="18"/>
        <v>INEI</v>
      </c>
      <c r="L97" t="s">
        <v>2474</v>
      </c>
      <c r="M97">
        <v>976.78</v>
      </c>
    </row>
    <row r="98" spans="1:13" x14ac:dyDescent="0.25">
      <c r="A98" t="str">
        <f t="shared" si="17"/>
        <v>E111</v>
      </c>
      <c r="B98">
        <v>1</v>
      </c>
      <c r="C98" t="str">
        <f t="shared" si="19"/>
        <v>32040</v>
      </c>
      <c r="D98" t="str">
        <f t="shared" ref="D98:D129" si="20">"5620"</f>
        <v>5620</v>
      </c>
      <c r="E98" t="str">
        <f t="shared" si="13"/>
        <v>850LOS</v>
      </c>
      <c r="F98" t="str">
        <f>""</f>
        <v/>
      </c>
      <c r="G98" t="str">
        <f>""</f>
        <v/>
      </c>
      <c r="H98" s="1">
        <v>42034</v>
      </c>
      <c r="I98" t="str">
        <f>"I0115033"</f>
        <v>I0115033</v>
      </c>
      <c r="J98" t="str">
        <f t="shared" si="14"/>
        <v>NP52205U</v>
      </c>
      <c r="K98" t="str">
        <f t="shared" si="18"/>
        <v>INEI</v>
      </c>
      <c r="L98" t="s">
        <v>2474</v>
      </c>
      <c r="M98">
        <v>976.78</v>
      </c>
    </row>
    <row r="99" spans="1:13" x14ac:dyDescent="0.25">
      <c r="A99" t="str">
        <f t="shared" si="17"/>
        <v>E111</v>
      </c>
      <c r="B99">
        <v>1</v>
      </c>
      <c r="C99" t="str">
        <f t="shared" si="19"/>
        <v>32040</v>
      </c>
      <c r="D99" t="str">
        <f t="shared" si="20"/>
        <v>5620</v>
      </c>
      <c r="E99" t="str">
        <f t="shared" si="13"/>
        <v>850LOS</v>
      </c>
      <c r="F99" t="str">
        <f>""</f>
        <v/>
      </c>
      <c r="G99" t="str">
        <f>""</f>
        <v/>
      </c>
      <c r="H99" s="1">
        <v>42038</v>
      </c>
      <c r="I99" t="str">
        <f>"I0115030"</f>
        <v>I0115030</v>
      </c>
      <c r="J99" t="str">
        <f t="shared" si="14"/>
        <v>NP52205U</v>
      </c>
      <c r="K99" t="str">
        <f t="shared" si="18"/>
        <v>INEI</v>
      </c>
      <c r="L99" t="s">
        <v>2474</v>
      </c>
      <c r="M99" s="2">
        <v>1255.99</v>
      </c>
    </row>
    <row r="100" spans="1:13" x14ac:dyDescent="0.25">
      <c r="A100" t="str">
        <f t="shared" si="17"/>
        <v>E111</v>
      </c>
      <c r="B100">
        <v>1</v>
      </c>
      <c r="C100" t="str">
        <f t="shared" si="19"/>
        <v>32040</v>
      </c>
      <c r="D100" t="str">
        <f t="shared" si="20"/>
        <v>5620</v>
      </c>
      <c r="E100" t="str">
        <f t="shared" si="13"/>
        <v>850LOS</v>
      </c>
      <c r="F100" t="str">
        <f>""</f>
        <v/>
      </c>
      <c r="G100" t="str">
        <f>""</f>
        <v/>
      </c>
      <c r="H100" s="1">
        <v>42038</v>
      </c>
      <c r="I100" t="str">
        <f>"I0115032"</f>
        <v>I0115032</v>
      </c>
      <c r="J100" t="str">
        <f t="shared" si="14"/>
        <v>NP52205U</v>
      </c>
      <c r="K100" t="str">
        <f t="shared" si="18"/>
        <v>INEI</v>
      </c>
      <c r="L100" t="s">
        <v>2474</v>
      </c>
      <c r="M100" s="2">
        <v>10225.41</v>
      </c>
    </row>
    <row r="101" spans="1:13" x14ac:dyDescent="0.25">
      <c r="A101" t="str">
        <f t="shared" si="17"/>
        <v>E111</v>
      </c>
      <c r="B101">
        <v>1</v>
      </c>
      <c r="C101" t="str">
        <f t="shared" si="19"/>
        <v>32040</v>
      </c>
      <c r="D101" t="str">
        <f t="shared" si="20"/>
        <v>5620</v>
      </c>
      <c r="E101" t="str">
        <f t="shared" si="13"/>
        <v>850LOS</v>
      </c>
      <c r="F101" t="str">
        <f>""</f>
        <v/>
      </c>
      <c r="G101" t="str">
        <f>""</f>
        <v/>
      </c>
      <c r="H101" s="1">
        <v>42038</v>
      </c>
      <c r="I101" t="str">
        <f>"I0115031"</f>
        <v>I0115031</v>
      </c>
      <c r="J101" t="str">
        <f t="shared" si="14"/>
        <v>NP52205U</v>
      </c>
      <c r="K101" t="str">
        <f t="shared" si="18"/>
        <v>INEI</v>
      </c>
      <c r="L101" t="s">
        <v>2474</v>
      </c>
      <c r="M101" s="2">
        <v>1344.63</v>
      </c>
    </row>
    <row r="102" spans="1:13" x14ac:dyDescent="0.25">
      <c r="A102" t="str">
        <f t="shared" ref="A102:A133" si="21">"E111"</f>
        <v>E111</v>
      </c>
      <c r="B102">
        <v>1</v>
      </c>
      <c r="C102" t="str">
        <f t="shared" ref="C102:C133" si="22">"43000"</f>
        <v>43000</v>
      </c>
      <c r="D102" t="str">
        <f t="shared" si="20"/>
        <v>5620</v>
      </c>
      <c r="E102" t="str">
        <f>"850ALT"</f>
        <v>850ALT</v>
      </c>
      <c r="F102" t="str">
        <f>""</f>
        <v/>
      </c>
      <c r="G102" t="str">
        <f>""</f>
        <v/>
      </c>
      <c r="H102" s="1">
        <v>41851</v>
      </c>
      <c r="I102" t="str">
        <f>"BKS01451"</f>
        <v>BKS01451</v>
      </c>
      <c r="J102" t="str">
        <f>"758442"</f>
        <v>758442</v>
      </c>
      <c r="K102" t="str">
        <f>"AS89"</f>
        <v>AS89</v>
      </c>
      <c r="L102" t="s">
        <v>746</v>
      </c>
      <c r="M102">
        <v>200</v>
      </c>
    </row>
    <row r="103" spans="1:13" x14ac:dyDescent="0.25">
      <c r="A103" t="str">
        <f t="shared" si="21"/>
        <v>E111</v>
      </c>
      <c r="B103">
        <v>1</v>
      </c>
      <c r="C103" t="str">
        <f t="shared" si="22"/>
        <v>43000</v>
      </c>
      <c r="D103" t="str">
        <f t="shared" si="20"/>
        <v>5620</v>
      </c>
      <c r="E103" t="str">
        <f t="shared" ref="E103:E130" si="23">"850LOS"</f>
        <v>850LOS</v>
      </c>
      <c r="F103" t="str">
        <f>"PKOLOT"</f>
        <v>PKOLOT</v>
      </c>
      <c r="G103" t="str">
        <f>""</f>
        <v/>
      </c>
      <c r="H103" s="1">
        <v>42035</v>
      </c>
      <c r="I103" t="str">
        <f>"PCD00705"</f>
        <v>PCD00705</v>
      </c>
      <c r="J103" t="str">
        <f>""</f>
        <v/>
      </c>
      <c r="K103" t="str">
        <f>"AS89"</f>
        <v>AS89</v>
      </c>
      <c r="L103" t="s">
        <v>2751</v>
      </c>
      <c r="M103">
        <v>254.25</v>
      </c>
    </row>
    <row r="104" spans="1:13" x14ac:dyDescent="0.25">
      <c r="A104" t="str">
        <f t="shared" si="21"/>
        <v>E111</v>
      </c>
      <c r="B104">
        <v>1</v>
      </c>
      <c r="C104" t="str">
        <f t="shared" si="22"/>
        <v>43000</v>
      </c>
      <c r="D104" t="str">
        <f t="shared" si="20"/>
        <v>5620</v>
      </c>
      <c r="E104" t="str">
        <f t="shared" si="23"/>
        <v>850LOS</v>
      </c>
      <c r="F104" t="str">
        <f>"PKOLOT"</f>
        <v>PKOLOT</v>
      </c>
      <c r="G104" t="str">
        <f>""</f>
        <v/>
      </c>
      <c r="H104" s="1">
        <v>42064</v>
      </c>
      <c r="I104" t="str">
        <f>"I0115431"</f>
        <v>I0115431</v>
      </c>
      <c r="J104" t="str">
        <f>"N076383I"</f>
        <v>N076383I</v>
      </c>
      <c r="K104" t="str">
        <f>"INEI"</f>
        <v>INEI</v>
      </c>
      <c r="L104" t="s">
        <v>140</v>
      </c>
      <c r="M104" s="2">
        <v>1276.2</v>
      </c>
    </row>
    <row r="105" spans="1:13" x14ac:dyDescent="0.25">
      <c r="A105" t="str">
        <f t="shared" si="21"/>
        <v>E111</v>
      </c>
      <c r="B105">
        <v>1</v>
      </c>
      <c r="C105" t="str">
        <f t="shared" si="22"/>
        <v>43000</v>
      </c>
      <c r="D105" t="str">
        <f t="shared" si="20"/>
        <v>5620</v>
      </c>
      <c r="E105" t="str">
        <f t="shared" si="23"/>
        <v>850LOS</v>
      </c>
      <c r="F105" t="str">
        <f>"PKOLOT"</f>
        <v>PKOLOT</v>
      </c>
      <c r="G105" t="str">
        <f>""</f>
        <v/>
      </c>
      <c r="H105" s="1">
        <v>42074</v>
      </c>
      <c r="I105" t="str">
        <f>"I0116009"</f>
        <v>I0116009</v>
      </c>
      <c r="J105" t="str">
        <f>"N076383I"</f>
        <v>N076383I</v>
      </c>
      <c r="K105" t="str">
        <f>"INEI"</f>
        <v>INEI</v>
      </c>
      <c r="L105" t="s">
        <v>140</v>
      </c>
      <c r="M105">
        <v>976.55</v>
      </c>
    </row>
    <row r="106" spans="1:13" x14ac:dyDescent="0.25">
      <c r="A106" t="str">
        <f t="shared" si="21"/>
        <v>E111</v>
      </c>
      <c r="B106">
        <v>1</v>
      </c>
      <c r="C106" t="str">
        <f t="shared" si="22"/>
        <v>43000</v>
      </c>
      <c r="D106" t="str">
        <f t="shared" si="20"/>
        <v>5620</v>
      </c>
      <c r="E106" t="str">
        <f t="shared" si="23"/>
        <v>850LOS</v>
      </c>
      <c r="F106" t="str">
        <f>"PKOLOT"</f>
        <v>PKOLOT</v>
      </c>
      <c r="G106" t="str">
        <f>""</f>
        <v/>
      </c>
      <c r="H106" s="1">
        <v>42102</v>
      </c>
      <c r="I106" t="str">
        <f>"I0116903"</f>
        <v>I0116903</v>
      </c>
      <c r="J106" t="str">
        <f>"N076383I"</f>
        <v>N076383I</v>
      </c>
      <c r="K106" t="str">
        <f>"INEI"</f>
        <v>INEI</v>
      </c>
      <c r="L106" t="s">
        <v>140</v>
      </c>
      <c r="M106" s="2">
        <v>1234.42</v>
      </c>
    </row>
    <row r="107" spans="1:13" x14ac:dyDescent="0.25">
      <c r="A107" t="str">
        <f t="shared" si="21"/>
        <v>E111</v>
      </c>
      <c r="B107">
        <v>1</v>
      </c>
      <c r="C107" t="str">
        <f t="shared" si="22"/>
        <v>43000</v>
      </c>
      <c r="D107" t="str">
        <f t="shared" si="20"/>
        <v>5620</v>
      </c>
      <c r="E107" t="str">
        <f t="shared" si="23"/>
        <v>850LOS</v>
      </c>
      <c r="F107" t="str">
        <f>"PKOLOT"</f>
        <v>PKOLOT</v>
      </c>
      <c r="G107" t="str">
        <f>""</f>
        <v/>
      </c>
      <c r="H107" s="1">
        <v>42185</v>
      </c>
      <c r="I107" t="str">
        <f>"PCD00730"</f>
        <v>PCD00730</v>
      </c>
      <c r="J107" t="str">
        <f>""</f>
        <v/>
      </c>
      <c r="K107" t="str">
        <f>"AS89"</f>
        <v>AS89</v>
      </c>
      <c r="L107" t="s">
        <v>2750</v>
      </c>
      <c r="M107">
        <v>220.75</v>
      </c>
    </row>
    <row r="108" spans="1:13" x14ac:dyDescent="0.25">
      <c r="A108" t="str">
        <f t="shared" si="21"/>
        <v>E111</v>
      </c>
      <c r="B108">
        <v>1</v>
      </c>
      <c r="C108" t="str">
        <f t="shared" si="22"/>
        <v>43000</v>
      </c>
      <c r="D108" t="str">
        <f t="shared" si="20"/>
        <v>5620</v>
      </c>
      <c r="E108" t="str">
        <f t="shared" si="23"/>
        <v>850LOS</v>
      </c>
      <c r="F108" t="str">
        <f>""</f>
        <v/>
      </c>
      <c r="G108" t="str">
        <f>""</f>
        <v/>
      </c>
      <c r="H108" s="1">
        <v>41851</v>
      </c>
      <c r="I108" t="str">
        <f>"PCD00675"</f>
        <v>PCD00675</v>
      </c>
      <c r="J108" t="str">
        <f>""</f>
        <v/>
      </c>
      <c r="K108" t="str">
        <f>"AS89"</f>
        <v>AS89</v>
      </c>
      <c r="L108" t="s">
        <v>2749</v>
      </c>
      <c r="M108">
        <v>847.98</v>
      </c>
    </row>
    <row r="109" spans="1:13" x14ac:dyDescent="0.25">
      <c r="A109" t="str">
        <f t="shared" si="21"/>
        <v>E111</v>
      </c>
      <c r="B109">
        <v>1</v>
      </c>
      <c r="C109" t="str">
        <f t="shared" si="22"/>
        <v>43000</v>
      </c>
      <c r="D109" t="str">
        <f t="shared" si="20"/>
        <v>5620</v>
      </c>
      <c r="E109" t="str">
        <f t="shared" si="23"/>
        <v>850LOS</v>
      </c>
      <c r="F109" t="str">
        <f>""</f>
        <v/>
      </c>
      <c r="G109" t="str">
        <f>""</f>
        <v/>
      </c>
      <c r="H109" s="1">
        <v>41851</v>
      </c>
      <c r="I109" t="str">
        <f>"PCD00675"</f>
        <v>PCD00675</v>
      </c>
      <c r="J109" t="str">
        <f>""</f>
        <v/>
      </c>
      <c r="K109" t="str">
        <f>"AS89"</f>
        <v>AS89</v>
      </c>
      <c r="L109" t="s">
        <v>2748</v>
      </c>
      <c r="M109">
        <v>326.07</v>
      </c>
    </row>
    <row r="110" spans="1:13" x14ac:dyDescent="0.25">
      <c r="A110" t="str">
        <f t="shared" si="21"/>
        <v>E111</v>
      </c>
      <c r="B110">
        <v>1</v>
      </c>
      <c r="C110" t="str">
        <f t="shared" si="22"/>
        <v>43000</v>
      </c>
      <c r="D110" t="str">
        <f t="shared" si="20"/>
        <v>5620</v>
      </c>
      <c r="E110" t="str">
        <f t="shared" si="23"/>
        <v>850LOS</v>
      </c>
      <c r="F110" t="str">
        <f>""</f>
        <v/>
      </c>
      <c r="G110" t="str">
        <f>""</f>
        <v/>
      </c>
      <c r="H110" s="1">
        <v>41851</v>
      </c>
      <c r="I110" t="str">
        <f>"PCD00675"</f>
        <v>PCD00675</v>
      </c>
      <c r="J110" t="str">
        <f>""</f>
        <v/>
      </c>
      <c r="K110" t="str">
        <f>"AS89"</f>
        <v>AS89</v>
      </c>
      <c r="L110" t="s">
        <v>2747</v>
      </c>
      <c r="M110">
        <v>212.62</v>
      </c>
    </row>
    <row r="111" spans="1:13" x14ac:dyDescent="0.25">
      <c r="A111" t="str">
        <f t="shared" si="21"/>
        <v>E111</v>
      </c>
      <c r="B111">
        <v>1</v>
      </c>
      <c r="C111" t="str">
        <f t="shared" si="22"/>
        <v>43000</v>
      </c>
      <c r="D111" t="str">
        <f t="shared" si="20"/>
        <v>5620</v>
      </c>
      <c r="E111" t="str">
        <f t="shared" si="23"/>
        <v>850LOS</v>
      </c>
      <c r="F111" t="str">
        <f>""</f>
        <v/>
      </c>
      <c r="G111" t="str">
        <f>""</f>
        <v/>
      </c>
      <c r="H111" s="1">
        <v>41904</v>
      </c>
      <c r="I111" t="str">
        <f>"C0021815"</f>
        <v>C0021815</v>
      </c>
      <c r="J111" t="str">
        <f>""</f>
        <v/>
      </c>
      <c r="K111" t="str">
        <f>"ISSU"</f>
        <v>ISSU</v>
      </c>
      <c r="L111" t="s">
        <v>2730</v>
      </c>
      <c r="M111">
        <v>430.39</v>
      </c>
    </row>
    <row r="112" spans="1:13" x14ac:dyDescent="0.25">
      <c r="A112" t="str">
        <f t="shared" si="21"/>
        <v>E111</v>
      </c>
      <c r="B112">
        <v>1</v>
      </c>
      <c r="C112" t="str">
        <f t="shared" si="22"/>
        <v>43000</v>
      </c>
      <c r="D112" t="str">
        <f t="shared" si="20"/>
        <v>5620</v>
      </c>
      <c r="E112" t="str">
        <f t="shared" si="23"/>
        <v>850LOS</v>
      </c>
      <c r="F112" t="str">
        <f>""</f>
        <v/>
      </c>
      <c r="G112" t="str">
        <f>""</f>
        <v/>
      </c>
      <c r="H112" s="1">
        <v>41912</v>
      </c>
      <c r="I112" t="str">
        <f>"BKS01463"</f>
        <v>BKS01463</v>
      </c>
      <c r="J112" t="str">
        <f>"760483"</f>
        <v>760483</v>
      </c>
      <c r="K112" t="str">
        <f>"AS89"</f>
        <v>AS89</v>
      </c>
      <c r="L112" t="s">
        <v>746</v>
      </c>
      <c r="M112">
        <v>220.35</v>
      </c>
    </row>
    <row r="113" spans="1:13" x14ac:dyDescent="0.25">
      <c r="A113" t="str">
        <f t="shared" si="21"/>
        <v>E111</v>
      </c>
      <c r="B113">
        <v>1</v>
      </c>
      <c r="C113" t="str">
        <f t="shared" si="22"/>
        <v>43000</v>
      </c>
      <c r="D113" t="str">
        <f t="shared" si="20"/>
        <v>5620</v>
      </c>
      <c r="E113" t="str">
        <f t="shared" si="23"/>
        <v>850LOS</v>
      </c>
      <c r="F113" t="str">
        <f>""</f>
        <v/>
      </c>
      <c r="G113" t="str">
        <f>""</f>
        <v/>
      </c>
      <c r="H113" s="1">
        <v>41973</v>
      </c>
      <c r="I113" t="str">
        <f>"PCD00694"</f>
        <v>PCD00694</v>
      </c>
      <c r="J113" t="str">
        <f>""</f>
        <v/>
      </c>
      <c r="K113" t="str">
        <f>"AS89"</f>
        <v>AS89</v>
      </c>
      <c r="L113" t="s">
        <v>2746</v>
      </c>
      <c r="M113">
        <v>440.07</v>
      </c>
    </row>
    <row r="114" spans="1:13" x14ac:dyDescent="0.25">
      <c r="A114" t="str">
        <f t="shared" si="21"/>
        <v>E111</v>
      </c>
      <c r="B114">
        <v>1</v>
      </c>
      <c r="C114" t="str">
        <f t="shared" si="22"/>
        <v>43000</v>
      </c>
      <c r="D114" t="str">
        <f t="shared" si="20"/>
        <v>5620</v>
      </c>
      <c r="E114" t="str">
        <f t="shared" si="23"/>
        <v>850LOS</v>
      </c>
      <c r="F114" t="str">
        <f>""</f>
        <v/>
      </c>
      <c r="G114" t="str">
        <f>""</f>
        <v/>
      </c>
      <c r="H114" s="1">
        <v>42013</v>
      </c>
      <c r="I114" t="str">
        <f>"C0022242"</f>
        <v>C0022242</v>
      </c>
      <c r="J114" t="str">
        <f>""</f>
        <v/>
      </c>
      <c r="K114" t="str">
        <f>"ISSU"</f>
        <v>ISSU</v>
      </c>
      <c r="L114" t="s">
        <v>2745</v>
      </c>
      <c r="M114">
        <v>213.99</v>
      </c>
    </row>
    <row r="115" spans="1:13" x14ac:dyDescent="0.25">
      <c r="A115" t="str">
        <f t="shared" si="21"/>
        <v>E111</v>
      </c>
      <c r="B115">
        <v>1</v>
      </c>
      <c r="C115" t="str">
        <f t="shared" si="22"/>
        <v>43000</v>
      </c>
      <c r="D115" t="str">
        <f t="shared" si="20"/>
        <v>5620</v>
      </c>
      <c r="E115" t="str">
        <f t="shared" si="23"/>
        <v>850LOS</v>
      </c>
      <c r="F115" t="str">
        <f>""</f>
        <v/>
      </c>
      <c r="G115" t="str">
        <f>""</f>
        <v/>
      </c>
      <c r="H115" s="1">
        <v>42035</v>
      </c>
      <c r="I115" t="str">
        <f>"PCD00705"</f>
        <v>PCD00705</v>
      </c>
      <c r="J115" t="str">
        <f>""</f>
        <v/>
      </c>
      <c r="K115" t="str">
        <f>"AS89"</f>
        <v>AS89</v>
      </c>
      <c r="L115" t="s">
        <v>2744</v>
      </c>
      <c r="M115">
        <v>106.72</v>
      </c>
    </row>
    <row r="116" spans="1:13" x14ac:dyDescent="0.25">
      <c r="A116" t="str">
        <f t="shared" si="21"/>
        <v>E111</v>
      </c>
      <c r="B116">
        <v>1</v>
      </c>
      <c r="C116" t="str">
        <f t="shared" si="22"/>
        <v>43000</v>
      </c>
      <c r="D116" t="str">
        <f t="shared" si="20"/>
        <v>5620</v>
      </c>
      <c r="E116" t="str">
        <f t="shared" si="23"/>
        <v>850LOS</v>
      </c>
      <c r="F116" t="str">
        <f>""</f>
        <v/>
      </c>
      <c r="G116" t="str">
        <f>""</f>
        <v/>
      </c>
      <c r="H116" s="1">
        <v>42035</v>
      </c>
      <c r="I116" t="str">
        <f>"PCD00705"</f>
        <v>PCD00705</v>
      </c>
      <c r="J116" t="str">
        <f>""</f>
        <v/>
      </c>
      <c r="K116" t="str">
        <f>"AS89"</f>
        <v>AS89</v>
      </c>
      <c r="L116" t="s">
        <v>2742</v>
      </c>
      <c r="M116">
        <v>758.11</v>
      </c>
    </row>
    <row r="117" spans="1:13" x14ac:dyDescent="0.25">
      <c r="A117" t="str">
        <f t="shared" si="21"/>
        <v>E111</v>
      </c>
      <c r="B117">
        <v>1</v>
      </c>
      <c r="C117" t="str">
        <f t="shared" si="22"/>
        <v>43000</v>
      </c>
      <c r="D117" t="str">
        <f t="shared" si="20"/>
        <v>5620</v>
      </c>
      <c r="E117" t="str">
        <f t="shared" si="23"/>
        <v>850LOS</v>
      </c>
      <c r="F117" t="str">
        <f>""</f>
        <v/>
      </c>
      <c r="G117" t="str">
        <f>""</f>
        <v/>
      </c>
      <c r="H117" s="1">
        <v>42035</v>
      </c>
      <c r="I117" t="str">
        <f>"PCD00705"</f>
        <v>PCD00705</v>
      </c>
      <c r="J117" t="str">
        <f>""</f>
        <v/>
      </c>
      <c r="K117" t="str">
        <f>"AS89"</f>
        <v>AS89</v>
      </c>
      <c r="L117" t="s">
        <v>2741</v>
      </c>
      <c r="M117">
        <v>108.69</v>
      </c>
    </row>
    <row r="118" spans="1:13" x14ac:dyDescent="0.25">
      <c r="A118" t="str">
        <f t="shared" si="21"/>
        <v>E111</v>
      </c>
      <c r="B118">
        <v>1</v>
      </c>
      <c r="C118" t="str">
        <f t="shared" si="22"/>
        <v>43000</v>
      </c>
      <c r="D118" t="str">
        <f t="shared" si="20"/>
        <v>5620</v>
      </c>
      <c r="E118" t="str">
        <f t="shared" si="23"/>
        <v>850LOS</v>
      </c>
      <c r="F118" t="str">
        <f>""</f>
        <v/>
      </c>
      <c r="G118" t="str">
        <f>""</f>
        <v/>
      </c>
      <c r="H118" s="1">
        <v>42059</v>
      </c>
      <c r="I118" t="str">
        <f>"C0022453"</f>
        <v>C0022453</v>
      </c>
      <c r="J118" t="str">
        <f>""</f>
        <v/>
      </c>
      <c r="K118" t="str">
        <f>"ISSU"</f>
        <v>ISSU</v>
      </c>
      <c r="L118" t="s">
        <v>2740</v>
      </c>
      <c r="M118">
        <v>342.37</v>
      </c>
    </row>
    <row r="119" spans="1:13" x14ac:dyDescent="0.25">
      <c r="A119" t="str">
        <f t="shared" si="21"/>
        <v>E111</v>
      </c>
      <c r="B119">
        <v>1</v>
      </c>
      <c r="C119" t="str">
        <f t="shared" si="22"/>
        <v>43000</v>
      </c>
      <c r="D119" t="str">
        <f t="shared" si="20"/>
        <v>5620</v>
      </c>
      <c r="E119" t="str">
        <f t="shared" si="23"/>
        <v>850LOS</v>
      </c>
      <c r="F119" t="str">
        <f>""</f>
        <v/>
      </c>
      <c r="G119" t="str">
        <f>""</f>
        <v/>
      </c>
      <c r="H119" s="1">
        <v>42062</v>
      </c>
      <c r="I119" t="str">
        <f>"PCD00709"</f>
        <v>PCD00709</v>
      </c>
      <c r="J119" t="str">
        <f>""</f>
        <v/>
      </c>
      <c r="K119" t="str">
        <f>"AS89"</f>
        <v>AS89</v>
      </c>
      <c r="L119" t="s">
        <v>2739</v>
      </c>
      <c r="M119">
        <v>104.33</v>
      </c>
    </row>
    <row r="120" spans="1:13" x14ac:dyDescent="0.25">
      <c r="A120" t="str">
        <f t="shared" si="21"/>
        <v>E111</v>
      </c>
      <c r="B120">
        <v>1</v>
      </c>
      <c r="C120" t="str">
        <f t="shared" si="22"/>
        <v>43000</v>
      </c>
      <c r="D120" t="str">
        <f t="shared" si="20"/>
        <v>5620</v>
      </c>
      <c r="E120" t="str">
        <f t="shared" si="23"/>
        <v>850LOS</v>
      </c>
      <c r="F120" t="str">
        <f>""</f>
        <v/>
      </c>
      <c r="G120" t="str">
        <f>""</f>
        <v/>
      </c>
      <c r="H120" s="1">
        <v>42062</v>
      </c>
      <c r="I120" t="str">
        <f>"PCD00709"</f>
        <v>PCD00709</v>
      </c>
      <c r="J120" t="str">
        <f>""</f>
        <v/>
      </c>
      <c r="K120" t="str">
        <f>"AS89"</f>
        <v>AS89</v>
      </c>
      <c r="L120" t="s">
        <v>2738</v>
      </c>
      <c r="M120">
        <v>205.43</v>
      </c>
    </row>
    <row r="121" spans="1:13" x14ac:dyDescent="0.25">
      <c r="A121" t="str">
        <f t="shared" si="21"/>
        <v>E111</v>
      </c>
      <c r="B121">
        <v>1</v>
      </c>
      <c r="C121" t="str">
        <f t="shared" si="22"/>
        <v>43000</v>
      </c>
      <c r="D121" t="str">
        <f t="shared" si="20"/>
        <v>5620</v>
      </c>
      <c r="E121" t="str">
        <f t="shared" si="23"/>
        <v>850LOS</v>
      </c>
      <c r="F121" t="str">
        <f>""</f>
        <v/>
      </c>
      <c r="G121" t="str">
        <f>""</f>
        <v/>
      </c>
      <c r="H121" s="1">
        <v>42062</v>
      </c>
      <c r="I121" t="str">
        <f>"PCD00709"</f>
        <v>PCD00709</v>
      </c>
      <c r="J121" t="str">
        <f>""</f>
        <v/>
      </c>
      <c r="K121" t="str">
        <f>"AS89"</f>
        <v>AS89</v>
      </c>
      <c r="L121" t="s">
        <v>2737</v>
      </c>
      <c r="M121">
        <v>205.43</v>
      </c>
    </row>
    <row r="122" spans="1:13" x14ac:dyDescent="0.25">
      <c r="A122" t="str">
        <f t="shared" si="21"/>
        <v>E111</v>
      </c>
      <c r="B122">
        <v>1</v>
      </c>
      <c r="C122" t="str">
        <f t="shared" si="22"/>
        <v>43000</v>
      </c>
      <c r="D122" t="str">
        <f t="shared" si="20"/>
        <v>5620</v>
      </c>
      <c r="E122" t="str">
        <f t="shared" si="23"/>
        <v>850LOS</v>
      </c>
      <c r="F122" t="str">
        <f>""</f>
        <v/>
      </c>
      <c r="G122" t="str">
        <f>""</f>
        <v/>
      </c>
      <c r="H122" s="1">
        <v>42062</v>
      </c>
      <c r="I122" t="str">
        <f>"PCD00709"</f>
        <v>PCD00709</v>
      </c>
      <c r="J122" t="str">
        <f>""</f>
        <v/>
      </c>
      <c r="K122" t="str">
        <f>"AS89"</f>
        <v>AS89</v>
      </c>
      <c r="L122" t="s">
        <v>2736</v>
      </c>
      <c r="M122">
        <v>567.49</v>
      </c>
    </row>
    <row r="123" spans="1:13" x14ac:dyDescent="0.25">
      <c r="A123" t="str">
        <f t="shared" si="21"/>
        <v>E111</v>
      </c>
      <c r="B123">
        <v>1</v>
      </c>
      <c r="C123" t="str">
        <f t="shared" si="22"/>
        <v>43000</v>
      </c>
      <c r="D123" t="str">
        <f t="shared" si="20"/>
        <v>5620</v>
      </c>
      <c r="E123" t="str">
        <f t="shared" si="23"/>
        <v>850LOS</v>
      </c>
      <c r="F123" t="str">
        <f>""</f>
        <v/>
      </c>
      <c r="G123" t="str">
        <f>""</f>
        <v/>
      </c>
      <c r="H123" s="1">
        <v>42064</v>
      </c>
      <c r="I123" t="str">
        <f>"J0013490"</f>
        <v>J0013490</v>
      </c>
      <c r="J123" t="str">
        <f>""</f>
        <v/>
      </c>
      <c r="K123" t="str">
        <f>"J079"</f>
        <v>J079</v>
      </c>
      <c r="L123" t="s">
        <v>2511</v>
      </c>
      <c r="M123" s="2">
        <v>9946.08</v>
      </c>
    </row>
    <row r="124" spans="1:13" x14ac:dyDescent="0.25">
      <c r="A124" t="str">
        <f t="shared" si="21"/>
        <v>E111</v>
      </c>
      <c r="B124">
        <v>1</v>
      </c>
      <c r="C124" t="str">
        <f t="shared" si="22"/>
        <v>43000</v>
      </c>
      <c r="D124" t="str">
        <f t="shared" si="20"/>
        <v>5620</v>
      </c>
      <c r="E124" t="str">
        <f t="shared" si="23"/>
        <v>850LOS</v>
      </c>
      <c r="F124" t="str">
        <f>""</f>
        <v/>
      </c>
      <c r="G124" t="str">
        <f>""</f>
        <v/>
      </c>
      <c r="H124" s="1">
        <v>42094</v>
      </c>
      <c r="I124" t="str">
        <f>"PCD00715"</f>
        <v>PCD00715</v>
      </c>
      <c r="J124" t="str">
        <f>""</f>
        <v/>
      </c>
      <c r="K124" t="str">
        <f>"AS89"</f>
        <v>AS89</v>
      </c>
      <c r="L124" t="s">
        <v>2735</v>
      </c>
      <c r="M124">
        <v>389.33</v>
      </c>
    </row>
    <row r="125" spans="1:13" x14ac:dyDescent="0.25">
      <c r="A125" t="str">
        <f t="shared" si="21"/>
        <v>E111</v>
      </c>
      <c r="B125">
        <v>1</v>
      </c>
      <c r="C125" t="str">
        <f t="shared" si="22"/>
        <v>43000</v>
      </c>
      <c r="D125" t="str">
        <f t="shared" si="20"/>
        <v>5620</v>
      </c>
      <c r="E125" t="str">
        <f t="shared" si="23"/>
        <v>850LOS</v>
      </c>
      <c r="F125" t="str">
        <f>""</f>
        <v/>
      </c>
      <c r="G125" t="str">
        <f>""</f>
        <v/>
      </c>
      <c r="H125" s="1">
        <v>42094</v>
      </c>
      <c r="I125" t="str">
        <f>"PCD00715"</f>
        <v>PCD00715</v>
      </c>
      <c r="J125" t="str">
        <f>""</f>
        <v/>
      </c>
      <c r="K125" t="str">
        <f>"AS89"</f>
        <v>AS89</v>
      </c>
      <c r="L125" t="s">
        <v>2734</v>
      </c>
      <c r="M125">
        <v>411.46</v>
      </c>
    </row>
    <row r="126" spans="1:13" x14ac:dyDescent="0.25">
      <c r="A126" t="str">
        <f t="shared" si="21"/>
        <v>E111</v>
      </c>
      <c r="B126">
        <v>1</v>
      </c>
      <c r="C126" t="str">
        <f t="shared" si="22"/>
        <v>43000</v>
      </c>
      <c r="D126" t="str">
        <f t="shared" si="20"/>
        <v>5620</v>
      </c>
      <c r="E126" t="str">
        <f t="shared" si="23"/>
        <v>850LOS</v>
      </c>
      <c r="F126" t="str">
        <f>""</f>
        <v/>
      </c>
      <c r="G126" t="str">
        <f>""</f>
        <v/>
      </c>
      <c r="H126" s="1">
        <v>42124</v>
      </c>
      <c r="I126" t="str">
        <f>"PCD00720"</f>
        <v>PCD00720</v>
      </c>
      <c r="J126" t="str">
        <f>""</f>
        <v/>
      </c>
      <c r="K126" t="str">
        <f>"AS89"</f>
        <v>AS89</v>
      </c>
      <c r="L126" t="s">
        <v>2733</v>
      </c>
      <c r="M126">
        <v>200.65</v>
      </c>
    </row>
    <row r="127" spans="1:13" x14ac:dyDescent="0.25">
      <c r="A127" t="str">
        <f t="shared" si="21"/>
        <v>E111</v>
      </c>
      <c r="B127">
        <v>1</v>
      </c>
      <c r="C127" t="str">
        <f t="shared" si="22"/>
        <v>43000</v>
      </c>
      <c r="D127" t="str">
        <f t="shared" si="20"/>
        <v>5620</v>
      </c>
      <c r="E127" t="str">
        <f t="shared" si="23"/>
        <v>850LOS</v>
      </c>
      <c r="F127" t="str">
        <f>""</f>
        <v/>
      </c>
      <c r="G127" t="str">
        <f>""</f>
        <v/>
      </c>
      <c r="H127" s="1">
        <v>42124</v>
      </c>
      <c r="I127" t="str">
        <f>"PCD00720"</f>
        <v>PCD00720</v>
      </c>
      <c r="J127" t="str">
        <f>""</f>
        <v/>
      </c>
      <c r="K127" t="str">
        <f>"AS89"</f>
        <v>AS89</v>
      </c>
      <c r="L127" t="s">
        <v>2732</v>
      </c>
      <c r="M127">
        <v>110.83</v>
      </c>
    </row>
    <row r="128" spans="1:13" x14ac:dyDescent="0.25">
      <c r="A128" t="str">
        <f t="shared" si="21"/>
        <v>E111</v>
      </c>
      <c r="B128">
        <v>1</v>
      </c>
      <c r="C128" t="str">
        <f t="shared" si="22"/>
        <v>43000</v>
      </c>
      <c r="D128" t="str">
        <f t="shared" si="20"/>
        <v>5620</v>
      </c>
      <c r="E128" t="str">
        <f t="shared" si="23"/>
        <v>850LOS</v>
      </c>
      <c r="F128" t="str">
        <f>""</f>
        <v/>
      </c>
      <c r="G128" t="str">
        <f>""</f>
        <v/>
      </c>
      <c r="H128" s="1">
        <v>42155</v>
      </c>
      <c r="I128" t="str">
        <f>"PCD00725"</f>
        <v>PCD00725</v>
      </c>
      <c r="J128" t="str">
        <f>""</f>
        <v/>
      </c>
      <c r="K128" t="str">
        <f>"AS89"</f>
        <v>AS89</v>
      </c>
      <c r="L128" t="s">
        <v>2731</v>
      </c>
      <c r="M128">
        <v>293.39999999999998</v>
      </c>
    </row>
    <row r="129" spans="1:13" x14ac:dyDescent="0.25">
      <c r="A129" t="str">
        <f t="shared" si="21"/>
        <v>E111</v>
      </c>
      <c r="B129">
        <v>1</v>
      </c>
      <c r="C129" t="str">
        <f t="shared" si="22"/>
        <v>43000</v>
      </c>
      <c r="D129" t="str">
        <f t="shared" si="20"/>
        <v>5620</v>
      </c>
      <c r="E129" t="str">
        <f t="shared" si="23"/>
        <v>850LOS</v>
      </c>
      <c r="F129" t="str">
        <f>""</f>
        <v/>
      </c>
      <c r="G129" t="str">
        <f>""</f>
        <v/>
      </c>
      <c r="H129" s="1">
        <v>42158</v>
      </c>
      <c r="I129" t="str">
        <f>"C0022880"</f>
        <v>C0022880</v>
      </c>
      <c r="J129" t="str">
        <f>""</f>
        <v/>
      </c>
      <c r="K129" t="str">
        <f>"ISSU"</f>
        <v>ISSU</v>
      </c>
      <c r="L129" t="s">
        <v>2730</v>
      </c>
      <c r="M129">
        <v>256.79000000000002</v>
      </c>
    </row>
    <row r="130" spans="1:13" x14ac:dyDescent="0.25">
      <c r="A130" t="str">
        <f t="shared" si="21"/>
        <v>E111</v>
      </c>
      <c r="B130">
        <v>1</v>
      </c>
      <c r="C130" t="str">
        <f t="shared" si="22"/>
        <v>43000</v>
      </c>
      <c r="D130" t="str">
        <f t="shared" ref="D130:D135" si="24">"5620"</f>
        <v>5620</v>
      </c>
      <c r="E130" t="str">
        <f t="shared" si="23"/>
        <v>850LOS</v>
      </c>
      <c r="F130" t="str">
        <f>""</f>
        <v/>
      </c>
      <c r="G130" t="str">
        <f>""</f>
        <v/>
      </c>
      <c r="H130" s="1">
        <v>42185</v>
      </c>
      <c r="I130" t="str">
        <f>"PCD00730"</f>
        <v>PCD00730</v>
      </c>
      <c r="J130" t="str">
        <f>""</f>
        <v/>
      </c>
      <c r="K130" t="str">
        <f>"AS89"</f>
        <v>AS89</v>
      </c>
      <c r="L130" t="s">
        <v>2729</v>
      </c>
      <c r="M130">
        <v>174.05</v>
      </c>
    </row>
    <row r="131" spans="1:13" x14ac:dyDescent="0.25">
      <c r="A131" t="str">
        <f t="shared" si="21"/>
        <v>E111</v>
      </c>
      <c r="B131">
        <v>1</v>
      </c>
      <c r="C131" t="str">
        <f t="shared" si="22"/>
        <v>43000</v>
      </c>
      <c r="D131" t="str">
        <f t="shared" si="24"/>
        <v>5620</v>
      </c>
      <c r="E131" t="str">
        <f>"850PAY"</f>
        <v>850PAY</v>
      </c>
      <c r="F131" t="str">
        <f>""</f>
        <v/>
      </c>
      <c r="G131" t="str">
        <f>""</f>
        <v/>
      </c>
      <c r="H131" s="1">
        <v>41891</v>
      </c>
      <c r="I131" t="str">
        <f>"220961A"</f>
        <v>220961A</v>
      </c>
      <c r="J131" t="str">
        <f>""</f>
        <v/>
      </c>
      <c r="K131" t="str">
        <f>"INNI"</f>
        <v>INNI</v>
      </c>
      <c r="L131" t="s">
        <v>1189</v>
      </c>
      <c r="M131">
        <v>444.5</v>
      </c>
    </row>
    <row r="132" spans="1:13" x14ac:dyDescent="0.25">
      <c r="A132" t="str">
        <f t="shared" si="21"/>
        <v>E111</v>
      </c>
      <c r="B132">
        <v>1</v>
      </c>
      <c r="C132" t="str">
        <f t="shared" si="22"/>
        <v>43000</v>
      </c>
      <c r="D132" t="str">
        <f t="shared" si="24"/>
        <v>5620</v>
      </c>
      <c r="E132" t="str">
        <f>"850PAY"</f>
        <v>850PAY</v>
      </c>
      <c r="F132" t="str">
        <f>""</f>
        <v/>
      </c>
      <c r="G132" t="str">
        <f>""</f>
        <v/>
      </c>
      <c r="H132" s="1">
        <v>41921</v>
      </c>
      <c r="I132" t="str">
        <f>"220965A"</f>
        <v>220965A</v>
      </c>
      <c r="J132" t="str">
        <f>""</f>
        <v/>
      </c>
      <c r="K132" t="str">
        <f>"INNI"</f>
        <v>INNI</v>
      </c>
      <c r="L132" t="s">
        <v>1189</v>
      </c>
      <c r="M132" s="2">
        <v>1139.67</v>
      </c>
    </row>
    <row r="133" spans="1:13" x14ac:dyDescent="0.25">
      <c r="A133" t="str">
        <f t="shared" si="21"/>
        <v>E111</v>
      </c>
      <c r="B133">
        <v>1</v>
      </c>
      <c r="C133" t="str">
        <f t="shared" si="22"/>
        <v>43000</v>
      </c>
      <c r="D133" t="str">
        <f t="shared" si="24"/>
        <v>5620</v>
      </c>
      <c r="E133" t="str">
        <f>"850PAY"</f>
        <v>850PAY</v>
      </c>
      <c r="F133" t="str">
        <f>""</f>
        <v/>
      </c>
      <c r="G133" t="str">
        <f>""</f>
        <v/>
      </c>
      <c r="H133" s="1">
        <v>42062</v>
      </c>
      <c r="I133" t="str">
        <f>"PCD00709"</f>
        <v>PCD00709</v>
      </c>
      <c r="J133" t="str">
        <f>""</f>
        <v/>
      </c>
      <c r="K133" t="str">
        <f t="shared" ref="K133:K155" si="25">"AS89"</f>
        <v>AS89</v>
      </c>
      <c r="L133" t="s">
        <v>2728</v>
      </c>
      <c r="M133">
        <v>108</v>
      </c>
    </row>
    <row r="134" spans="1:13" x14ac:dyDescent="0.25">
      <c r="A134" t="str">
        <f t="shared" ref="A134:A154" si="26">"E111"</f>
        <v>E111</v>
      </c>
      <c r="B134">
        <v>1</v>
      </c>
      <c r="C134" t="str">
        <f t="shared" ref="C134:C154" si="27">"43000"</f>
        <v>43000</v>
      </c>
      <c r="D134" t="str">
        <f t="shared" si="24"/>
        <v>5620</v>
      </c>
      <c r="E134" t="str">
        <f>"850PKE"</f>
        <v>850PKE</v>
      </c>
      <c r="F134" t="str">
        <f>""</f>
        <v/>
      </c>
      <c r="G134" t="str">
        <f>""</f>
        <v/>
      </c>
      <c r="H134" s="1">
        <v>42035</v>
      </c>
      <c r="I134" t="str">
        <f>"PCD00705"</f>
        <v>PCD00705</v>
      </c>
      <c r="J134" t="str">
        <f>""</f>
        <v/>
      </c>
      <c r="K134" t="str">
        <f t="shared" si="25"/>
        <v>AS89</v>
      </c>
      <c r="L134" t="s">
        <v>2727</v>
      </c>
      <c r="M134">
        <v>975.44</v>
      </c>
    </row>
    <row r="135" spans="1:13" x14ac:dyDescent="0.25">
      <c r="A135" t="str">
        <f t="shared" si="26"/>
        <v>E111</v>
      </c>
      <c r="B135">
        <v>1</v>
      </c>
      <c r="C135" t="str">
        <f t="shared" si="27"/>
        <v>43000</v>
      </c>
      <c r="D135" t="str">
        <f t="shared" si="24"/>
        <v>5620</v>
      </c>
      <c r="E135" t="str">
        <f>"850PKE"</f>
        <v>850PKE</v>
      </c>
      <c r="F135" t="str">
        <f>""</f>
        <v/>
      </c>
      <c r="G135" t="str">
        <f>""</f>
        <v/>
      </c>
      <c r="H135" s="1">
        <v>42185</v>
      </c>
      <c r="I135" t="str">
        <f>"PCD00730"</f>
        <v>PCD00730</v>
      </c>
      <c r="J135" t="str">
        <f>""</f>
        <v/>
      </c>
      <c r="K135" t="str">
        <f t="shared" si="25"/>
        <v>AS89</v>
      </c>
      <c r="L135" t="s">
        <v>2726</v>
      </c>
      <c r="M135">
        <v>126.19</v>
      </c>
    </row>
    <row r="136" spans="1:13" x14ac:dyDescent="0.25">
      <c r="A136" t="str">
        <f t="shared" si="26"/>
        <v>E111</v>
      </c>
      <c r="B136">
        <v>1</v>
      </c>
      <c r="C136" t="str">
        <f t="shared" si="27"/>
        <v>43000</v>
      </c>
      <c r="D136" t="str">
        <f t="shared" ref="D136:D154" si="28">"5740"</f>
        <v>5740</v>
      </c>
      <c r="E136" t="str">
        <f t="shared" ref="E136:E154" si="29">"850LOS"</f>
        <v>850LOS</v>
      </c>
      <c r="F136" t="str">
        <f>"PKOLOT"</f>
        <v>PKOLOT</v>
      </c>
      <c r="G136" t="str">
        <f>""</f>
        <v/>
      </c>
      <c r="H136" s="1">
        <v>41882</v>
      </c>
      <c r="I136" t="str">
        <f>"PCD00680"</f>
        <v>PCD00680</v>
      </c>
      <c r="J136" t="str">
        <f>""</f>
        <v/>
      </c>
      <c r="K136" t="str">
        <f t="shared" si="25"/>
        <v>AS89</v>
      </c>
      <c r="L136" t="s">
        <v>2725</v>
      </c>
      <c r="M136">
        <v>190.28</v>
      </c>
    </row>
    <row r="137" spans="1:13" x14ac:dyDescent="0.25">
      <c r="A137" t="str">
        <f t="shared" si="26"/>
        <v>E111</v>
      </c>
      <c r="B137">
        <v>1</v>
      </c>
      <c r="C137" t="str">
        <f t="shared" si="27"/>
        <v>43000</v>
      </c>
      <c r="D137" t="str">
        <f t="shared" si="28"/>
        <v>5740</v>
      </c>
      <c r="E137" t="str">
        <f t="shared" si="29"/>
        <v>850LOS</v>
      </c>
      <c r="F137" t="str">
        <f>""</f>
        <v/>
      </c>
      <c r="G137" t="str">
        <f>""</f>
        <v/>
      </c>
      <c r="H137" s="1">
        <v>41912</v>
      </c>
      <c r="I137" t="str">
        <f t="shared" ref="I137:I143" si="30">"PCD00685"</f>
        <v>PCD00685</v>
      </c>
      <c r="J137" t="str">
        <f>""</f>
        <v/>
      </c>
      <c r="K137" t="str">
        <f t="shared" si="25"/>
        <v>AS89</v>
      </c>
      <c r="L137" t="s">
        <v>2724</v>
      </c>
      <c r="M137">
        <v>149.56</v>
      </c>
    </row>
    <row r="138" spans="1:13" x14ac:dyDescent="0.25">
      <c r="A138" t="str">
        <f t="shared" si="26"/>
        <v>E111</v>
      </c>
      <c r="B138">
        <v>1</v>
      </c>
      <c r="C138" t="str">
        <f t="shared" si="27"/>
        <v>43000</v>
      </c>
      <c r="D138" t="str">
        <f t="shared" si="28"/>
        <v>5740</v>
      </c>
      <c r="E138" t="str">
        <f t="shared" si="29"/>
        <v>850LOS</v>
      </c>
      <c r="F138" t="str">
        <f>""</f>
        <v/>
      </c>
      <c r="G138" t="str">
        <f>""</f>
        <v/>
      </c>
      <c r="H138" s="1">
        <v>41912</v>
      </c>
      <c r="I138" t="str">
        <f t="shared" si="30"/>
        <v>PCD00685</v>
      </c>
      <c r="J138" t="str">
        <f>""</f>
        <v/>
      </c>
      <c r="K138" t="str">
        <f t="shared" si="25"/>
        <v>AS89</v>
      </c>
      <c r="L138" t="s">
        <v>2723</v>
      </c>
      <c r="M138">
        <v>170.96</v>
      </c>
    </row>
    <row r="139" spans="1:13" x14ac:dyDescent="0.25">
      <c r="A139" t="str">
        <f t="shared" si="26"/>
        <v>E111</v>
      </c>
      <c r="B139">
        <v>1</v>
      </c>
      <c r="C139" t="str">
        <f t="shared" si="27"/>
        <v>43000</v>
      </c>
      <c r="D139" t="str">
        <f t="shared" si="28"/>
        <v>5740</v>
      </c>
      <c r="E139" t="str">
        <f t="shared" si="29"/>
        <v>850LOS</v>
      </c>
      <c r="F139" t="str">
        <f>""</f>
        <v/>
      </c>
      <c r="G139" t="str">
        <f>""</f>
        <v/>
      </c>
      <c r="H139" s="1">
        <v>41912</v>
      </c>
      <c r="I139" t="str">
        <f t="shared" si="30"/>
        <v>PCD00685</v>
      </c>
      <c r="J139" t="str">
        <f>""</f>
        <v/>
      </c>
      <c r="K139" t="str">
        <f t="shared" si="25"/>
        <v>AS89</v>
      </c>
      <c r="L139" t="s">
        <v>2722</v>
      </c>
      <c r="M139" s="2">
        <v>1589.85</v>
      </c>
    </row>
    <row r="140" spans="1:13" x14ac:dyDescent="0.25">
      <c r="A140" t="str">
        <f t="shared" si="26"/>
        <v>E111</v>
      </c>
      <c r="B140">
        <v>1</v>
      </c>
      <c r="C140" t="str">
        <f t="shared" si="27"/>
        <v>43000</v>
      </c>
      <c r="D140" t="str">
        <f t="shared" si="28"/>
        <v>5740</v>
      </c>
      <c r="E140" t="str">
        <f t="shared" si="29"/>
        <v>850LOS</v>
      </c>
      <c r="F140" t="str">
        <f>""</f>
        <v/>
      </c>
      <c r="G140" t="str">
        <f>""</f>
        <v/>
      </c>
      <c r="H140" s="1">
        <v>41912</v>
      </c>
      <c r="I140" t="str">
        <f t="shared" si="30"/>
        <v>PCD00685</v>
      </c>
      <c r="J140" t="str">
        <f>""</f>
        <v/>
      </c>
      <c r="K140" t="str">
        <f t="shared" si="25"/>
        <v>AS89</v>
      </c>
      <c r="L140" t="s">
        <v>2721</v>
      </c>
      <c r="M140">
        <v>628.04</v>
      </c>
    </row>
    <row r="141" spans="1:13" x14ac:dyDescent="0.25">
      <c r="A141" t="str">
        <f t="shared" si="26"/>
        <v>E111</v>
      </c>
      <c r="B141">
        <v>1</v>
      </c>
      <c r="C141" t="str">
        <f t="shared" si="27"/>
        <v>43000</v>
      </c>
      <c r="D141" t="str">
        <f t="shared" si="28"/>
        <v>5740</v>
      </c>
      <c r="E141" t="str">
        <f t="shared" si="29"/>
        <v>850LOS</v>
      </c>
      <c r="F141" t="str">
        <f>""</f>
        <v/>
      </c>
      <c r="G141" t="str">
        <f>""</f>
        <v/>
      </c>
      <c r="H141" s="1">
        <v>41912</v>
      </c>
      <c r="I141" t="str">
        <f t="shared" si="30"/>
        <v>PCD00685</v>
      </c>
      <c r="J141" t="str">
        <f>""</f>
        <v/>
      </c>
      <c r="K141" t="str">
        <f t="shared" si="25"/>
        <v>AS89</v>
      </c>
      <c r="L141" t="s">
        <v>2720</v>
      </c>
      <c r="M141">
        <v>105.98</v>
      </c>
    </row>
    <row r="142" spans="1:13" x14ac:dyDescent="0.25">
      <c r="A142" t="str">
        <f t="shared" si="26"/>
        <v>E111</v>
      </c>
      <c r="B142">
        <v>1</v>
      </c>
      <c r="C142" t="str">
        <f t="shared" si="27"/>
        <v>43000</v>
      </c>
      <c r="D142" t="str">
        <f t="shared" si="28"/>
        <v>5740</v>
      </c>
      <c r="E142" t="str">
        <f t="shared" si="29"/>
        <v>850LOS</v>
      </c>
      <c r="F142" t="str">
        <f>""</f>
        <v/>
      </c>
      <c r="G142" t="str">
        <f>""</f>
        <v/>
      </c>
      <c r="H142" s="1">
        <v>41912</v>
      </c>
      <c r="I142" t="str">
        <f t="shared" si="30"/>
        <v>PCD00685</v>
      </c>
      <c r="J142" t="str">
        <f>""</f>
        <v/>
      </c>
      <c r="K142" t="str">
        <f t="shared" si="25"/>
        <v>AS89</v>
      </c>
      <c r="L142" t="s">
        <v>2719</v>
      </c>
      <c r="M142">
        <v>619.54999999999995</v>
      </c>
    </row>
    <row r="143" spans="1:13" x14ac:dyDescent="0.25">
      <c r="A143" t="str">
        <f t="shared" si="26"/>
        <v>E111</v>
      </c>
      <c r="B143">
        <v>1</v>
      </c>
      <c r="C143" t="str">
        <f t="shared" si="27"/>
        <v>43000</v>
      </c>
      <c r="D143" t="str">
        <f t="shared" si="28"/>
        <v>5740</v>
      </c>
      <c r="E143" t="str">
        <f t="shared" si="29"/>
        <v>850LOS</v>
      </c>
      <c r="F143" t="str">
        <f>""</f>
        <v/>
      </c>
      <c r="G143" t="str">
        <f>""</f>
        <v/>
      </c>
      <c r="H143" s="1">
        <v>41912</v>
      </c>
      <c r="I143" t="str">
        <f t="shared" si="30"/>
        <v>PCD00685</v>
      </c>
      <c r="J143" t="str">
        <f>""</f>
        <v/>
      </c>
      <c r="K143" t="str">
        <f t="shared" si="25"/>
        <v>AS89</v>
      </c>
      <c r="L143" t="s">
        <v>2718</v>
      </c>
      <c r="M143">
        <v>139.80000000000001</v>
      </c>
    </row>
    <row r="144" spans="1:13" x14ac:dyDescent="0.25">
      <c r="A144" t="str">
        <f t="shared" si="26"/>
        <v>E111</v>
      </c>
      <c r="B144">
        <v>1</v>
      </c>
      <c r="C144" t="str">
        <f t="shared" si="27"/>
        <v>43000</v>
      </c>
      <c r="D144" t="str">
        <f t="shared" si="28"/>
        <v>5740</v>
      </c>
      <c r="E144" t="str">
        <f t="shared" si="29"/>
        <v>850LOS</v>
      </c>
      <c r="F144" t="str">
        <f>""</f>
        <v/>
      </c>
      <c r="G144" t="str">
        <f>""</f>
        <v/>
      </c>
      <c r="H144" s="1">
        <v>41943</v>
      </c>
      <c r="I144" t="str">
        <f>"PCD00691"</f>
        <v>PCD00691</v>
      </c>
      <c r="J144" t="str">
        <f>""</f>
        <v/>
      </c>
      <c r="K144" t="str">
        <f t="shared" si="25"/>
        <v>AS89</v>
      </c>
      <c r="L144" t="s">
        <v>2717</v>
      </c>
      <c r="M144">
        <v>419.91</v>
      </c>
    </row>
    <row r="145" spans="1:13" x14ac:dyDescent="0.25">
      <c r="A145" t="str">
        <f t="shared" si="26"/>
        <v>E111</v>
      </c>
      <c r="B145">
        <v>1</v>
      </c>
      <c r="C145" t="str">
        <f t="shared" si="27"/>
        <v>43000</v>
      </c>
      <c r="D145" t="str">
        <f t="shared" si="28"/>
        <v>5740</v>
      </c>
      <c r="E145" t="str">
        <f t="shared" si="29"/>
        <v>850LOS</v>
      </c>
      <c r="F145" t="str">
        <f>""</f>
        <v/>
      </c>
      <c r="G145" t="str">
        <f>""</f>
        <v/>
      </c>
      <c r="H145" s="1">
        <v>41943</v>
      </c>
      <c r="I145" t="str">
        <f>"PCD00691"</f>
        <v>PCD00691</v>
      </c>
      <c r="J145" t="str">
        <f>""</f>
        <v/>
      </c>
      <c r="K145" t="str">
        <f t="shared" si="25"/>
        <v>AS89</v>
      </c>
      <c r="L145" t="s">
        <v>2716</v>
      </c>
      <c r="M145">
        <v>143.01</v>
      </c>
    </row>
    <row r="146" spans="1:13" x14ac:dyDescent="0.25">
      <c r="A146" t="str">
        <f t="shared" si="26"/>
        <v>E111</v>
      </c>
      <c r="B146">
        <v>1</v>
      </c>
      <c r="C146" t="str">
        <f t="shared" si="27"/>
        <v>43000</v>
      </c>
      <c r="D146" t="str">
        <f t="shared" si="28"/>
        <v>5740</v>
      </c>
      <c r="E146" t="str">
        <f t="shared" si="29"/>
        <v>850LOS</v>
      </c>
      <c r="F146" t="str">
        <f>""</f>
        <v/>
      </c>
      <c r="G146" t="str">
        <f>""</f>
        <v/>
      </c>
      <c r="H146" s="1">
        <v>41943</v>
      </c>
      <c r="I146" t="str">
        <f>"PCD00691"</f>
        <v>PCD00691</v>
      </c>
      <c r="J146" t="str">
        <f>""</f>
        <v/>
      </c>
      <c r="K146" t="str">
        <f t="shared" si="25"/>
        <v>AS89</v>
      </c>
      <c r="L146" t="s">
        <v>2715</v>
      </c>
      <c r="M146">
        <v>468.96</v>
      </c>
    </row>
    <row r="147" spans="1:13" x14ac:dyDescent="0.25">
      <c r="A147" t="str">
        <f t="shared" si="26"/>
        <v>E111</v>
      </c>
      <c r="B147">
        <v>1</v>
      </c>
      <c r="C147" t="str">
        <f t="shared" si="27"/>
        <v>43000</v>
      </c>
      <c r="D147" t="str">
        <f t="shared" si="28"/>
        <v>5740</v>
      </c>
      <c r="E147" t="str">
        <f t="shared" si="29"/>
        <v>850LOS</v>
      </c>
      <c r="F147" t="str">
        <f>""</f>
        <v/>
      </c>
      <c r="G147" t="str">
        <f>""</f>
        <v/>
      </c>
      <c r="H147" s="1">
        <v>41943</v>
      </c>
      <c r="I147" t="str">
        <f>"PCD00691"</f>
        <v>PCD00691</v>
      </c>
      <c r="J147" t="str">
        <f>""</f>
        <v/>
      </c>
      <c r="K147" t="str">
        <f t="shared" si="25"/>
        <v>AS89</v>
      </c>
      <c r="L147" t="s">
        <v>2714</v>
      </c>
      <c r="M147">
        <v>365.23</v>
      </c>
    </row>
    <row r="148" spans="1:13" x14ac:dyDescent="0.25">
      <c r="A148" t="str">
        <f t="shared" si="26"/>
        <v>E111</v>
      </c>
      <c r="B148">
        <v>1</v>
      </c>
      <c r="C148" t="str">
        <f t="shared" si="27"/>
        <v>43000</v>
      </c>
      <c r="D148" t="str">
        <f t="shared" si="28"/>
        <v>5740</v>
      </c>
      <c r="E148" t="str">
        <f t="shared" si="29"/>
        <v>850LOS</v>
      </c>
      <c r="F148" t="str">
        <f>""</f>
        <v/>
      </c>
      <c r="G148" t="str">
        <f>""</f>
        <v/>
      </c>
      <c r="H148" s="1">
        <v>41973</v>
      </c>
      <c r="I148" t="str">
        <f>"PCD00695"</f>
        <v>PCD00695</v>
      </c>
      <c r="J148" t="str">
        <f>""</f>
        <v/>
      </c>
      <c r="K148" t="str">
        <f t="shared" si="25"/>
        <v>AS89</v>
      </c>
      <c r="L148" t="s">
        <v>2713</v>
      </c>
      <c r="M148">
        <v>911.99</v>
      </c>
    </row>
    <row r="149" spans="1:13" x14ac:dyDescent="0.25">
      <c r="A149" t="str">
        <f t="shared" si="26"/>
        <v>E111</v>
      </c>
      <c r="B149">
        <v>1</v>
      </c>
      <c r="C149" t="str">
        <f t="shared" si="27"/>
        <v>43000</v>
      </c>
      <c r="D149" t="str">
        <f t="shared" si="28"/>
        <v>5740</v>
      </c>
      <c r="E149" t="str">
        <f t="shared" si="29"/>
        <v>850LOS</v>
      </c>
      <c r="F149" t="str">
        <f>""</f>
        <v/>
      </c>
      <c r="G149" t="str">
        <f>""</f>
        <v/>
      </c>
      <c r="H149" s="1">
        <v>41973</v>
      </c>
      <c r="I149" t="str">
        <f>"PCD00695"</f>
        <v>PCD00695</v>
      </c>
      <c r="J149" t="str">
        <f>""</f>
        <v/>
      </c>
      <c r="K149" t="str">
        <f t="shared" si="25"/>
        <v>AS89</v>
      </c>
      <c r="L149" t="s">
        <v>2712</v>
      </c>
      <c r="M149">
        <v>750</v>
      </c>
    </row>
    <row r="150" spans="1:13" x14ac:dyDescent="0.25">
      <c r="A150" t="str">
        <f t="shared" si="26"/>
        <v>E111</v>
      </c>
      <c r="B150">
        <v>1</v>
      </c>
      <c r="C150" t="str">
        <f t="shared" si="27"/>
        <v>43000</v>
      </c>
      <c r="D150" t="str">
        <f t="shared" si="28"/>
        <v>5740</v>
      </c>
      <c r="E150" t="str">
        <f t="shared" si="29"/>
        <v>850LOS</v>
      </c>
      <c r="F150" t="str">
        <f>""</f>
        <v/>
      </c>
      <c r="G150" t="str">
        <f>""</f>
        <v/>
      </c>
      <c r="H150" s="1">
        <v>42004</v>
      </c>
      <c r="I150" t="str">
        <f>"PCD00700"</f>
        <v>PCD00700</v>
      </c>
      <c r="J150" t="str">
        <f>""</f>
        <v/>
      </c>
      <c r="K150" t="str">
        <f t="shared" si="25"/>
        <v>AS89</v>
      </c>
      <c r="L150" t="s">
        <v>2711</v>
      </c>
      <c r="M150">
        <v>316.67</v>
      </c>
    </row>
    <row r="151" spans="1:13" x14ac:dyDescent="0.25">
      <c r="A151" t="str">
        <f t="shared" si="26"/>
        <v>E111</v>
      </c>
      <c r="B151">
        <v>1</v>
      </c>
      <c r="C151" t="str">
        <f t="shared" si="27"/>
        <v>43000</v>
      </c>
      <c r="D151" t="str">
        <f t="shared" si="28"/>
        <v>5740</v>
      </c>
      <c r="E151" t="str">
        <f t="shared" si="29"/>
        <v>850LOS</v>
      </c>
      <c r="F151" t="str">
        <f>""</f>
        <v/>
      </c>
      <c r="G151" t="str">
        <f>""</f>
        <v/>
      </c>
      <c r="H151" s="1">
        <v>42004</v>
      </c>
      <c r="I151" t="str">
        <f>"PCD00700"</f>
        <v>PCD00700</v>
      </c>
      <c r="J151" t="str">
        <f>""</f>
        <v/>
      </c>
      <c r="K151" t="str">
        <f t="shared" si="25"/>
        <v>AS89</v>
      </c>
      <c r="L151" t="s">
        <v>2710</v>
      </c>
      <c r="M151">
        <v>457.02</v>
      </c>
    </row>
    <row r="152" spans="1:13" x14ac:dyDescent="0.25">
      <c r="A152" t="str">
        <f t="shared" si="26"/>
        <v>E111</v>
      </c>
      <c r="B152">
        <v>1</v>
      </c>
      <c r="C152" t="str">
        <f t="shared" si="27"/>
        <v>43000</v>
      </c>
      <c r="D152" t="str">
        <f t="shared" si="28"/>
        <v>5740</v>
      </c>
      <c r="E152" t="str">
        <f t="shared" si="29"/>
        <v>850LOS</v>
      </c>
      <c r="F152" t="str">
        <f>""</f>
        <v/>
      </c>
      <c r="G152" t="str">
        <f>""</f>
        <v/>
      </c>
      <c r="H152" s="1">
        <v>42004</v>
      </c>
      <c r="I152" t="str">
        <f>"PCD00700"</f>
        <v>PCD00700</v>
      </c>
      <c r="J152" t="str">
        <f>""</f>
        <v/>
      </c>
      <c r="K152" t="str">
        <f t="shared" si="25"/>
        <v>AS89</v>
      </c>
      <c r="L152" t="s">
        <v>2709</v>
      </c>
      <c r="M152">
        <v>104.94</v>
      </c>
    </row>
    <row r="153" spans="1:13" x14ac:dyDescent="0.25">
      <c r="A153" t="str">
        <f t="shared" si="26"/>
        <v>E111</v>
      </c>
      <c r="B153">
        <v>1</v>
      </c>
      <c r="C153" t="str">
        <f t="shared" si="27"/>
        <v>43000</v>
      </c>
      <c r="D153" t="str">
        <f t="shared" si="28"/>
        <v>5740</v>
      </c>
      <c r="E153" t="str">
        <f t="shared" si="29"/>
        <v>850LOS</v>
      </c>
      <c r="F153" t="str">
        <f>""</f>
        <v/>
      </c>
      <c r="G153" t="str">
        <f>""</f>
        <v/>
      </c>
      <c r="H153" s="1">
        <v>42004</v>
      </c>
      <c r="I153" t="str">
        <f>"PCD00700"</f>
        <v>PCD00700</v>
      </c>
      <c r="J153" t="str">
        <f>""</f>
        <v/>
      </c>
      <c r="K153" t="str">
        <f t="shared" si="25"/>
        <v>AS89</v>
      </c>
      <c r="L153" t="s">
        <v>2708</v>
      </c>
      <c r="M153">
        <v>527.99</v>
      </c>
    </row>
    <row r="154" spans="1:13" x14ac:dyDescent="0.25">
      <c r="A154" t="str">
        <f t="shared" si="26"/>
        <v>E111</v>
      </c>
      <c r="B154">
        <v>1</v>
      </c>
      <c r="C154" t="str">
        <f t="shared" si="27"/>
        <v>43000</v>
      </c>
      <c r="D154" t="str">
        <f t="shared" si="28"/>
        <v>5740</v>
      </c>
      <c r="E154" t="str">
        <f t="shared" si="29"/>
        <v>850LOS</v>
      </c>
      <c r="F154" t="str">
        <f>""</f>
        <v/>
      </c>
      <c r="G154" t="str">
        <f>""</f>
        <v/>
      </c>
      <c r="H154" s="1">
        <v>42035</v>
      </c>
      <c r="I154" t="str">
        <f>"PCD00705"</f>
        <v>PCD00705</v>
      </c>
      <c r="J154" t="str">
        <f>""</f>
        <v/>
      </c>
      <c r="K154" t="str">
        <f t="shared" si="25"/>
        <v>AS89</v>
      </c>
      <c r="L154" t="s">
        <v>2707</v>
      </c>
      <c r="M154">
        <v>843.52</v>
      </c>
    </row>
    <row r="155" spans="1:13" x14ac:dyDescent="0.25">
      <c r="A155" t="str">
        <f>"E114"</f>
        <v>E114</v>
      </c>
      <c r="B155">
        <v>1</v>
      </c>
      <c r="C155" t="str">
        <f>"23275"</f>
        <v>23275</v>
      </c>
      <c r="D155" t="str">
        <f>"5620"</f>
        <v>5620</v>
      </c>
      <c r="E155" t="str">
        <f>"063STF"</f>
        <v>063STF</v>
      </c>
      <c r="F155" t="str">
        <f>""</f>
        <v/>
      </c>
      <c r="G155" t="str">
        <f>""</f>
        <v/>
      </c>
      <c r="H155" s="1">
        <v>42062</v>
      </c>
      <c r="I155" t="str">
        <f>"PCD00709"</f>
        <v>PCD00709</v>
      </c>
      <c r="J155" t="str">
        <f>""</f>
        <v/>
      </c>
      <c r="K155" t="str">
        <f t="shared" si="25"/>
        <v>AS89</v>
      </c>
      <c r="L155" t="s">
        <v>2706</v>
      </c>
      <c r="M155">
        <v>183.54</v>
      </c>
    </row>
    <row r="156" spans="1:13" x14ac:dyDescent="0.25">
      <c r="A156" t="str">
        <f>"E120"</f>
        <v>E120</v>
      </c>
      <c r="B156">
        <v>1</v>
      </c>
      <c r="C156" t="str">
        <f>"43000"</f>
        <v>43000</v>
      </c>
      <c r="D156" t="str">
        <f>"5620"</f>
        <v>5620</v>
      </c>
      <c r="E156" t="str">
        <f>"850LOS"</f>
        <v>850LOS</v>
      </c>
      <c r="F156" t="str">
        <f>""</f>
        <v/>
      </c>
      <c r="G156" t="str">
        <f>""</f>
        <v/>
      </c>
      <c r="H156" s="1">
        <v>42064</v>
      </c>
      <c r="I156" t="str">
        <f>"J0013490"</f>
        <v>J0013490</v>
      </c>
      <c r="J156" t="str">
        <f>""</f>
        <v/>
      </c>
      <c r="K156" t="str">
        <f>"J079"</f>
        <v>J079</v>
      </c>
      <c r="L156" t="s">
        <v>2511</v>
      </c>
      <c r="M156" s="2">
        <v>9147.65</v>
      </c>
    </row>
    <row r="157" spans="1:13" x14ac:dyDescent="0.25">
      <c r="A157" t="str">
        <f>"E120"</f>
        <v>E120</v>
      </c>
      <c r="B157">
        <v>1</v>
      </c>
      <c r="C157" t="str">
        <f>"43000"</f>
        <v>43000</v>
      </c>
      <c r="D157" t="str">
        <f>"5740"</f>
        <v>5740</v>
      </c>
      <c r="E157" t="str">
        <f>"850LOS"</f>
        <v>850LOS</v>
      </c>
      <c r="F157" t="str">
        <f>""</f>
        <v/>
      </c>
      <c r="G157" t="str">
        <f>""</f>
        <v/>
      </c>
      <c r="H157" s="1">
        <v>41884</v>
      </c>
      <c r="I157" t="str">
        <f>"I0111142"</f>
        <v>I0111142</v>
      </c>
      <c r="J157" t="str">
        <f>"N138274D"</f>
        <v>N138274D</v>
      </c>
      <c r="K157" t="str">
        <f>"INEI"</f>
        <v>INEI</v>
      </c>
      <c r="L157" t="s">
        <v>1396</v>
      </c>
      <c r="M157" s="2">
        <v>9147.65</v>
      </c>
    </row>
    <row r="158" spans="1:13" x14ac:dyDescent="0.25">
      <c r="A158" t="str">
        <f>"E121"</f>
        <v>E121</v>
      </c>
      <c r="B158">
        <v>1</v>
      </c>
      <c r="C158" t="str">
        <f>"43000"</f>
        <v>43000</v>
      </c>
      <c r="D158" t="str">
        <f t="shared" ref="D158:D196" si="31">"5620"</f>
        <v>5620</v>
      </c>
      <c r="E158" t="str">
        <f>"850LOS"</f>
        <v>850LOS</v>
      </c>
      <c r="F158" t="str">
        <f>""</f>
        <v/>
      </c>
      <c r="G158" t="str">
        <f>""</f>
        <v/>
      </c>
      <c r="H158" s="1">
        <v>42155</v>
      </c>
      <c r="I158" t="str">
        <f>"PCD00725"</f>
        <v>PCD00725</v>
      </c>
      <c r="J158" t="str">
        <f>""</f>
        <v/>
      </c>
      <c r="K158" t="str">
        <f>"AS89"</f>
        <v>AS89</v>
      </c>
      <c r="L158" t="s">
        <v>2705</v>
      </c>
      <c r="M158" s="2">
        <v>1939.64</v>
      </c>
    </row>
    <row r="159" spans="1:13" x14ac:dyDescent="0.25">
      <c r="A159" t="str">
        <f>"E121"</f>
        <v>E121</v>
      </c>
      <c r="B159">
        <v>1</v>
      </c>
      <c r="C159" t="str">
        <f>"43000"</f>
        <v>43000</v>
      </c>
      <c r="D159" t="str">
        <f t="shared" si="31"/>
        <v>5620</v>
      </c>
      <c r="E159" t="str">
        <f>"850LOS"</f>
        <v>850LOS</v>
      </c>
      <c r="F159" t="str">
        <f>""</f>
        <v/>
      </c>
      <c r="G159" t="str">
        <f>""</f>
        <v/>
      </c>
      <c r="H159" s="1">
        <v>42185</v>
      </c>
      <c r="I159" t="str">
        <f>"PCD00730"</f>
        <v>PCD00730</v>
      </c>
      <c r="J159" t="str">
        <f>""</f>
        <v/>
      </c>
      <c r="K159" t="str">
        <f>"AS89"</f>
        <v>AS89</v>
      </c>
      <c r="L159" t="s">
        <v>2704</v>
      </c>
      <c r="M159">
        <v>216.37</v>
      </c>
    </row>
    <row r="160" spans="1:13" x14ac:dyDescent="0.25">
      <c r="A160" t="str">
        <f>"E121"</f>
        <v>E121</v>
      </c>
      <c r="B160">
        <v>1</v>
      </c>
      <c r="C160" t="str">
        <f>"43000"</f>
        <v>43000</v>
      </c>
      <c r="D160" t="str">
        <f t="shared" si="31"/>
        <v>5620</v>
      </c>
      <c r="E160" t="str">
        <f>"850LOS"</f>
        <v>850LOS</v>
      </c>
      <c r="F160" t="str">
        <f>""</f>
        <v/>
      </c>
      <c r="G160" t="str">
        <f>""</f>
        <v/>
      </c>
      <c r="H160" s="1">
        <v>42185</v>
      </c>
      <c r="I160" t="str">
        <f>"PCD00730"</f>
        <v>PCD00730</v>
      </c>
      <c r="J160" t="str">
        <f>""</f>
        <v/>
      </c>
      <c r="K160" t="str">
        <f>"AS89"</f>
        <v>AS89</v>
      </c>
      <c r="L160" t="s">
        <v>2703</v>
      </c>
      <c r="M160" s="2">
        <v>2487</v>
      </c>
    </row>
    <row r="161" spans="1:13" x14ac:dyDescent="0.25">
      <c r="A161" t="str">
        <f t="shared" ref="A161:A192" si="32">"E131"</f>
        <v>E131</v>
      </c>
      <c r="B161">
        <v>1</v>
      </c>
      <c r="C161" t="str">
        <f t="shared" ref="C161:C184" si="33">"10200"</f>
        <v>10200</v>
      </c>
      <c r="D161" t="str">
        <f t="shared" si="31"/>
        <v>5620</v>
      </c>
      <c r="E161" t="str">
        <f t="shared" ref="E161:E184" si="34">"094OMS"</f>
        <v>094OMS</v>
      </c>
      <c r="F161" t="str">
        <f>""</f>
        <v/>
      </c>
      <c r="G161" t="str">
        <f>""</f>
        <v/>
      </c>
      <c r="H161" s="1">
        <v>41851</v>
      </c>
      <c r="I161" t="str">
        <f>"TEL00640"</f>
        <v>TEL00640</v>
      </c>
      <c r="J161" t="str">
        <f>""</f>
        <v/>
      </c>
      <c r="K161" t="str">
        <f>"AS89"</f>
        <v>AS89</v>
      </c>
      <c r="L161" t="s">
        <v>2700</v>
      </c>
      <c r="M161">
        <v>111.85</v>
      </c>
    </row>
    <row r="162" spans="1:13" x14ac:dyDescent="0.25">
      <c r="A162" t="str">
        <f t="shared" si="32"/>
        <v>E131</v>
      </c>
      <c r="B162">
        <v>1</v>
      </c>
      <c r="C162" t="str">
        <f t="shared" si="33"/>
        <v>10200</v>
      </c>
      <c r="D162" t="str">
        <f t="shared" si="31"/>
        <v>5620</v>
      </c>
      <c r="E162" t="str">
        <f t="shared" si="34"/>
        <v>094OMS</v>
      </c>
      <c r="F162" t="str">
        <f>""</f>
        <v/>
      </c>
      <c r="G162" t="str">
        <f>""</f>
        <v/>
      </c>
      <c r="H162" s="1">
        <v>41882</v>
      </c>
      <c r="I162" t="str">
        <f>"TEL00641"</f>
        <v>TEL00641</v>
      </c>
      <c r="J162" t="str">
        <f>""</f>
        <v/>
      </c>
      <c r="K162" t="str">
        <f>"AS89"</f>
        <v>AS89</v>
      </c>
      <c r="L162" t="s">
        <v>2699</v>
      </c>
      <c r="M162">
        <v>108.32</v>
      </c>
    </row>
    <row r="163" spans="1:13" x14ac:dyDescent="0.25">
      <c r="A163" t="str">
        <f t="shared" si="32"/>
        <v>E131</v>
      </c>
      <c r="B163">
        <v>1</v>
      </c>
      <c r="C163" t="str">
        <f t="shared" si="33"/>
        <v>10200</v>
      </c>
      <c r="D163" t="str">
        <f t="shared" si="31"/>
        <v>5620</v>
      </c>
      <c r="E163" t="str">
        <f t="shared" si="34"/>
        <v>094OMS</v>
      </c>
      <c r="F163" t="str">
        <f>""</f>
        <v/>
      </c>
      <c r="G163" t="str">
        <f>""</f>
        <v/>
      </c>
      <c r="H163" s="1">
        <v>41886</v>
      </c>
      <c r="I163" t="str">
        <f>"I0111175"</f>
        <v>I0111175</v>
      </c>
      <c r="J163" t="str">
        <f>"N138254E"</f>
        <v>N138254E</v>
      </c>
      <c r="K163" t="str">
        <f>"INEI"</f>
        <v>INEI</v>
      </c>
      <c r="L163" t="s">
        <v>1382</v>
      </c>
      <c r="M163">
        <v>115.62</v>
      </c>
    </row>
    <row r="164" spans="1:13" x14ac:dyDescent="0.25">
      <c r="A164" t="str">
        <f t="shared" si="32"/>
        <v>E131</v>
      </c>
      <c r="B164">
        <v>1</v>
      </c>
      <c r="C164" t="str">
        <f t="shared" si="33"/>
        <v>10200</v>
      </c>
      <c r="D164" t="str">
        <f t="shared" si="31"/>
        <v>5620</v>
      </c>
      <c r="E164" t="str">
        <f t="shared" si="34"/>
        <v>094OMS</v>
      </c>
      <c r="F164" t="str">
        <f>""</f>
        <v/>
      </c>
      <c r="G164" t="str">
        <f>""</f>
        <v/>
      </c>
      <c r="H164" s="1">
        <v>41886</v>
      </c>
      <c r="I164" t="str">
        <f>"I0111176"</f>
        <v>I0111176</v>
      </c>
      <c r="J164" t="str">
        <f>"N138254E"</f>
        <v>N138254E</v>
      </c>
      <c r="K164" t="str">
        <f>"INEI"</f>
        <v>INEI</v>
      </c>
      <c r="L164" t="s">
        <v>1382</v>
      </c>
      <c r="M164">
        <v>115.53</v>
      </c>
    </row>
    <row r="165" spans="1:13" x14ac:dyDescent="0.25">
      <c r="A165" t="str">
        <f t="shared" si="32"/>
        <v>E131</v>
      </c>
      <c r="B165">
        <v>1</v>
      </c>
      <c r="C165" t="str">
        <f t="shared" si="33"/>
        <v>10200</v>
      </c>
      <c r="D165" t="str">
        <f t="shared" si="31"/>
        <v>5620</v>
      </c>
      <c r="E165" t="str">
        <f t="shared" si="34"/>
        <v>094OMS</v>
      </c>
      <c r="F165" t="str">
        <f>""</f>
        <v/>
      </c>
      <c r="G165" t="str">
        <f>""</f>
        <v/>
      </c>
      <c r="H165" s="1">
        <v>41918</v>
      </c>
      <c r="I165" t="str">
        <f>"I0111746"</f>
        <v>I0111746</v>
      </c>
      <c r="J165" t="str">
        <f>"N138254E"</f>
        <v>N138254E</v>
      </c>
      <c r="K165" t="str">
        <f>"INEI"</f>
        <v>INEI</v>
      </c>
      <c r="L165" t="s">
        <v>1382</v>
      </c>
      <c r="M165">
        <v>115.53</v>
      </c>
    </row>
    <row r="166" spans="1:13" x14ac:dyDescent="0.25">
      <c r="A166" t="str">
        <f t="shared" si="32"/>
        <v>E131</v>
      </c>
      <c r="B166">
        <v>1</v>
      </c>
      <c r="C166" t="str">
        <f t="shared" si="33"/>
        <v>10200</v>
      </c>
      <c r="D166" t="str">
        <f t="shared" si="31"/>
        <v>5620</v>
      </c>
      <c r="E166" t="str">
        <f t="shared" si="34"/>
        <v>094OMS</v>
      </c>
      <c r="F166" t="str">
        <f>""</f>
        <v/>
      </c>
      <c r="G166" t="str">
        <f>""</f>
        <v/>
      </c>
      <c r="H166" s="1">
        <v>41920</v>
      </c>
      <c r="I166" t="str">
        <f>"TEL00642"</f>
        <v>TEL00642</v>
      </c>
      <c r="J166" t="str">
        <f>""</f>
        <v/>
      </c>
      <c r="K166" t="str">
        <f>"AS89"</f>
        <v>AS89</v>
      </c>
      <c r="L166" t="s">
        <v>2698</v>
      </c>
      <c r="M166">
        <v>184.51</v>
      </c>
    </row>
    <row r="167" spans="1:13" x14ac:dyDescent="0.25">
      <c r="A167" t="str">
        <f t="shared" si="32"/>
        <v>E131</v>
      </c>
      <c r="B167">
        <v>1</v>
      </c>
      <c r="C167" t="str">
        <f t="shared" si="33"/>
        <v>10200</v>
      </c>
      <c r="D167" t="str">
        <f t="shared" si="31"/>
        <v>5620</v>
      </c>
      <c r="E167" t="str">
        <f t="shared" si="34"/>
        <v>094OMS</v>
      </c>
      <c r="F167" t="str">
        <f>""</f>
        <v/>
      </c>
      <c r="G167" t="str">
        <f>""</f>
        <v/>
      </c>
      <c r="H167" s="1">
        <v>41943</v>
      </c>
      <c r="I167" t="str">
        <f>"TEL00643"</f>
        <v>TEL00643</v>
      </c>
      <c r="J167" t="str">
        <f>""</f>
        <v/>
      </c>
      <c r="K167" t="str">
        <f>"AS89"</f>
        <v>AS89</v>
      </c>
      <c r="L167" t="s">
        <v>2697</v>
      </c>
      <c r="M167">
        <v>160.41</v>
      </c>
    </row>
    <row r="168" spans="1:13" x14ac:dyDescent="0.25">
      <c r="A168" t="str">
        <f t="shared" si="32"/>
        <v>E131</v>
      </c>
      <c r="B168">
        <v>1</v>
      </c>
      <c r="C168" t="str">
        <f t="shared" si="33"/>
        <v>10200</v>
      </c>
      <c r="D168" t="str">
        <f t="shared" si="31"/>
        <v>5620</v>
      </c>
      <c r="E168" t="str">
        <f t="shared" si="34"/>
        <v>094OMS</v>
      </c>
      <c r="F168" t="str">
        <f>""</f>
        <v/>
      </c>
      <c r="G168" t="str">
        <f>""</f>
        <v/>
      </c>
      <c r="H168" s="1">
        <v>41949</v>
      </c>
      <c r="I168" t="str">
        <f>"I0112754"</f>
        <v>I0112754</v>
      </c>
      <c r="J168" t="str">
        <f>"N138254E"</f>
        <v>N138254E</v>
      </c>
      <c r="K168" t="str">
        <f>"INEI"</f>
        <v>INEI</v>
      </c>
      <c r="L168" t="s">
        <v>1382</v>
      </c>
      <c r="M168">
        <v>115.56</v>
      </c>
    </row>
    <row r="169" spans="1:13" x14ac:dyDescent="0.25">
      <c r="A169" t="str">
        <f t="shared" si="32"/>
        <v>E131</v>
      </c>
      <c r="B169">
        <v>1</v>
      </c>
      <c r="C169" t="str">
        <f t="shared" si="33"/>
        <v>10200</v>
      </c>
      <c r="D169" t="str">
        <f t="shared" si="31"/>
        <v>5620</v>
      </c>
      <c r="E169" t="str">
        <f t="shared" si="34"/>
        <v>094OMS</v>
      </c>
      <c r="F169" t="str">
        <f>""</f>
        <v/>
      </c>
      <c r="G169" t="str">
        <f>""</f>
        <v/>
      </c>
      <c r="H169" s="1">
        <v>41973</v>
      </c>
      <c r="I169" t="str">
        <f>"TEL00644"</f>
        <v>TEL00644</v>
      </c>
      <c r="J169" t="str">
        <f>""</f>
        <v/>
      </c>
      <c r="K169" t="str">
        <f>"AS89"</f>
        <v>AS89</v>
      </c>
      <c r="L169" t="s">
        <v>2696</v>
      </c>
      <c r="M169">
        <v>111.41</v>
      </c>
    </row>
    <row r="170" spans="1:13" x14ac:dyDescent="0.25">
      <c r="A170" t="str">
        <f t="shared" si="32"/>
        <v>E131</v>
      </c>
      <c r="B170">
        <v>1</v>
      </c>
      <c r="C170" t="str">
        <f t="shared" si="33"/>
        <v>10200</v>
      </c>
      <c r="D170" t="str">
        <f t="shared" si="31"/>
        <v>5620</v>
      </c>
      <c r="E170" t="str">
        <f t="shared" si="34"/>
        <v>094OMS</v>
      </c>
      <c r="F170" t="str">
        <f>""</f>
        <v/>
      </c>
      <c r="G170" t="str">
        <f>""</f>
        <v/>
      </c>
      <c r="H170" s="1">
        <v>41981</v>
      </c>
      <c r="I170" t="str">
        <f>"I0113516"</f>
        <v>I0113516</v>
      </c>
      <c r="J170" t="str">
        <f>"N138254E"</f>
        <v>N138254E</v>
      </c>
      <c r="K170" t="str">
        <f>"INEI"</f>
        <v>INEI</v>
      </c>
      <c r="L170" t="s">
        <v>1382</v>
      </c>
      <c r="M170">
        <v>116.34</v>
      </c>
    </row>
    <row r="171" spans="1:13" x14ac:dyDescent="0.25">
      <c r="A171" t="str">
        <f t="shared" si="32"/>
        <v>E131</v>
      </c>
      <c r="B171">
        <v>1</v>
      </c>
      <c r="C171" t="str">
        <f t="shared" si="33"/>
        <v>10200</v>
      </c>
      <c r="D171" t="str">
        <f t="shared" si="31"/>
        <v>5620</v>
      </c>
      <c r="E171" t="str">
        <f t="shared" si="34"/>
        <v>094OMS</v>
      </c>
      <c r="F171" t="str">
        <f>""</f>
        <v/>
      </c>
      <c r="G171" t="str">
        <f>""</f>
        <v/>
      </c>
      <c r="H171" s="1">
        <v>42012</v>
      </c>
      <c r="I171" t="str">
        <f>"I0114437"</f>
        <v>I0114437</v>
      </c>
      <c r="J171" t="str">
        <f>"N138254E"</f>
        <v>N138254E</v>
      </c>
      <c r="K171" t="str">
        <f>"INEI"</f>
        <v>INEI</v>
      </c>
      <c r="L171" t="s">
        <v>1382</v>
      </c>
      <c r="M171">
        <v>115.56</v>
      </c>
    </row>
    <row r="172" spans="1:13" x14ac:dyDescent="0.25">
      <c r="A172" t="str">
        <f t="shared" si="32"/>
        <v>E131</v>
      </c>
      <c r="B172">
        <v>1</v>
      </c>
      <c r="C172" t="str">
        <f t="shared" si="33"/>
        <v>10200</v>
      </c>
      <c r="D172" t="str">
        <f t="shared" si="31"/>
        <v>5620</v>
      </c>
      <c r="E172" t="str">
        <f t="shared" si="34"/>
        <v>094OMS</v>
      </c>
      <c r="F172" t="str">
        <f>""</f>
        <v/>
      </c>
      <c r="G172" t="str">
        <f>""</f>
        <v/>
      </c>
      <c r="H172" s="1">
        <v>42030</v>
      </c>
      <c r="I172" t="str">
        <f>"222515"</f>
        <v>222515</v>
      </c>
      <c r="J172" t="str">
        <f>""</f>
        <v/>
      </c>
      <c r="K172" t="str">
        <f>"INNI"</f>
        <v>INNI</v>
      </c>
      <c r="L172" t="s">
        <v>92</v>
      </c>
      <c r="M172">
        <v>179.44</v>
      </c>
    </row>
    <row r="173" spans="1:13" x14ac:dyDescent="0.25">
      <c r="A173" t="str">
        <f t="shared" si="32"/>
        <v>E131</v>
      </c>
      <c r="B173">
        <v>1</v>
      </c>
      <c r="C173" t="str">
        <f t="shared" si="33"/>
        <v>10200</v>
      </c>
      <c r="D173" t="str">
        <f t="shared" si="31"/>
        <v>5620</v>
      </c>
      <c r="E173" t="str">
        <f t="shared" si="34"/>
        <v>094OMS</v>
      </c>
      <c r="F173" t="str">
        <f>""</f>
        <v/>
      </c>
      <c r="G173" t="str">
        <f>""</f>
        <v/>
      </c>
      <c r="H173" s="1">
        <v>42035</v>
      </c>
      <c r="I173" t="str">
        <f>"TEL00646"</f>
        <v>TEL00646</v>
      </c>
      <c r="J173" t="str">
        <f>""</f>
        <v/>
      </c>
      <c r="K173" t="str">
        <f>"AS89"</f>
        <v>AS89</v>
      </c>
      <c r="L173" t="s">
        <v>2694</v>
      </c>
      <c r="M173">
        <v>106.2</v>
      </c>
    </row>
    <row r="174" spans="1:13" x14ac:dyDescent="0.25">
      <c r="A174" t="str">
        <f t="shared" si="32"/>
        <v>E131</v>
      </c>
      <c r="B174">
        <v>1</v>
      </c>
      <c r="C174" t="str">
        <f t="shared" si="33"/>
        <v>10200</v>
      </c>
      <c r="D174" t="str">
        <f t="shared" si="31"/>
        <v>5620</v>
      </c>
      <c r="E174" t="str">
        <f t="shared" si="34"/>
        <v>094OMS</v>
      </c>
      <c r="F174" t="str">
        <f>""</f>
        <v/>
      </c>
      <c r="G174" t="str">
        <f>""</f>
        <v/>
      </c>
      <c r="H174" s="1">
        <v>42040</v>
      </c>
      <c r="I174" t="str">
        <f>"I0115152"</f>
        <v>I0115152</v>
      </c>
      <c r="J174" t="str">
        <f>"N138254E"</f>
        <v>N138254E</v>
      </c>
      <c r="K174" t="str">
        <f>"INEI"</f>
        <v>INEI</v>
      </c>
      <c r="L174" t="s">
        <v>1382</v>
      </c>
      <c r="M174">
        <v>115.76</v>
      </c>
    </row>
    <row r="175" spans="1:13" x14ac:dyDescent="0.25">
      <c r="A175" t="str">
        <f t="shared" si="32"/>
        <v>E131</v>
      </c>
      <c r="B175">
        <v>1</v>
      </c>
      <c r="C175" t="str">
        <f t="shared" si="33"/>
        <v>10200</v>
      </c>
      <c r="D175" t="str">
        <f t="shared" si="31"/>
        <v>5620</v>
      </c>
      <c r="E175" t="str">
        <f t="shared" si="34"/>
        <v>094OMS</v>
      </c>
      <c r="F175" t="str">
        <f>""</f>
        <v/>
      </c>
      <c r="G175" t="str">
        <f>""</f>
        <v/>
      </c>
      <c r="H175" s="1">
        <v>42063</v>
      </c>
      <c r="I175" t="str">
        <f>"TEL00647"</f>
        <v>TEL00647</v>
      </c>
      <c r="J175" t="str">
        <f>""</f>
        <v/>
      </c>
      <c r="K175" t="str">
        <f>"AS89"</f>
        <v>AS89</v>
      </c>
      <c r="L175" t="s">
        <v>2693</v>
      </c>
      <c r="M175">
        <v>119.69</v>
      </c>
    </row>
    <row r="176" spans="1:13" x14ac:dyDescent="0.25">
      <c r="A176" t="str">
        <f t="shared" si="32"/>
        <v>E131</v>
      </c>
      <c r="B176">
        <v>1</v>
      </c>
      <c r="C176" t="str">
        <f t="shared" si="33"/>
        <v>10200</v>
      </c>
      <c r="D176" t="str">
        <f t="shared" si="31"/>
        <v>5620</v>
      </c>
      <c r="E176" t="str">
        <f t="shared" si="34"/>
        <v>094OMS</v>
      </c>
      <c r="F176" t="str">
        <f>""</f>
        <v/>
      </c>
      <c r="G176" t="str">
        <f>""</f>
        <v/>
      </c>
      <c r="H176" s="1">
        <v>42073</v>
      </c>
      <c r="I176" t="str">
        <f>"I0115906"</f>
        <v>I0115906</v>
      </c>
      <c r="J176" t="str">
        <f>"N138254E"</f>
        <v>N138254E</v>
      </c>
      <c r="K176" t="str">
        <f>"INEI"</f>
        <v>INEI</v>
      </c>
      <c r="L176" t="s">
        <v>1382</v>
      </c>
      <c r="M176">
        <v>115.86</v>
      </c>
    </row>
    <row r="177" spans="1:13" x14ac:dyDescent="0.25">
      <c r="A177" t="str">
        <f t="shared" si="32"/>
        <v>E131</v>
      </c>
      <c r="B177">
        <v>1</v>
      </c>
      <c r="C177" t="str">
        <f t="shared" si="33"/>
        <v>10200</v>
      </c>
      <c r="D177" t="str">
        <f t="shared" si="31"/>
        <v>5620</v>
      </c>
      <c r="E177" t="str">
        <f t="shared" si="34"/>
        <v>094OMS</v>
      </c>
      <c r="F177" t="str">
        <f>""</f>
        <v/>
      </c>
      <c r="G177" t="str">
        <f>""</f>
        <v/>
      </c>
      <c r="H177" s="1">
        <v>42094</v>
      </c>
      <c r="I177" t="str">
        <f>"TEL00648"</f>
        <v>TEL00648</v>
      </c>
      <c r="J177" t="str">
        <f>""</f>
        <v/>
      </c>
      <c r="K177" t="str">
        <f>"AS89"</f>
        <v>AS89</v>
      </c>
      <c r="L177" t="s">
        <v>2692</v>
      </c>
      <c r="M177">
        <v>107.66</v>
      </c>
    </row>
    <row r="178" spans="1:13" x14ac:dyDescent="0.25">
      <c r="A178" t="str">
        <f t="shared" si="32"/>
        <v>E131</v>
      </c>
      <c r="B178">
        <v>1</v>
      </c>
      <c r="C178" t="str">
        <f t="shared" si="33"/>
        <v>10200</v>
      </c>
      <c r="D178" t="str">
        <f t="shared" si="31"/>
        <v>5620</v>
      </c>
      <c r="E178" t="str">
        <f t="shared" si="34"/>
        <v>094OMS</v>
      </c>
      <c r="F178" t="str">
        <f>""</f>
        <v/>
      </c>
      <c r="G178" t="str">
        <f>""</f>
        <v/>
      </c>
      <c r="H178" s="1">
        <v>42100</v>
      </c>
      <c r="I178" t="str">
        <f>"I0116835"</f>
        <v>I0116835</v>
      </c>
      <c r="J178" t="str">
        <f>"N138254E"</f>
        <v>N138254E</v>
      </c>
      <c r="K178" t="str">
        <f>"INEI"</f>
        <v>INEI</v>
      </c>
      <c r="L178" t="s">
        <v>1382</v>
      </c>
      <c r="M178">
        <v>115.76</v>
      </c>
    </row>
    <row r="179" spans="1:13" x14ac:dyDescent="0.25">
      <c r="A179" t="str">
        <f t="shared" si="32"/>
        <v>E131</v>
      </c>
      <c r="B179">
        <v>1</v>
      </c>
      <c r="C179" t="str">
        <f t="shared" si="33"/>
        <v>10200</v>
      </c>
      <c r="D179" t="str">
        <f t="shared" si="31"/>
        <v>5620</v>
      </c>
      <c r="E179" t="str">
        <f t="shared" si="34"/>
        <v>094OMS</v>
      </c>
      <c r="F179" t="str">
        <f>""</f>
        <v/>
      </c>
      <c r="G179" t="str">
        <f>""</f>
        <v/>
      </c>
      <c r="H179" s="1">
        <v>42124</v>
      </c>
      <c r="I179" t="str">
        <f>"TEL00649"</f>
        <v>TEL00649</v>
      </c>
      <c r="J179" t="str">
        <f>""</f>
        <v/>
      </c>
      <c r="K179" t="str">
        <f>"AS89"</f>
        <v>AS89</v>
      </c>
      <c r="L179" t="s">
        <v>2691</v>
      </c>
      <c r="M179">
        <v>110.33</v>
      </c>
    </row>
    <row r="180" spans="1:13" x14ac:dyDescent="0.25">
      <c r="A180" t="str">
        <f t="shared" si="32"/>
        <v>E131</v>
      </c>
      <c r="B180">
        <v>1</v>
      </c>
      <c r="C180" t="str">
        <f t="shared" si="33"/>
        <v>10200</v>
      </c>
      <c r="D180" t="str">
        <f t="shared" si="31"/>
        <v>5620</v>
      </c>
      <c r="E180" t="str">
        <f t="shared" si="34"/>
        <v>094OMS</v>
      </c>
      <c r="F180" t="str">
        <f>""</f>
        <v/>
      </c>
      <c r="G180" t="str">
        <f>""</f>
        <v/>
      </c>
      <c r="H180" s="1">
        <v>42128</v>
      </c>
      <c r="I180" t="str">
        <f>"I0117706"</f>
        <v>I0117706</v>
      </c>
      <c r="J180" t="str">
        <f>"N138254E"</f>
        <v>N138254E</v>
      </c>
      <c r="K180" t="str">
        <f>"INEI"</f>
        <v>INEI</v>
      </c>
      <c r="L180" t="s">
        <v>1382</v>
      </c>
      <c r="M180">
        <v>115.89</v>
      </c>
    </row>
    <row r="181" spans="1:13" x14ac:dyDescent="0.25">
      <c r="A181" t="str">
        <f t="shared" si="32"/>
        <v>E131</v>
      </c>
      <c r="B181">
        <v>1</v>
      </c>
      <c r="C181" t="str">
        <f t="shared" si="33"/>
        <v>10200</v>
      </c>
      <c r="D181" t="str">
        <f t="shared" si="31"/>
        <v>5620</v>
      </c>
      <c r="E181" t="str">
        <f t="shared" si="34"/>
        <v>094OMS</v>
      </c>
      <c r="F181" t="str">
        <f>""</f>
        <v/>
      </c>
      <c r="G181" t="str">
        <f>""</f>
        <v/>
      </c>
      <c r="H181" s="1">
        <v>42155</v>
      </c>
      <c r="I181" t="str">
        <f>"TEL00650"</f>
        <v>TEL00650</v>
      </c>
      <c r="J181" t="str">
        <f>""</f>
        <v/>
      </c>
      <c r="K181" t="str">
        <f>"AS89"</f>
        <v>AS89</v>
      </c>
      <c r="L181" t="s">
        <v>2690</v>
      </c>
      <c r="M181">
        <v>138.6</v>
      </c>
    </row>
    <row r="182" spans="1:13" x14ac:dyDescent="0.25">
      <c r="A182" t="str">
        <f t="shared" si="32"/>
        <v>E131</v>
      </c>
      <c r="B182">
        <v>1</v>
      </c>
      <c r="C182" t="str">
        <f t="shared" si="33"/>
        <v>10200</v>
      </c>
      <c r="D182" t="str">
        <f t="shared" si="31"/>
        <v>5620</v>
      </c>
      <c r="E182" t="str">
        <f t="shared" si="34"/>
        <v>094OMS</v>
      </c>
      <c r="F182" t="str">
        <f>""</f>
        <v/>
      </c>
      <c r="G182" t="str">
        <f>""</f>
        <v/>
      </c>
      <c r="H182" s="1">
        <v>42166</v>
      </c>
      <c r="I182" t="str">
        <f>"I0118626"</f>
        <v>I0118626</v>
      </c>
      <c r="J182" t="str">
        <f>"N138254E"</f>
        <v>N138254E</v>
      </c>
      <c r="K182" t="str">
        <f>"INEI"</f>
        <v>INEI</v>
      </c>
      <c r="L182" t="s">
        <v>1382</v>
      </c>
      <c r="M182">
        <v>115.89</v>
      </c>
    </row>
    <row r="183" spans="1:13" x14ac:dyDescent="0.25">
      <c r="A183" t="str">
        <f t="shared" si="32"/>
        <v>E131</v>
      </c>
      <c r="B183">
        <v>1</v>
      </c>
      <c r="C183" t="str">
        <f t="shared" si="33"/>
        <v>10200</v>
      </c>
      <c r="D183" t="str">
        <f t="shared" si="31"/>
        <v>5620</v>
      </c>
      <c r="E183" t="str">
        <f t="shared" si="34"/>
        <v>094OMS</v>
      </c>
      <c r="F183" t="str">
        <f>""</f>
        <v/>
      </c>
      <c r="G183" t="str">
        <f>""</f>
        <v/>
      </c>
      <c r="H183" s="1">
        <v>42182</v>
      </c>
      <c r="I183" t="str">
        <f>"I0119537"</f>
        <v>I0119537</v>
      </c>
      <c r="J183" t="str">
        <f>"N138254E"</f>
        <v>N138254E</v>
      </c>
      <c r="K183" t="str">
        <f>"INEI"</f>
        <v>INEI</v>
      </c>
      <c r="L183" t="s">
        <v>1382</v>
      </c>
      <c r="M183">
        <v>115.89</v>
      </c>
    </row>
    <row r="184" spans="1:13" x14ac:dyDescent="0.25">
      <c r="A184" t="str">
        <f t="shared" si="32"/>
        <v>E131</v>
      </c>
      <c r="B184">
        <v>1</v>
      </c>
      <c r="C184" t="str">
        <f t="shared" si="33"/>
        <v>10200</v>
      </c>
      <c r="D184" t="str">
        <f t="shared" si="31"/>
        <v>5620</v>
      </c>
      <c r="E184" t="str">
        <f t="shared" si="34"/>
        <v>094OMS</v>
      </c>
      <c r="F184" t="str">
        <f>""</f>
        <v/>
      </c>
      <c r="G184" t="str">
        <f>""</f>
        <v/>
      </c>
      <c r="H184" s="1">
        <v>42185</v>
      </c>
      <c r="I184" t="str">
        <f>"TEL00651"</f>
        <v>TEL00651</v>
      </c>
      <c r="J184" t="str">
        <f>""</f>
        <v/>
      </c>
      <c r="K184" t="str">
        <f t="shared" ref="K184:K208" si="35">"AS89"</f>
        <v>AS89</v>
      </c>
      <c r="L184" t="s">
        <v>2701</v>
      </c>
      <c r="M184">
        <v>259.93</v>
      </c>
    </row>
    <row r="185" spans="1:13" x14ac:dyDescent="0.25">
      <c r="A185" t="str">
        <f t="shared" si="32"/>
        <v>E131</v>
      </c>
      <c r="B185">
        <v>1</v>
      </c>
      <c r="C185" t="str">
        <f t="shared" ref="C185:C196" si="36">"23275"</f>
        <v>23275</v>
      </c>
      <c r="D185" t="str">
        <f t="shared" si="31"/>
        <v>5620</v>
      </c>
      <c r="E185" t="str">
        <f t="shared" ref="E185:E196" si="37">"063STF"</f>
        <v>063STF</v>
      </c>
      <c r="F185" t="str">
        <f>""</f>
        <v/>
      </c>
      <c r="G185" t="str">
        <f>""</f>
        <v/>
      </c>
      <c r="H185" s="1">
        <v>41851</v>
      </c>
      <c r="I185" t="str">
        <f>"TEL00640"</f>
        <v>TEL00640</v>
      </c>
      <c r="J185" t="str">
        <f>""</f>
        <v/>
      </c>
      <c r="K185" t="str">
        <f t="shared" si="35"/>
        <v>AS89</v>
      </c>
      <c r="L185" t="s">
        <v>2700</v>
      </c>
      <c r="M185">
        <v>146.34</v>
      </c>
    </row>
    <row r="186" spans="1:13" x14ac:dyDescent="0.25">
      <c r="A186" t="str">
        <f t="shared" si="32"/>
        <v>E131</v>
      </c>
      <c r="B186">
        <v>1</v>
      </c>
      <c r="C186" t="str">
        <f t="shared" si="36"/>
        <v>23275</v>
      </c>
      <c r="D186" t="str">
        <f t="shared" si="31"/>
        <v>5620</v>
      </c>
      <c r="E186" t="str">
        <f t="shared" si="37"/>
        <v>063STF</v>
      </c>
      <c r="F186" t="str">
        <f>""</f>
        <v/>
      </c>
      <c r="G186" t="str">
        <f>""</f>
        <v/>
      </c>
      <c r="H186" s="1">
        <v>41882</v>
      </c>
      <c r="I186" t="str">
        <f>"TEL00641"</f>
        <v>TEL00641</v>
      </c>
      <c r="J186" t="str">
        <f>""</f>
        <v/>
      </c>
      <c r="K186" t="str">
        <f t="shared" si="35"/>
        <v>AS89</v>
      </c>
      <c r="L186" t="s">
        <v>2699</v>
      </c>
      <c r="M186">
        <v>147.37</v>
      </c>
    </row>
    <row r="187" spans="1:13" x14ac:dyDescent="0.25">
      <c r="A187" t="str">
        <f t="shared" si="32"/>
        <v>E131</v>
      </c>
      <c r="B187">
        <v>1</v>
      </c>
      <c r="C187" t="str">
        <f t="shared" si="36"/>
        <v>23275</v>
      </c>
      <c r="D187" t="str">
        <f t="shared" si="31"/>
        <v>5620</v>
      </c>
      <c r="E187" t="str">
        <f t="shared" si="37"/>
        <v>063STF</v>
      </c>
      <c r="F187" t="str">
        <f>""</f>
        <v/>
      </c>
      <c r="G187" t="str">
        <f>""</f>
        <v/>
      </c>
      <c r="H187" s="1">
        <v>41920</v>
      </c>
      <c r="I187" t="str">
        <f>"TEL00642"</f>
        <v>TEL00642</v>
      </c>
      <c r="J187" t="str">
        <f>""</f>
        <v/>
      </c>
      <c r="K187" t="str">
        <f t="shared" si="35"/>
        <v>AS89</v>
      </c>
      <c r="L187" t="s">
        <v>2698</v>
      </c>
      <c r="M187">
        <v>146.38999999999999</v>
      </c>
    </row>
    <row r="188" spans="1:13" x14ac:dyDescent="0.25">
      <c r="A188" t="str">
        <f t="shared" si="32"/>
        <v>E131</v>
      </c>
      <c r="B188">
        <v>1</v>
      </c>
      <c r="C188" t="str">
        <f t="shared" si="36"/>
        <v>23275</v>
      </c>
      <c r="D188" t="str">
        <f t="shared" si="31"/>
        <v>5620</v>
      </c>
      <c r="E188" t="str">
        <f t="shared" si="37"/>
        <v>063STF</v>
      </c>
      <c r="F188" t="str">
        <f>""</f>
        <v/>
      </c>
      <c r="G188" t="str">
        <f>""</f>
        <v/>
      </c>
      <c r="H188" s="1">
        <v>41943</v>
      </c>
      <c r="I188" t="str">
        <f>"TEL00643"</f>
        <v>TEL00643</v>
      </c>
      <c r="J188" t="str">
        <f>""</f>
        <v/>
      </c>
      <c r="K188" t="str">
        <f t="shared" si="35"/>
        <v>AS89</v>
      </c>
      <c r="L188" t="s">
        <v>2697</v>
      </c>
      <c r="M188">
        <v>141.76</v>
      </c>
    </row>
    <row r="189" spans="1:13" x14ac:dyDescent="0.25">
      <c r="A189" t="str">
        <f t="shared" si="32"/>
        <v>E131</v>
      </c>
      <c r="B189">
        <v>1</v>
      </c>
      <c r="C189" t="str">
        <f t="shared" si="36"/>
        <v>23275</v>
      </c>
      <c r="D189" t="str">
        <f t="shared" si="31"/>
        <v>5620</v>
      </c>
      <c r="E189" t="str">
        <f t="shared" si="37"/>
        <v>063STF</v>
      </c>
      <c r="F189" t="str">
        <f>""</f>
        <v/>
      </c>
      <c r="G189" t="str">
        <f>""</f>
        <v/>
      </c>
      <c r="H189" s="1">
        <v>41973</v>
      </c>
      <c r="I189" t="str">
        <f>"TEL00644"</f>
        <v>TEL00644</v>
      </c>
      <c r="J189" t="str">
        <f>""</f>
        <v/>
      </c>
      <c r="K189" t="str">
        <f t="shared" si="35"/>
        <v>AS89</v>
      </c>
      <c r="L189" t="s">
        <v>2696</v>
      </c>
      <c r="M189">
        <v>141</v>
      </c>
    </row>
    <row r="190" spans="1:13" x14ac:dyDescent="0.25">
      <c r="A190" t="str">
        <f t="shared" si="32"/>
        <v>E131</v>
      </c>
      <c r="B190">
        <v>1</v>
      </c>
      <c r="C190" t="str">
        <f t="shared" si="36"/>
        <v>23275</v>
      </c>
      <c r="D190" t="str">
        <f t="shared" si="31"/>
        <v>5620</v>
      </c>
      <c r="E190" t="str">
        <f t="shared" si="37"/>
        <v>063STF</v>
      </c>
      <c r="F190" t="str">
        <f>""</f>
        <v/>
      </c>
      <c r="G190" t="str">
        <f>""</f>
        <v/>
      </c>
      <c r="H190" s="1">
        <v>42004</v>
      </c>
      <c r="I190" t="str">
        <f>"TEL00645"</f>
        <v>TEL00645</v>
      </c>
      <c r="J190" t="str">
        <f>""</f>
        <v/>
      </c>
      <c r="K190" t="str">
        <f t="shared" si="35"/>
        <v>AS89</v>
      </c>
      <c r="L190" t="s">
        <v>2695</v>
      </c>
      <c r="M190">
        <v>142.99</v>
      </c>
    </row>
    <row r="191" spans="1:13" x14ac:dyDescent="0.25">
      <c r="A191" t="str">
        <f t="shared" si="32"/>
        <v>E131</v>
      </c>
      <c r="B191">
        <v>1</v>
      </c>
      <c r="C191" t="str">
        <f t="shared" si="36"/>
        <v>23275</v>
      </c>
      <c r="D191" t="str">
        <f t="shared" si="31"/>
        <v>5620</v>
      </c>
      <c r="E191" t="str">
        <f t="shared" si="37"/>
        <v>063STF</v>
      </c>
      <c r="F191" t="str">
        <f>""</f>
        <v/>
      </c>
      <c r="G191" t="str">
        <f>""</f>
        <v/>
      </c>
      <c r="H191" s="1">
        <v>42035</v>
      </c>
      <c r="I191" t="str">
        <f>"TEL00646"</f>
        <v>TEL00646</v>
      </c>
      <c r="J191" t="str">
        <f>""</f>
        <v/>
      </c>
      <c r="K191" t="str">
        <f t="shared" si="35"/>
        <v>AS89</v>
      </c>
      <c r="L191" t="s">
        <v>2694</v>
      </c>
      <c r="M191">
        <v>140.49</v>
      </c>
    </row>
    <row r="192" spans="1:13" x14ac:dyDescent="0.25">
      <c r="A192" t="str">
        <f t="shared" si="32"/>
        <v>E131</v>
      </c>
      <c r="B192">
        <v>1</v>
      </c>
      <c r="C192" t="str">
        <f t="shared" si="36"/>
        <v>23275</v>
      </c>
      <c r="D192" t="str">
        <f t="shared" si="31"/>
        <v>5620</v>
      </c>
      <c r="E192" t="str">
        <f t="shared" si="37"/>
        <v>063STF</v>
      </c>
      <c r="F192" t="str">
        <f>""</f>
        <v/>
      </c>
      <c r="G192" t="str">
        <f>""</f>
        <v/>
      </c>
      <c r="H192" s="1">
        <v>42063</v>
      </c>
      <c r="I192" t="str">
        <f>"TEL00647"</f>
        <v>TEL00647</v>
      </c>
      <c r="J192" t="str">
        <f>""</f>
        <v/>
      </c>
      <c r="K192" t="str">
        <f t="shared" si="35"/>
        <v>AS89</v>
      </c>
      <c r="L192" t="s">
        <v>2693</v>
      </c>
      <c r="M192">
        <v>139.05000000000001</v>
      </c>
    </row>
    <row r="193" spans="1:13" x14ac:dyDescent="0.25">
      <c r="A193" t="str">
        <f t="shared" ref="A193:A224" si="38">"E131"</f>
        <v>E131</v>
      </c>
      <c r="B193">
        <v>1</v>
      </c>
      <c r="C193" t="str">
        <f t="shared" si="36"/>
        <v>23275</v>
      </c>
      <c r="D193" t="str">
        <f t="shared" si="31"/>
        <v>5620</v>
      </c>
      <c r="E193" t="str">
        <f t="shared" si="37"/>
        <v>063STF</v>
      </c>
      <c r="F193" t="str">
        <f>""</f>
        <v/>
      </c>
      <c r="G193" t="str">
        <f>""</f>
        <v/>
      </c>
      <c r="H193" s="1">
        <v>42094</v>
      </c>
      <c r="I193" t="str">
        <f>"TEL00648"</f>
        <v>TEL00648</v>
      </c>
      <c r="J193" t="str">
        <f>""</f>
        <v/>
      </c>
      <c r="K193" t="str">
        <f t="shared" si="35"/>
        <v>AS89</v>
      </c>
      <c r="L193" t="s">
        <v>2692</v>
      </c>
      <c r="M193">
        <v>144.53</v>
      </c>
    </row>
    <row r="194" spans="1:13" x14ac:dyDescent="0.25">
      <c r="A194" t="str">
        <f t="shared" si="38"/>
        <v>E131</v>
      </c>
      <c r="B194">
        <v>1</v>
      </c>
      <c r="C194" t="str">
        <f t="shared" si="36"/>
        <v>23275</v>
      </c>
      <c r="D194" t="str">
        <f t="shared" si="31"/>
        <v>5620</v>
      </c>
      <c r="E194" t="str">
        <f t="shared" si="37"/>
        <v>063STF</v>
      </c>
      <c r="F194" t="str">
        <f>""</f>
        <v/>
      </c>
      <c r="G194" t="str">
        <f>""</f>
        <v/>
      </c>
      <c r="H194" s="1">
        <v>42124</v>
      </c>
      <c r="I194" t="str">
        <f>"TEL00649"</f>
        <v>TEL00649</v>
      </c>
      <c r="J194" t="str">
        <f>""</f>
        <v/>
      </c>
      <c r="K194" t="str">
        <f t="shared" si="35"/>
        <v>AS89</v>
      </c>
      <c r="L194" t="s">
        <v>2691</v>
      </c>
      <c r="M194">
        <v>142.78</v>
      </c>
    </row>
    <row r="195" spans="1:13" x14ac:dyDescent="0.25">
      <c r="A195" t="str">
        <f t="shared" si="38"/>
        <v>E131</v>
      </c>
      <c r="B195">
        <v>1</v>
      </c>
      <c r="C195" t="str">
        <f t="shared" si="36"/>
        <v>23275</v>
      </c>
      <c r="D195" t="str">
        <f t="shared" si="31"/>
        <v>5620</v>
      </c>
      <c r="E195" t="str">
        <f t="shared" si="37"/>
        <v>063STF</v>
      </c>
      <c r="F195" t="str">
        <f>""</f>
        <v/>
      </c>
      <c r="G195" t="str">
        <f>""</f>
        <v/>
      </c>
      <c r="H195" s="1">
        <v>42155</v>
      </c>
      <c r="I195" t="str">
        <f>"TEL00650"</f>
        <v>TEL00650</v>
      </c>
      <c r="J195" t="str">
        <f>""</f>
        <v/>
      </c>
      <c r="K195" t="str">
        <f t="shared" si="35"/>
        <v>AS89</v>
      </c>
      <c r="L195" t="s">
        <v>2690</v>
      </c>
      <c r="M195">
        <v>143.80000000000001</v>
      </c>
    </row>
    <row r="196" spans="1:13" x14ac:dyDescent="0.25">
      <c r="A196" t="str">
        <f t="shared" si="38"/>
        <v>E131</v>
      </c>
      <c r="B196">
        <v>1</v>
      </c>
      <c r="C196" t="str">
        <f t="shared" si="36"/>
        <v>23275</v>
      </c>
      <c r="D196" t="str">
        <f t="shared" si="31"/>
        <v>5620</v>
      </c>
      <c r="E196" t="str">
        <f t="shared" si="37"/>
        <v>063STF</v>
      </c>
      <c r="F196" t="str">
        <f>""</f>
        <v/>
      </c>
      <c r="G196" t="str">
        <f>""</f>
        <v/>
      </c>
      <c r="H196" s="1">
        <v>42185</v>
      </c>
      <c r="I196" t="str">
        <f>"TEL00651"</f>
        <v>TEL00651</v>
      </c>
      <c r="J196" t="str">
        <f>""</f>
        <v/>
      </c>
      <c r="K196" t="str">
        <f t="shared" si="35"/>
        <v>AS89</v>
      </c>
      <c r="L196" t="s">
        <v>2701</v>
      </c>
      <c r="M196">
        <v>151.25</v>
      </c>
    </row>
    <row r="197" spans="1:13" x14ac:dyDescent="0.25">
      <c r="A197" t="str">
        <f t="shared" si="38"/>
        <v>E131</v>
      </c>
      <c r="B197">
        <v>1</v>
      </c>
      <c r="C197" t="str">
        <f t="shared" ref="C197:C209" si="39">"32040"</f>
        <v>32040</v>
      </c>
      <c r="D197" t="str">
        <f t="shared" ref="D197:D203" si="40">"5610"</f>
        <v>5610</v>
      </c>
      <c r="E197" t="str">
        <f t="shared" ref="E197:E203" si="41">"850LOS"</f>
        <v>850LOS</v>
      </c>
      <c r="F197" t="str">
        <f>""</f>
        <v/>
      </c>
      <c r="G197" t="str">
        <f>""</f>
        <v/>
      </c>
      <c r="H197" s="1">
        <v>41851</v>
      </c>
      <c r="I197" t="str">
        <f>"TEL00640"</f>
        <v>TEL00640</v>
      </c>
      <c r="J197" t="str">
        <f>""</f>
        <v/>
      </c>
      <c r="K197" t="str">
        <f t="shared" si="35"/>
        <v>AS89</v>
      </c>
      <c r="L197" t="s">
        <v>2700</v>
      </c>
      <c r="M197">
        <v>183</v>
      </c>
    </row>
    <row r="198" spans="1:13" x14ac:dyDescent="0.25">
      <c r="A198" t="str">
        <f t="shared" si="38"/>
        <v>E131</v>
      </c>
      <c r="B198">
        <v>1</v>
      </c>
      <c r="C198" t="str">
        <f t="shared" si="39"/>
        <v>32040</v>
      </c>
      <c r="D198" t="str">
        <f t="shared" si="40"/>
        <v>5610</v>
      </c>
      <c r="E198" t="str">
        <f t="shared" si="41"/>
        <v>850LOS</v>
      </c>
      <c r="F198" t="str">
        <f>""</f>
        <v/>
      </c>
      <c r="G198" t="str">
        <f>""</f>
        <v/>
      </c>
      <c r="H198" s="1">
        <v>41882</v>
      </c>
      <c r="I198" t="str">
        <f>"TEL00641"</f>
        <v>TEL00641</v>
      </c>
      <c r="J198" t="str">
        <f>""</f>
        <v/>
      </c>
      <c r="K198" t="str">
        <f t="shared" si="35"/>
        <v>AS89</v>
      </c>
      <c r="L198" t="s">
        <v>2699</v>
      </c>
      <c r="M198">
        <v>183</v>
      </c>
    </row>
    <row r="199" spans="1:13" x14ac:dyDescent="0.25">
      <c r="A199" t="str">
        <f t="shared" si="38"/>
        <v>E131</v>
      </c>
      <c r="B199">
        <v>1</v>
      </c>
      <c r="C199" t="str">
        <f t="shared" si="39"/>
        <v>32040</v>
      </c>
      <c r="D199" t="str">
        <f t="shared" si="40"/>
        <v>5610</v>
      </c>
      <c r="E199" t="str">
        <f t="shared" si="41"/>
        <v>850LOS</v>
      </c>
      <c r="F199" t="str">
        <f>""</f>
        <v/>
      </c>
      <c r="G199" t="str">
        <f>""</f>
        <v/>
      </c>
      <c r="H199" s="1">
        <v>41920</v>
      </c>
      <c r="I199" t="str">
        <f>"TEL00642"</f>
        <v>TEL00642</v>
      </c>
      <c r="J199" t="str">
        <f>""</f>
        <v/>
      </c>
      <c r="K199" t="str">
        <f t="shared" si="35"/>
        <v>AS89</v>
      </c>
      <c r="L199" t="s">
        <v>2698</v>
      </c>
      <c r="M199">
        <v>187.86</v>
      </c>
    </row>
    <row r="200" spans="1:13" x14ac:dyDescent="0.25">
      <c r="A200" t="str">
        <f t="shared" si="38"/>
        <v>E131</v>
      </c>
      <c r="B200">
        <v>1</v>
      </c>
      <c r="C200" t="str">
        <f t="shared" si="39"/>
        <v>32040</v>
      </c>
      <c r="D200" t="str">
        <f t="shared" si="40"/>
        <v>5610</v>
      </c>
      <c r="E200" t="str">
        <f t="shared" si="41"/>
        <v>850LOS</v>
      </c>
      <c r="F200" t="str">
        <f>""</f>
        <v/>
      </c>
      <c r="G200" t="str">
        <f>""</f>
        <v/>
      </c>
      <c r="H200" s="1">
        <v>41943</v>
      </c>
      <c r="I200" t="str">
        <f>"TEL00643"</f>
        <v>TEL00643</v>
      </c>
      <c r="J200" t="str">
        <f>""</f>
        <v/>
      </c>
      <c r="K200" t="str">
        <f t="shared" si="35"/>
        <v>AS89</v>
      </c>
      <c r="L200" t="s">
        <v>2697</v>
      </c>
      <c r="M200">
        <v>183</v>
      </c>
    </row>
    <row r="201" spans="1:13" x14ac:dyDescent="0.25">
      <c r="A201" t="str">
        <f t="shared" si="38"/>
        <v>E131</v>
      </c>
      <c r="B201">
        <v>1</v>
      </c>
      <c r="C201" t="str">
        <f t="shared" si="39"/>
        <v>32040</v>
      </c>
      <c r="D201" t="str">
        <f t="shared" si="40"/>
        <v>5610</v>
      </c>
      <c r="E201" t="str">
        <f t="shared" si="41"/>
        <v>850LOS</v>
      </c>
      <c r="F201" t="str">
        <f>""</f>
        <v/>
      </c>
      <c r="G201" t="str">
        <f>""</f>
        <v/>
      </c>
      <c r="H201" s="1">
        <v>41973</v>
      </c>
      <c r="I201" t="str">
        <f>"TEL00644"</f>
        <v>TEL00644</v>
      </c>
      <c r="J201" t="str">
        <f>""</f>
        <v/>
      </c>
      <c r="K201" t="str">
        <f t="shared" si="35"/>
        <v>AS89</v>
      </c>
      <c r="L201" t="s">
        <v>2696</v>
      </c>
      <c r="M201">
        <v>183.62</v>
      </c>
    </row>
    <row r="202" spans="1:13" x14ac:dyDescent="0.25">
      <c r="A202" t="str">
        <f t="shared" si="38"/>
        <v>E131</v>
      </c>
      <c r="B202">
        <v>1</v>
      </c>
      <c r="C202" t="str">
        <f t="shared" si="39"/>
        <v>32040</v>
      </c>
      <c r="D202" t="str">
        <f t="shared" si="40"/>
        <v>5610</v>
      </c>
      <c r="E202" t="str">
        <f t="shared" si="41"/>
        <v>850LOS</v>
      </c>
      <c r="F202" t="str">
        <f>""</f>
        <v/>
      </c>
      <c r="G202" t="str">
        <f>""</f>
        <v/>
      </c>
      <c r="H202" s="1">
        <v>42004</v>
      </c>
      <c r="I202" t="str">
        <f>"TEL00645"</f>
        <v>TEL00645</v>
      </c>
      <c r="J202" t="str">
        <f>""</f>
        <v/>
      </c>
      <c r="K202" t="str">
        <f t="shared" si="35"/>
        <v>AS89</v>
      </c>
      <c r="L202" t="s">
        <v>2695</v>
      </c>
      <c r="M202">
        <v>183.14</v>
      </c>
    </row>
    <row r="203" spans="1:13" x14ac:dyDescent="0.25">
      <c r="A203" t="str">
        <f t="shared" si="38"/>
        <v>E131</v>
      </c>
      <c r="B203">
        <v>1</v>
      </c>
      <c r="C203" t="str">
        <f t="shared" si="39"/>
        <v>32040</v>
      </c>
      <c r="D203" t="str">
        <f t="shared" si="40"/>
        <v>5610</v>
      </c>
      <c r="E203" t="str">
        <f t="shared" si="41"/>
        <v>850LOS</v>
      </c>
      <c r="F203" t="str">
        <f>""</f>
        <v/>
      </c>
      <c r="G203" t="str">
        <f>""</f>
        <v/>
      </c>
      <c r="H203" s="1">
        <v>42035</v>
      </c>
      <c r="I203" t="str">
        <f>"TEL00646"</f>
        <v>TEL00646</v>
      </c>
      <c r="J203" t="str">
        <f>""</f>
        <v/>
      </c>
      <c r="K203" t="str">
        <f t="shared" si="35"/>
        <v>AS89</v>
      </c>
      <c r="L203" t="s">
        <v>2694</v>
      </c>
      <c r="M203">
        <v>184.47</v>
      </c>
    </row>
    <row r="204" spans="1:13" x14ac:dyDescent="0.25">
      <c r="A204" t="str">
        <f t="shared" si="38"/>
        <v>E131</v>
      </c>
      <c r="B204">
        <v>1</v>
      </c>
      <c r="C204" t="str">
        <f t="shared" si="39"/>
        <v>32040</v>
      </c>
      <c r="D204" t="str">
        <f t="shared" ref="D204:D248" si="42">"5620"</f>
        <v>5620</v>
      </c>
      <c r="E204" t="str">
        <f>"850LCK"</f>
        <v>850LCK</v>
      </c>
      <c r="F204" t="str">
        <f>""</f>
        <v/>
      </c>
      <c r="G204" t="str">
        <f>""</f>
        <v/>
      </c>
      <c r="H204" s="1">
        <v>42063</v>
      </c>
      <c r="I204" t="str">
        <f>"TEL00647"</f>
        <v>TEL00647</v>
      </c>
      <c r="J204" t="str">
        <f>""</f>
        <v/>
      </c>
      <c r="K204" t="str">
        <f t="shared" si="35"/>
        <v>AS89</v>
      </c>
      <c r="L204" t="s">
        <v>2693</v>
      </c>
      <c r="M204">
        <v>183</v>
      </c>
    </row>
    <row r="205" spans="1:13" x14ac:dyDescent="0.25">
      <c r="A205" t="str">
        <f t="shared" si="38"/>
        <v>E131</v>
      </c>
      <c r="B205">
        <v>1</v>
      </c>
      <c r="C205" t="str">
        <f t="shared" si="39"/>
        <v>32040</v>
      </c>
      <c r="D205" t="str">
        <f t="shared" si="42"/>
        <v>5620</v>
      </c>
      <c r="E205" t="str">
        <f>"850LCK"</f>
        <v>850LCK</v>
      </c>
      <c r="F205" t="str">
        <f>""</f>
        <v/>
      </c>
      <c r="G205" t="str">
        <f>""</f>
        <v/>
      </c>
      <c r="H205" s="1">
        <v>42094</v>
      </c>
      <c r="I205" t="str">
        <f>"TEL00648"</f>
        <v>TEL00648</v>
      </c>
      <c r="J205" t="str">
        <f>""</f>
        <v/>
      </c>
      <c r="K205" t="str">
        <f t="shared" si="35"/>
        <v>AS89</v>
      </c>
      <c r="L205" t="s">
        <v>2692</v>
      </c>
      <c r="M205">
        <v>185.21</v>
      </c>
    </row>
    <row r="206" spans="1:13" x14ac:dyDescent="0.25">
      <c r="A206" t="str">
        <f t="shared" si="38"/>
        <v>E131</v>
      </c>
      <c r="B206">
        <v>1</v>
      </c>
      <c r="C206" t="str">
        <f t="shared" si="39"/>
        <v>32040</v>
      </c>
      <c r="D206" t="str">
        <f t="shared" si="42"/>
        <v>5620</v>
      </c>
      <c r="E206" t="str">
        <f>"850LCK"</f>
        <v>850LCK</v>
      </c>
      <c r="F206" t="str">
        <f>""</f>
        <v/>
      </c>
      <c r="G206" t="str">
        <f>""</f>
        <v/>
      </c>
      <c r="H206" s="1">
        <v>42124</v>
      </c>
      <c r="I206" t="str">
        <f>"TEL00649"</f>
        <v>TEL00649</v>
      </c>
      <c r="J206" t="str">
        <f>""</f>
        <v/>
      </c>
      <c r="K206" t="str">
        <f t="shared" si="35"/>
        <v>AS89</v>
      </c>
      <c r="L206" t="s">
        <v>2691</v>
      </c>
      <c r="M206">
        <v>192.19</v>
      </c>
    </row>
    <row r="207" spans="1:13" x14ac:dyDescent="0.25">
      <c r="A207" t="str">
        <f t="shared" si="38"/>
        <v>E131</v>
      </c>
      <c r="B207">
        <v>1</v>
      </c>
      <c r="C207" t="str">
        <f t="shared" si="39"/>
        <v>32040</v>
      </c>
      <c r="D207" t="str">
        <f t="shared" si="42"/>
        <v>5620</v>
      </c>
      <c r="E207" t="str">
        <f>"850LCK"</f>
        <v>850LCK</v>
      </c>
      <c r="F207" t="str">
        <f>""</f>
        <v/>
      </c>
      <c r="G207" t="str">
        <f>""</f>
        <v/>
      </c>
      <c r="H207" s="1">
        <v>42155</v>
      </c>
      <c r="I207" t="str">
        <f>"TEL00650"</f>
        <v>TEL00650</v>
      </c>
      <c r="J207" t="str">
        <f>""</f>
        <v/>
      </c>
      <c r="K207" t="str">
        <f t="shared" si="35"/>
        <v>AS89</v>
      </c>
      <c r="L207" t="s">
        <v>2690</v>
      </c>
      <c r="M207">
        <v>183.46</v>
      </c>
    </row>
    <row r="208" spans="1:13" x14ac:dyDescent="0.25">
      <c r="A208" t="str">
        <f t="shared" si="38"/>
        <v>E131</v>
      </c>
      <c r="B208">
        <v>1</v>
      </c>
      <c r="C208" t="str">
        <f t="shared" si="39"/>
        <v>32040</v>
      </c>
      <c r="D208" t="str">
        <f t="shared" si="42"/>
        <v>5620</v>
      </c>
      <c r="E208" t="str">
        <f>"850LCK"</f>
        <v>850LCK</v>
      </c>
      <c r="F208" t="str">
        <f>""</f>
        <v/>
      </c>
      <c r="G208" t="str">
        <f>""</f>
        <v/>
      </c>
      <c r="H208" s="1">
        <v>42185</v>
      </c>
      <c r="I208" t="str">
        <f>"TEL00651"</f>
        <v>TEL00651</v>
      </c>
      <c r="J208" t="str">
        <f>""</f>
        <v/>
      </c>
      <c r="K208" t="str">
        <f t="shared" si="35"/>
        <v>AS89</v>
      </c>
      <c r="L208" t="s">
        <v>2701</v>
      </c>
      <c r="M208">
        <v>189.52</v>
      </c>
    </row>
    <row r="209" spans="1:13" x14ac:dyDescent="0.25">
      <c r="A209" t="str">
        <f t="shared" si="38"/>
        <v>E131</v>
      </c>
      <c r="B209">
        <v>1</v>
      </c>
      <c r="C209" t="str">
        <f t="shared" si="39"/>
        <v>32040</v>
      </c>
      <c r="D209" t="str">
        <f t="shared" si="42"/>
        <v>5620</v>
      </c>
      <c r="E209" t="str">
        <f>"850LOS"</f>
        <v>850LOS</v>
      </c>
      <c r="F209" t="str">
        <f>""</f>
        <v/>
      </c>
      <c r="G209" t="str">
        <f>""</f>
        <v/>
      </c>
      <c r="H209" s="1">
        <v>42064</v>
      </c>
      <c r="I209" t="str">
        <f>"J0013487"</f>
        <v>J0013487</v>
      </c>
      <c r="J209" t="str">
        <f>""</f>
        <v/>
      </c>
      <c r="K209" t="str">
        <f>"J079"</f>
        <v>J079</v>
      </c>
      <c r="L209" t="s">
        <v>2571</v>
      </c>
      <c r="M209" s="2">
        <v>1288.0899999999999</v>
      </c>
    </row>
    <row r="210" spans="1:13" x14ac:dyDescent="0.25">
      <c r="A210" t="str">
        <f t="shared" si="38"/>
        <v>E131</v>
      </c>
      <c r="B210">
        <v>1</v>
      </c>
      <c r="C210" t="str">
        <f t="shared" ref="C210:C241" si="43">"43000"</f>
        <v>43000</v>
      </c>
      <c r="D210" t="str">
        <f t="shared" si="42"/>
        <v>5620</v>
      </c>
      <c r="E210" t="str">
        <f t="shared" ref="E210:E221" si="44">"850ALT"</f>
        <v>850ALT</v>
      </c>
      <c r="F210" t="str">
        <f>""</f>
        <v/>
      </c>
      <c r="G210" t="str">
        <f>""</f>
        <v/>
      </c>
      <c r="H210" s="1">
        <v>41851</v>
      </c>
      <c r="I210" t="str">
        <f>"TEL00640"</f>
        <v>TEL00640</v>
      </c>
      <c r="J210" t="str">
        <f>""</f>
        <v/>
      </c>
      <c r="K210" t="str">
        <f t="shared" ref="K210:K221" si="45">"AS89"</f>
        <v>AS89</v>
      </c>
      <c r="L210" t="s">
        <v>2700</v>
      </c>
      <c r="M210">
        <v>125.13</v>
      </c>
    </row>
    <row r="211" spans="1:13" x14ac:dyDescent="0.25">
      <c r="A211" t="str">
        <f t="shared" si="38"/>
        <v>E131</v>
      </c>
      <c r="B211">
        <v>1</v>
      </c>
      <c r="C211" t="str">
        <f t="shared" si="43"/>
        <v>43000</v>
      </c>
      <c r="D211" t="str">
        <f t="shared" si="42"/>
        <v>5620</v>
      </c>
      <c r="E211" t="str">
        <f t="shared" si="44"/>
        <v>850ALT</v>
      </c>
      <c r="F211" t="str">
        <f>""</f>
        <v/>
      </c>
      <c r="G211" t="str">
        <f>""</f>
        <v/>
      </c>
      <c r="H211" s="1">
        <v>41882</v>
      </c>
      <c r="I211" t="str">
        <f>"TEL00641"</f>
        <v>TEL00641</v>
      </c>
      <c r="J211" t="str">
        <f>""</f>
        <v/>
      </c>
      <c r="K211" t="str">
        <f t="shared" si="45"/>
        <v>AS89</v>
      </c>
      <c r="L211" t="s">
        <v>2699</v>
      </c>
      <c r="M211">
        <v>132.76</v>
      </c>
    </row>
    <row r="212" spans="1:13" x14ac:dyDescent="0.25">
      <c r="A212" t="str">
        <f t="shared" si="38"/>
        <v>E131</v>
      </c>
      <c r="B212">
        <v>1</v>
      </c>
      <c r="C212" t="str">
        <f t="shared" si="43"/>
        <v>43000</v>
      </c>
      <c r="D212" t="str">
        <f t="shared" si="42"/>
        <v>5620</v>
      </c>
      <c r="E212" t="str">
        <f t="shared" si="44"/>
        <v>850ALT</v>
      </c>
      <c r="F212" t="str">
        <f>""</f>
        <v/>
      </c>
      <c r="G212" t="str">
        <f>""</f>
        <v/>
      </c>
      <c r="H212" s="1">
        <v>41920</v>
      </c>
      <c r="I212" t="str">
        <f>"TEL00642"</f>
        <v>TEL00642</v>
      </c>
      <c r="J212" t="str">
        <f>""</f>
        <v/>
      </c>
      <c r="K212" t="str">
        <f t="shared" si="45"/>
        <v>AS89</v>
      </c>
      <c r="L212" t="s">
        <v>2698</v>
      </c>
      <c r="M212">
        <v>180.83</v>
      </c>
    </row>
    <row r="213" spans="1:13" x14ac:dyDescent="0.25">
      <c r="A213" t="str">
        <f t="shared" si="38"/>
        <v>E131</v>
      </c>
      <c r="B213">
        <v>1</v>
      </c>
      <c r="C213" t="str">
        <f t="shared" si="43"/>
        <v>43000</v>
      </c>
      <c r="D213" t="str">
        <f t="shared" si="42"/>
        <v>5620</v>
      </c>
      <c r="E213" t="str">
        <f t="shared" si="44"/>
        <v>850ALT</v>
      </c>
      <c r="F213" t="str">
        <f>""</f>
        <v/>
      </c>
      <c r="G213" t="str">
        <f>""</f>
        <v/>
      </c>
      <c r="H213" s="1">
        <v>41943</v>
      </c>
      <c r="I213" t="str">
        <f>"TEL00643"</f>
        <v>TEL00643</v>
      </c>
      <c r="J213" t="str">
        <f>""</f>
        <v/>
      </c>
      <c r="K213" t="str">
        <f t="shared" si="45"/>
        <v>AS89</v>
      </c>
      <c r="L213" t="s">
        <v>2697</v>
      </c>
      <c r="M213">
        <v>137.57</v>
      </c>
    </row>
    <row r="214" spans="1:13" x14ac:dyDescent="0.25">
      <c r="A214" t="str">
        <f t="shared" si="38"/>
        <v>E131</v>
      </c>
      <c r="B214">
        <v>1</v>
      </c>
      <c r="C214" t="str">
        <f t="shared" si="43"/>
        <v>43000</v>
      </c>
      <c r="D214" t="str">
        <f t="shared" si="42"/>
        <v>5620</v>
      </c>
      <c r="E214" t="str">
        <f t="shared" si="44"/>
        <v>850ALT</v>
      </c>
      <c r="F214" t="str">
        <f>""</f>
        <v/>
      </c>
      <c r="G214" t="str">
        <f>""</f>
        <v/>
      </c>
      <c r="H214" s="1">
        <v>41973</v>
      </c>
      <c r="I214" t="str">
        <f>"TEL00644"</f>
        <v>TEL00644</v>
      </c>
      <c r="J214" t="str">
        <f>""</f>
        <v/>
      </c>
      <c r="K214" t="str">
        <f t="shared" si="45"/>
        <v>AS89</v>
      </c>
      <c r="L214" t="s">
        <v>2696</v>
      </c>
      <c r="M214">
        <v>123.28</v>
      </c>
    </row>
    <row r="215" spans="1:13" x14ac:dyDescent="0.25">
      <c r="A215" t="str">
        <f t="shared" si="38"/>
        <v>E131</v>
      </c>
      <c r="B215">
        <v>1</v>
      </c>
      <c r="C215" t="str">
        <f t="shared" si="43"/>
        <v>43000</v>
      </c>
      <c r="D215" t="str">
        <f t="shared" si="42"/>
        <v>5620</v>
      </c>
      <c r="E215" t="str">
        <f t="shared" si="44"/>
        <v>850ALT</v>
      </c>
      <c r="F215" t="str">
        <f>""</f>
        <v/>
      </c>
      <c r="G215" t="str">
        <f>""</f>
        <v/>
      </c>
      <c r="H215" s="1">
        <v>42004</v>
      </c>
      <c r="I215" t="str">
        <f>"TEL00645"</f>
        <v>TEL00645</v>
      </c>
      <c r="J215" t="str">
        <f>""</f>
        <v/>
      </c>
      <c r="K215" t="str">
        <f t="shared" si="45"/>
        <v>AS89</v>
      </c>
      <c r="L215" t="s">
        <v>2695</v>
      </c>
      <c r="M215">
        <v>123.34</v>
      </c>
    </row>
    <row r="216" spans="1:13" x14ac:dyDescent="0.25">
      <c r="A216" t="str">
        <f t="shared" si="38"/>
        <v>E131</v>
      </c>
      <c r="B216">
        <v>1</v>
      </c>
      <c r="C216" t="str">
        <f t="shared" si="43"/>
        <v>43000</v>
      </c>
      <c r="D216" t="str">
        <f t="shared" si="42"/>
        <v>5620</v>
      </c>
      <c r="E216" t="str">
        <f t="shared" si="44"/>
        <v>850ALT</v>
      </c>
      <c r="F216" t="str">
        <f>""</f>
        <v/>
      </c>
      <c r="G216" t="str">
        <f>""</f>
        <v/>
      </c>
      <c r="H216" s="1">
        <v>42035</v>
      </c>
      <c r="I216" t="str">
        <f>"TEL00646"</f>
        <v>TEL00646</v>
      </c>
      <c r="J216" t="str">
        <f>""</f>
        <v/>
      </c>
      <c r="K216" t="str">
        <f t="shared" si="45"/>
        <v>AS89</v>
      </c>
      <c r="L216" t="s">
        <v>2694</v>
      </c>
      <c r="M216">
        <v>123.79</v>
      </c>
    </row>
    <row r="217" spans="1:13" x14ac:dyDescent="0.25">
      <c r="A217" t="str">
        <f t="shared" si="38"/>
        <v>E131</v>
      </c>
      <c r="B217">
        <v>1</v>
      </c>
      <c r="C217" t="str">
        <f t="shared" si="43"/>
        <v>43000</v>
      </c>
      <c r="D217" t="str">
        <f t="shared" si="42"/>
        <v>5620</v>
      </c>
      <c r="E217" t="str">
        <f t="shared" si="44"/>
        <v>850ALT</v>
      </c>
      <c r="F217" t="str">
        <f>""</f>
        <v/>
      </c>
      <c r="G217" t="str">
        <f>""</f>
        <v/>
      </c>
      <c r="H217" s="1">
        <v>42063</v>
      </c>
      <c r="I217" t="str">
        <f>"TEL00647"</f>
        <v>TEL00647</v>
      </c>
      <c r="J217" t="str">
        <f>""</f>
        <v/>
      </c>
      <c r="K217" t="str">
        <f t="shared" si="45"/>
        <v>AS89</v>
      </c>
      <c r="L217" t="s">
        <v>2693</v>
      </c>
      <c r="M217">
        <v>125.02</v>
      </c>
    </row>
    <row r="218" spans="1:13" x14ac:dyDescent="0.25">
      <c r="A218" t="str">
        <f t="shared" si="38"/>
        <v>E131</v>
      </c>
      <c r="B218">
        <v>1</v>
      </c>
      <c r="C218" t="str">
        <f t="shared" si="43"/>
        <v>43000</v>
      </c>
      <c r="D218" t="str">
        <f t="shared" si="42"/>
        <v>5620</v>
      </c>
      <c r="E218" t="str">
        <f t="shared" si="44"/>
        <v>850ALT</v>
      </c>
      <c r="F218" t="str">
        <f>""</f>
        <v/>
      </c>
      <c r="G218" t="str">
        <f>""</f>
        <v/>
      </c>
      <c r="H218" s="1">
        <v>42094</v>
      </c>
      <c r="I218" t="str">
        <f>"TEL00648"</f>
        <v>TEL00648</v>
      </c>
      <c r="J218" t="str">
        <f>""</f>
        <v/>
      </c>
      <c r="K218" t="str">
        <f t="shared" si="45"/>
        <v>AS89</v>
      </c>
      <c r="L218" t="s">
        <v>2692</v>
      </c>
      <c r="M218">
        <v>124.85</v>
      </c>
    </row>
    <row r="219" spans="1:13" x14ac:dyDescent="0.25">
      <c r="A219" t="str">
        <f t="shared" si="38"/>
        <v>E131</v>
      </c>
      <c r="B219">
        <v>1</v>
      </c>
      <c r="C219" t="str">
        <f t="shared" si="43"/>
        <v>43000</v>
      </c>
      <c r="D219" t="str">
        <f t="shared" si="42"/>
        <v>5620</v>
      </c>
      <c r="E219" t="str">
        <f t="shared" si="44"/>
        <v>850ALT</v>
      </c>
      <c r="F219" t="str">
        <f>""</f>
        <v/>
      </c>
      <c r="G219" t="str">
        <f>""</f>
        <v/>
      </c>
      <c r="H219" s="1">
        <v>42124</v>
      </c>
      <c r="I219" t="str">
        <f>"TEL00649"</f>
        <v>TEL00649</v>
      </c>
      <c r="J219" t="str">
        <f>""</f>
        <v/>
      </c>
      <c r="K219" t="str">
        <f t="shared" si="45"/>
        <v>AS89</v>
      </c>
      <c r="L219" t="s">
        <v>2691</v>
      </c>
      <c r="M219">
        <v>139.52000000000001</v>
      </c>
    </row>
    <row r="220" spans="1:13" x14ac:dyDescent="0.25">
      <c r="A220" t="str">
        <f t="shared" si="38"/>
        <v>E131</v>
      </c>
      <c r="B220">
        <v>1</v>
      </c>
      <c r="C220" t="str">
        <f t="shared" si="43"/>
        <v>43000</v>
      </c>
      <c r="D220" t="str">
        <f t="shared" si="42"/>
        <v>5620</v>
      </c>
      <c r="E220" t="str">
        <f t="shared" si="44"/>
        <v>850ALT</v>
      </c>
      <c r="F220" t="str">
        <f>""</f>
        <v/>
      </c>
      <c r="G220" t="str">
        <f>""</f>
        <v/>
      </c>
      <c r="H220" s="1">
        <v>42155</v>
      </c>
      <c r="I220" t="str">
        <f>"TEL00650"</f>
        <v>TEL00650</v>
      </c>
      <c r="J220" t="str">
        <f>""</f>
        <v/>
      </c>
      <c r="K220" t="str">
        <f t="shared" si="45"/>
        <v>AS89</v>
      </c>
      <c r="L220" t="s">
        <v>2690</v>
      </c>
      <c r="M220">
        <v>126.07</v>
      </c>
    </row>
    <row r="221" spans="1:13" x14ac:dyDescent="0.25">
      <c r="A221" t="str">
        <f t="shared" si="38"/>
        <v>E131</v>
      </c>
      <c r="B221">
        <v>1</v>
      </c>
      <c r="C221" t="str">
        <f t="shared" si="43"/>
        <v>43000</v>
      </c>
      <c r="D221" t="str">
        <f t="shared" si="42"/>
        <v>5620</v>
      </c>
      <c r="E221" t="str">
        <f t="shared" si="44"/>
        <v>850ALT</v>
      </c>
      <c r="F221" t="str">
        <f>""</f>
        <v/>
      </c>
      <c r="G221" t="str">
        <f>""</f>
        <v/>
      </c>
      <c r="H221" s="1">
        <v>42185</v>
      </c>
      <c r="I221" t="str">
        <f>"TEL00651"</f>
        <v>TEL00651</v>
      </c>
      <c r="J221" t="str">
        <f>""</f>
        <v/>
      </c>
      <c r="K221" t="str">
        <f t="shared" si="45"/>
        <v>AS89</v>
      </c>
      <c r="L221" t="s">
        <v>2701</v>
      </c>
      <c r="M221">
        <v>123.65</v>
      </c>
    </row>
    <row r="222" spans="1:13" x14ac:dyDescent="0.25">
      <c r="A222" t="str">
        <f t="shared" si="38"/>
        <v>E131</v>
      </c>
      <c r="B222">
        <v>1</v>
      </c>
      <c r="C222" t="str">
        <f t="shared" si="43"/>
        <v>43000</v>
      </c>
      <c r="D222" t="str">
        <f t="shared" si="42"/>
        <v>5620</v>
      </c>
      <c r="E222" t="str">
        <f t="shared" ref="E222:E235" si="46">"850LOS"</f>
        <v>850LOS</v>
      </c>
      <c r="F222" t="str">
        <f>""</f>
        <v/>
      </c>
      <c r="G222" t="str">
        <f>""</f>
        <v/>
      </c>
      <c r="H222" s="1">
        <v>41921</v>
      </c>
      <c r="I222" t="str">
        <f>"I0111945"</f>
        <v>I0111945</v>
      </c>
      <c r="J222" t="str">
        <f>"N210974A"</f>
        <v>N210974A</v>
      </c>
      <c r="K222" t="str">
        <f>"INEI"</f>
        <v>INEI</v>
      </c>
      <c r="L222" t="s">
        <v>1382</v>
      </c>
      <c r="M222">
        <v>299.60000000000002</v>
      </c>
    </row>
    <row r="223" spans="1:13" x14ac:dyDescent="0.25">
      <c r="A223" t="str">
        <f t="shared" si="38"/>
        <v>E131</v>
      </c>
      <c r="B223">
        <v>1</v>
      </c>
      <c r="C223" t="str">
        <f t="shared" si="43"/>
        <v>43000</v>
      </c>
      <c r="D223" t="str">
        <f t="shared" si="42"/>
        <v>5620</v>
      </c>
      <c r="E223" t="str">
        <f t="shared" si="46"/>
        <v>850LOS</v>
      </c>
      <c r="F223" t="str">
        <f>""</f>
        <v/>
      </c>
      <c r="G223" t="str">
        <f>""</f>
        <v/>
      </c>
      <c r="H223" s="1">
        <v>41949</v>
      </c>
      <c r="I223" t="str">
        <f>"I0112751"</f>
        <v>I0112751</v>
      </c>
      <c r="J223" t="str">
        <f>"N210974A"</f>
        <v>N210974A</v>
      </c>
      <c r="K223" t="str">
        <f>"INEI"</f>
        <v>INEI</v>
      </c>
      <c r="L223" t="s">
        <v>1382</v>
      </c>
      <c r="M223">
        <v>299.85000000000002</v>
      </c>
    </row>
    <row r="224" spans="1:13" x14ac:dyDescent="0.25">
      <c r="A224" t="str">
        <f t="shared" si="38"/>
        <v>E131</v>
      </c>
      <c r="B224">
        <v>1</v>
      </c>
      <c r="C224" t="str">
        <f t="shared" si="43"/>
        <v>43000</v>
      </c>
      <c r="D224" t="str">
        <f t="shared" si="42"/>
        <v>5620</v>
      </c>
      <c r="E224" t="str">
        <f t="shared" si="46"/>
        <v>850LOS</v>
      </c>
      <c r="F224" t="str">
        <f>""</f>
        <v/>
      </c>
      <c r="G224" t="str">
        <f>""</f>
        <v/>
      </c>
      <c r="H224" s="1">
        <v>41984</v>
      </c>
      <c r="I224" t="str">
        <f>"I0113666"</f>
        <v>I0113666</v>
      </c>
      <c r="J224" t="str">
        <f>"N210974A"</f>
        <v>N210974A</v>
      </c>
      <c r="K224" t="str">
        <f>"INEI"</f>
        <v>INEI</v>
      </c>
      <c r="L224" t="s">
        <v>1382</v>
      </c>
      <c r="M224">
        <v>299.85000000000002</v>
      </c>
    </row>
    <row r="225" spans="1:13" x14ac:dyDescent="0.25">
      <c r="A225" t="str">
        <f t="shared" ref="A225:A260" si="47">"E131"</f>
        <v>E131</v>
      </c>
      <c r="B225">
        <v>1</v>
      </c>
      <c r="C225" t="str">
        <f t="shared" si="43"/>
        <v>43000</v>
      </c>
      <c r="D225" t="str">
        <f t="shared" si="42"/>
        <v>5620</v>
      </c>
      <c r="E225" t="str">
        <f t="shared" si="46"/>
        <v>850LOS</v>
      </c>
      <c r="F225" t="str">
        <f>""</f>
        <v/>
      </c>
      <c r="G225" t="str">
        <f>""</f>
        <v/>
      </c>
      <c r="H225" s="1">
        <v>42019</v>
      </c>
      <c r="I225" t="str">
        <f>"I0114674"</f>
        <v>I0114674</v>
      </c>
      <c r="J225" t="str">
        <f>"N210974A"</f>
        <v>N210974A</v>
      </c>
      <c r="K225" t="str">
        <f>"INEI"</f>
        <v>INEI</v>
      </c>
      <c r="L225" t="s">
        <v>1382</v>
      </c>
      <c r="M225">
        <v>299.85000000000002</v>
      </c>
    </row>
    <row r="226" spans="1:13" x14ac:dyDescent="0.25">
      <c r="A226" t="str">
        <f t="shared" si="47"/>
        <v>E131</v>
      </c>
      <c r="B226">
        <v>1</v>
      </c>
      <c r="C226" t="str">
        <f t="shared" si="43"/>
        <v>43000</v>
      </c>
      <c r="D226" t="str">
        <f t="shared" si="42"/>
        <v>5620</v>
      </c>
      <c r="E226" t="str">
        <f t="shared" si="46"/>
        <v>850LOS</v>
      </c>
      <c r="F226" t="str">
        <f>""</f>
        <v/>
      </c>
      <c r="G226" t="str">
        <f>""</f>
        <v/>
      </c>
      <c r="H226" s="1">
        <v>42058</v>
      </c>
      <c r="I226" t="str">
        <f>"I0115573"</f>
        <v>I0115573</v>
      </c>
      <c r="J226" t="str">
        <f>"N210974A"</f>
        <v>N210974A</v>
      </c>
      <c r="K226" t="str">
        <f>"INEI"</f>
        <v>INEI</v>
      </c>
      <c r="L226" t="s">
        <v>1382</v>
      </c>
      <c r="M226">
        <v>300.14999999999998</v>
      </c>
    </row>
    <row r="227" spans="1:13" x14ac:dyDescent="0.25">
      <c r="A227" t="str">
        <f t="shared" si="47"/>
        <v>E131</v>
      </c>
      <c r="B227">
        <v>1</v>
      </c>
      <c r="C227" t="str">
        <f t="shared" si="43"/>
        <v>43000</v>
      </c>
      <c r="D227" t="str">
        <f t="shared" si="42"/>
        <v>5620</v>
      </c>
      <c r="E227" t="str">
        <f t="shared" si="46"/>
        <v>850LOS</v>
      </c>
      <c r="F227" t="str">
        <f>""</f>
        <v/>
      </c>
      <c r="G227" t="str">
        <f>""</f>
        <v/>
      </c>
      <c r="H227" s="1">
        <v>42064</v>
      </c>
      <c r="I227" t="str">
        <f>"J0013490"</f>
        <v>J0013490</v>
      </c>
      <c r="J227" t="str">
        <f>""</f>
        <v/>
      </c>
      <c r="K227" t="str">
        <f>"J079"</f>
        <v>J079</v>
      </c>
      <c r="L227" t="s">
        <v>2513</v>
      </c>
      <c r="M227" s="2">
        <v>4661.45</v>
      </c>
    </row>
    <row r="228" spans="1:13" x14ac:dyDescent="0.25">
      <c r="A228" t="str">
        <f t="shared" si="47"/>
        <v>E131</v>
      </c>
      <c r="B228">
        <v>1</v>
      </c>
      <c r="C228" t="str">
        <f t="shared" si="43"/>
        <v>43000</v>
      </c>
      <c r="D228" t="str">
        <f t="shared" si="42"/>
        <v>5620</v>
      </c>
      <c r="E228" t="str">
        <f t="shared" si="46"/>
        <v>850LOS</v>
      </c>
      <c r="F228" t="str">
        <f>""</f>
        <v/>
      </c>
      <c r="G228" t="str">
        <f>""</f>
        <v/>
      </c>
      <c r="H228" s="1">
        <v>42079</v>
      </c>
      <c r="I228" t="str">
        <f>"I0116113"</f>
        <v>I0116113</v>
      </c>
      <c r="J228" t="str">
        <f t="shared" ref="J228:J233" si="48">"N210974A"</f>
        <v>N210974A</v>
      </c>
      <c r="K228" t="str">
        <f t="shared" ref="K228:K233" si="49">"INEI"</f>
        <v>INEI</v>
      </c>
      <c r="L228" t="s">
        <v>1382</v>
      </c>
      <c r="M228">
        <v>300.14999999999998</v>
      </c>
    </row>
    <row r="229" spans="1:13" x14ac:dyDescent="0.25">
      <c r="A229" t="str">
        <f t="shared" si="47"/>
        <v>E131</v>
      </c>
      <c r="B229">
        <v>1</v>
      </c>
      <c r="C229" t="str">
        <f t="shared" si="43"/>
        <v>43000</v>
      </c>
      <c r="D229" t="str">
        <f t="shared" si="42"/>
        <v>5620</v>
      </c>
      <c r="E229" t="str">
        <f t="shared" si="46"/>
        <v>850LOS</v>
      </c>
      <c r="F229" t="str">
        <f>""</f>
        <v/>
      </c>
      <c r="G229" t="str">
        <f>""</f>
        <v/>
      </c>
      <c r="H229" s="1">
        <v>42103</v>
      </c>
      <c r="I229" t="str">
        <f>"I0116906"</f>
        <v>I0116906</v>
      </c>
      <c r="J229" t="str">
        <f t="shared" si="48"/>
        <v>N210974A</v>
      </c>
      <c r="K229" t="str">
        <f t="shared" si="49"/>
        <v>INEI</v>
      </c>
      <c r="L229" t="s">
        <v>1382</v>
      </c>
      <c r="M229">
        <v>300.14999999999998</v>
      </c>
    </row>
    <row r="230" spans="1:13" x14ac:dyDescent="0.25">
      <c r="A230" t="str">
        <f t="shared" si="47"/>
        <v>E131</v>
      </c>
      <c r="B230">
        <v>1</v>
      </c>
      <c r="C230" t="str">
        <f t="shared" si="43"/>
        <v>43000</v>
      </c>
      <c r="D230" t="str">
        <f t="shared" si="42"/>
        <v>5620</v>
      </c>
      <c r="E230" t="str">
        <f t="shared" si="46"/>
        <v>850LOS</v>
      </c>
      <c r="F230" t="str">
        <f>""</f>
        <v/>
      </c>
      <c r="G230" t="str">
        <f>""</f>
        <v/>
      </c>
      <c r="H230" s="1">
        <v>42131</v>
      </c>
      <c r="I230" t="str">
        <f>"I0117762"</f>
        <v>I0117762</v>
      </c>
      <c r="J230" t="str">
        <f t="shared" si="48"/>
        <v>N210974A</v>
      </c>
      <c r="K230" t="str">
        <f t="shared" si="49"/>
        <v>INEI</v>
      </c>
      <c r="L230" t="s">
        <v>1382</v>
      </c>
      <c r="M230">
        <v>300.45</v>
      </c>
    </row>
    <row r="231" spans="1:13" x14ac:dyDescent="0.25">
      <c r="A231" t="str">
        <f t="shared" si="47"/>
        <v>E131</v>
      </c>
      <c r="B231">
        <v>1</v>
      </c>
      <c r="C231" t="str">
        <f t="shared" si="43"/>
        <v>43000</v>
      </c>
      <c r="D231" t="str">
        <f t="shared" si="42"/>
        <v>5620</v>
      </c>
      <c r="E231" t="str">
        <f t="shared" si="46"/>
        <v>850LOS</v>
      </c>
      <c r="F231" t="str">
        <f>""</f>
        <v/>
      </c>
      <c r="G231" t="str">
        <f>""</f>
        <v/>
      </c>
      <c r="H231" s="1">
        <v>42166</v>
      </c>
      <c r="I231" t="str">
        <f>"I0118642"</f>
        <v>I0118642</v>
      </c>
      <c r="J231" t="str">
        <f t="shared" si="48"/>
        <v>N210974A</v>
      </c>
      <c r="K231" t="str">
        <f t="shared" si="49"/>
        <v>INEI</v>
      </c>
      <c r="L231" t="s">
        <v>1382</v>
      </c>
      <c r="M231">
        <v>303.8</v>
      </c>
    </row>
    <row r="232" spans="1:13" x14ac:dyDescent="0.25">
      <c r="A232" t="str">
        <f t="shared" si="47"/>
        <v>E131</v>
      </c>
      <c r="B232">
        <v>1</v>
      </c>
      <c r="C232" t="str">
        <f t="shared" si="43"/>
        <v>43000</v>
      </c>
      <c r="D232" t="str">
        <f t="shared" si="42"/>
        <v>5620</v>
      </c>
      <c r="E232" t="str">
        <f t="shared" si="46"/>
        <v>850LOS</v>
      </c>
      <c r="F232" t="str">
        <f>""</f>
        <v/>
      </c>
      <c r="G232" t="str">
        <f>""</f>
        <v/>
      </c>
      <c r="H232" s="1">
        <v>42181</v>
      </c>
      <c r="I232" t="str">
        <f>"I0119522"</f>
        <v>I0119522</v>
      </c>
      <c r="J232" t="str">
        <f t="shared" si="48"/>
        <v>N210974A</v>
      </c>
      <c r="K232" t="str">
        <f t="shared" si="49"/>
        <v>INEI</v>
      </c>
      <c r="L232" t="s">
        <v>1382</v>
      </c>
      <c r="M232">
        <v>303.8</v>
      </c>
    </row>
    <row r="233" spans="1:13" x14ac:dyDescent="0.25">
      <c r="A233" t="str">
        <f t="shared" si="47"/>
        <v>E131</v>
      </c>
      <c r="B233">
        <v>1</v>
      </c>
      <c r="C233" t="str">
        <f t="shared" si="43"/>
        <v>43000</v>
      </c>
      <c r="D233" t="str">
        <f t="shared" si="42"/>
        <v>5620</v>
      </c>
      <c r="E233" t="str">
        <f t="shared" si="46"/>
        <v>850LOS</v>
      </c>
      <c r="F233" t="str">
        <f>""</f>
        <v/>
      </c>
      <c r="G233" t="str">
        <f>""</f>
        <v/>
      </c>
      <c r="H233" s="1">
        <v>42181</v>
      </c>
      <c r="I233" t="str">
        <f>"I0119522"</f>
        <v>I0119522</v>
      </c>
      <c r="J233" t="str">
        <f t="shared" si="48"/>
        <v>N210974A</v>
      </c>
      <c r="K233" t="str">
        <f t="shared" si="49"/>
        <v>INEI</v>
      </c>
      <c r="L233" t="s">
        <v>1382</v>
      </c>
      <c r="M233">
        <v>303.8</v>
      </c>
    </row>
    <row r="234" spans="1:13" x14ac:dyDescent="0.25">
      <c r="A234" t="str">
        <f t="shared" si="47"/>
        <v>E131</v>
      </c>
      <c r="B234">
        <v>1</v>
      </c>
      <c r="C234" t="str">
        <f t="shared" si="43"/>
        <v>43000</v>
      </c>
      <c r="D234" t="str">
        <f t="shared" si="42"/>
        <v>5620</v>
      </c>
      <c r="E234" t="str">
        <f t="shared" si="46"/>
        <v>850LOS</v>
      </c>
      <c r="F234" t="str">
        <f>""</f>
        <v/>
      </c>
      <c r="G234" t="str">
        <f>""</f>
        <v/>
      </c>
      <c r="H234" s="1">
        <v>42185</v>
      </c>
      <c r="I234" t="str">
        <f>"J0016407"</f>
        <v>J0016407</v>
      </c>
      <c r="J234" t="str">
        <f>""</f>
        <v/>
      </c>
      <c r="K234" t="str">
        <f>"J079"</f>
        <v>J079</v>
      </c>
      <c r="L234" t="s">
        <v>2510</v>
      </c>
      <c r="M234" s="2">
        <v>1333.05</v>
      </c>
    </row>
    <row r="235" spans="1:13" x14ac:dyDescent="0.25">
      <c r="A235" t="str">
        <f t="shared" si="47"/>
        <v>E131</v>
      </c>
      <c r="B235">
        <v>1</v>
      </c>
      <c r="C235" t="str">
        <f t="shared" si="43"/>
        <v>43000</v>
      </c>
      <c r="D235" t="str">
        <f t="shared" si="42"/>
        <v>5620</v>
      </c>
      <c r="E235" t="str">
        <f t="shared" si="46"/>
        <v>850LOS</v>
      </c>
      <c r="F235" t="str">
        <f>""</f>
        <v/>
      </c>
      <c r="G235" t="str">
        <f>""</f>
        <v/>
      </c>
      <c r="H235" s="1">
        <v>42185</v>
      </c>
      <c r="I235" t="str">
        <f>"TEL00651"</f>
        <v>TEL00651</v>
      </c>
      <c r="J235" t="str">
        <f>""</f>
        <v/>
      </c>
      <c r="K235" t="str">
        <f>"AS89"</f>
        <v>AS89</v>
      </c>
      <c r="L235" t="s">
        <v>2701</v>
      </c>
      <c r="M235">
        <v>560.28</v>
      </c>
    </row>
    <row r="236" spans="1:13" x14ac:dyDescent="0.25">
      <c r="A236" t="str">
        <f t="shared" si="47"/>
        <v>E131</v>
      </c>
      <c r="B236">
        <v>1</v>
      </c>
      <c r="C236" t="str">
        <f t="shared" si="43"/>
        <v>43000</v>
      </c>
      <c r="D236" t="str">
        <f t="shared" si="42"/>
        <v>5620</v>
      </c>
      <c r="E236" t="str">
        <f t="shared" ref="E236:E248" si="50">"850PKE"</f>
        <v>850PKE</v>
      </c>
      <c r="F236" t="str">
        <f>""</f>
        <v/>
      </c>
      <c r="G236" t="str">
        <f>""</f>
        <v/>
      </c>
      <c r="H236" s="1">
        <v>41897</v>
      </c>
      <c r="I236" t="str">
        <f>"I0111431"</f>
        <v>I0111431</v>
      </c>
      <c r="J236" t="str">
        <f>"N218284A"</f>
        <v>N218284A</v>
      </c>
      <c r="K236" t="str">
        <f>"INEI"</f>
        <v>INEI</v>
      </c>
      <c r="L236" t="s">
        <v>2352</v>
      </c>
      <c r="M236">
        <v>500.58</v>
      </c>
    </row>
    <row r="237" spans="1:13" x14ac:dyDescent="0.25">
      <c r="A237" t="str">
        <f t="shared" si="47"/>
        <v>E131</v>
      </c>
      <c r="B237">
        <v>1</v>
      </c>
      <c r="C237" t="str">
        <f t="shared" si="43"/>
        <v>43000</v>
      </c>
      <c r="D237" t="str">
        <f t="shared" si="42"/>
        <v>5620</v>
      </c>
      <c r="E237" t="str">
        <f t="shared" si="50"/>
        <v>850PKE</v>
      </c>
      <c r="F237" t="str">
        <f>""</f>
        <v/>
      </c>
      <c r="G237" t="str">
        <f>""</f>
        <v/>
      </c>
      <c r="H237" s="1">
        <v>41920</v>
      </c>
      <c r="I237" t="str">
        <f>"I0111796"</f>
        <v>I0111796</v>
      </c>
      <c r="J237" t="str">
        <f>"N218284A"</f>
        <v>N218284A</v>
      </c>
      <c r="K237" t="str">
        <f>"INEI"</f>
        <v>INEI</v>
      </c>
      <c r="L237" t="s">
        <v>2352</v>
      </c>
      <c r="M237">
        <v>250.17</v>
      </c>
    </row>
    <row r="238" spans="1:13" x14ac:dyDescent="0.25">
      <c r="A238" t="str">
        <f t="shared" si="47"/>
        <v>E131</v>
      </c>
      <c r="B238">
        <v>1</v>
      </c>
      <c r="C238" t="str">
        <f t="shared" si="43"/>
        <v>43000</v>
      </c>
      <c r="D238" t="str">
        <f t="shared" si="42"/>
        <v>5620</v>
      </c>
      <c r="E238" t="str">
        <f t="shared" si="50"/>
        <v>850PKE</v>
      </c>
      <c r="F238" t="str">
        <f>""</f>
        <v/>
      </c>
      <c r="G238" t="str">
        <f>""</f>
        <v/>
      </c>
      <c r="H238" s="1">
        <v>41942</v>
      </c>
      <c r="I238" t="str">
        <f>"I0112619"</f>
        <v>I0112619</v>
      </c>
      <c r="J238" t="str">
        <f>"N218284A"</f>
        <v>N218284A</v>
      </c>
      <c r="K238" t="str">
        <f>"INEI"</f>
        <v>INEI</v>
      </c>
      <c r="L238" t="s">
        <v>2352</v>
      </c>
      <c r="M238">
        <v>249.95</v>
      </c>
    </row>
    <row r="239" spans="1:13" x14ac:dyDescent="0.25">
      <c r="A239" t="str">
        <f t="shared" si="47"/>
        <v>E131</v>
      </c>
      <c r="B239">
        <v>1</v>
      </c>
      <c r="C239" t="str">
        <f t="shared" si="43"/>
        <v>43000</v>
      </c>
      <c r="D239" t="str">
        <f t="shared" si="42"/>
        <v>5620</v>
      </c>
      <c r="E239" t="str">
        <f t="shared" si="50"/>
        <v>850PKE</v>
      </c>
      <c r="F239" t="str">
        <f>""</f>
        <v/>
      </c>
      <c r="G239" t="str">
        <f>""</f>
        <v/>
      </c>
      <c r="H239" s="1">
        <v>41977</v>
      </c>
      <c r="I239" t="str">
        <f>"I0113419"</f>
        <v>I0113419</v>
      </c>
      <c r="J239" t="str">
        <f>"N218284A"</f>
        <v>N218284A</v>
      </c>
      <c r="K239" t="str">
        <f>"INEI"</f>
        <v>INEI</v>
      </c>
      <c r="L239" t="s">
        <v>2352</v>
      </c>
      <c r="M239">
        <v>255.65</v>
      </c>
    </row>
    <row r="240" spans="1:13" x14ac:dyDescent="0.25">
      <c r="A240" t="str">
        <f t="shared" si="47"/>
        <v>E131</v>
      </c>
      <c r="B240">
        <v>1</v>
      </c>
      <c r="C240" t="str">
        <f t="shared" si="43"/>
        <v>43000</v>
      </c>
      <c r="D240" t="str">
        <f t="shared" si="42"/>
        <v>5620</v>
      </c>
      <c r="E240" t="str">
        <f t="shared" si="50"/>
        <v>850PKE</v>
      </c>
      <c r="F240" t="str">
        <f>""</f>
        <v/>
      </c>
      <c r="G240" t="str">
        <f>""</f>
        <v/>
      </c>
      <c r="H240" s="1">
        <v>42002</v>
      </c>
      <c r="I240" t="str">
        <f>"I0114246"</f>
        <v>I0114246</v>
      </c>
      <c r="J240" t="str">
        <f>"N218284A"</f>
        <v>N218284A</v>
      </c>
      <c r="K240" t="str">
        <f>"INEI"</f>
        <v>INEI</v>
      </c>
      <c r="L240" t="s">
        <v>2352</v>
      </c>
      <c r="M240">
        <v>256.12</v>
      </c>
    </row>
    <row r="241" spans="1:13" x14ac:dyDescent="0.25">
      <c r="A241" t="str">
        <f t="shared" si="47"/>
        <v>E131</v>
      </c>
      <c r="B241">
        <v>1</v>
      </c>
      <c r="C241" t="str">
        <f t="shared" si="43"/>
        <v>43000</v>
      </c>
      <c r="D241" t="str">
        <f t="shared" si="42"/>
        <v>5620</v>
      </c>
      <c r="E241" t="str">
        <f t="shared" si="50"/>
        <v>850PKE</v>
      </c>
      <c r="F241" t="str">
        <f>""</f>
        <v/>
      </c>
      <c r="G241" t="str">
        <f>""</f>
        <v/>
      </c>
      <c r="H241" s="1">
        <v>42004</v>
      </c>
      <c r="I241" t="str">
        <f>"TEL00645"</f>
        <v>TEL00645</v>
      </c>
      <c r="J241" t="str">
        <f>""</f>
        <v/>
      </c>
      <c r="K241" t="str">
        <f>"AS89"</f>
        <v>AS89</v>
      </c>
      <c r="L241" t="s">
        <v>2695</v>
      </c>
      <c r="M241">
        <v>260</v>
      </c>
    </row>
    <row r="242" spans="1:13" x14ac:dyDescent="0.25">
      <c r="A242" t="str">
        <f t="shared" si="47"/>
        <v>E131</v>
      </c>
      <c r="B242">
        <v>1</v>
      </c>
      <c r="C242" t="str">
        <f t="shared" ref="C242:C261" si="51">"43000"</f>
        <v>43000</v>
      </c>
      <c r="D242" t="str">
        <f t="shared" si="42"/>
        <v>5620</v>
      </c>
      <c r="E242" t="str">
        <f t="shared" si="50"/>
        <v>850PKE</v>
      </c>
      <c r="F242" t="str">
        <f>""</f>
        <v/>
      </c>
      <c r="G242" t="str">
        <f>""</f>
        <v/>
      </c>
      <c r="H242" s="1">
        <v>42041</v>
      </c>
      <c r="I242" t="str">
        <f>"I0115207"</f>
        <v>I0115207</v>
      </c>
      <c r="J242" t="str">
        <f t="shared" ref="J242:J247" si="52">"N218284B"</f>
        <v>N218284B</v>
      </c>
      <c r="K242" t="str">
        <f t="shared" ref="K242:K247" si="53">"INEI"</f>
        <v>INEI</v>
      </c>
      <c r="L242" t="s">
        <v>2702</v>
      </c>
      <c r="M242">
        <v>255.62</v>
      </c>
    </row>
    <row r="243" spans="1:13" x14ac:dyDescent="0.25">
      <c r="A243" t="str">
        <f t="shared" si="47"/>
        <v>E131</v>
      </c>
      <c r="B243">
        <v>1</v>
      </c>
      <c r="C243" t="str">
        <f t="shared" si="51"/>
        <v>43000</v>
      </c>
      <c r="D243" t="str">
        <f t="shared" si="42"/>
        <v>5620</v>
      </c>
      <c r="E243" t="str">
        <f t="shared" si="50"/>
        <v>850PKE</v>
      </c>
      <c r="F243" t="str">
        <f>""</f>
        <v/>
      </c>
      <c r="G243" t="str">
        <f>""</f>
        <v/>
      </c>
      <c r="H243" s="1">
        <v>42068</v>
      </c>
      <c r="I243" t="str">
        <f>"I0115821"</f>
        <v>I0115821</v>
      </c>
      <c r="J243" t="str">
        <f t="shared" si="52"/>
        <v>N218284B</v>
      </c>
      <c r="K243" t="str">
        <f t="shared" si="53"/>
        <v>INEI</v>
      </c>
      <c r="L243" t="s">
        <v>2702</v>
      </c>
      <c r="M243">
        <v>256.12</v>
      </c>
    </row>
    <row r="244" spans="1:13" x14ac:dyDescent="0.25">
      <c r="A244" t="str">
        <f t="shared" si="47"/>
        <v>E131</v>
      </c>
      <c r="B244">
        <v>1</v>
      </c>
      <c r="C244" t="str">
        <f t="shared" si="51"/>
        <v>43000</v>
      </c>
      <c r="D244" t="str">
        <f t="shared" si="42"/>
        <v>5620</v>
      </c>
      <c r="E244" t="str">
        <f t="shared" si="50"/>
        <v>850PKE</v>
      </c>
      <c r="F244" t="str">
        <f>""</f>
        <v/>
      </c>
      <c r="G244" t="str">
        <f>""</f>
        <v/>
      </c>
      <c r="H244" s="1">
        <v>42096</v>
      </c>
      <c r="I244" t="str">
        <f>"I0116786"</f>
        <v>I0116786</v>
      </c>
      <c r="J244" t="str">
        <f t="shared" si="52"/>
        <v>N218284B</v>
      </c>
      <c r="K244" t="str">
        <f t="shared" si="53"/>
        <v>INEI</v>
      </c>
      <c r="L244" t="s">
        <v>2702</v>
      </c>
      <c r="M244">
        <v>255.18</v>
      </c>
    </row>
    <row r="245" spans="1:13" x14ac:dyDescent="0.25">
      <c r="A245" t="str">
        <f t="shared" si="47"/>
        <v>E131</v>
      </c>
      <c r="B245">
        <v>1</v>
      </c>
      <c r="C245" t="str">
        <f t="shared" si="51"/>
        <v>43000</v>
      </c>
      <c r="D245" t="str">
        <f t="shared" si="42"/>
        <v>5620</v>
      </c>
      <c r="E245" t="str">
        <f t="shared" si="50"/>
        <v>850PKE</v>
      </c>
      <c r="F245" t="str">
        <f>""</f>
        <v/>
      </c>
      <c r="G245" t="str">
        <f>""</f>
        <v/>
      </c>
      <c r="H245" s="1">
        <v>42128</v>
      </c>
      <c r="I245" t="str">
        <f>"I0117652"</f>
        <v>I0117652</v>
      </c>
      <c r="J245" t="str">
        <f t="shared" si="52"/>
        <v>N218284B</v>
      </c>
      <c r="K245" t="str">
        <f t="shared" si="53"/>
        <v>INEI</v>
      </c>
      <c r="L245" t="s">
        <v>2702</v>
      </c>
      <c r="M245">
        <v>257.24</v>
      </c>
    </row>
    <row r="246" spans="1:13" x14ac:dyDescent="0.25">
      <c r="A246" t="str">
        <f t="shared" si="47"/>
        <v>E131</v>
      </c>
      <c r="B246">
        <v>1</v>
      </c>
      <c r="C246" t="str">
        <f t="shared" si="51"/>
        <v>43000</v>
      </c>
      <c r="D246" t="str">
        <f t="shared" si="42"/>
        <v>5620</v>
      </c>
      <c r="E246" t="str">
        <f t="shared" si="50"/>
        <v>850PKE</v>
      </c>
      <c r="F246" t="str">
        <f>""</f>
        <v/>
      </c>
      <c r="G246" t="str">
        <f>""</f>
        <v/>
      </c>
      <c r="H246" s="1">
        <v>42159</v>
      </c>
      <c r="I246" t="str">
        <f>"I0118441"</f>
        <v>I0118441</v>
      </c>
      <c r="J246" t="str">
        <f t="shared" si="52"/>
        <v>N218284B</v>
      </c>
      <c r="K246" t="str">
        <f t="shared" si="53"/>
        <v>INEI</v>
      </c>
      <c r="L246" t="s">
        <v>2702</v>
      </c>
      <c r="M246">
        <v>256.8</v>
      </c>
    </row>
    <row r="247" spans="1:13" x14ac:dyDescent="0.25">
      <c r="A247" t="str">
        <f t="shared" si="47"/>
        <v>E131</v>
      </c>
      <c r="B247">
        <v>1</v>
      </c>
      <c r="C247" t="str">
        <f t="shared" si="51"/>
        <v>43000</v>
      </c>
      <c r="D247" t="str">
        <f t="shared" si="42"/>
        <v>5620</v>
      </c>
      <c r="E247" t="str">
        <f t="shared" si="50"/>
        <v>850PKE</v>
      </c>
      <c r="F247" t="str">
        <f>""</f>
        <v/>
      </c>
      <c r="G247" t="str">
        <f>""</f>
        <v/>
      </c>
      <c r="H247" s="1">
        <v>42184</v>
      </c>
      <c r="I247" t="str">
        <f>"I0119169"</f>
        <v>I0119169</v>
      </c>
      <c r="J247" t="str">
        <f t="shared" si="52"/>
        <v>N218284B</v>
      </c>
      <c r="K247" t="str">
        <f t="shared" si="53"/>
        <v>INEI</v>
      </c>
      <c r="L247" t="s">
        <v>2702</v>
      </c>
      <c r="M247">
        <v>257.27</v>
      </c>
    </row>
    <row r="248" spans="1:13" x14ac:dyDescent="0.25">
      <c r="A248" t="str">
        <f t="shared" si="47"/>
        <v>E131</v>
      </c>
      <c r="B248">
        <v>1</v>
      </c>
      <c r="C248" t="str">
        <f t="shared" si="51"/>
        <v>43000</v>
      </c>
      <c r="D248" t="str">
        <f t="shared" si="42"/>
        <v>5620</v>
      </c>
      <c r="E248" t="str">
        <f t="shared" si="50"/>
        <v>850PKE</v>
      </c>
      <c r="F248" t="str">
        <f>""</f>
        <v/>
      </c>
      <c r="G248" t="str">
        <f>""</f>
        <v/>
      </c>
      <c r="H248" s="1">
        <v>42185</v>
      </c>
      <c r="I248" t="str">
        <f>"J0016407"</f>
        <v>J0016407</v>
      </c>
      <c r="J248" t="str">
        <f>""</f>
        <v/>
      </c>
      <c r="K248" t="str">
        <f>"J079"</f>
        <v>J079</v>
      </c>
      <c r="L248" t="s">
        <v>2510</v>
      </c>
      <c r="M248" s="2">
        <v>1152.8599999999999</v>
      </c>
    </row>
    <row r="249" spans="1:13" x14ac:dyDescent="0.25">
      <c r="A249" t="str">
        <f t="shared" si="47"/>
        <v>E131</v>
      </c>
      <c r="B249">
        <v>1</v>
      </c>
      <c r="C249" t="str">
        <f t="shared" si="51"/>
        <v>43000</v>
      </c>
      <c r="D249" t="str">
        <f t="shared" ref="D249:D260" si="54">"5740"</f>
        <v>5740</v>
      </c>
      <c r="E249" t="str">
        <f t="shared" ref="E249:E259" si="55">"850LOS"</f>
        <v>850LOS</v>
      </c>
      <c r="F249" t="str">
        <f>""</f>
        <v/>
      </c>
      <c r="G249" t="str">
        <f>""</f>
        <v/>
      </c>
      <c r="H249" s="1">
        <v>41851</v>
      </c>
      <c r="I249" t="str">
        <f>"TEL00640"</f>
        <v>TEL00640</v>
      </c>
      <c r="J249" t="str">
        <f>""</f>
        <v/>
      </c>
      <c r="K249" t="str">
        <f t="shared" ref="K249:K259" si="56">"AS89"</f>
        <v>AS89</v>
      </c>
      <c r="L249" t="s">
        <v>2700</v>
      </c>
      <c r="M249">
        <v>532.98</v>
      </c>
    </row>
    <row r="250" spans="1:13" x14ac:dyDescent="0.25">
      <c r="A250" t="str">
        <f t="shared" si="47"/>
        <v>E131</v>
      </c>
      <c r="B250">
        <v>1</v>
      </c>
      <c r="C250" t="str">
        <f t="shared" si="51"/>
        <v>43000</v>
      </c>
      <c r="D250" t="str">
        <f t="shared" si="54"/>
        <v>5740</v>
      </c>
      <c r="E250" t="str">
        <f t="shared" si="55"/>
        <v>850LOS</v>
      </c>
      <c r="F250" t="str">
        <f>""</f>
        <v/>
      </c>
      <c r="G250" t="str">
        <f>""</f>
        <v/>
      </c>
      <c r="H250" s="1">
        <v>41882</v>
      </c>
      <c r="I250" t="str">
        <f>"TEL00641"</f>
        <v>TEL00641</v>
      </c>
      <c r="J250" t="str">
        <f>""</f>
        <v/>
      </c>
      <c r="K250" t="str">
        <f t="shared" si="56"/>
        <v>AS89</v>
      </c>
      <c r="L250" t="s">
        <v>2699</v>
      </c>
      <c r="M250">
        <v>564.9</v>
      </c>
    </row>
    <row r="251" spans="1:13" x14ac:dyDescent="0.25">
      <c r="A251" t="str">
        <f t="shared" si="47"/>
        <v>E131</v>
      </c>
      <c r="B251">
        <v>1</v>
      </c>
      <c r="C251" t="str">
        <f t="shared" si="51"/>
        <v>43000</v>
      </c>
      <c r="D251" t="str">
        <f t="shared" si="54"/>
        <v>5740</v>
      </c>
      <c r="E251" t="str">
        <f t="shared" si="55"/>
        <v>850LOS</v>
      </c>
      <c r="F251" t="str">
        <f>""</f>
        <v/>
      </c>
      <c r="G251" t="str">
        <f>""</f>
        <v/>
      </c>
      <c r="H251" s="1">
        <v>41920</v>
      </c>
      <c r="I251" t="str">
        <f>"TEL00642"</f>
        <v>TEL00642</v>
      </c>
      <c r="J251" t="str">
        <f>""</f>
        <v/>
      </c>
      <c r="K251" t="str">
        <f t="shared" si="56"/>
        <v>AS89</v>
      </c>
      <c r="L251" t="s">
        <v>2698</v>
      </c>
      <c r="M251">
        <v>567.76</v>
      </c>
    </row>
    <row r="252" spans="1:13" x14ac:dyDescent="0.25">
      <c r="A252" t="str">
        <f t="shared" si="47"/>
        <v>E131</v>
      </c>
      <c r="B252">
        <v>1</v>
      </c>
      <c r="C252" t="str">
        <f t="shared" si="51"/>
        <v>43000</v>
      </c>
      <c r="D252" t="str">
        <f t="shared" si="54"/>
        <v>5740</v>
      </c>
      <c r="E252" t="str">
        <f t="shared" si="55"/>
        <v>850LOS</v>
      </c>
      <c r="F252" t="str">
        <f>""</f>
        <v/>
      </c>
      <c r="G252" t="str">
        <f>""</f>
        <v/>
      </c>
      <c r="H252" s="1">
        <v>41943</v>
      </c>
      <c r="I252" t="str">
        <f>"TEL00643"</f>
        <v>TEL00643</v>
      </c>
      <c r="J252" t="str">
        <f>""</f>
        <v/>
      </c>
      <c r="K252" t="str">
        <f t="shared" si="56"/>
        <v>AS89</v>
      </c>
      <c r="L252" t="s">
        <v>2697</v>
      </c>
      <c r="M252">
        <v>534.57000000000005</v>
      </c>
    </row>
    <row r="253" spans="1:13" x14ac:dyDescent="0.25">
      <c r="A253" t="str">
        <f t="shared" si="47"/>
        <v>E131</v>
      </c>
      <c r="B253">
        <v>1</v>
      </c>
      <c r="C253" t="str">
        <f t="shared" si="51"/>
        <v>43000</v>
      </c>
      <c r="D253" t="str">
        <f t="shared" si="54"/>
        <v>5740</v>
      </c>
      <c r="E253" t="str">
        <f t="shared" si="55"/>
        <v>850LOS</v>
      </c>
      <c r="F253" t="str">
        <f>""</f>
        <v/>
      </c>
      <c r="G253" t="str">
        <f>""</f>
        <v/>
      </c>
      <c r="H253" s="1">
        <v>41973</v>
      </c>
      <c r="I253" t="str">
        <f>"TEL00644"</f>
        <v>TEL00644</v>
      </c>
      <c r="J253" t="str">
        <f>""</f>
        <v/>
      </c>
      <c r="K253" t="str">
        <f t="shared" si="56"/>
        <v>AS89</v>
      </c>
      <c r="L253" t="s">
        <v>2696</v>
      </c>
      <c r="M253">
        <v>530.54999999999995</v>
      </c>
    </row>
    <row r="254" spans="1:13" x14ac:dyDescent="0.25">
      <c r="A254" t="str">
        <f t="shared" si="47"/>
        <v>E131</v>
      </c>
      <c r="B254">
        <v>1</v>
      </c>
      <c r="C254" t="str">
        <f t="shared" si="51"/>
        <v>43000</v>
      </c>
      <c r="D254" t="str">
        <f t="shared" si="54"/>
        <v>5740</v>
      </c>
      <c r="E254" t="str">
        <f t="shared" si="55"/>
        <v>850LOS</v>
      </c>
      <c r="F254" t="str">
        <f>""</f>
        <v/>
      </c>
      <c r="G254" t="str">
        <f>""</f>
        <v/>
      </c>
      <c r="H254" s="1">
        <v>42004</v>
      </c>
      <c r="I254" t="str">
        <f>"TEL00645"</f>
        <v>TEL00645</v>
      </c>
      <c r="J254" t="str">
        <f>""</f>
        <v/>
      </c>
      <c r="K254" t="str">
        <f t="shared" si="56"/>
        <v>AS89</v>
      </c>
      <c r="L254" t="s">
        <v>2695</v>
      </c>
      <c r="M254">
        <v>539.44000000000005</v>
      </c>
    </row>
    <row r="255" spans="1:13" x14ac:dyDescent="0.25">
      <c r="A255" t="str">
        <f t="shared" si="47"/>
        <v>E131</v>
      </c>
      <c r="B255">
        <v>1</v>
      </c>
      <c r="C255" t="str">
        <f t="shared" si="51"/>
        <v>43000</v>
      </c>
      <c r="D255" t="str">
        <f t="shared" si="54"/>
        <v>5740</v>
      </c>
      <c r="E255" t="str">
        <f t="shared" si="55"/>
        <v>850LOS</v>
      </c>
      <c r="F255" t="str">
        <f>""</f>
        <v/>
      </c>
      <c r="G255" t="str">
        <f>""</f>
        <v/>
      </c>
      <c r="H255" s="1">
        <v>42035</v>
      </c>
      <c r="I255" t="str">
        <f>"TEL00646"</f>
        <v>TEL00646</v>
      </c>
      <c r="J255" t="str">
        <f>""</f>
        <v/>
      </c>
      <c r="K255" t="str">
        <f t="shared" si="56"/>
        <v>AS89</v>
      </c>
      <c r="L255" t="s">
        <v>2694</v>
      </c>
      <c r="M255">
        <v>549.88</v>
      </c>
    </row>
    <row r="256" spans="1:13" x14ac:dyDescent="0.25">
      <c r="A256" t="str">
        <f t="shared" si="47"/>
        <v>E131</v>
      </c>
      <c r="B256">
        <v>1</v>
      </c>
      <c r="C256" t="str">
        <f t="shared" si="51"/>
        <v>43000</v>
      </c>
      <c r="D256" t="str">
        <f t="shared" si="54"/>
        <v>5740</v>
      </c>
      <c r="E256" t="str">
        <f t="shared" si="55"/>
        <v>850LOS</v>
      </c>
      <c r="F256" t="str">
        <f>""</f>
        <v/>
      </c>
      <c r="G256" t="str">
        <f>""</f>
        <v/>
      </c>
      <c r="H256" s="1">
        <v>42063</v>
      </c>
      <c r="I256" t="str">
        <f>"TEL00647"</f>
        <v>TEL00647</v>
      </c>
      <c r="J256" t="str">
        <f>""</f>
        <v/>
      </c>
      <c r="K256" t="str">
        <f t="shared" si="56"/>
        <v>AS89</v>
      </c>
      <c r="L256" t="s">
        <v>2693</v>
      </c>
      <c r="M256">
        <v>554.57000000000005</v>
      </c>
    </row>
    <row r="257" spans="1:13" x14ac:dyDescent="0.25">
      <c r="A257" t="str">
        <f t="shared" si="47"/>
        <v>E131</v>
      </c>
      <c r="B257">
        <v>1</v>
      </c>
      <c r="C257" t="str">
        <f t="shared" si="51"/>
        <v>43000</v>
      </c>
      <c r="D257" t="str">
        <f t="shared" si="54"/>
        <v>5740</v>
      </c>
      <c r="E257" t="str">
        <f t="shared" si="55"/>
        <v>850LOS</v>
      </c>
      <c r="F257" t="str">
        <f>""</f>
        <v/>
      </c>
      <c r="G257" t="str">
        <f>""</f>
        <v/>
      </c>
      <c r="H257" s="1">
        <v>42094</v>
      </c>
      <c r="I257" t="str">
        <f>"TEL00648"</f>
        <v>TEL00648</v>
      </c>
      <c r="J257" t="str">
        <f>""</f>
        <v/>
      </c>
      <c r="K257" t="str">
        <f t="shared" si="56"/>
        <v>AS89</v>
      </c>
      <c r="L257" t="s">
        <v>2692</v>
      </c>
      <c r="M257">
        <v>558.92999999999995</v>
      </c>
    </row>
    <row r="258" spans="1:13" x14ac:dyDescent="0.25">
      <c r="A258" t="str">
        <f t="shared" si="47"/>
        <v>E131</v>
      </c>
      <c r="B258">
        <v>1</v>
      </c>
      <c r="C258" t="str">
        <f t="shared" si="51"/>
        <v>43000</v>
      </c>
      <c r="D258" t="str">
        <f t="shared" si="54"/>
        <v>5740</v>
      </c>
      <c r="E258" t="str">
        <f t="shared" si="55"/>
        <v>850LOS</v>
      </c>
      <c r="F258" t="str">
        <f>""</f>
        <v/>
      </c>
      <c r="G258" t="str">
        <f>""</f>
        <v/>
      </c>
      <c r="H258" s="1">
        <v>42124</v>
      </c>
      <c r="I258" t="str">
        <f>"TEL00649"</f>
        <v>TEL00649</v>
      </c>
      <c r="J258" t="str">
        <f>""</f>
        <v/>
      </c>
      <c r="K258" t="str">
        <f t="shared" si="56"/>
        <v>AS89</v>
      </c>
      <c r="L258" t="s">
        <v>2691</v>
      </c>
      <c r="M258">
        <v>531.71</v>
      </c>
    </row>
    <row r="259" spans="1:13" x14ac:dyDescent="0.25">
      <c r="A259" t="str">
        <f t="shared" si="47"/>
        <v>E131</v>
      </c>
      <c r="B259">
        <v>1</v>
      </c>
      <c r="C259" t="str">
        <f t="shared" si="51"/>
        <v>43000</v>
      </c>
      <c r="D259" t="str">
        <f t="shared" si="54"/>
        <v>5740</v>
      </c>
      <c r="E259" t="str">
        <f t="shared" si="55"/>
        <v>850LOS</v>
      </c>
      <c r="F259" t="str">
        <f>""</f>
        <v/>
      </c>
      <c r="G259" t="str">
        <f>""</f>
        <v/>
      </c>
      <c r="H259" s="1">
        <v>42155</v>
      </c>
      <c r="I259" t="str">
        <f>"TEL00650"</f>
        <v>TEL00650</v>
      </c>
      <c r="J259" t="str">
        <f>""</f>
        <v/>
      </c>
      <c r="K259" t="str">
        <f t="shared" si="56"/>
        <v>AS89</v>
      </c>
      <c r="L259" t="s">
        <v>2690</v>
      </c>
      <c r="M259">
        <v>529.21</v>
      </c>
    </row>
    <row r="260" spans="1:13" x14ac:dyDescent="0.25">
      <c r="A260" t="str">
        <f t="shared" si="47"/>
        <v>E131</v>
      </c>
      <c r="B260">
        <v>1</v>
      </c>
      <c r="C260" t="str">
        <f t="shared" si="51"/>
        <v>43000</v>
      </c>
      <c r="D260" t="str">
        <f t="shared" si="54"/>
        <v>5740</v>
      </c>
      <c r="E260" t="str">
        <f>"850PKE"</f>
        <v>850PKE</v>
      </c>
      <c r="F260" t="str">
        <f>""</f>
        <v/>
      </c>
      <c r="G260" t="str">
        <f>""</f>
        <v/>
      </c>
      <c r="H260" s="1">
        <v>41841</v>
      </c>
      <c r="I260" t="str">
        <f>"I0110400"</f>
        <v>I0110400</v>
      </c>
      <c r="J260" t="str">
        <f>"N210974"</f>
        <v>N210974</v>
      </c>
      <c r="K260" t="str">
        <f>"INEI"</f>
        <v>INEI</v>
      </c>
      <c r="L260" t="s">
        <v>1382</v>
      </c>
      <c r="M260">
        <v>300.10000000000002</v>
      </c>
    </row>
    <row r="261" spans="1:13" x14ac:dyDescent="0.25">
      <c r="A261" t="str">
        <f>"E132"</f>
        <v>E132</v>
      </c>
      <c r="B261">
        <v>1</v>
      </c>
      <c r="C261" t="str">
        <f t="shared" si="51"/>
        <v>43000</v>
      </c>
      <c r="D261" t="str">
        <f t="shared" ref="D261:D300" si="57">"5620"</f>
        <v>5620</v>
      </c>
      <c r="E261" t="str">
        <f>"850LOS"</f>
        <v>850LOS</v>
      </c>
      <c r="F261" t="str">
        <f>""</f>
        <v/>
      </c>
      <c r="G261" t="str">
        <f>""</f>
        <v/>
      </c>
      <c r="H261" s="1">
        <v>42064</v>
      </c>
      <c r="I261" t="str">
        <f>"J0013490"</f>
        <v>J0013490</v>
      </c>
      <c r="J261" t="str">
        <f>""</f>
        <v/>
      </c>
      <c r="K261" t="str">
        <f>"J079"</f>
        <v>J079</v>
      </c>
      <c r="L261" t="s">
        <v>2513</v>
      </c>
      <c r="M261">
        <v>102.9</v>
      </c>
    </row>
    <row r="262" spans="1:13" x14ac:dyDescent="0.25">
      <c r="A262" t="str">
        <f t="shared" ref="A262:A307" si="58">"E133"</f>
        <v>E133</v>
      </c>
      <c r="B262">
        <v>1</v>
      </c>
      <c r="C262" t="str">
        <f t="shared" ref="C262:C287" si="59">"10200"</f>
        <v>10200</v>
      </c>
      <c r="D262" t="str">
        <f t="shared" si="57"/>
        <v>5620</v>
      </c>
      <c r="E262" t="str">
        <f t="shared" ref="E262:E287" si="60">"094OMS"</f>
        <v>094OMS</v>
      </c>
      <c r="F262" t="str">
        <f>""</f>
        <v/>
      </c>
      <c r="G262" t="str">
        <f>""</f>
        <v/>
      </c>
      <c r="H262" s="1">
        <v>41845</v>
      </c>
      <c r="I262" t="str">
        <f>"ACG02441"</f>
        <v>ACG02441</v>
      </c>
      <c r="J262" t="str">
        <f>"I0110062"</f>
        <v>I0110062</v>
      </c>
      <c r="K262" t="str">
        <f>"AS89"</f>
        <v>AS89</v>
      </c>
      <c r="L262" t="s">
        <v>2689</v>
      </c>
      <c r="M262">
        <v>133.38</v>
      </c>
    </row>
    <row r="263" spans="1:13" x14ac:dyDescent="0.25">
      <c r="A263" t="str">
        <f t="shared" si="58"/>
        <v>E133</v>
      </c>
      <c r="B263">
        <v>1</v>
      </c>
      <c r="C263" t="str">
        <f t="shared" si="59"/>
        <v>10200</v>
      </c>
      <c r="D263" t="str">
        <f t="shared" si="57"/>
        <v>5620</v>
      </c>
      <c r="E263" t="str">
        <f t="shared" si="60"/>
        <v>094OMS</v>
      </c>
      <c r="F263" t="str">
        <f>""</f>
        <v/>
      </c>
      <c r="G263" t="str">
        <f>""</f>
        <v/>
      </c>
      <c r="H263" s="1">
        <v>41879</v>
      </c>
      <c r="I263" t="str">
        <f>"I0111085"</f>
        <v>I0111085</v>
      </c>
      <c r="J263" t="str">
        <f>"N138299E"</f>
        <v>N138299E</v>
      </c>
      <c r="K263" t="str">
        <f>"INEI"</f>
        <v>INEI</v>
      </c>
      <c r="L263" t="s">
        <v>1382</v>
      </c>
      <c r="M263">
        <v>600.1</v>
      </c>
    </row>
    <row r="264" spans="1:13" x14ac:dyDescent="0.25">
      <c r="A264" t="str">
        <f t="shared" si="58"/>
        <v>E133</v>
      </c>
      <c r="B264">
        <v>1</v>
      </c>
      <c r="C264" t="str">
        <f t="shared" si="59"/>
        <v>10200</v>
      </c>
      <c r="D264" t="str">
        <f t="shared" si="57"/>
        <v>5620</v>
      </c>
      <c r="E264" t="str">
        <f t="shared" si="60"/>
        <v>094OMS</v>
      </c>
      <c r="F264" t="str">
        <f>""</f>
        <v/>
      </c>
      <c r="G264" t="str">
        <f>""</f>
        <v/>
      </c>
      <c r="H264" s="1">
        <v>41886</v>
      </c>
      <c r="I264" t="str">
        <f>"I0111179"</f>
        <v>I0111179</v>
      </c>
      <c r="J264" t="str">
        <f>"N138299E"</f>
        <v>N138299E</v>
      </c>
      <c r="K264" t="str">
        <f>"INEI"</f>
        <v>INEI</v>
      </c>
      <c r="L264" t="s">
        <v>1382</v>
      </c>
      <c r="M264">
        <v>200.05</v>
      </c>
    </row>
    <row r="265" spans="1:13" x14ac:dyDescent="0.25">
      <c r="A265" t="str">
        <f t="shared" si="58"/>
        <v>E133</v>
      </c>
      <c r="B265">
        <v>1</v>
      </c>
      <c r="C265" t="str">
        <f t="shared" si="59"/>
        <v>10200</v>
      </c>
      <c r="D265" t="str">
        <f t="shared" si="57"/>
        <v>5620</v>
      </c>
      <c r="E265" t="str">
        <f t="shared" si="60"/>
        <v>094OMS</v>
      </c>
      <c r="F265" t="str">
        <f>""</f>
        <v/>
      </c>
      <c r="G265" t="str">
        <f>""</f>
        <v/>
      </c>
      <c r="H265" s="1">
        <v>41886</v>
      </c>
      <c r="I265" t="str">
        <f>"I0111180"</f>
        <v>I0111180</v>
      </c>
      <c r="J265" t="str">
        <f>"N138299E"</f>
        <v>N138299E</v>
      </c>
      <c r="K265" t="str">
        <f>"INEI"</f>
        <v>INEI</v>
      </c>
      <c r="L265" t="s">
        <v>1382</v>
      </c>
      <c r="M265">
        <v>200.07</v>
      </c>
    </row>
    <row r="266" spans="1:13" x14ac:dyDescent="0.25">
      <c r="A266" t="str">
        <f t="shared" si="58"/>
        <v>E133</v>
      </c>
      <c r="B266">
        <v>1</v>
      </c>
      <c r="C266" t="str">
        <f t="shared" si="59"/>
        <v>10200</v>
      </c>
      <c r="D266" t="str">
        <f t="shared" si="57"/>
        <v>5620</v>
      </c>
      <c r="E266" t="str">
        <f t="shared" si="60"/>
        <v>094OMS</v>
      </c>
      <c r="F266" t="str">
        <f>""</f>
        <v/>
      </c>
      <c r="G266" t="str">
        <f>""</f>
        <v/>
      </c>
      <c r="H266" s="1">
        <v>41891</v>
      </c>
      <c r="I266" t="str">
        <f>"220959A"</f>
        <v>220959A</v>
      </c>
      <c r="J266" t="str">
        <f>""</f>
        <v/>
      </c>
      <c r="K266" t="str">
        <f>"INNI"</f>
        <v>INNI</v>
      </c>
      <c r="L266" t="s">
        <v>92</v>
      </c>
      <c r="M266">
        <v>172.62</v>
      </c>
    </row>
    <row r="267" spans="1:13" x14ac:dyDescent="0.25">
      <c r="A267" t="str">
        <f t="shared" si="58"/>
        <v>E133</v>
      </c>
      <c r="B267">
        <v>1</v>
      </c>
      <c r="C267" t="str">
        <f t="shared" si="59"/>
        <v>10200</v>
      </c>
      <c r="D267" t="str">
        <f t="shared" si="57"/>
        <v>5620</v>
      </c>
      <c r="E267" t="str">
        <f t="shared" si="60"/>
        <v>094OMS</v>
      </c>
      <c r="F267" t="str">
        <f>""</f>
        <v/>
      </c>
      <c r="G267" t="str">
        <f>""</f>
        <v/>
      </c>
      <c r="H267" s="1">
        <v>41891</v>
      </c>
      <c r="I267" t="str">
        <f>"220959B"</f>
        <v>220959B</v>
      </c>
      <c r="J267" t="str">
        <f>""</f>
        <v/>
      </c>
      <c r="K267" t="str">
        <f>"INNI"</f>
        <v>INNI</v>
      </c>
      <c r="L267" t="s">
        <v>92</v>
      </c>
      <c r="M267">
        <v>159.35</v>
      </c>
    </row>
    <row r="268" spans="1:13" x14ac:dyDescent="0.25">
      <c r="A268" t="str">
        <f t="shared" si="58"/>
        <v>E133</v>
      </c>
      <c r="B268">
        <v>1</v>
      </c>
      <c r="C268" t="str">
        <f t="shared" si="59"/>
        <v>10200</v>
      </c>
      <c r="D268" t="str">
        <f t="shared" si="57"/>
        <v>5620</v>
      </c>
      <c r="E268" t="str">
        <f t="shared" si="60"/>
        <v>094OMS</v>
      </c>
      <c r="F268" t="str">
        <f>""</f>
        <v/>
      </c>
      <c r="G268" t="str">
        <f>""</f>
        <v/>
      </c>
      <c r="H268" s="1">
        <v>41915</v>
      </c>
      <c r="I268" t="str">
        <f>"I0111697"</f>
        <v>I0111697</v>
      </c>
      <c r="J268" t="str">
        <f>"N171000V"</f>
        <v>N171000V</v>
      </c>
      <c r="K268" t="str">
        <f t="shared" ref="K268:K299" si="61">"INEI"</f>
        <v>INEI</v>
      </c>
      <c r="L268" t="s">
        <v>78</v>
      </c>
      <c r="M268" s="2">
        <v>1065</v>
      </c>
    </row>
    <row r="269" spans="1:13" x14ac:dyDescent="0.25">
      <c r="A269" t="str">
        <f t="shared" si="58"/>
        <v>E133</v>
      </c>
      <c r="B269">
        <v>1</v>
      </c>
      <c r="C269" t="str">
        <f t="shared" si="59"/>
        <v>10200</v>
      </c>
      <c r="D269" t="str">
        <f t="shared" si="57"/>
        <v>5620</v>
      </c>
      <c r="E269" t="str">
        <f t="shared" si="60"/>
        <v>094OMS</v>
      </c>
      <c r="F269" t="str">
        <f>""</f>
        <v/>
      </c>
      <c r="G269" t="str">
        <f>""</f>
        <v/>
      </c>
      <c r="H269" s="1">
        <v>41918</v>
      </c>
      <c r="I269" t="str">
        <f>"I0111760"</f>
        <v>I0111760</v>
      </c>
      <c r="J269" t="str">
        <f>"N138299E"</f>
        <v>N138299E</v>
      </c>
      <c r="K269" t="str">
        <f t="shared" si="61"/>
        <v>INEI</v>
      </c>
      <c r="L269" t="s">
        <v>1382</v>
      </c>
      <c r="M269">
        <v>200.32</v>
      </c>
    </row>
    <row r="270" spans="1:13" x14ac:dyDescent="0.25">
      <c r="A270" t="str">
        <f t="shared" si="58"/>
        <v>E133</v>
      </c>
      <c r="B270">
        <v>1</v>
      </c>
      <c r="C270" t="str">
        <f t="shared" si="59"/>
        <v>10200</v>
      </c>
      <c r="D270" t="str">
        <f t="shared" si="57"/>
        <v>5620</v>
      </c>
      <c r="E270" t="str">
        <f t="shared" si="60"/>
        <v>094OMS</v>
      </c>
      <c r="F270" t="str">
        <f>""</f>
        <v/>
      </c>
      <c r="G270" t="str">
        <f>""</f>
        <v/>
      </c>
      <c r="H270" s="1">
        <v>41949</v>
      </c>
      <c r="I270" t="str">
        <f>"I0112760"</f>
        <v>I0112760</v>
      </c>
      <c r="J270" t="str">
        <f>"N138299E"</f>
        <v>N138299E</v>
      </c>
      <c r="K270" t="str">
        <f t="shared" si="61"/>
        <v>INEI</v>
      </c>
      <c r="L270" t="s">
        <v>1382</v>
      </c>
      <c r="M270">
        <v>299.25</v>
      </c>
    </row>
    <row r="271" spans="1:13" x14ac:dyDescent="0.25">
      <c r="A271" t="str">
        <f t="shared" si="58"/>
        <v>E133</v>
      </c>
      <c r="B271">
        <v>1</v>
      </c>
      <c r="C271" t="str">
        <f t="shared" si="59"/>
        <v>10200</v>
      </c>
      <c r="D271" t="str">
        <f t="shared" si="57"/>
        <v>5620</v>
      </c>
      <c r="E271" t="str">
        <f t="shared" si="60"/>
        <v>094OMS</v>
      </c>
      <c r="F271" t="str">
        <f>""</f>
        <v/>
      </c>
      <c r="G271" t="str">
        <f>""</f>
        <v/>
      </c>
      <c r="H271" s="1">
        <v>41974</v>
      </c>
      <c r="I271" t="str">
        <f>"I0113317"</f>
        <v>I0113317</v>
      </c>
      <c r="J271" t="str">
        <f>"N171000V"</f>
        <v>N171000V</v>
      </c>
      <c r="K271" t="str">
        <f t="shared" si="61"/>
        <v>INEI</v>
      </c>
      <c r="L271" t="s">
        <v>78</v>
      </c>
      <c r="M271" s="2">
        <v>2300</v>
      </c>
    </row>
    <row r="272" spans="1:13" x14ac:dyDescent="0.25">
      <c r="A272" t="str">
        <f t="shared" si="58"/>
        <v>E133</v>
      </c>
      <c r="B272">
        <v>1</v>
      </c>
      <c r="C272" t="str">
        <f t="shared" si="59"/>
        <v>10200</v>
      </c>
      <c r="D272" t="str">
        <f t="shared" si="57"/>
        <v>5620</v>
      </c>
      <c r="E272" t="str">
        <f t="shared" si="60"/>
        <v>094OMS</v>
      </c>
      <c r="F272" t="str">
        <f>""</f>
        <v/>
      </c>
      <c r="G272" t="str">
        <f>""</f>
        <v/>
      </c>
      <c r="H272" s="1">
        <v>41981</v>
      </c>
      <c r="I272" t="str">
        <f>"I0113522"</f>
        <v>I0113522</v>
      </c>
      <c r="J272" t="str">
        <f>"N138299E"</f>
        <v>N138299E</v>
      </c>
      <c r="K272" t="str">
        <f t="shared" si="61"/>
        <v>INEI</v>
      </c>
      <c r="L272" t="s">
        <v>1382</v>
      </c>
      <c r="M272">
        <v>200.05</v>
      </c>
    </row>
    <row r="273" spans="1:13" x14ac:dyDescent="0.25">
      <c r="A273" t="str">
        <f t="shared" si="58"/>
        <v>E133</v>
      </c>
      <c r="B273">
        <v>1</v>
      </c>
      <c r="C273" t="str">
        <f t="shared" si="59"/>
        <v>10200</v>
      </c>
      <c r="D273" t="str">
        <f t="shared" si="57"/>
        <v>5620</v>
      </c>
      <c r="E273" t="str">
        <f t="shared" si="60"/>
        <v>094OMS</v>
      </c>
      <c r="F273" t="str">
        <f>""</f>
        <v/>
      </c>
      <c r="G273" t="str">
        <f>""</f>
        <v/>
      </c>
      <c r="H273" s="1">
        <v>42010</v>
      </c>
      <c r="I273" t="str">
        <f>"I0114406"</f>
        <v>I0114406</v>
      </c>
      <c r="J273" t="str">
        <f>"N171000V"</f>
        <v>N171000V</v>
      </c>
      <c r="K273" t="str">
        <f t="shared" si="61"/>
        <v>INEI</v>
      </c>
      <c r="L273" t="s">
        <v>78</v>
      </c>
      <c r="M273" s="2">
        <v>1065</v>
      </c>
    </row>
    <row r="274" spans="1:13" x14ac:dyDescent="0.25">
      <c r="A274" t="str">
        <f t="shared" si="58"/>
        <v>E133</v>
      </c>
      <c r="B274">
        <v>1</v>
      </c>
      <c r="C274" t="str">
        <f t="shared" si="59"/>
        <v>10200</v>
      </c>
      <c r="D274" t="str">
        <f t="shared" si="57"/>
        <v>5620</v>
      </c>
      <c r="E274" t="str">
        <f t="shared" si="60"/>
        <v>094OMS</v>
      </c>
      <c r="F274" t="str">
        <f>""</f>
        <v/>
      </c>
      <c r="G274" t="str">
        <f>""</f>
        <v/>
      </c>
      <c r="H274" s="1">
        <v>42012</v>
      </c>
      <c r="I274" t="str">
        <f>"I0114443"</f>
        <v>I0114443</v>
      </c>
      <c r="J274" t="str">
        <f>"N138299E"</f>
        <v>N138299E</v>
      </c>
      <c r="K274" t="str">
        <f t="shared" si="61"/>
        <v>INEI</v>
      </c>
      <c r="L274" t="s">
        <v>1382</v>
      </c>
      <c r="M274">
        <v>200.19</v>
      </c>
    </row>
    <row r="275" spans="1:13" x14ac:dyDescent="0.25">
      <c r="A275" t="str">
        <f t="shared" si="58"/>
        <v>E133</v>
      </c>
      <c r="B275">
        <v>1</v>
      </c>
      <c r="C275" t="str">
        <f t="shared" si="59"/>
        <v>10200</v>
      </c>
      <c r="D275" t="str">
        <f t="shared" si="57"/>
        <v>5620</v>
      </c>
      <c r="E275" t="str">
        <f t="shared" si="60"/>
        <v>094OMS</v>
      </c>
      <c r="F275" t="str">
        <f>""</f>
        <v/>
      </c>
      <c r="G275" t="str">
        <f>""</f>
        <v/>
      </c>
      <c r="H275" s="1">
        <v>42040</v>
      </c>
      <c r="I275" t="str">
        <f>"I0115159"</f>
        <v>I0115159</v>
      </c>
      <c r="J275" t="str">
        <f>"N138299E"</f>
        <v>N138299E</v>
      </c>
      <c r="K275" t="str">
        <f t="shared" si="61"/>
        <v>INEI</v>
      </c>
      <c r="L275" t="s">
        <v>1382</v>
      </c>
      <c r="M275">
        <v>200.09</v>
      </c>
    </row>
    <row r="276" spans="1:13" x14ac:dyDescent="0.25">
      <c r="A276" t="str">
        <f t="shared" si="58"/>
        <v>E133</v>
      </c>
      <c r="B276">
        <v>1</v>
      </c>
      <c r="C276" t="str">
        <f t="shared" si="59"/>
        <v>10200</v>
      </c>
      <c r="D276" t="str">
        <f t="shared" si="57"/>
        <v>5620</v>
      </c>
      <c r="E276" t="str">
        <f t="shared" si="60"/>
        <v>094OMS</v>
      </c>
      <c r="F276" t="str">
        <f>""</f>
        <v/>
      </c>
      <c r="G276" t="str">
        <f>""</f>
        <v/>
      </c>
      <c r="H276" s="1">
        <v>42073</v>
      </c>
      <c r="I276" t="str">
        <f>"I0115912"</f>
        <v>I0115912</v>
      </c>
      <c r="J276" t="str">
        <f>"N138299E"</f>
        <v>N138299E</v>
      </c>
      <c r="K276" t="str">
        <f t="shared" si="61"/>
        <v>INEI</v>
      </c>
      <c r="L276" t="s">
        <v>1382</v>
      </c>
      <c r="M276">
        <v>200.07</v>
      </c>
    </row>
    <row r="277" spans="1:13" x14ac:dyDescent="0.25">
      <c r="A277" t="str">
        <f t="shared" si="58"/>
        <v>E133</v>
      </c>
      <c r="B277">
        <v>1</v>
      </c>
      <c r="C277" t="str">
        <f t="shared" si="59"/>
        <v>10200</v>
      </c>
      <c r="D277" t="str">
        <f t="shared" si="57"/>
        <v>5620</v>
      </c>
      <c r="E277" t="str">
        <f t="shared" si="60"/>
        <v>094OMS</v>
      </c>
      <c r="F277" t="str">
        <f>""</f>
        <v/>
      </c>
      <c r="G277" t="str">
        <f>""</f>
        <v/>
      </c>
      <c r="H277" s="1">
        <v>42093</v>
      </c>
      <c r="I277" t="str">
        <f>"I0116613"</f>
        <v>I0116613</v>
      </c>
      <c r="J277" t="str">
        <f>"N171000V"</f>
        <v>N171000V</v>
      </c>
      <c r="K277" t="str">
        <f t="shared" si="61"/>
        <v>INEI</v>
      </c>
      <c r="L277" t="s">
        <v>78</v>
      </c>
      <c r="M277">
        <v>160</v>
      </c>
    </row>
    <row r="278" spans="1:13" x14ac:dyDescent="0.25">
      <c r="A278" t="str">
        <f t="shared" si="58"/>
        <v>E133</v>
      </c>
      <c r="B278">
        <v>1</v>
      </c>
      <c r="C278" t="str">
        <f t="shared" si="59"/>
        <v>10200</v>
      </c>
      <c r="D278" t="str">
        <f t="shared" si="57"/>
        <v>5620</v>
      </c>
      <c r="E278" t="str">
        <f t="shared" si="60"/>
        <v>094OMS</v>
      </c>
      <c r="F278" t="str">
        <f>""</f>
        <v/>
      </c>
      <c r="G278" t="str">
        <f>""</f>
        <v/>
      </c>
      <c r="H278" s="1">
        <v>42100</v>
      </c>
      <c r="I278" t="str">
        <f>"I0116840"</f>
        <v>I0116840</v>
      </c>
      <c r="J278" t="str">
        <f>"N138299E"</f>
        <v>N138299E</v>
      </c>
      <c r="K278" t="str">
        <f t="shared" si="61"/>
        <v>INEI</v>
      </c>
      <c r="L278" t="s">
        <v>1382</v>
      </c>
      <c r="M278">
        <v>200.09</v>
      </c>
    </row>
    <row r="279" spans="1:13" x14ac:dyDescent="0.25">
      <c r="A279" t="str">
        <f t="shared" si="58"/>
        <v>E133</v>
      </c>
      <c r="B279">
        <v>1</v>
      </c>
      <c r="C279" t="str">
        <f t="shared" si="59"/>
        <v>10200</v>
      </c>
      <c r="D279" t="str">
        <f t="shared" si="57"/>
        <v>5620</v>
      </c>
      <c r="E279" t="str">
        <f t="shared" si="60"/>
        <v>094OMS</v>
      </c>
      <c r="F279" t="str">
        <f>""</f>
        <v/>
      </c>
      <c r="G279" t="str">
        <f>""</f>
        <v/>
      </c>
      <c r="H279" s="1">
        <v>42128</v>
      </c>
      <c r="I279" t="str">
        <f>"I0117710"</f>
        <v>I0117710</v>
      </c>
      <c r="J279" t="str">
        <f>"N138299E"</f>
        <v>N138299E</v>
      </c>
      <c r="K279" t="str">
        <f t="shared" si="61"/>
        <v>INEI</v>
      </c>
      <c r="L279" t="s">
        <v>1382</v>
      </c>
      <c r="M279">
        <v>200.13</v>
      </c>
    </row>
    <row r="280" spans="1:13" x14ac:dyDescent="0.25">
      <c r="A280" t="str">
        <f t="shared" si="58"/>
        <v>E133</v>
      </c>
      <c r="B280">
        <v>1</v>
      </c>
      <c r="C280" t="str">
        <f t="shared" si="59"/>
        <v>10200</v>
      </c>
      <c r="D280" t="str">
        <f t="shared" si="57"/>
        <v>5620</v>
      </c>
      <c r="E280" t="str">
        <f t="shared" si="60"/>
        <v>094OMS</v>
      </c>
      <c r="F280" t="str">
        <f>""</f>
        <v/>
      </c>
      <c r="G280" t="str">
        <f>""</f>
        <v/>
      </c>
      <c r="H280" s="1">
        <v>42132</v>
      </c>
      <c r="I280" t="str">
        <f>"I0117795"</f>
        <v>I0117795</v>
      </c>
      <c r="J280" t="str">
        <f>"N171000V"</f>
        <v>N171000V</v>
      </c>
      <c r="K280" t="str">
        <f t="shared" si="61"/>
        <v>INEI</v>
      </c>
      <c r="L280" t="s">
        <v>78</v>
      </c>
      <c r="M280">
        <v>176</v>
      </c>
    </row>
    <row r="281" spans="1:13" x14ac:dyDescent="0.25">
      <c r="A281" t="str">
        <f t="shared" si="58"/>
        <v>E133</v>
      </c>
      <c r="B281">
        <v>1</v>
      </c>
      <c r="C281" t="str">
        <f t="shared" si="59"/>
        <v>10200</v>
      </c>
      <c r="D281" t="str">
        <f t="shared" si="57"/>
        <v>5620</v>
      </c>
      <c r="E281" t="str">
        <f t="shared" si="60"/>
        <v>094OMS</v>
      </c>
      <c r="F281" t="str">
        <f>""</f>
        <v/>
      </c>
      <c r="G281" t="str">
        <f>""</f>
        <v/>
      </c>
      <c r="H281" s="1">
        <v>42132</v>
      </c>
      <c r="I281" t="str">
        <f>"I0117796"</f>
        <v>I0117796</v>
      </c>
      <c r="J281" t="str">
        <f>"N171000V"</f>
        <v>N171000V</v>
      </c>
      <c r="K281" t="str">
        <f t="shared" si="61"/>
        <v>INEI</v>
      </c>
      <c r="L281" t="s">
        <v>78</v>
      </c>
      <c r="M281" s="2">
        <v>1065</v>
      </c>
    </row>
    <row r="282" spans="1:13" x14ac:dyDescent="0.25">
      <c r="A282" t="str">
        <f t="shared" si="58"/>
        <v>E133</v>
      </c>
      <c r="B282">
        <v>1</v>
      </c>
      <c r="C282" t="str">
        <f t="shared" si="59"/>
        <v>10200</v>
      </c>
      <c r="D282" t="str">
        <f t="shared" si="57"/>
        <v>5620</v>
      </c>
      <c r="E282" t="str">
        <f t="shared" si="60"/>
        <v>094OMS</v>
      </c>
      <c r="F282" t="str">
        <f>""</f>
        <v/>
      </c>
      <c r="G282" t="str">
        <f>""</f>
        <v/>
      </c>
      <c r="H282" s="1">
        <v>42159</v>
      </c>
      <c r="I282" t="str">
        <f>"I0118468"</f>
        <v>I0118468</v>
      </c>
      <c r="J282" t="str">
        <f>"N171000V"</f>
        <v>N171000V</v>
      </c>
      <c r="K282" t="str">
        <f t="shared" si="61"/>
        <v>INEI</v>
      </c>
      <c r="L282" t="s">
        <v>78</v>
      </c>
      <c r="M282">
        <v>176</v>
      </c>
    </row>
    <row r="283" spans="1:13" x14ac:dyDescent="0.25">
      <c r="A283" t="str">
        <f t="shared" si="58"/>
        <v>E133</v>
      </c>
      <c r="B283">
        <v>1</v>
      </c>
      <c r="C283" t="str">
        <f t="shared" si="59"/>
        <v>10200</v>
      </c>
      <c r="D283" t="str">
        <f t="shared" si="57"/>
        <v>5620</v>
      </c>
      <c r="E283" t="str">
        <f t="shared" si="60"/>
        <v>094OMS</v>
      </c>
      <c r="F283" t="str">
        <f>""</f>
        <v/>
      </c>
      <c r="G283" t="str">
        <f>""</f>
        <v/>
      </c>
      <c r="H283" s="1">
        <v>42166</v>
      </c>
      <c r="I283" t="str">
        <f>"I0118630"</f>
        <v>I0118630</v>
      </c>
      <c r="J283" t="str">
        <f>"N138299E"</f>
        <v>N138299E</v>
      </c>
      <c r="K283" t="str">
        <f t="shared" si="61"/>
        <v>INEI</v>
      </c>
      <c r="L283" t="s">
        <v>1382</v>
      </c>
      <c r="M283">
        <v>200.07</v>
      </c>
    </row>
    <row r="284" spans="1:13" x14ac:dyDescent="0.25">
      <c r="A284" t="str">
        <f t="shared" si="58"/>
        <v>E133</v>
      </c>
      <c r="B284">
        <v>1</v>
      </c>
      <c r="C284" t="str">
        <f t="shared" si="59"/>
        <v>10200</v>
      </c>
      <c r="D284" t="str">
        <f t="shared" si="57"/>
        <v>5620</v>
      </c>
      <c r="E284" t="str">
        <f t="shared" si="60"/>
        <v>094OMS</v>
      </c>
      <c r="F284" t="str">
        <f>""</f>
        <v/>
      </c>
      <c r="G284" t="str">
        <f>""</f>
        <v/>
      </c>
      <c r="H284" s="1">
        <v>42181</v>
      </c>
      <c r="I284" t="str">
        <f>"I0119133"</f>
        <v>I0119133</v>
      </c>
      <c r="J284" t="str">
        <f>"N171000V"</f>
        <v>N171000V</v>
      </c>
      <c r="K284" t="str">
        <f t="shared" si="61"/>
        <v>INEI</v>
      </c>
      <c r="L284" t="s">
        <v>78</v>
      </c>
      <c r="M284" s="2">
        <v>1065</v>
      </c>
    </row>
    <row r="285" spans="1:13" x14ac:dyDescent="0.25">
      <c r="A285" t="str">
        <f t="shared" si="58"/>
        <v>E133</v>
      </c>
      <c r="B285">
        <v>1</v>
      </c>
      <c r="C285" t="str">
        <f t="shared" si="59"/>
        <v>10200</v>
      </c>
      <c r="D285" t="str">
        <f t="shared" si="57"/>
        <v>5620</v>
      </c>
      <c r="E285" t="str">
        <f t="shared" si="60"/>
        <v>094OMS</v>
      </c>
      <c r="F285" t="str">
        <f>""</f>
        <v/>
      </c>
      <c r="G285" t="str">
        <f>""</f>
        <v/>
      </c>
      <c r="H285" s="1">
        <v>42181</v>
      </c>
      <c r="I285" t="str">
        <f>"I0119143"</f>
        <v>I0119143</v>
      </c>
      <c r="J285" t="str">
        <f>"N171000V"</f>
        <v>N171000V</v>
      </c>
      <c r="K285" t="str">
        <f t="shared" si="61"/>
        <v>INEI</v>
      </c>
      <c r="L285" t="s">
        <v>78</v>
      </c>
      <c r="M285">
        <v>384</v>
      </c>
    </row>
    <row r="286" spans="1:13" x14ac:dyDescent="0.25">
      <c r="A286" t="str">
        <f t="shared" si="58"/>
        <v>E133</v>
      </c>
      <c r="B286">
        <v>1</v>
      </c>
      <c r="C286" t="str">
        <f t="shared" si="59"/>
        <v>10200</v>
      </c>
      <c r="D286" t="str">
        <f t="shared" si="57"/>
        <v>5620</v>
      </c>
      <c r="E286" t="str">
        <f t="shared" si="60"/>
        <v>094OMS</v>
      </c>
      <c r="F286" t="str">
        <f>""</f>
        <v/>
      </c>
      <c r="G286" t="str">
        <f>""</f>
        <v/>
      </c>
      <c r="H286" s="1">
        <v>42182</v>
      </c>
      <c r="I286" t="str">
        <f>"I0119542"</f>
        <v>I0119542</v>
      </c>
      <c r="J286" t="str">
        <f>"N138299E"</f>
        <v>N138299E</v>
      </c>
      <c r="K286" t="str">
        <f t="shared" si="61"/>
        <v>INEI</v>
      </c>
      <c r="L286" t="s">
        <v>1382</v>
      </c>
      <c r="M286">
        <v>200.05</v>
      </c>
    </row>
    <row r="287" spans="1:13" x14ac:dyDescent="0.25">
      <c r="A287" t="str">
        <f t="shared" si="58"/>
        <v>E133</v>
      </c>
      <c r="B287">
        <v>1</v>
      </c>
      <c r="C287" t="str">
        <f t="shared" si="59"/>
        <v>10200</v>
      </c>
      <c r="D287" t="str">
        <f t="shared" si="57"/>
        <v>5620</v>
      </c>
      <c r="E287" t="str">
        <f t="shared" si="60"/>
        <v>094OMS</v>
      </c>
      <c r="F287" t="str">
        <f>""</f>
        <v/>
      </c>
      <c r="G287" t="str">
        <f>""</f>
        <v/>
      </c>
      <c r="H287" s="1">
        <v>42185</v>
      </c>
      <c r="I287" t="str">
        <f>"I0119725"</f>
        <v>I0119725</v>
      </c>
      <c r="J287" t="str">
        <f>"N171000V"</f>
        <v>N171000V</v>
      </c>
      <c r="K287" t="str">
        <f t="shared" si="61"/>
        <v>INEI</v>
      </c>
      <c r="L287" t="s">
        <v>78</v>
      </c>
      <c r="M287">
        <v>272</v>
      </c>
    </row>
    <row r="288" spans="1:13" x14ac:dyDescent="0.25">
      <c r="A288" t="str">
        <f t="shared" si="58"/>
        <v>E133</v>
      </c>
      <c r="B288">
        <v>1</v>
      </c>
      <c r="C288" t="str">
        <f t="shared" ref="C288:C300" si="62">"43000"</f>
        <v>43000</v>
      </c>
      <c r="D288" t="str">
        <f t="shared" si="57"/>
        <v>5620</v>
      </c>
      <c r="E288" t="str">
        <f t="shared" ref="E288:E300" si="63">"850PAY"</f>
        <v>850PAY</v>
      </c>
      <c r="F288" t="str">
        <f>""</f>
        <v/>
      </c>
      <c r="G288" t="str">
        <f>""</f>
        <v/>
      </c>
      <c r="H288" s="1">
        <v>41879</v>
      </c>
      <c r="I288" t="str">
        <f>"I0111084"</f>
        <v>I0111084</v>
      </c>
      <c r="J288" t="str">
        <f t="shared" ref="J288:J299" si="64">"N138259E"</f>
        <v>N138259E</v>
      </c>
      <c r="K288" t="str">
        <f t="shared" si="61"/>
        <v>INEI</v>
      </c>
      <c r="L288" t="s">
        <v>1381</v>
      </c>
      <c r="M288">
        <v>132.13999999999999</v>
      </c>
    </row>
    <row r="289" spans="1:13" x14ac:dyDescent="0.25">
      <c r="A289" t="str">
        <f t="shared" si="58"/>
        <v>E133</v>
      </c>
      <c r="B289">
        <v>1</v>
      </c>
      <c r="C289" t="str">
        <f t="shared" si="62"/>
        <v>43000</v>
      </c>
      <c r="D289" t="str">
        <f t="shared" si="57"/>
        <v>5620</v>
      </c>
      <c r="E289" t="str">
        <f t="shared" si="63"/>
        <v>850PAY</v>
      </c>
      <c r="F289" t="str">
        <f>""</f>
        <v/>
      </c>
      <c r="G289" t="str">
        <f>""</f>
        <v/>
      </c>
      <c r="H289" s="1">
        <v>41886</v>
      </c>
      <c r="I289" t="str">
        <f>"I0111200"</f>
        <v>I0111200</v>
      </c>
      <c r="J289" t="str">
        <f t="shared" si="64"/>
        <v>N138259E</v>
      </c>
      <c r="K289" t="str">
        <f t="shared" si="61"/>
        <v>INEI</v>
      </c>
      <c r="L289" t="s">
        <v>1381</v>
      </c>
      <c r="M289">
        <v>132.19999999999999</v>
      </c>
    </row>
    <row r="290" spans="1:13" x14ac:dyDescent="0.25">
      <c r="A290" t="str">
        <f t="shared" si="58"/>
        <v>E133</v>
      </c>
      <c r="B290">
        <v>1</v>
      </c>
      <c r="C290" t="str">
        <f t="shared" si="62"/>
        <v>43000</v>
      </c>
      <c r="D290" t="str">
        <f t="shared" si="57"/>
        <v>5620</v>
      </c>
      <c r="E290" t="str">
        <f t="shared" si="63"/>
        <v>850PAY</v>
      </c>
      <c r="F290" t="str">
        <f>""</f>
        <v/>
      </c>
      <c r="G290" t="str">
        <f>""</f>
        <v/>
      </c>
      <c r="H290" s="1">
        <v>41918</v>
      </c>
      <c r="I290" t="str">
        <f>"I0111744"</f>
        <v>I0111744</v>
      </c>
      <c r="J290" t="str">
        <f t="shared" si="64"/>
        <v>N138259E</v>
      </c>
      <c r="K290" t="str">
        <f t="shared" si="61"/>
        <v>INEI</v>
      </c>
      <c r="L290" t="s">
        <v>1381</v>
      </c>
      <c r="M290">
        <v>132.13999999999999</v>
      </c>
    </row>
    <row r="291" spans="1:13" x14ac:dyDescent="0.25">
      <c r="A291" t="str">
        <f t="shared" si="58"/>
        <v>E133</v>
      </c>
      <c r="B291">
        <v>1</v>
      </c>
      <c r="C291" t="str">
        <f t="shared" si="62"/>
        <v>43000</v>
      </c>
      <c r="D291" t="str">
        <f t="shared" si="57"/>
        <v>5620</v>
      </c>
      <c r="E291" t="str">
        <f t="shared" si="63"/>
        <v>850PAY</v>
      </c>
      <c r="F291" t="str">
        <f>""</f>
        <v/>
      </c>
      <c r="G291" t="str">
        <f>""</f>
        <v/>
      </c>
      <c r="H291" s="1">
        <v>41949</v>
      </c>
      <c r="I291" t="str">
        <f>"I0112722"</f>
        <v>I0112722</v>
      </c>
      <c r="J291" t="str">
        <f t="shared" si="64"/>
        <v>N138259E</v>
      </c>
      <c r="K291" t="str">
        <f t="shared" si="61"/>
        <v>INEI</v>
      </c>
      <c r="L291" t="s">
        <v>1381</v>
      </c>
      <c r="M291">
        <v>130.94</v>
      </c>
    </row>
    <row r="292" spans="1:13" x14ac:dyDescent="0.25">
      <c r="A292" t="str">
        <f t="shared" si="58"/>
        <v>E133</v>
      </c>
      <c r="B292">
        <v>1</v>
      </c>
      <c r="C292" t="str">
        <f t="shared" si="62"/>
        <v>43000</v>
      </c>
      <c r="D292" t="str">
        <f t="shared" si="57"/>
        <v>5620</v>
      </c>
      <c r="E292" t="str">
        <f t="shared" si="63"/>
        <v>850PAY</v>
      </c>
      <c r="F292" t="str">
        <f>""</f>
        <v/>
      </c>
      <c r="G292" t="str">
        <f>""</f>
        <v/>
      </c>
      <c r="H292" s="1">
        <v>41977</v>
      </c>
      <c r="I292" t="str">
        <f>"I0113440"</f>
        <v>I0113440</v>
      </c>
      <c r="J292" t="str">
        <f t="shared" si="64"/>
        <v>N138259E</v>
      </c>
      <c r="K292" t="str">
        <f t="shared" si="61"/>
        <v>INEI</v>
      </c>
      <c r="L292" t="s">
        <v>1381</v>
      </c>
      <c r="M292">
        <v>130.94</v>
      </c>
    </row>
    <row r="293" spans="1:13" x14ac:dyDescent="0.25">
      <c r="A293" t="str">
        <f t="shared" si="58"/>
        <v>E133</v>
      </c>
      <c r="B293">
        <v>1</v>
      </c>
      <c r="C293" t="str">
        <f t="shared" si="62"/>
        <v>43000</v>
      </c>
      <c r="D293" t="str">
        <f t="shared" si="57"/>
        <v>5620</v>
      </c>
      <c r="E293" t="str">
        <f t="shared" si="63"/>
        <v>850PAY</v>
      </c>
      <c r="F293" t="str">
        <f>""</f>
        <v/>
      </c>
      <c r="G293" t="str">
        <f>""</f>
        <v/>
      </c>
      <c r="H293" s="1">
        <v>42012</v>
      </c>
      <c r="I293" t="str">
        <f>"I0114434"</f>
        <v>I0114434</v>
      </c>
      <c r="J293" t="str">
        <f t="shared" si="64"/>
        <v>N138259E</v>
      </c>
      <c r="K293" t="str">
        <f t="shared" si="61"/>
        <v>INEI</v>
      </c>
      <c r="L293" t="s">
        <v>1381</v>
      </c>
      <c r="M293">
        <v>131.65</v>
      </c>
    </row>
    <row r="294" spans="1:13" x14ac:dyDescent="0.25">
      <c r="A294" t="str">
        <f t="shared" si="58"/>
        <v>E133</v>
      </c>
      <c r="B294">
        <v>1</v>
      </c>
      <c r="C294" t="str">
        <f t="shared" si="62"/>
        <v>43000</v>
      </c>
      <c r="D294" t="str">
        <f t="shared" si="57"/>
        <v>5620</v>
      </c>
      <c r="E294" t="str">
        <f t="shared" si="63"/>
        <v>850PAY</v>
      </c>
      <c r="F294" t="str">
        <f>""</f>
        <v/>
      </c>
      <c r="G294" t="str">
        <f>""</f>
        <v/>
      </c>
      <c r="H294" s="1">
        <v>42037</v>
      </c>
      <c r="I294" t="str">
        <f>"I0115069"</f>
        <v>I0115069</v>
      </c>
      <c r="J294" t="str">
        <f t="shared" si="64"/>
        <v>N138259E</v>
      </c>
      <c r="K294" t="str">
        <f t="shared" si="61"/>
        <v>INEI</v>
      </c>
      <c r="L294" t="s">
        <v>1381</v>
      </c>
      <c r="M294">
        <v>131.59</v>
      </c>
    </row>
    <row r="295" spans="1:13" x14ac:dyDescent="0.25">
      <c r="A295" t="str">
        <f t="shared" si="58"/>
        <v>E133</v>
      </c>
      <c r="B295">
        <v>1</v>
      </c>
      <c r="C295" t="str">
        <f t="shared" si="62"/>
        <v>43000</v>
      </c>
      <c r="D295" t="str">
        <f t="shared" si="57"/>
        <v>5620</v>
      </c>
      <c r="E295" t="str">
        <f t="shared" si="63"/>
        <v>850PAY</v>
      </c>
      <c r="F295" t="str">
        <f>""</f>
        <v/>
      </c>
      <c r="G295" t="str">
        <f>""</f>
        <v/>
      </c>
      <c r="H295" s="1">
        <v>42068</v>
      </c>
      <c r="I295" t="str">
        <f>"I0115817"</f>
        <v>I0115817</v>
      </c>
      <c r="J295" t="str">
        <f t="shared" si="64"/>
        <v>N138259E</v>
      </c>
      <c r="K295" t="str">
        <f t="shared" si="61"/>
        <v>INEI</v>
      </c>
      <c r="L295" t="s">
        <v>1381</v>
      </c>
      <c r="M295">
        <v>471.13</v>
      </c>
    </row>
    <row r="296" spans="1:13" x14ac:dyDescent="0.25">
      <c r="A296" t="str">
        <f t="shared" si="58"/>
        <v>E133</v>
      </c>
      <c r="B296">
        <v>1</v>
      </c>
      <c r="C296" t="str">
        <f t="shared" si="62"/>
        <v>43000</v>
      </c>
      <c r="D296" t="str">
        <f t="shared" si="57"/>
        <v>5620</v>
      </c>
      <c r="E296" t="str">
        <f t="shared" si="63"/>
        <v>850PAY</v>
      </c>
      <c r="F296" t="str">
        <f>""</f>
        <v/>
      </c>
      <c r="G296" t="str">
        <f>""</f>
        <v/>
      </c>
      <c r="H296" s="1">
        <v>42100</v>
      </c>
      <c r="I296" t="str">
        <f>"I0116832"</f>
        <v>I0116832</v>
      </c>
      <c r="J296" t="str">
        <f t="shared" si="64"/>
        <v>N138259E</v>
      </c>
      <c r="K296" t="str">
        <f t="shared" si="61"/>
        <v>INEI</v>
      </c>
      <c r="L296" t="s">
        <v>1381</v>
      </c>
      <c r="M296">
        <v>491.7</v>
      </c>
    </row>
    <row r="297" spans="1:13" x14ac:dyDescent="0.25">
      <c r="A297" t="str">
        <f t="shared" si="58"/>
        <v>E133</v>
      </c>
      <c r="B297">
        <v>1</v>
      </c>
      <c r="C297" t="str">
        <f t="shared" si="62"/>
        <v>43000</v>
      </c>
      <c r="D297" t="str">
        <f t="shared" si="57"/>
        <v>5620</v>
      </c>
      <c r="E297" t="str">
        <f t="shared" si="63"/>
        <v>850PAY</v>
      </c>
      <c r="F297" t="str">
        <f>""</f>
        <v/>
      </c>
      <c r="G297" t="str">
        <f>""</f>
        <v/>
      </c>
      <c r="H297" s="1">
        <v>42128</v>
      </c>
      <c r="I297" t="str">
        <f>"I0117720"</f>
        <v>I0117720</v>
      </c>
      <c r="J297" t="str">
        <f t="shared" si="64"/>
        <v>N138259E</v>
      </c>
      <c r="K297" t="str">
        <f t="shared" si="61"/>
        <v>INEI</v>
      </c>
      <c r="L297" t="s">
        <v>1381</v>
      </c>
      <c r="M297">
        <v>492.8</v>
      </c>
    </row>
    <row r="298" spans="1:13" x14ac:dyDescent="0.25">
      <c r="A298" t="str">
        <f t="shared" si="58"/>
        <v>E133</v>
      </c>
      <c r="B298">
        <v>1</v>
      </c>
      <c r="C298" t="str">
        <f t="shared" si="62"/>
        <v>43000</v>
      </c>
      <c r="D298" t="str">
        <f t="shared" si="57"/>
        <v>5620</v>
      </c>
      <c r="E298" t="str">
        <f t="shared" si="63"/>
        <v>850PAY</v>
      </c>
      <c r="F298" t="str">
        <f>""</f>
        <v/>
      </c>
      <c r="G298" t="str">
        <f>""</f>
        <v/>
      </c>
      <c r="H298" s="1">
        <v>42166</v>
      </c>
      <c r="I298" t="str">
        <f>"I0118578"</f>
        <v>I0118578</v>
      </c>
      <c r="J298" t="str">
        <f t="shared" si="64"/>
        <v>N138259E</v>
      </c>
      <c r="K298" t="str">
        <f t="shared" si="61"/>
        <v>INEI</v>
      </c>
      <c r="L298" t="s">
        <v>1381</v>
      </c>
      <c r="M298">
        <v>492.8</v>
      </c>
    </row>
    <row r="299" spans="1:13" x14ac:dyDescent="0.25">
      <c r="A299" t="str">
        <f t="shared" si="58"/>
        <v>E133</v>
      </c>
      <c r="B299">
        <v>1</v>
      </c>
      <c r="C299" t="str">
        <f t="shared" si="62"/>
        <v>43000</v>
      </c>
      <c r="D299" t="str">
        <f t="shared" si="57"/>
        <v>5620</v>
      </c>
      <c r="E299" t="str">
        <f t="shared" si="63"/>
        <v>850PAY</v>
      </c>
      <c r="F299" t="str">
        <f>""</f>
        <v/>
      </c>
      <c r="G299" t="str">
        <f>""</f>
        <v/>
      </c>
      <c r="H299" s="1">
        <v>42185</v>
      </c>
      <c r="I299" t="str">
        <f>"I0119504"</f>
        <v>I0119504</v>
      </c>
      <c r="J299" t="str">
        <f t="shared" si="64"/>
        <v>N138259E</v>
      </c>
      <c r="K299" t="str">
        <f t="shared" si="61"/>
        <v>INEI</v>
      </c>
      <c r="L299" t="s">
        <v>1381</v>
      </c>
      <c r="M299">
        <v>492.8</v>
      </c>
    </row>
    <row r="300" spans="1:13" x14ac:dyDescent="0.25">
      <c r="A300" t="str">
        <f t="shared" si="58"/>
        <v>E133</v>
      </c>
      <c r="B300">
        <v>1</v>
      </c>
      <c r="C300" t="str">
        <f t="shared" si="62"/>
        <v>43000</v>
      </c>
      <c r="D300" t="str">
        <f t="shared" si="57"/>
        <v>5620</v>
      </c>
      <c r="E300" t="str">
        <f t="shared" si="63"/>
        <v>850PAY</v>
      </c>
      <c r="F300" t="str">
        <f>""</f>
        <v/>
      </c>
      <c r="G300" t="str">
        <f>""</f>
        <v/>
      </c>
      <c r="H300" s="1">
        <v>42185</v>
      </c>
      <c r="I300" t="str">
        <f>"J0016370"</f>
        <v>J0016370</v>
      </c>
      <c r="J300" t="str">
        <f>""</f>
        <v/>
      </c>
      <c r="K300" t="str">
        <f>"J096"</f>
        <v>J096</v>
      </c>
      <c r="L300" t="s">
        <v>2506</v>
      </c>
      <c r="M300" s="2">
        <v>2387.3200000000002</v>
      </c>
    </row>
    <row r="301" spans="1:13" x14ac:dyDescent="0.25">
      <c r="A301" t="str">
        <f t="shared" si="58"/>
        <v>E133</v>
      </c>
      <c r="B301">
        <v>1</v>
      </c>
      <c r="C301" t="str">
        <f t="shared" ref="C301:C307" si="65">"43003"</f>
        <v>43003</v>
      </c>
      <c r="D301" t="str">
        <f t="shared" ref="D301:D307" si="66">"5740"</f>
        <v>5740</v>
      </c>
      <c r="E301" t="str">
        <f t="shared" ref="E301:E307" si="67">"850LOS"</f>
        <v>850LOS</v>
      </c>
      <c r="F301" t="str">
        <f>""</f>
        <v/>
      </c>
      <c r="G301" t="str">
        <f>""</f>
        <v/>
      </c>
      <c r="H301" s="1">
        <v>41879</v>
      </c>
      <c r="I301" t="str">
        <f>"I0111084"</f>
        <v>I0111084</v>
      </c>
      <c r="J301" t="str">
        <f t="shared" ref="J301:J307" si="68">"N138259E"</f>
        <v>N138259E</v>
      </c>
      <c r="K301" t="str">
        <f t="shared" ref="K301:K307" si="69">"INEI"</f>
        <v>INEI</v>
      </c>
      <c r="L301" t="s">
        <v>1381</v>
      </c>
      <c r="M301">
        <v>342.29</v>
      </c>
    </row>
    <row r="302" spans="1:13" x14ac:dyDescent="0.25">
      <c r="A302" t="str">
        <f t="shared" si="58"/>
        <v>E133</v>
      </c>
      <c r="B302">
        <v>1</v>
      </c>
      <c r="C302" t="str">
        <f t="shared" si="65"/>
        <v>43003</v>
      </c>
      <c r="D302" t="str">
        <f t="shared" si="66"/>
        <v>5740</v>
      </c>
      <c r="E302" t="str">
        <f t="shared" si="67"/>
        <v>850LOS</v>
      </c>
      <c r="F302" t="str">
        <f>""</f>
        <v/>
      </c>
      <c r="G302" t="str">
        <f>""</f>
        <v/>
      </c>
      <c r="H302" s="1">
        <v>41886</v>
      </c>
      <c r="I302" t="str">
        <f>"I0111200"</f>
        <v>I0111200</v>
      </c>
      <c r="J302" t="str">
        <f t="shared" si="68"/>
        <v>N138259E</v>
      </c>
      <c r="K302" t="str">
        <f t="shared" si="69"/>
        <v>INEI</v>
      </c>
      <c r="L302" t="s">
        <v>1381</v>
      </c>
      <c r="M302">
        <v>342.45</v>
      </c>
    </row>
    <row r="303" spans="1:13" x14ac:dyDescent="0.25">
      <c r="A303" t="str">
        <f t="shared" si="58"/>
        <v>E133</v>
      </c>
      <c r="B303">
        <v>1</v>
      </c>
      <c r="C303" t="str">
        <f t="shared" si="65"/>
        <v>43003</v>
      </c>
      <c r="D303" t="str">
        <f t="shared" si="66"/>
        <v>5740</v>
      </c>
      <c r="E303" t="str">
        <f t="shared" si="67"/>
        <v>850LOS</v>
      </c>
      <c r="F303" t="str">
        <f>""</f>
        <v/>
      </c>
      <c r="G303" t="str">
        <f>""</f>
        <v/>
      </c>
      <c r="H303" s="1">
        <v>41918</v>
      </c>
      <c r="I303" t="str">
        <f>"I0111744"</f>
        <v>I0111744</v>
      </c>
      <c r="J303" t="str">
        <f t="shared" si="68"/>
        <v>N138259E</v>
      </c>
      <c r="K303" t="str">
        <f t="shared" si="69"/>
        <v>INEI</v>
      </c>
      <c r="L303" t="s">
        <v>1381</v>
      </c>
      <c r="M303">
        <v>342.29</v>
      </c>
    </row>
    <row r="304" spans="1:13" x14ac:dyDescent="0.25">
      <c r="A304" t="str">
        <f t="shared" si="58"/>
        <v>E133</v>
      </c>
      <c r="B304">
        <v>1</v>
      </c>
      <c r="C304" t="str">
        <f t="shared" si="65"/>
        <v>43003</v>
      </c>
      <c r="D304" t="str">
        <f t="shared" si="66"/>
        <v>5740</v>
      </c>
      <c r="E304" t="str">
        <f t="shared" si="67"/>
        <v>850LOS</v>
      </c>
      <c r="F304" t="str">
        <f>""</f>
        <v/>
      </c>
      <c r="G304" t="str">
        <f>""</f>
        <v/>
      </c>
      <c r="H304" s="1">
        <v>41949</v>
      </c>
      <c r="I304" t="str">
        <f>"I0112722"</f>
        <v>I0112722</v>
      </c>
      <c r="J304" t="str">
        <f t="shared" si="68"/>
        <v>N138259E</v>
      </c>
      <c r="K304" t="str">
        <f t="shared" si="69"/>
        <v>INEI</v>
      </c>
      <c r="L304" t="s">
        <v>1381</v>
      </c>
      <c r="M304">
        <v>339.2</v>
      </c>
    </row>
    <row r="305" spans="1:13" x14ac:dyDescent="0.25">
      <c r="A305" t="str">
        <f t="shared" si="58"/>
        <v>E133</v>
      </c>
      <c r="B305">
        <v>1</v>
      </c>
      <c r="C305" t="str">
        <f t="shared" si="65"/>
        <v>43003</v>
      </c>
      <c r="D305" t="str">
        <f t="shared" si="66"/>
        <v>5740</v>
      </c>
      <c r="E305" t="str">
        <f t="shared" si="67"/>
        <v>850LOS</v>
      </c>
      <c r="F305" t="str">
        <f>""</f>
        <v/>
      </c>
      <c r="G305" t="str">
        <f>""</f>
        <v/>
      </c>
      <c r="H305" s="1">
        <v>41977</v>
      </c>
      <c r="I305" t="str">
        <f>"I0113440"</f>
        <v>I0113440</v>
      </c>
      <c r="J305" t="str">
        <f t="shared" si="68"/>
        <v>N138259E</v>
      </c>
      <c r="K305" t="str">
        <f t="shared" si="69"/>
        <v>INEI</v>
      </c>
      <c r="L305" t="s">
        <v>1381</v>
      </c>
      <c r="M305">
        <v>339.2</v>
      </c>
    </row>
    <row r="306" spans="1:13" x14ac:dyDescent="0.25">
      <c r="A306" t="str">
        <f t="shared" si="58"/>
        <v>E133</v>
      </c>
      <c r="B306">
        <v>1</v>
      </c>
      <c r="C306" t="str">
        <f t="shared" si="65"/>
        <v>43003</v>
      </c>
      <c r="D306" t="str">
        <f t="shared" si="66"/>
        <v>5740</v>
      </c>
      <c r="E306" t="str">
        <f t="shared" si="67"/>
        <v>850LOS</v>
      </c>
      <c r="F306" t="str">
        <f>""</f>
        <v/>
      </c>
      <c r="G306" t="str">
        <f>""</f>
        <v/>
      </c>
      <c r="H306" s="1">
        <v>42012</v>
      </c>
      <c r="I306" t="str">
        <f>"I0114434"</f>
        <v>I0114434</v>
      </c>
      <c r="J306" t="str">
        <f t="shared" si="68"/>
        <v>N138259E</v>
      </c>
      <c r="K306" t="str">
        <f t="shared" si="69"/>
        <v>INEI</v>
      </c>
      <c r="L306" t="s">
        <v>1381</v>
      </c>
      <c r="M306">
        <v>341.01</v>
      </c>
    </row>
    <row r="307" spans="1:13" x14ac:dyDescent="0.25">
      <c r="A307" t="str">
        <f t="shared" si="58"/>
        <v>E133</v>
      </c>
      <c r="B307">
        <v>1</v>
      </c>
      <c r="C307" t="str">
        <f t="shared" si="65"/>
        <v>43003</v>
      </c>
      <c r="D307" t="str">
        <f t="shared" si="66"/>
        <v>5740</v>
      </c>
      <c r="E307" t="str">
        <f t="shared" si="67"/>
        <v>850LOS</v>
      </c>
      <c r="F307" t="str">
        <f>""</f>
        <v/>
      </c>
      <c r="G307" t="str">
        <f>""</f>
        <v/>
      </c>
      <c r="H307" s="1">
        <v>42037</v>
      </c>
      <c r="I307" t="str">
        <f>"I0115069"</f>
        <v>I0115069</v>
      </c>
      <c r="J307" t="str">
        <f t="shared" si="68"/>
        <v>N138259E</v>
      </c>
      <c r="K307" t="str">
        <f t="shared" si="69"/>
        <v>INEI</v>
      </c>
      <c r="L307" t="s">
        <v>1381</v>
      </c>
      <c r="M307">
        <v>340.88</v>
      </c>
    </row>
    <row r="308" spans="1:13" x14ac:dyDescent="0.25">
      <c r="A308" t="str">
        <f>"E150"</f>
        <v>E150</v>
      </c>
      <c r="B308">
        <v>1</v>
      </c>
      <c r="C308" t="str">
        <f>"10200"</f>
        <v>10200</v>
      </c>
      <c r="D308" t="str">
        <f>"5620"</f>
        <v>5620</v>
      </c>
      <c r="E308" t="str">
        <f>"094OMS"</f>
        <v>094OMS</v>
      </c>
      <c r="F308" t="str">
        <f>""</f>
        <v/>
      </c>
      <c r="G308" t="str">
        <f>""</f>
        <v/>
      </c>
      <c r="H308" s="1">
        <v>41883</v>
      </c>
      <c r="I308" t="str">
        <f>"PHY00640"</f>
        <v>PHY00640</v>
      </c>
      <c r="J308" t="str">
        <f>"LPOLICE"</f>
        <v>LPOLICE</v>
      </c>
      <c r="K308" t="str">
        <f>"AS89"</f>
        <v>AS89</v>
      </c>
      <c r="L308" t="s">
        <v>2688</v>
      </c>
      <c r="M308" s="2">
        <v>48000</v>
      </c>
    </row>
    <row r="309" spans="1:13" x14ac:dyDescent="0.25">
      <c r="A309" t="str">
        <f>"E150"</f>
        <v>E150</v>
      </c>
      <c r="B309">
        <v>1</v>
      </c>
      <c r="C309" t="str">
        <f>"32040"</f>
        <v>32040</v>
      </c>
      <c r="D309" t="str">
        <f>"5610"</f>
        <v>5610</v>
      </c>
      <c r="E309" t="str">
        <f>"850LOS"</f>
        <v>850LOS</v>
      </c>
      <c r="F309" t="str">
        <f>""</f>
        <v/>
      </c>
      <c r="G309" t="str">
        <f>""</f>
        <v/>
      </c>
      <c r="H309" s="1">
        <v>41852</v>
      </c>
      <c r="I309" t="str">
        <f>"PHY00639"</f>
        <v>PHY00639</v>
      </c>
      <c r="J309" t="str">
        <f>"LLOCKSHO"</f>
        <v>LLOCKSHO</v>
      </c>
      <c r="K309" t="str">
        <f>"AS89"</f>
        <v>AS89</v>
      </c>
      <c r="L309" t="s">
        <v>2688</v>
      </c>
      <c r="M309" s="2">
        <v>5500</v>
      </c>
    </row>
    <row r="310" spans="1:13" x14ac:dyDescent="0.25">
      <c r="A310" t="str">
        <f>"E150"</f>
        <v>E150</v>
      </c>
      <c r="B310">
        <v>1</v>
      </c>
      <c r="C310" t="str">
        <f>"32040"</f>
        <v>32040</v>
      </c>
      <c r="D310" t="str">
        <f t="shared" ref="D310:D337" si="70">"5620"</f>
        <v>5620</v>
      </c>
      <c r="E310" t="str">
        <f>"850LOS"</f>
        <v>850LOS</v>
      </c>
      <c r="F310" t="str">
        <f>""</f>
        <v/>
      </c>
      <c r="G310" t="str">
        <f>""</f>
        <v/>
      </c>
      <c r="H310" s="1">
        <v>42064</v>
      </c>
      <c r="I310" t="str">
        <f>"J0013487"</f>
        <v>J0013487</v>
      </c>
      <c r="J310" t="str">
        <f>""</f>
        <v/>
      </c>
      <c r="K310" t="str">
        <f>"J079"</f>
        <v>J079</v>
      </c>
      <c r="L310" t="s">
        <v>2571</v>
      </c>
      <c r="M310" s="2">
        <v>5500</v>
      </c>
    </row>
    <row r="311" spans="1:13" x14ac:dyDescent="0.25">
      <c r="A311" t="str">
        <f>"E150"</f>
        <v>E150</v>
      </c>
      <c r="B311">
        <v>1</v>
      </c>
      <c r="C311" t="str">
        <f>"43000"</f>
        <v>43000</v>
      </c>
      <c r="D311" t="str">
        <f t="shared" si="70"/>
        <v>5620</v>
      </c>
      <c r="E311" t="str">
        <f>"850LOS"</f>
        <v>850LOS</v>
      </c>
      <c r="F311" t="str">
        <f>"PKOLOT"</f>
        <v>PKOLOT</v>
      </c>
      <c r="G311" t="str">
        <f>""</f>
        <v/>
      </c>
      <c r="H311" s="1">
        <v>42026</v>
      </c>
      <c r="I311" t="str">
        <f>"222511"</f>
        <v>222511</v>
      </c>
      <c r="J311" t="str">
        <f>""</f>
        <v/>
      </c>
      <c r="K311" t="str">
        <f>"INNI"</f>
        <v>INNI</v>
      </c>
      <c r="L311" t="s">
        <v>94</v>
      </c>
      <c r="M311" s="2">
        <v>1307.6600000000001</v>
      </c>
    </row>
    <row r="312" spans="1:13" x14ac:dyDescent="0.25">
      <c r="A312" t="str">
        <f>"E155"</f>
        <v>E155</v>
      </c>
      <c r="B312">
        <v>1</v>
      </c>
      <c r="C312" t="str">
        <f>"10200"</f>
        <v>10200</v>
      </c>
      <c r="D312" t="str">
        <f t="shared" si="70"/>
        <v>5620</v>
      </c>
      <c r="E312" t="str">
        <f>"094OMS"</f>
        <v>094OMS</v>
      </c>
      <c r="F312" t="str">
        <f>""</f>
        <v/>
      </c>
      <c r="G312" t="str">
        <f>""</f>
        <v/>
      </c>
      <c r="H312" s="1">
        <v>41983</v>
      </c>
      <c r="I312" t="str">
        <f>"220972"</f>
        <v>220972</v>
      </c>
      <c r="J312" t="str">
        <f>""</f>
        <v/>
      </c>
      <c r="K312" t="str">
        <f>"INNI"</f>
        <v>INNI</v>
      </c>
      <c r="L312" t="s">
        <v>92</v>
      </c>
      <c r="M312" s="2">
        <v>3000</v>
      </c>
    </row>
    <row r="313" spans="1:13" x14ac:dyDescent="0.25">
      <c r="A313" t="str">
        <f>"E155"</f>
        <v>E155</v>
      </c>
      <c r="B313">
        <v>1</v>
      </c>
      <c r="C313" t="str">
        <f>"10200"</f>
        <v>10200</v>
      </c>
      <c r="D313" t="str">
        <f t="shared" si="70"/>
        <v>5620</v>
      </c>
      <c r="E313" t="str">
        <f>"094OMS"</f>
        <v>094OMS</v>
      </c>
      <c r="F313" t="str">
        <f>""</f>
        <v/>
      </c>
      <c r="G313" t="str">
        <f>""</f>
        <v/>
      </c>
      <c r="H313" s="1">
        <v>42038</v>
      </c>
      <c r="I313" t="str">
        <f>"222514"</f>
        <v>222514</v>
      </c>
      <c r="J313" t="str">
        <f>""</f>
        <v/>
      </c>
      <c r="K313" t="str">
        <f>"INNI"</f>
        <v>INNI</v>
      </c>
      <c r="L313" t="s">
        <v>92</v>
      </c>
      <c r="M313" s="2">
        <v>3000</v>
      </c>
    </row>
    <row r="314" spans="1:13" x14ac:dyDescent="0.25">
      <c r="A314" t="str">
        <f>"E157"</f>
        <v>E157</v>
      </c>
      <c r="B314">
        <v>1</v>
      </c>
      <c r="C314" t="str">
        <f>"24081"</f>
        <v>24081</v>
      </c>
      <c r="D314" t="str">
        <f t="shared" si="70"/>
        <v>5620</v>
      </c>
      <c r="E314" t="str">
        <f>"094OMS"</f>
        <v>094OMS</v>
      </c>
      <c r="F314" t="str">
        <f>""</f>
        <v/>
      </c>
      <c r="G314" t="str">
        <f>""</f>
        <v/>
      </c>
      <c r="H314" s="1">
        <v>42185</v>
      </c>
      <c r="I314" t="str">
        <f>"J0016435"</f>
        <v>J0016435</v>
      </c>
      <c r="J314" t="str">
        <f>""</f>
        <v/>
      </c>
      <c r="K314" t="str">
        <f>"J096"</f>
        <v>J096</v>
      </c>
      <c r="L314" t="s">
        <v>2507</v>
      </c>
      <c r="M314">
        <v>250</v>
      </c>
    </row>
    <row r="315" spans="1:13" x14ac:dyDescent="0.25">
      <c r="A315" t="str">
        <f>"E157"</f>
        <v>E157</v>
      </c>
      <c r="B315">
        <v>1</v>
      </c>
      <c r="C315" t="str">
        <f>"31040"</f>
        <v>31040</v>
      </c>
      <c r="D315" t="str">
        <f t="shared" si="70"/>
        <v>5620</v>
      </c>
      <c r="E315" t="str">
        <f>"094OMS"</f>
        <v>094OMS</v>
      </c>
      <c r="F315" t="str">
        <f>""</f>
        <v/>
      </c>
      <c r="G315" t="str">
        <f>""</f>
        <v/>
      </c>
      <c r="H315" s="1">
        <v>42125</v>
      </c>
      <c r="I315" t="str">
        <f>"J0011483"</f>
        <v>J0011483</v>
      </c>
      <c r="J315" t="str">
        <f>""</f>
        <v/>
      </c>
      <c r="K315" t="str">
        <f>"J096"</f>
        <v>J096</v>
      </c>
      <c r="L315" t="s">
        <v>2091</v>
      </c>
      <c r="M315">
        <v>250</v>
      </c>
    </row>
    <row r="316" spans="1:13" x14ac:dyDescent="0.25">
      <c r="A316" t="str">
        <f>"E157"</f>
        <v>E157</v>
      </c>
      <c r="B316">
        <v>1</v>
      </c>
      <c r="C316" t="str">
        <f>"43000"</f>
        <v>43000</v>
      </c>
      <c r="D316" t="str">
        <f t="shared" si="70"/>
        <v>5620</v>
      </c>
      <c r="E316" t="str">
        <f>"850LOS"</f>
        <v>850LOS</v>
      </c>
      <c r="F316" t="str">
        <f>""</f>
        <v/>
      </c>
      <c r="G316" t="str">
        <f>""</f>
        <v/>
      </c>
      <c r="H316" s="1">
        <v>42064</v>
      </c>
      <c r="I316" t="str">
        <f>"I0114799"</f>
        <v>I0114799</v>
      </c>
      <c r="J316" t="str">
        <f>"N125348E"</f>
        <v>N125348E</v>
      </c>
      <c r="K316" t="str">
        <f>"INEI"</f>
        <v>INEI</v>
      </c>
      <c r="L316" t="s">
        <v>229</v>
      </c>
      <c r="M316" s="2">
        <v>40454.19</v>
      </c>
    </row>
    <row r="317" spans="1:13" x14ac:dyDescent="0.25">
      <c r="A317" t="str">
        <f>"E157"</f>
        <v>E157</v>
      </c>
      <c r="B317">
        <v>1</v>
      </c>
      <c r="C317" t="str">
        <f>"43000"</f>
        <v>43000</v>
      </c>
      <c r="D317" t="str">
        <f t="shared" si="70"/>
        <v>5620</v>
      </c>
      <c r="E317" t="str">
        <f>"850LOS"</f>
        <v>850LOS</v>
      </c>
      <c r="F317" t="str">
        <f>""</f>
        <v/>
      </c>
      <c r="G317" t="str">
        <f>""</f>
        <v/>
      </c>
      <c r="H317" s="1">
        <v>42125</v>
      </c>
      <c r="I317" t="str">
        <f>"J0011483"</f>
        <v>J0011483</v>
      </c>
      <c r="J317" t="str">
        <f>""</f>
        <v/>
      </c>
      <c r="K317" t="str">
        <f>"J096"</f>
        <v>J096</v>
      </c>
      <c r="L317" t="s">
        <v>2091</v>
      </c>
      <c r="M317">
        <v>250</v>
      </c>
    </row>
    <row r="318" spans="1:13" x14ac:dyDescent="0.25">
      <c r="A318" t="str">
        <f t="shared" ref="A318:A349" si="71">"E160"</f>
        <v>E160</v>
      </c>
      <c r="B318">
        <v>1</v>
      </c>
      <c r="C318" t="str">
        <f t="shared" ref="C318:C337" si="72">"10200"</f>
        <v>10200</v>
      </c>
      <c r="D318" t="str">
        <f t="shared" si="70"/>
        <v>5620</v>
      </c>
      <c r="E318" t="str">
        <f t="shared" ref="E318:E337" si="73">"094OMS"</f>
        <v>094OMS</v>
      </c>
      <c r="F318" t="str">
        <f>""</f>
        <v/>
      </c>
      <c r="G318" t="str">
        <f>""</f>
        <v/>
      </c>
      <c r="H318" s="1">
        <v>41821</v>
      </c>
      <c r="I318" t="str">
        <f>"PHY00635"</f>
        <v>PHY00635</v>
      </c>
      <c r="J318" t="str">
        <f>"W0121706"</f>
        <v>W0121706</v>
      </c>
      <c r="K318" t="str">
        <f t="shared" ref="K318:K339" si="74">"AS89"</f>
        <v>AS89</v>
      </c>
      <c r="L318" t="s">
        <v>2423</v>
      </c>
      <c r="M318">
        <v>703.85</v>
      </c>
    </row>
    <row r="319" spans="1:13" x14ac:dyDescent="0.25">
      <c r="A319" t="str">
        <f t="shared" si="71"/>
        <v>E160</v>
      </c>
      <c r="B319">
        <v>1</v>
      </c>
      <c r="C319" t="str">
        <f t="shared" si="72"/>
        <v>10200</v>
      </c>
      <c r="D319" t="str">
        <f t="shared" si="70"/>
        <v>5620</v>
      </c>
      <c r="E319" t="str">
        <f t="shared" si="73"/>
        <v>094OMS</v>
      </c>
      <c r="F319" t="str">
        <f>""</f>
        <v/>
      </c>
      <c r="G319" t="str">
        <f>""</f>
        <v/>
      </c>
      <c r="H319" s="1">
        <v>41883</v>
      </c>
      <c r="I319" t="str">
        <f>"PHY00640"</f>
        <v>PHY00640</v>
      </c>
      <c r="J319" t="str">
        <f>"W0134124"</f>
        <v>W0134124</v>
      </c>
      <c r="K319" t="str">
        <f t="shared" si="74"/>
        <v>AS89</v>
      </c>
      <c r="L319" t="s">
        <v>2687</v>
      </c>
      <c r="M319">
        <v>238.59</v>
      </c>
    </row>
    <row r="320" spans="1:13" x14ac:dyDescent="0.25">
      <c r="A320" t="str">
        <f t="shared" si="71"/>
        <v>E160</v>
      </c>
      <c r="B320">
        <v>1</v>
      </c>
      <c r="C320" t="str">
        <f t="shared" si="72"/>
        <v>10200</v>
      </c>
      <c r="D320" t="str">
        <f t="shared" si="70"/>
        <v>5620</v>
      </c>
      <c r="E320" t="str">
        <f t="shared" si="73"/>
        <v>094OMS</v>
      </c>
      <c r="F320" t="str">
        <f>""</f>
        <v/>
      </c>
      <c r="G320" t="str">
        <f>""</f>
        <v/>
      </c>
      <c r="H320" s="1">
        <v>41913</v>
      </c>
      <c r="I320" t="str">
        <f>"PHY00642"</f>
        <v>PHY00642</v>
      </c>
      <c r="J320" t="str">
        <f>"W0002485"</f>
        <v>W0002485</v>
      </c>
      <c r="K320" t="str">
        <f t="shared" si="74"/>
        <v>AS89</v>
      </c>
      <c r="L320" t="s">
        <v>1830</v>
      </c>
      <c r="M320">
        <v>450.73</v>
      </c>
    </row>
    <row r="321" spans="1:13" x14ac:dyDescent="0.25">
      <c r="A321" t="str">
        <f t="shared" si="71"/>
        <v>E160</v>
      </c>
      <c r="B321">
        <v>1</v>
      </c>
      <c r="C321" t="str">
        <f t="shared" si="72"/>
        <v>10200</v>
      </c>
      <c r="D321" t="str">
        <f t="shared" si="70"/>
        <v>5620</v>
      </c>
      <c r="E321" t="str">
        <f t="shared" si="73"/>
        <v>094OMS</v>
      </c>
      <c r="F321" t="str">
        <f>""</f>
        <v/>
      </c>
      <c r="G321" t="str">
        <f>""</f>
        <v/>
      </c>
      <c r="H321" s="1">
        <v>41944</v>
      </c>
      <c r="I321" t="str">
        <f>"PHY00644"</f>
        <v>PHY00644</v>
      </c>
      <c r="J321" t="str">
        <f>"W0002485"</f>
        <v>W0002485</v>
      </c>
      <c r="K321" t="str">
        <f t="shared" si="74"/>
        <v>AS89</v>
      </c>
      <c r="L321" t="s">
        <v>1830</v>
      </c>
      <c r="M321">
        <v>140.86000000000001</v>
      </c>
    </row>
    <row r="322" spans="1:13" x14ac:dyDescent="0.25">
      <c r="A322" t="str">
        <f t="shared" si="71"/>
        <v>E160</v>
      </c>
      <c r="B322">
        <v>1</v>
      </c>
      <c r="C322" t="str">
        <f t="shared" si="72"/>
        <v>10200</v>
      </c>
      <c r="D322" t="str">
        <f t="shared" si="70"/>
        <v>5620</v>
      </c>
      <c r="E322" t="str">
        <f t="shared" si="73"/>
        <v>094OMS</v>
      </c>
      <c r="F322" t="str">
        <f>""</f>
        <v/>
      </c>
      <c r="G322" t="str">
        <f>""</f>
        <v/>
      </c>
      <c r="H322" s="1">
        <v>41974</v>
      </c>
      <c r="I322" t="str">
        <f>"PHY00646"</f>
        <v>PHY00646</v>
      </c>
      <c r="J322" t="str">
        <f>"W0002485"</f>
        <v>W0002485</v>
      </c>
      <c r="K322" t="str">
        <f t="shared" si="74"/>
        <v>AS89</v>
      </c>
      <c r="L322" t="s">
        <v>1830</v>
      </c>
      <c r="M322">
        <v>119.28</v>
      </c>
    </row>
    <row r="323" spans="1:13" x14ac:dyDescent="0.25">
      <c r="A323" t="str">
        <f t="shared" si="71"/>
        <v>E160</v>
      </c>
      <c r="B323">
        <v>1</v>
      </c>
      <c r="C323" t="str">
        <f t="shared" si="72"/>
        <v>10200</v>
      </c>
      <c r="D323" t="str">
        <f t="shared" si="70"/>
        <v>5620</v>
      </c>
      <c r="E323" t="str">
        <f t="shared" si="73"/>
        <v>094OMS</v>
      </c>
      <c r="F323" t="str">
        <f>""</f>
        <v/>
      </c>
      <c r="G323" t="str">
        <f>""</f>
        <v/>
      </c>
      <c r="H323" s="1">
        <v>41974</v>
      </c>
      <c r="I323" t="str">
        <f>"PHY00646"</f>
        <v>PHY00646</v>
      </c>
      <c r="J323" t="str">
        <f>"W0137142"</f>
        <v>W0137142</v>
      </c>
      <c r="K323" t="str">
        <f t="shared" si="74"/>
        <v>AS89</v>
      </c>
      <c r="L323" t="s">
        <v>2685</v>
      </c>
      <c r="M323">
        <v>175.8</v>
      </c>
    </row>
    <row r="324" spans="1:13" x14ac:dyDescent="0.25">
      <c r="A324" t="str">
        <f t="shared" si="71"/>
        <v>E160</v>
      </c>
      <c r="B324">
        <v>1</v>
      </c>
      <c r="C324" t="str">
        <f t="shared" si="72"/>
        <v>10200</v>
      </c>
      <c r="D324" t="str">
        <f t="shared" si="70"/>
        <v>5620</v>
      </c>
      <c r="E324" t="str">
        <f t="shared" si="73"/>
        <v>094OMS</v>
      </c>
      <c r="F324" t="str">
        <f>""</f>
        <v/>
      </c>
      <c r="G324" t="str">
        <f>""</f>
        <v/>
      </c>
      <c r="H324" s="1">
        <v>41974</v>
      </c>
      <c r="I324" t="str">
        <f>"PHY00646"</f>
        <v>PHY00646</v>
      </c>
      <c r="J324" t="str">
        <f>"W0137144"</f>
        <v>W0137144</v>
      </c>
      <c r="K324" t="str">
        <f t="shared" si="74"/>
        <v>AS89</v>
      </c>
      <c r="L324" t="s">
        <v>2684</v>
      </c>
      <c r="M324">
        <v>338.04</v>
      </c>
    </row>
    <row r="325" spans="1:13" x14ac:dyDescent="0.25">
      <c r="A325" t="str">
        <f t="shared" si="71"/>
        <v>E160</v>
      </c>
      <c r="B325">
        <v>1</v>
      </c>
      <c r="C325" t="str">
        <f t="shared" si="72"/>
        <v>10200</v>
      </c>
      <c r="D325" t="str">
        <f t="shared" si="70"/>
        <v>5620</v>
      </c>
      <c r="E325" t="str">
        <f t="shared" si="73"/>
        <v>094OMS</v>
      </c>
      <c r="F325" t="str">
        <f>""</f>
        <v/>
      </c>
      <c r="G325" t="str">
        <f>""</f>
        <v/>
      </c>
      <c r="H325" s="1">
        <v>41974</v>
      </c>
      <c r="I325" t="str">
        <f>"PHY00646"</f>
        <v>PHY00646</v>
      </c>
      <c r="J325" t="str">
        <f>"W0137580"</f>
        <v>W0137580</v>
      </c>
      <c r="K325" t="str">
        <f t="shared" si="74"/>
        <v>AS89</v>
      </c>
      <c r="L325" t="s">
        <v>2686</v>
      </c>
      <c r="M325">
        <v>892.37</v>
      </c>
    </row>
    <row r="326" spans="1:13" x14ac:dyDescent="0.25">
      <c r="A326" t="str">
        <f t="shared" si="71"/>
        <v>E160</v>
      </c>
      <c r="B326">
        <v>1</v>
      </c>
      <c r="C326" t="str">
        <f t="shared" si="72"/>
        <v>10200</v>
      </c>
      <c r="D326" t="str">
        <f t="shared" si="70"/>
        <v>5620</v>
      </c>
      <c r="E326" t="str">
        <f t="shared" si="73"/>
        <v>094OMS</v>
      </c>
      <c r="F326" t="str">
        <f>""</f>
        <v/>
      </c>
      <c r="G326" t="str">
        <f>""</f>
        <v/>
      </c>
      <c r="H326" s="1">
        <v>42005</v>
      </c>
      <c r="I326" t="str">
        <f>"PHY00648"</f>
        <v>PHY00648</v>
      </c>
      <c r="J326" t="str">
        <f>"W0002485"</f>
        <v>W0002485</v>
      </c>
      <c r="K326" t="str">
        <f t="shared" si="74"/>
        <v>AS89</v>
      </c>
      <c r="L326" t="s">
        <v>1830</v>
      </c>
      <c r="M326">
        <v>309.12</v>
      </c>
    </row>
    <row r="327" spans="1:13" x14ac:dyDescent="0.25">
      <c r="A327" t="str">
        <f t="shared" si="71"/>
        <v>E160</v>
      </c>
      <c r="B327">
        <v>1</v>
      </c>
      <c r="C327" t="str">
        <f t="shared" si="72"/>
        <v>10200</v>
      </c>
      <c r="D327" t="str">
        <f t="shared" si="70"/>
        <v>5620</v>
      </c>
      <c r="E327" t="str">
        <f t="shared" si="73"/>
        <v>094OMS</v>
      </c>
      <c r="F327" t="str">
        <f>""</f>
        <v/>
      </c>
      <c r="G327" t="str">
        <f>""</f>
        <v/>
      </c>
      <c r="H327" s="1">
        <v>42005</v>
      </c>
      <c r="I327" t="str">
        <f>"PHY00648"</f>
        <v>PHY00648</v>
      </c>
      <c r="J327" t="str">
        <f>"W0137142"</f>
        <v>W0137142</v>
      </c>
      <c r="K327" t="str">
        <f t="shared" si="74"/>
        <v>AS89</v>
      </c>
      <c r="L327" t="s">
        <v>2685</v>
      </c>
      <c r="M327">
        <v>390.05</v>
      </c>
    </row>
    <row r="328" spans="1:13" x14ac:dyDescent="0.25">
      <c r="A328" t="str">
        <f t="shared" si="71"/>
        <v>E160</v>
      </c>
      <c r="B328">
        <v>1</v>
      </c>
      <c r="C328" t="str">
        <f t="shared" si="72"/>
        <v>10200</v>
      </c>
      <c r="D328" t="str">
        <f t="shared" si="70"/>
        <v>5620</v>
      </c>
      <c r="E328" t="str">
        <f t="shared" si="73"/>
        <v>094OMS</v>
      </c>
      <c r="F328" t="str">
        <f>""</f>
        <v/>
      </c>
      <c r="G328" t="str">
        <f>""</f>
        <v/>
      </c>
      <c r="H328" s="1">
        <v>42005</v>
      </c>
      <c r="I328" t="str">
        <f>"PHY00648"</f>
        <v>PHY00648</v>
      </c>
      <c r="J328" t="str">
        <f>"W0137144"</f>
        <v>W0137144</v>
      </c>
      <c r="K328" t="str">
        <f t="shared" si="74"/>
        <v>AS89</v>
      </c>
      <c r="L328" t="s">
        <v>2684</v>
      </c>
      <c r="M328">
        <v>281.72000000000003</v>
      </c>
    </row>
    <row r="329" spans="1:13" x14ac:dyDescent="0.25">
      <c r="A329" t="str">
        <f t="shared" si="71"/>
        <v>E160</v>
      </c>
      <c r="B329">
        <v>1</v>
      </c>
      <c r="C329" t="str">
        <f t="shared" si="72"/>
        <v>10200</v>
      </c>
      <c r="D329" t="str">
        <f t="shared" si="70"/>
        <v>5620</v>
      </c>
      <c r="E329" t="str">
        <f t="shared" si="73"/>
        <v>094OMS</v>
      </c>
      <c r="F329" t="str">
        <f>""</f>
        <v/>
      </c>
      <c r="G329" t="str">
        <f>""</f>
        <v/>
      </c>
      <c r="H329" s="1">
        <v>42036</v>
      </c>
      <c r="I329" t="str">
        <f>"PHY00650"</f>
        <v>PHY00650</v>
      </c>
      <c r="J329" t="str">
        <f>"W0036764"</f>
        <v>W0036764</v>
      </c>
      <c r="K329" t="str">
        <f t="shared" si="74"/>
        <v>AS89</v>
      </c>
      <c r="L329" t="s">
        <v>1095</v>
      </c>
      <c r="M329">
        <v>253.54</v>
      </c>
    </row>
    <row r="330" spans="1:13" x14ac:dyDescent="0.25">
      <c r="A330" t="str">
        <f t="shared" si="71"/>
        <v>E160</v>
      </c>
      <c r="B330">
        <v>1</v>
      </c>
      <c r="C330" t="str">
        <f t="shared" si="72"/>
        <v>10200</v>
      </c>
      <c r="D330" t="str">
        <f t="shared" si="70"/>
        <v>5620</v>
      </c>
      <c r="E330" t="str">
        <f t="shared" si="73"/>
        <v>094OMS</v>
      </c>
      <c r="F330" t="str">
        <f>""</f>
        <v/>
      </c>
      <c r="G330" t="str">
        <f>""</f>
        <v/>
      </c>
      <c r="H330" s="1">
        <v>42036</v>
      </c>
      <c r="I330" t="str">
        <f>"PHY00650"</f>
        <v>PHY00650</v>
      </c>
      <c r="J330" t="str">
        <f>"W0137142"</f>
        <v>W0137142</v>
      </c>
      <c r="K330" t="str">
        <f t="shared" si="74"/>
        <v>AS89</v>
      </c>
      <c r="L330" t="s">
        <v>2685</v>
      </c>
      <c r="M330">
        <v>219.19</v>
      </c>
    </row>
    <row r="331" spans="1:13" x14ac:dyDescent="0.25">
      <c r="A331" t="str">
        <f t="shared" si="71"/>
        <v>E160</v>
      </c>
      <c r="B331">
        <v>1</v>
      </c>
      <c r="C331" t="str">
        <f t="shared" si="72"/>
        <v>10200</v>
      </c>
      <c r="D331" t="str">
        <f t="shared" si="70"/>
        <v>5620</v>
      </c>
      <c r="E331" t="str">
        <f t="shared" si="73"/>
        <v>094OMS</v>
      </c>
      <c r="F331" t="str">
        <f>""</f>
        <v/>
      </c>
      <c r="G331" t="str">
        <f>""</f>
        <v/>
      </c>
      <c r="H331" s="1">
        <v>42036</v>
      </c>
      <c r="I331" t="str">
        <f>"PHY00650"</f>
        <v>PHY00650</v>
      </c>
      <c r="J331" t="str">
        <f>"W0137144"</f>
        <v>W0137144</v>
      </c>
      <c r="K331" t="str">
        <f t="shared" si="74"/>
        <v>AS89</v>
      </c>
      <c r="L331" t="s">
        <v>2684</v>
      </c>
      <c r="M331">
        <v>338.05</v>
      </c>
    </row>
    <row r="332" spans="1:13" x14ac:dyDescent="0.25">
      <c r="A332" t="str">
        <f t="shared" si="71"/>
        <v>E160</v>
      </c>
      <c r="B332">
        <v>1</v>
      </c>
      <c r="C332" t="str">
        <f t="shared" si="72"/>
        <v>10200</v>
      </c>
      <c r="D332" t="str">
        <f t="shared" si="70"/>
        <v>5620</v>
      </c>
      <c r="E332" t="str">
        <f t="shared" si="73"/>
        <v>094OMS</v>
      </c>
      <c r="F332" t="str">
        <f>""</f>
        <v/>
      </c>
      <c r="G332" t="str">
        <f>""</f>
        <v/>
      </c>
      <c r="H332" s="1">
        <v>42095</v>
      </c>
      <c r="I332" t="str">
        <f>"PHY00653"</f>
        <v>PHY00653</v>
      </c>
      <c r="J332" t="str">
        <f>"W0036764"</f>
        <v>W0036764</v>
      </c>
      <c r="K332" t="str">
        <f t="shared" si="74"/>
        <v>AS89</v>
      </c>
      <c r="L332" t="s">
        <v>1095</v>
      </c>
      <c r="M332" s="2">
        <v>1164.06</v>
      </c>
    </row>
    <row r="333" spans="1:13" x14ac:dyDescent="0.25">
      <c r="A333" t="str">
        <f t="shared" si="71"/>
        <v>E160</v>
      </c>
      <c r="B333">
        <v>1</v>
      </c>
      <c r="C333" t="str">
        <f t="shared" si="72"/>
        <v>10200</v>
      </c>
      <c r="D333" t="str">
        <f t="shared" si="70"/>
        <v>5620</v>
      </c>
      <c r="E333" t="str">
        <f t="shared" si="73"/>
        <v>094OMS</v>
      </c>
      <c r="F333" t="str">
        <f>""</f>
        <v/>
      </c>
      <c r="G333" t="str">
        <f>""</f>
        <v/>
      </c>
      <c r="H333" s="1">
        <v>42095</v>
      </c>
      <c r="I333" t="str">
        <f>"PHY00653"</f>
        <v>PHY00653</v>
      </c>
      <c r="J333" t="str">
        <f>"W0144483"</f>
        <v>W0144483</v>
      </c>
      <c r="K333" t="str">
        <f t="shared" si="74"/>
        <v>AS89</v>
      </c>
      <c r="L333" t="s">
        <v>2089</v>
      </c>
      <c r="M333">
        <v>160.18</v>
      </c>
    </row>
    <row r="334" spans="1:13" x14ac:dyDescent="0.25">
      <c r="A334" t="str">
        <f t="shared" si="71"/>
        <v>E160</v>
      </c>
      <c r="B334">
        <v>1</v>
      </c>
      <c r="C334" t="str">
        <f t="shared" si="72"/>
        <v>10200</v>
      </c>
      <c r="D334" t="str">
        <f t="shared" si="70"/>
        <v>5620</v>
      </c>
      <c r="E334" t="str">
        <f t="shared" si="73"/>
        <v>094OMS</v>
      </c>
      <c r="F334" t="str">
        <f>""</f>
        <v/>
      </c>
      <c r="G334" t="str">
        <f>""</f>
        <v/>
      </c>
      <c r="H334" s="1">
        <v>42095</v>
      </c>
      <c r="I334" t="str">
        <f>"PHY00653"</f>
        <v>PHY00653</v>
      </c>
      <c r="J334" t="str">
        <f>"W0145540"</f>
        <v>W0145540</v>
      </c>
      <c r="K334" t="str">
        <f t="shared" si="74"/>
        <v>AS89</v>
      </c>
      <c r="L334" t="s">
        <v>2683</v>
      </c>
      <c r="M334">
        <v>140.13999999999999</v>
      </c>
    </row>
    <row r="335" spans="1:13" x14ac:dyDescent="0.25">
      <c r="A335" t="str">
        <f t="shared" si="71"/>
        <v>E160</v>
      </c>
      <c r="B335">
        <v>1</v>
      </c>
      <c r="C335" t="str">
        <f t="shared" si="72"/>
        <v>10200</v>
      </c>
      <c r="D335" t="str">
        <f t="shared" si="70"/>
        <v>5620</v>
      </c>
      <c r="E335" t="str">
        <f t="shared" si="73"/>
        <v>094OMS</v>
      </c>
      <c r="F335" t="str">
        <f>""</f>
        <v/>
      </c>
      <c r="G335" t="str">
        <f>""</f>
        <v/>
      </c>
      <c r="H335" s="1">
        <v>42125</v>
      </c>
      <c r="I335" t="str">
        <f>"PHY00654"</f>
        <v>PHY00654</v>
      </c>
      <c r="J335" t="str">
        <f>"W0141598"</f>
        <v>W0141598</v>
      </c>
      <c r="K335" t="str">
        <f t="shared" si="74"/>
        <v>AS89</v>
      </c>
      <c r="L335" t="s">
        <v>2087</v>
      </c>
      <c r="M335" s="2">
        <v>3360.97</v>
      </c>
    </row>
    <row r="336" spans="1:13" x14ac:dyDescent="0.25">
      <c r="A336" t="str">
        <f t="shared" si="71"/>
        <v>E160</v>
      </c>
      <c r="B336">
        <v>1</v>
      </c>
      <c r="C336" t="str">
        <f t="shared" si="72"/>
        <v>10200</v>
      </c>
      <c r="D336" t="str">
        <f t="shared" si="70"/>
        <v>5620</v>
      </c>
      <c r="E336" t="str">
        <f t="shared" si="73"/>
        <v>094OMS</v>
      </c>
      <c r="F336" t="str">
        <f>""</f>
        <v/>
      </c>
      <c r="G336" t="str">
        <f>""</f>
        <v/>
      </c>
      <c r="H336" s="1">
        <v>42156</v>
      </c>
      <c r="I336" t="str">
        <f>"PHY00655"</f>
        <v>PHY00655</v>
      </c>
      <c r="J336" t="str">
        <f>"W0036764"</f>
        <v>W0036764</v>
      </c>
      <c r="K336" t="str">
        <f t="shared" si="74"/>
        <v>AS89</v>
      </c>
      <c r="L336" t="s">
        <v>1095</v>
      </c>
      <c r="M336">
        <v>127.99</v>
      </c>
    </row>
    <row r="337" spans="1:13" x14ac:dyDescent="0.25">
      <c r="A337" t="str">
        <f t="shared" si="71"/>
        <v>E160</v>
      </c>
      <c r="B337">
        <v>1</v>
      </c>
      <c r="C337" t="str">
        <f t="shared" si="72"/>
        <v>10200</v>
      </c>
      <c r="D337" t="str">
        <f t="shared" si="70"/>
        <v>5620</v>
      </c>
      <c r="E337" t="str">
        <f t="shared" si="73"/>
        <v>094OMS</v>
      </c>
      <c r="F337" t="str">
        <f>""</f>
        <v/>
      </c>
      <c r="G337" t="str">
        <f>""</f>
        <v/>
      </c>
      <c r="H337" s="1">
        <v>42156</v>
      </c>
      <c r="I337" t="str">
        <f>"PHY00655"</f>
        <v>PHY00655</v>
      </c>
      <c r="J337" t="str">
        <f>"W0146655"</f>
        <v>W0146655</v>
      </c>
      <c r="K337" t="str">
        <f t="shared" si="74"/>
        <v>AS89</v>
      </c>
      <c r="L337" t="s">
        <v>2682</v>
      </c>
      <c r="M337">
        <v>694.7</v>
      </c>
    </row>
    <row r="338" spans="1:13" x14ac:dyDescent="0.25">
      <c r="A338" t="str">
        <f t="shared" si="71"/>
        <v>E160</v>
      </c>
      <c r="B338">
        <v>1</v>
      </c>
      <c r="C338" t="str">
        <f>"30210"</f>
        <v>30210</v>
      </c>
      <c r="D338" t="str">
        <f>"5610"</f>
        <v>5610</v>
      </c>
      <c r="E338" t="str">
        <f>"850MPD"</f>
        <v>850MPD</v>
      </c>
      <c r="F338" t="str">
        <f>""</f>
        <v/>
      </c>
      <c r="G338" t="str">
        <f>""</f>
        <v/>
      </c>
      <c r="H338" s="1">
        <v>42095</v>
      </c>
      <c r="I338" t="str">
        <f>"PHY00653"</f>
        <v>PHY00653</v>
      </c>
      <c r="J338" t="str">
        <f>"W0144981"</f>
        <v>W0144981</v>
      </c>
      <c r="K338" t="str">
        <f t="shared" si="74"/>
        <v>AS89</v>
      </c>
      <c r="L338" t="s">
        <v>2681</v>
      </c>
      <c r="M338">
        <v>195.56</v>
      </c>
    </row>
    <row r="339" spans="1:13" x14ac:dyDescent="0.25">
      <c r="A339" t="str">
        <f t="shared" si="71"/>
        <v>E160</v>
      </c>
      <c r="B339">
        <v>1</v>
      </c>
      <c r="C339" t="str">
        <f>"32040"</f>
        <v>32040</v>
      </c>
      <c r="D339" t="str">
        <f>"5610"</f>
        <v>5610</v>
      </c>
      <c r="E339" t="str">
        <f t="shared" ref="E339:E347" si="75">"850LOS"</f>
        <v>850LOS</v>
      </c>
      <c r="F339" t="str">
        <f>""</f>
        <v/>
      </c>
      <c r="G339" t="str">
        <f>""</f>
        <v/>
      </c>
      <c r="H339" s="1">
        <v>41821</v>
      </c>
      <c r="I339" t="str">
        <f>"PHY00635"</f>
        <v>PHY00635</v>
      </c>
      <c r="J339" t="str">
        <f>"W0131746"</f>
        <v>W0131746</v>
      </c>
      <c r="K339" t="str">
        <f t="shared" si="74"/>
        <v>AS89</v>
      </c>
      <c r="L339" t="s">
        <v>2680</v>
      </c>
      <c r="M339">
        <v>100.44</v>
      </c>
    </row>
    <row r="340" spans="1:13" x14ac:dyDescent="0.25">
      <c r="A340" t="str">
        <f t="shared" si="71"/>
        <v>E160</v>
      </c>
      <c r="B340">
        <v>1</v>
      </c>
      <c r="C340" t="str">
        <f>"32040"</f>
        <v>32040</v>
      </c>
      <c r="D340" t="str">
        <f t="shared" ref="D340:D354" si="76">"5620"</f>
        <v>5620</v>
      </c>
      <c r="E340" t="str">
        <f t="shared" si="75"/>
        <v>850LOS</v>
      </c>
      <c r="F340" t="str">
        <f>""</f>
        <v/>
      </c>
      <c r="G340" t="str">
        <f>""</f>
        <v/>
      </c>
      <c r="H340" s="1">
        <v>42064</v>
      </c>
      <c r="I340" t="str">
        <f>"J0013487"</f>
        <v>J0013487</v>
      </c>
      <c r="J340" t="str">
        <f>""</f>
        <v/>
      </c>
      <c r="K340" t="str">
        <f>"J079"</f>
        <v>J079</v>
      </c>
      <c r="L340" t="s">
        <v>2571</v>
      </c>
      <c r="M340">
        <v>100.44</v>
      </c>
    </row>
    <row r="341" spans="1:13" x14ac:dyDescent="0.25">
      <c r="A341" t="str">
        <f t="shared" si="71"/>
        <v>E160</v>
      </c>
      <c r="B341">
        <v>1</v>
      </c>
      <c r="C341" t="str">
        <f t="shared" ref="C341:C372" si="77">"43000"</f>
        <v>43000</v>
      </c>
      <c r="D341" t="str">
        <f t="shared" si="76"/>
        <v>5620</v>
      </c>
      <c r="E341" t="str">
        <f t="shared" si="75"/>
        <v>850LOS</v>
      </c>
      <c r="F341" t="str">
        <f>""</f>
        <v/>
      </c>
      <c r="G341" t="str">
        <f>""</f>
        <v/>
      </c>
      <c r="H341" s="1">
        <v>41883</v>
      </c>
      <c r="I341" t="str">
        <f>"PHY00640"</f>
        <v>PHY00640</v>
      </c>
      <c r="J341" t="str">
        <f>"W0130739"</f>
        <v>W0130739</v>
      </c>
      <c r="K341" t="str">
        <f t="shared" ref="K341:K346" si="78">"AS89"</f>
        <v>AS89</v>
      </c>
      <c r="L341" t="s">
        <v>2679</v>
      </c>
      <c r="M341" s="2">
        <v>3004.18</v>
      </c>
    </row>
    <row r="342" spans="1:13" x14ac:dyDescent="0.25">
      <c r="A342" t="str">
        <f t="shared" si="71"/>
        <v>E160</v>
      </c>
      <c r="B342">
        <v>1</v>
      </c>
      <c r="C342" t="str">
        <f t="shared" si="77"/>
        <v>43000</v>
      </c>
      <c r="D342" t="str">
        <f t="shared" si="76"/>
        <v>5620</v>
      </c>
      <c r="E342" t="str">
        <f t="shared" si="75"/>
        <v>850LOS</v>
      </c>
      <c r="F342" t="str">
        <f>""</f>
        <v/>
      </c>
      <c r="G342" t="str">
        <f>""</f>
        <v/>
      </c>
      <c r="H342" s="1">
        <v>41883</v>
      </c>
      <c r="I342" t="str">
        <f>"PHY00640"</f>
        <v>PHY00640</v>
      </c>
      <c r="J342" t="str">
        <f>"W0134456"</f>
        <v>W0134456</v>
      </c>
      <c r="K342" t="str">
        <f t="shared" si="78"/>
        <v>AS89</v>
      </c>
      <c r="L342" t="s">
        <v>2678</v>
      </c>
      <c r="M342">
        <v>146.66999999999999</v>
      </c>
    </row>
    <row r="343" spans="1:13" x14ac:dyDescent="0.25">
      <c r="A343" t="str">
        <f t="shared" si="71"/>
        <v>E160</v>
      </c>
      <c r="B343">
        <v>1</v>
      </c>
      <c r="C343" t="str">
        <f t="shared" si="77"/>
        <v>43000</v>
      </c>
      <c r="D343" t="str">
        <f t="shared" si="76"/>
        <v>5620</v>
      </c>
      <c r="E343" t="str">
        <f t="shared" si="75"/>
        <v>850LOS</v>
      </c>
      <c r="F343" t="str">
        <f>""</f>
        <v/>
      </c>
      <c r="G343" t="str">
        <f>""</f>
        <v/>
      </c>
      <c r="H343" s="1">
        <v>41913</v>
      </c>
      <c r="I343" t="str">
        <f>"PHY00642"</f>
        <v>PHY00642</v>
      </c>
      <c r="J343" t="str">
        <f>"W0134456"</f>
        <v>W0134456</v>
      </c>
      <c r="K343" t="str">
        <f t="shared" si="78"/>
        <v>AS89</v>
      </c>
      <c r="L343" t="s">
        <v>2678</v>
      </c>
      <c r="M343">
        <v>195.58</v>
      </c>
    </row>
    <row r="344" spans="1:13" x14ac:dyDescent="0.25">
      <c r="A344" t="str">
        <f t="shared" si="71"/>
        <v>E160</v>
      </c>
      <c r="B344">
        <v>1</v>
      </c>
      <c r="C344" t="str">
        <f t="shared" si="77"/>
        <v>43000</v>
      </c>
      <c r="D344" t="str">
        <f t="shared" si="76"/>
        <v>5620</v>
      </c>
      <c r="E344" t="str">
        <f t="shared" si="75"/>
        <v>850LOS</v>
      </c>
      <c r="F344" t="str">
        <f>""</f>
        <v/>
      </c>
      <c r="G344" t="str">
        <f>""</f>
        <v/>
      </c>
      <c r="H344" s="1">
        <v>41944</v>
      </c>
      <c r="I344" t="str">
        <f>"PHY00644"</f>
        <v>PHY00644</v>
      </c>
      <c r="J344" t="str">
        <f>"W0134456"</f>
        <v>W0134456</v>
      </c>
      <c r="K344" t="str">
        <f t="shared" si="78"/>
        <v>AS89</v>
      </c>
      <c r="L344" t="s">
        <v>2678</v>
      </c>
      <c r="M344">
        <v>162.19999999999999</v>
      </c>
    </row>
    <row r="345" spans="1:13" x14ac:dyDescent="0.25">
      <c r="A345" t="str">
        <f t="shared" si="71"/>
        <v>E160</v>
      </c>
      <c r="B345">
        <v>1</v>
      </c>
      <c r="C345" t="str">
        <f t="shared" si="77"/>
        <v>43000</v>
      </c>
      <c r="D345" t="str">
        <f t="shared" si="76"/>
        <v>5620</v>
      </c>
      <c r="E345" t="str">
        <f t="shared" si="75"/>
        <v>850LOS</v>
      </c>
      <c r="F345" t="str">
        <f>""</f>
        <v/>
      </c>
      <c r="G345" t="str">
        <f>""</f>
        <v/>
      </c>
      <c r="H345" s="1">
        <v>41974</v>
      </c>
      <c r="I345" t="str">
        <f>"PHY00646"</f>
        <v>PHY00646</v>
      </c>
      <c r="J345" t="str">
        <f>"W0138382"</f>
        <v>W0138382</v>
      </c>
      <c r="K345" t="str">
        <f t="shared" si="78"/>
        <v>AS89</v>
      </c>
      <c r="L345" t="s">
        <v>2677</v>
      </c>
      <c r="M345" s="2">
        <v>2192.16</v>
      </c>
    </row>
    <row r="346" spans="1:13" x14ac:dyDescent="0.25">
      <c r="A346" t="str">
        <f t="shared" si="71"/>
        <v>E160</v>
      </c>
      <c r="B346">
        <v>1</v>
      </c>
      <c r="C346" t="str">
        <f t="shared" si="77"/>
        <v>43000</v>
      </c>
      <c r="D346" t="str">
        <f t="shared" si="76"/>
        <v>5620</v>
      </c>
      <c r="E346" t="str">
        <f t="shared" si="75"/>
        <v>850LOS</v>
      </c>
      <c r="F346" t="str">
        <f>""</f>
        <v/>
      </c>
      <c r="G346" t="str">
        <f>""</f>
        <v/>
      </c>
      <c r="H346" s="1">
        <v>41974</v>
      </c>
      <c r="I346" t="str">
        <f>"PHY00646"</f>
        <v>PHY00646</v>
      </c>
      <c r="J346" t="str">
        <f>"W0139978"</f>
        <v>W0139978</v>
      </c>
      <c r="K346" t="str">
        <f t="shared" si="78"/>
        <v>AS89</v>
      </c>
      <c r="L346" t="s">
        <v>2676</v>
      </c>
      <c r="M346">
        <v>435.3</v>
      </c>
    </row>
    <row r="347" spans="1:13" x14ac:dyDescent="0.25">
      <c r="A347" t="str">
        <f t="shared" si="71"/>
        <v>E160</v>
      </c>
      <c r="B347">
        <v>1</v>
      </c>
      <c r="C347" t="str">
        <f t="shared" si="77"/>
        <v>43000</v>
      </c>
      <c r="D347" t="str">
        <f t="shared" si="76"/>
        <v>5620</v>
      </c>
      <c r="E347" t="str">
        <f t="shared" si="75"/>
        <v>850LOS</v>
      </c>
      <c r="F347" t="str">
        <f>""</f>
        <v/>
      </c>
      <c r="G347" t="str">
        <f>""</f>
        <v/>
      </c>
      <c r="H347" s="1">
        <v>42064</v>
      </c>
      <c r="I347" t="str">
        <f>"J0013490"</f>
        <v>J0013490</v>
      </c>
      <c r="J347" t="str">
        <f>""</f>
        <v/>
      </c>
      <c r="K347" t="str">
        <f>"J079"</f>
        <v>J079</v>
      </c>
      <c r="L347" t="s">
        <v>2513</v>
      </c>
      <c r="M347" s="2">
        <v>35750.25</v>
      </c>
    </row>
    <row r="348" spans="1:13" x14ac:dyDescent="0.25">
      <c r="A348" t="str">
        <f t="shared" si="71"/>
        <v>E160</v>
      </c>
      <c r="B348">
        <v>1</v>
      </c>
      <c r="C348" t="str">
        <f t="shared" si="77"/>
        <v>43000</v>
      </c>
      <c r="D348" t="str">
        <f t="shared" si="76"/>
        <v>5620</v>
      </c>
      <c r="E348" t="str">
        <f t="shared" ref="E348:E353" si="79">"850PAY"</f>
        <v>850PAY</v>
      </c>
      <c r="F348" t="str">
        <f>""</f>
        <v/>
      </c>
      <c r="G348" t="str">
        <f>""</f>
        <v/>
      </c>
      <c r="H348" s="1">
        <v>41852</v>
      </c>
      <c r="I348" t="str">
        <f>"PHY00638"</f>
        <v>PHY00638</v>
      </c>
      <c r="J348" t="str">
        <f t="shared" ref="J348:J353" si="80">"W0131429"</f>
        <v>W0131429</v>
      </c>
      <c r="K348" t="str">
        <f t="shared" ref="K348:K353" si="81">"AS89"</f>
        <v>AS89</v>
      </c>
      <c r="L348" t="s">
        <v>2674</v>
      </c>
      <c r="M348">
        <v>663.03</v>
      </c>
    </row>
    <row r="349" spans="1:13" x14ac:dyDescent="0.25">
      <c r="A349" t="str">
        <f t="shared" si="71"/>
        <v>E160</v>
      </c>
      <c r="B349">
        <v>1</v>
      </c>
      <c r="C349" t="str">
        <f t="shared" si="77"/>
        <v>43000</v>
      </c>
      <c r="D349" t="str">
        <f t="shared" si="76"/>
        <v>5620</v>
      </c>
      <c r="E349" t="str">
        <f t="shared" si="79"/>
        <v>850PAY</v>
      </c>
      <c r="F349" t="str">
        <f>""</f>
        <v/>
      </c>
      <c r="G349" t="str">
        <f>""</f>
        <v/>
      </c>
      <c r="H349" s="1">
        <v>41974</v>
      </c>
      <c r="I349" t="str">
        <f>"PHY00646"</f>
        <v>PHY00646</v>
      </c>
      <c r="J349" t="str">
        <f t="shared" si="80"/>
        <v>W0131429</v>
      </c>
      <c r="K349" t="str">
        <f t="shared" si="81"/>
        <v>AS89</v>
      </c>
      <c r="L349" t="s">
        <v>2674</v>
      </c>
      <c r="M349" s="2">
        <v>10504.99</v>
      </c>
    </row>
    <row r="350" spans="1:13" x14ac:dyDescent="0.25">
      <c r="A350" t="str">
        <f t="shared" ref="A350:A381" si="82">"E160"</f>
        <v>E160</v>
      </c>
      <c r="B350">
        <v>1</v>
      </c>
      <c r="C350" t="str">
        <f t="shared" si="77"/>
        <v>43000</v>
      </c>
      <c r="D350" t="str">
        <f t="shared" si="76"/>
        <v>5620</v>
      </c>
      <c r="E350" t="str">
        <f t="shared" si="79"/>
        <v>850PAY</v>
      </c>
      <c r="F350" t="str">
        <f>""</f>
        <v/>
      </c>
      <c r="G350" t="str">
        <f>""</f>
        <v/>
      </c>
      <c r="H350" s="1">
        <v>42005</v>
      </c>
      <c r="I350" t="str">
        <f>"PHY00648"</f>
        <v>PHY00648</v>
      </c>
      <c r="J350" t="str">
        <f t="shared" si="80"/>
        <v>W0131429</v>
      </c>
      <c r="K350" t="str">
        <f t="shared" si="81"/>
        <v>AS89</v>
      </c>
      <c r="L350" t="s">
        <v>2674</v>
      </c>
      <c r="M350" s="2">
        <v>4126.63</v>
      </c>
    </row>
    <row r="351" spans="1:13" x14ac:dyDescent="0.25">
      <c r="A351" t="str">
        <f t="shared" si="82"/>
        <v>E160</v>
      </c>
      <c r="B351">
        <v>1</v>
      </c>
      <c r="C351" t="str">
        <f t="shared" si="77"/>
        <v>43000</v>
      </c>
      <c r="D351" t="str">
        <f t="shared" si="76"/>
        <v>5620</v>
      </c>
      <c r="E351" t="str">
        <f t="shared" si="79"/>
        <v>850PAY</v>
      </c>
      <c r="F351" t="str">
        <f>""</f>
        <v/>
      </c>
      <c r="G351" t="str">
        <f>""</f>
        <v/>
      </c>
      <c r="H351" s="1">
        <v>42095</v>
      </c>
      <c r="I351" t="str">
        <f>"PHY00653"</f>
        <v>PHY00653</v>
      </c>
      <c r="J351" t="str">
        <f t="shared" si="80"/>
        <v>W0131429</v>
      </c>
      <c r="K351" t="str">
        <f t="shared" si="81"/>
        <v>AS89</v>
      </c>
      <c r="L351" t="s">
        <v>2674</v>
      </c>
      <c r="M351">
        <v>167.42</v>
      </c>
    </row>
    <row r="352" spans="1:13" x14ac:dyDescent="0.25">
      <c r="A352" t="str">
        <f t="shared" si="82"/>
        <v>E160</v>
      </c>
      <c r="B352">
        <v>1</v>
      </c>
      <c r="C352" t="str">
        <f t="shared" si="77"/>
        <v>43000</v>
      </c>
      <c r="D352" t="str">
        <f t="shared" si="76"/>
        <v>5620</v>
      </c>
      <c r="E352" t="str">
        <f t="shared" si="79"/>
        <v>850PAY</v>
      </c>
      <c r="F352" t="str">
        <f>""</f>
        <v/>
      </c>
      <c r="G352" t="str">
        <f>""</f>
        <v/>
      </c>
      <c r="H352" s="1">
        <v>42095</v>
      </c>
      <c r="I352" t="str">
        <f>"PHY0652A"</f>
        <v>PHY0652A</v>
      </c>
      <c r="J352" t="str">
        <f t="shared" si="80"/>
        <v>W0131429</v>
      </c>
      <c r="K352" t="str">
        <f t="shared" si="81"/>
        <v>AS89</v>
      </c>
      <c r="L352" t="s">
        <v>2675</v>
      </c>
      <c r="M352" s="2">
        <v>11770.2</v>
      </c>
    </row>
    <row r="353" spans="1:13" x14ac:dyDescent="0.25">
      <c r="A353" t="str">
        <f t="shared" si="82"/>
        <v>E160</v>
      </c>
      <c r="B353">
        <v>1</v>
      </c>
      <c r="C353" t="str">
        <f t="shared" si="77"/>
        <v>43000</v>
      </c>
      <c r="D353" t="str">
        <f t="shared" si="76"/>
        <v>5620</v>
      </c>
      <c r="E353" t="str">
        <f t="shared" si="79"/>
        <v>850PAY</v>
      </c>
      <c r="F353" t="str">
        <f>""</f>
        <v/>
      </c>
      <c r="G353" t="str">
        <f>""</f>
        <v/>
      </c>
      <c r="H353" s="1">
        <v>42125</v>
      </c>
      <c r="I353" t="str">
        <f>"PHY00654"</f>
        <v>PHY00654</v>
      </c>
      <c r="J353" t="str">
        <f t="shared" si="80"/>
        <v>W0131429</v>
      </c>
      <c r="K353" t="str">
        <f t="shared" si="81"/>
        <v>AS89</v>
      </c>
      <c r="L353" t="s">
        <v>2674</v>
      </c>
      <c r="M353">
        <v>435.3</v>
      </c>
    </row>
    <row r="354" spans="1:13" x14ac:dyDescent="0.25">
      <c r="A354" t="str">
        <f t="shared" si="82"/>
        <v>E160</v>
      </c>
      <c r="B354">
        <v>1</v>
      </c>
      <c r="C354" t="str">
        <f t="shared" si="77"/>
        <v>43000</v>
      </c>
      <c r="D354" t="str">
        <f t="shared" si="76"/>
        <v>5620</v>
      </c>
      <c r="E354" t="str">
        <f>"850PKE"</f>
        <v>850PKE</v>
      </c>
      <c r="F354" t="str">
        <f>""</f>
        <v/>
      </c>
      <c r="G354" t="str">
        <f>""</f>
        <v/>
      </c>
      <c r="H354" s="1">
        <v>42185</v>
      </c>
      <c r="I354" t="str">
        <f>"J0016407"</f>
        <v>J0016407</v>
      </c>
      <c r="J354" t="str">
        <f>""</f>
        <v/>
      </c>
      <c r="K354" t="str">
        <f>"J079"</f>
        <v>J079</v>
      </c>
      <c r="L354" t="s">
        <v>2510</v>
      </c>
      <c r="M354" s="2">
        <v>4035.22</v>
      </c>
    </row>
    <row r="355" spans="1:13" x14ac:dyDescent="0.25">
      <c r="A355" t="str">
        <f t="shared" si="82"/>
        <v>E160</v>
      </c>
      <c r="B355">
        <v>1</v>
      </c>
      <c r="C355" t="str">
        <f t="shared" si="77"/>
        <v>43000</v>
      </c>
      <c r="D355" t="str">
        <f t="shared" ref="D355:D396" si="83">"5740"</f>
        <v>5740</v>
      </c>
      <c r="E355" t="str">
        <f t="shared" ref="E355:E384" si="84">"850LOS"</f>
        <v>850LOS</v>
      </c>
      <c r="F355" t="str">
        <f>""</f>
        <v/>
      </c>
      <c r="G355" t="str">
        <f>""</f>
        <v/>
      </c>
      <c r="H355" s="1">
        <v>41821</v>
      </c>
      <c r="I355" t="str">
        <f>"PHY00635"</f>
        <v>PHY00635</v>
      </c>
      <c r="J355" t="str">
        <f>"W0120743"</f>
        <v>W0120743</v>
      </c>
      <c r="K355" t="str">
        <f t="shared" ref="K355:K397" si="85">"AS89"</f>
        <v>AS89</v>
      </c>
      <c r="L355" t="s">
        <v>2408</v>
      </c>
      <c r="M355" s="2">
        <v>4507.47</v>
      </c>
    </row>
    <row r="356" spans="1:13" x14ac:dyDescent="0.25">
      <c r="A356" t="str">
        <f t="shared" si="82"/>
        <v>E160</v>
      </c>
      <c r="B356">
        <v>1</v>
      </c>
      <c r="C356" t="str">
        <f t="shared" si="77"/>
        <v>43000</v>
      </c>
      <c r="D356" t="str">
        <f t="shared" si="83"/>
        <v>5740</v>
      </c>
      <c r="E356" t="str">
        <f t="shared" si="84"/>
        <v>850LOS</v>
      </c>
      <c r="F356" t="str">
        <f>""</f>
        <v/>
      </c>
      <c r="G356" t="str">
        <f>""</f>
        <v/>
      </c>
      <c r="H356" s="1">
        <v>41821</v>
      </c>
      <c r="I356" t="str">
        <f>"PHY00635"</f>
        <v>PHY00635</v>
      </c>
      <c r="J356" t="str">
        <f>"W0129810"</f>
        <v>W0129810</v>
      </c>
      <c r="K356" t="str">
        <f t="shared" si="85"/>
        <v>AS89</v>
      </c>
      <c r="L356" t="s">
        <v>2671</v>
      </c>
      <c r="M356" s="2">
        <v>4684.3999999999996</v>
      </c>
    </row>
    <row r="357" spans="1:13" x14ac:dyDescent="0.25">
      <c r="A357" t="str">
        <f t="shared" si="82"/>
        <v>E160</v>
      </c>
      <c r="B357">
        <v>1</v>
      </c>
      <c r="C357" t="str">
        <f t="shared" si="77"/>
        <v>43000</v>
      </c>
      <c r="D357" t="str">
        <f t="shared" si="83"/>
        <v>5740</v>
      </c>
      <c r="E357" t="str">
        <f t="shared" si="84"/>
        <v>850LOS</v>
      </c>
      <c r="F357" t="str">
        <f>""</f>
        <v/>
      </c>
      <c r="G357" t="str">
        <f>""</f>
        <v/>
      </c>
      <c r="H357" s="1">
        <v>41821</v>
      </c>
      <c r="I357" t="str">
        <f>"PHY00635"</f>
        <v>PHY00635</v>
      </c>
      <c r="J357" t="str">
        <f>"W0130797"</f>
        <v>W0130797</v>
      </c>
      <c r="K357" t="str">
        <f t="shared" si="85"/>
        <v>AS89</v>
      </c>
      <c r="L357" t="s">
        <v>2406</v>
      </c>
      <c r="M357">
        <v>833.1</v>
      </c>
    </row>
    <row r="358" spans="1:13" x14ac:dyDescent="0.25">
      <c r="A358" t="str">
        <f t="shared" si="82"/>
        <v>E160</v>
      </c>
      <c r="B358">
        <v>1</v>
      </c>
      <c r="C358" t="str">
        <f t="shared" si="77"/>
        <v>43000</v>
      </c>
      <c r="D358" t="str">
        <f t="shared" si="83"/>
        <v>5740</v>
      </c>
      <c r="E358" t="str">
        <f t="shared" si="84"/>
        <v>850LOS</v>
      </c>
      <c r="F358" t="str">
        <f>""</f>
        <v/>
      </c>
      <c r="G358" t="str">
        <f>""</f>
        <v/>
      </c>
      <c r="H358" s="1">
        <v>41852</v>
      </c>
      <c r="I358" t="str">
        <f t="shared" ref="I358:I364" si="86">"PHY00638"</f>
        <v>PHY00638</v>
      </c>
      <c r="J358" t="str">
        <f>"W0013030"</f>
        <v>W0013030</v>
      </c>
      <c r="K358" t="str">
        <f t="shared" si="85"/>
        <v>AS89</v>
      </c>
      <c r="L358" t="s">
        <v>729</v>
      </c>
      <c r="M358">
        <v>137.02000000000001</v>
      </c>
    </row>
    <row r="359" spans="1:13" x14ac:dyDescent="0.25">
      <c r="A359" t="str">
        <f t="shared" si="82"/>
        <v>E160</v>
      </c>
      <c r="B359">
        <v>1</v>
      </c>
      <c r="C359" t="str">
        <f t="shared" si="77"/>
        <v>43000</v>
      </c>
      <c r="D359" t="str">
        <f t="shared" si="83"/>
        <v>5740</v>
      </c>
      <c r="E359" t="str">
        <f t="shared" si="84"/>
        <v>850LOS</v>
      </c>
      <c r="F359" t="str">
        <f>""</f>
        <v/>
      </c>
      <c r="G359" t="str">
        <f>""</f>
        <v/>
      </c>
      <c r="H359" s="1">
        <v>41852</v>
      </c>
      <c r="I359" t="str">
        <f t="shared" si="86"/>
        <v>PHY00638</v>
      </c>
      <c r="J359" t="str">
        <f>"W0129810"</f>
        <v>W0129810</v>
      </c>
      <c r="K359" t="str">
        <f t="shared" si="85"/>
        <v>AS89</v>
      </c>
      <c r="L359" t="s">
        <v>2671</v>
      </c>
      <c r="M359">
        <v>977.78</v>
      </c>
    </row>
    <row r="360" spans="1:13" x14ac:dyDescent="0.25">
      <c r="A360" t="str">
        <f t="shared" si="82"/>
        <v>E160</v>
      </c>
      <c r="B360">
        <v>1</v>
      </c>
      <c r="C360" t="str">
        <f t="shared" si="77"/>
        <v>43000</v>
      </c>
      <c r="D360" t="str">
        <f t="shared" si="83"/>
        <v>5740</v>
      </c>
      <c r="E360" t="str">
        <f t="shared" si="84"/>
        <v>850LOS</v>
      </c>
      <c r="F360" t="str">
        <f>""</f>
        <v/>
      </c>
      <c r="G360" t="str">
        <f>""</f>
        <v/>
      </c>
      <c r="H360" s="1">
        <v>41852</v>
      </c>
      <c r="I360" t="str">
        <f t="shared" si="86"/>
        <v>PHY00638</v>
      </c>
      <c r="J360" t="str">
        <f>"W0129992"</f>
        <v>W0129992</v>
      </c>
      <c r="K360" t="str">
        <f t="shared" si="85"/>
        <v>AS89</v>
      </c>
      <c r="L360" t="s">
        <v>2673</v>
      </c>
      <c r="M360" s="2">
        <v>2420.0700000000002</v>
      </c>
    </row>
    <row r="361" spans="1:13" x14ac:dyDescent="0.25">
      <c r="A361" t="str">
        <f t="shared" si="82"/>
        <v>E160</v>
      </c>
      <c r="B361">
        <v>1</v>
      </c>
      <c r="C361" t="str">
        <f t="shared" si="77"/>
        <v>43000</v>
      </c>
      <c r="D361" t="str">
        <f t="shared" si="83"/>
        <v>5740</v>
      </c>
      <c r="E361" t="str">
        <f t="shared" si="84"/>
        <v>850LOS</v>
      </c>
      <c r="F361" t="str">
        <f>""</f>
        <v/>
      </c>
      <c r="G361" t="str">
        <f>""</f>
        <v/>
      </c>
      <c r="H361" s="1">
        <v>41852</v>
      </c>
      <c r="I361" t="str">
        <f t="shared" si="86"/>
        <v>PHY00638</v>
      </c>
      <c r="J361" t="str">
        <f>"W0130000"</f>
        <v>W0130000</v>
      </c>
      <c r="K361" t="str">
        <f t="shared" si="85"/>
        <v>AS89</v>
      </c>
      <c r="L361" t="s">
        <v>2672</v>
      </c>
      <c r="M361">
        <v>586.72</v>
      </c>
    </row>
    <row r="362" spans="1:13" x14ac:dyDescent="0.25">
      <c r="A362" t="str">
        <f t="shared" si="82"/>
        <v>E160</v>
      </c>
      <c r="B362">
        <v>1</v>
      </c>
      <c r="C362" t="str">
        <f t="shared" si="77"/>
        <v>43000</v>
      </c>
      <c r="D362" t="str">
        <f t="shared" si="83"/>
        <v>5740</v>
      </c>
      <c r="E362" t="str">
        <f t="shared" si="84"/>
        <v>850LOS</v>
      </c>
      <c r="F362" t="str">
        <f>""</f>
        <v/>
      </c>
      <c r="G362" t="str">
        <f>""</f>
        <v/>
      </c>
      <c r="H362" s="1">
        <v>41852</v>
      </c>
      <c r="I362" t="str">
        <f t="shared" si="86"/>
        <v>PHY00638</v>
      </c>
      <c r="J362" t="str">
        <f>"W0130008"</f>
        <v>W0130008</v>
      </c>
      <c r="K362" t="str">
        <f t="shared" si="85"/>
        <v>AS89</v>
      </c>
      <c r="L362" t="s">
        <v>2669</v>
      </c>
      <c r="M362">
        <v>917.33</v>
      </c>
    </row>
    <row r="363" spans="1:13" x14ac:dyDescent="0.25">
      <c r="A363" t="str">
        <f t="shared" si="82"/>
        <v>E160</v>
      </c>
      <c r="B363">
        <v>1</v>
      </c>
      <c r="C363" t="str">
        <f t="shared" si="77"/>
        <v>43000</v>
      </c>
      <c r="D363" t="str">
        <f t="shared" si="83"/>
        <v>5740</v>
      </c>
      <c r="E363" t="str">
        <f t="shared" si="84"/>
        <v>850LOS</v>
      </c>
      <c r="F363" t="str">
        <f>""</f>
        <v/>
      </c>
      <c r="G363" t="str">
        <f>""</f>
        <v/>
      </c>
      <c r="H363" s="1">
        <v>41852</v>
      </c>
      <c r="I363" t="str">
        <f t="shared" si="86"/>
        <v>PHY00638</v>
      </c>
      <c r="J363" t="str">
        <f>"W0130756"</f>
        <v>W0130756</v>
      </c>
      <c r="K363" t="str">
        <f t="shared" si="85"/>
        <v>AS89</v>
      </c>
      <c r="L363" t="s">
        <v>2419</v>
      </c>
      <c r="M363">
        <v>239.91</v>
      </c>
    </row>
    <row r="364" spans="1:13" x14ac:dyDescent="0.25">
      <c r="A364" t="str">
        <f t="shared" si="82"/>
        <v>E160</v>
      </c>
      <c r="B364">
        <v>1</v>
      </c>
      <c r="C364" t="str">
        <f t="shared" si="77"/>
        <v>43000</v>
      </c>
      <c r="D364" t="str">
        <f t="shared" si="83"/>
        <v>5740</v>
      </c>
      <c r="E364" t="str">
        <f t="shared" si="84"/>
        <v>850LOS</v>
      </c>
      <c r="F364" t="str">
        <f>""</f>
        <v/>
      </c>
      <c r="G364" t="str">
        <f>""</f>
        <v/>
      </c>
      <c r="H364" s="1">
        <v>41852</v>
      </c>
      <c r="I364" t="str">
        <f t="shared" si="86"/>
        <v>PHY00638</v>
      </c>
      <c r="J364" t="str">
        <f>"W0133048"</f>
        <v>W0133048</v>
      </c>
      <c r="K364" t="str">
        <f t="shared" si="85"/>
        <v>AS89</v>
      </c>
      <c r="L364" t="s">
        <v>2414</v>
      </c>
      <c r="M364">
        <v>467.6</v>
      </c>
    </row>
    <row r="365" spans="1:13" x14ac:dyDescent="0.25">
      <c r="A365" t="str">
        <f t="shared" si="82"/>
        <v>E160</v>
      </c>
      <c r="B365">
        <v>1</v>
      </c>
      <c r="C365" t="str">
        <f t="shared" si="77"/>
        <v>43000</v>
      </c>
      <c r="D365" t="str">
        <f t="shared" si="83"/>
        <v>5740</v>
      </c>
      <c r="E365" t="str">
        <f t="shared" si="84"/>
        <v>850LOS</v>
      </c>
      <c r="F365" t="str">
        <f>""</f>
        <v/>
      </c>
      <c r="G365" t="str">
        <f>""</f>
        <v/>
      </c>
      <c r="H365" s="1">
        <v>41883</v>
      </c>
      <c r="I365" t="str">
        <f t="shared" ref="I365:I371" si="87">"PHY00640"</f>
        <v>PHY00640</v>
      </c>
      <c r="J365" t="str">
        <f>"W0129995"</f>
        <v>W0129995</v>
      </c>
      <c r="K365" t="str">
        <f t="shared" si="85"/>
        <v>AS89</v>
      </c>
      <c r="L365" t="s">
        <v>2421</v>
      </c>
      <c r="M365">
        <v>195.56</v>
      </c>
    </row>
    <row r="366" spans="1:13" x14ac:dyDescent="0.25">
      <c r="A366" t="str">
        <f t="shared" si="82"/>
        <v>E160</v>
      </c>
      <c r="B366">
        <v>1</v>
      </c>
      <c r="C366" t="str">
        <f t="shared" si="77"/>
        <v>43000</v>
      </c>
      <c r="D366" t="str">
        <f t="shared" si="83"/>
        <v>5740</v>
      </c>
      <c r="E366" t="str">
        <f t="shared" si="84"/>
        <v>850LOS</v>
      </c>
      <c r="F366" t="str">
        <f>""</f>
        <v/>
      </c>
      <c r="G366" t="str">
        <f>""</f>
        <v/>
      </c>
      <c r="H366" s="1">
        <v>41883</v>
      </c>
      <c r="I366" t="str">
        <f t="shared" si="87"/>
        <v>PHY00640</v>
      </c>
      <c r="J366" t="str">
        <f>"W0129996"</f>
        <v>W0129996</v>
      </c>
      <c r="K366" t="str">
        <f t="shared" si="85"/>
        <v>AS89</v>
      </c>
      <c r="L366" t="s">
        <v>2670</v>
      </c>
      <c r="M366">
        <v>195.56</v>
      </c>
    </row>
    <row r="367" spans="1:13" x14ac:dyDescent="0.25">
      <c r="A367" t="str">
        <f t="shared" si="82"/>
        <v>E160</v>
      </c>
      <c r="B367">
        <v>1</v>
      </c>
      <c r="C367" t="str">
        <f t="shared" si="77"/>
        <v>43000</v>
      </c>
      <c r="D367" t="str">
        <f t="shared" si="83"/>
        <v>5740</v>
      </c>
      <c r="E367" t="str">
        <f t="shared" si="84"/>
        <v>850LOS</v>
      </c>
      <c r="F367" t="str">
        <f>""</f>
        <v/>
      </c>
      <c r="G367" t="str">
        <f>""</f>
        <v/>
      </c>
      <c r="H367" s="1">
        <v>41883</v>
      </c>
      <c r="I367" t="str">
        <f t="shared" si="87"/>
        <v>PHY00640</v>
      </c>
      <c r="J367" t="str">
        <f>"W0130008"</f>
        <v>W0130008</v>
      </c>
      <c r="K367" t="str">
        <f t="shared" si="85"/>
        <v>AS89</v>
      </c>
      <c r="L367" t="s">
        <v>2669</v>
      </c>
      <c r="M367" s="2">
        <v>2535.4899999999998</v>
      </c>
    </row>
    <row r="368" spans="1:13" x14ac:dyDescent="0.25">
      <c r="A368" t="str">
        <f t="shared" si="82"/>
        <v>E160</v>
      </c>
      <c r="B368">
        <v>1</v>
      </c>
      <c r="C368" t="str">
        <f t="shared" si="77"/>
        <v>43000</v>
      </c>
      <c r="D368" t="str">
        <f t="shared" si="83"/>
        <v>5740</v>
      </c>
      <c r="E368" t="str">
        <f t="shared" si="84"/>
        <v>850LOS</v>
      </c>
      <c r="F368" t="str">
        <f>""</f>
        <v/>
      </c>
      <c r="G368" t="str">
        <f>""</f>
        <v/>
      </c>
      <c r="H368" s="1">
        <v>41883</v>
      </c>
      <c r="I368" t="str">
        <f t="shared" si="87"/>
        <v>PHY00640</v>
      </c>
      <c r="J368" t="str">
        <f>"W0130013"</f>
        <v>W0130013</v>
      </c>
      <c r="K368" t="str">
        <f t="shared" si="85"/>
        <v>AS89</v>
      </c>
      <c r="L368" t="s">
        <v>2668</v>
      </c>
      <c r="M368" s="2">
        <v>2782.27</v>
      </c>
    </row>
    <row r="369" spans="1:13" x14ac:dyDescent="0.25">
      <c r="A369" t="str">
        <f t="shared" si="82"/>
        <v>E160</v>
      </c>
      <c r="B369">
        <v>1</v>
      </c>
      <c r="C369" t="str">
        <f t="shared" si="77"/>
        <v>43000</v>
      </c>
      <c r="D369" t="str">
        <f t="shared" si="83"/>
        <v>5740</v>
      </c>
      <c r="E369" t="str">
        <f t="shared" si="84"/>
        <v>850LOS</v>
      </c>
      <c r="F369" t="str">
        <f>""</f>
        <v/>
      </c>
      <c r="G369" t="str">
        <f>""</f>
        <v/>
      </c>
      <c r="H369" s="1">
        <v>41883</v>
      </c>
      <c r="I369" t="str">
        <f t="shared" si="87"/>
        <v>PHY00640</v>
      </c>
      <c r="J369" t="str">
        <f>"W0130076"</f>
        <v>W0130076</v>
      </c>
      <c r="K369" t="str">
        <f t="shared" si="85"/>
        <v>AS89</v>
      </c>
      <c r="L369" t="s">
        <v>2666</v>
      </c>
      <c r="M369" s="2">
        <v>4739.7299999999996</v>
      </c>
    </row>
    <row r="370" spans="1:13" x14ac:dyDescent="0.25">
      <c r="A370" t="str">
        <f t="shared" si="82"/>
        <v>E160</v>
      </c>
      <c r="B370">
        <v>1</v>
      </c>
      <c r="C370" t="str">
        <f t="shared" si="77"/>
        <v>43000</v>
      </c>
      <c r="D370" t="str">
        <f t="shared" si="83"/>
        <v>5740</v>
      </c>
      <c r="E370" t="str">
        <f t="shared" si="84"/>
        <v>850LOS</v>
      </c>
      <c r="F370" t="str">
        <f>""</f>
        <v/>
      </c>
      <c r="G370" t="str">
        <f>""</f>
        <v/>
      </c>
      <c r="H370" s="1">
        <v>41883</v>
      </c>
      <c r="I370" t="str">
        <f t="shared" si="87"/>
        <v>PHY00640</v>
      </c>
      <c r="J370" t="str">
        <f>"W0134351"</f>
        <v>W0134351</v>
      </c>
      <c r="K370" t="str">
        <f t="shared" si="85"/>
        <v>AS89</v>
      </c>
      <c r="L370" t="s">
        <v>2070</v>
      </c>
      <c r="M370">
        <v>290.11</v>
      </c>
    </row>
    <row r="371" spans="1:13" x14ac:dyDescent="0.25">
      <c r="A371" t="str">
        <f t="shared" si="82"/>
        <v>E160</v>
      </c>
      <c r="B371">
        <v>1</v>
      </c>
      <c r="C371" t="str">
        <f t="shared" si="77"/>
        <v>43000</v>
      </c>
      <c r="D371" t="str">
        <f t="shared" si="83"/>
        <v>5740</v>
      </c>
      <c r="E371" t="str">
        <f t="shared" si="84"/>
        <v>850LOS</v>
      </c>
      <c r="F371" t="str">
        <f>""</f>
        <v/>
      </c>
      <c r="G371" t="str">
        <f>""</f>
        <v/>
      </c>
      <c r="H371" s="1">
        <v>41883</v>
      </c>
      <c r="I371" t="str">
        <f t="shared" si="87"/>
        <v>PHY00640</v>
      </c>
      <c r="J371" t="str">
        <f>"W0134356"</f>
        <v>W0134356</v>
      </c>
      <c r="K371" t="str">
        <f t="shared" si="85"/>
        <v>AS89</v>
      </c>
      <c r="L371" t="s">
        <v>2667</v>
      </c>
      <c r="M371">
        <v>633.21</v>
      </c>
    </row>
    <row r="372" spans="1:13" x14ac:dyDescent="0.25">
      <c r="A372" t="str">
        <f t="shared" si="82"/>
        <v>E160</v>
      </c>
      <c r="B372">
        <v>1</v>
      </c>
      <c r="C372" t="str">
        <f t="shared" si="77"/>
        <v>43000</v>
      </c>
      <c r="D372" t="str">
        <f t="shared" si="83"/>
        <v>5740</v>
      </c>
      <c r="E372" t="str">
        <f t="shared" si="84"/>
        <v>850LOS</v>
      </c>
      <c r="F372" t="str">
        <f>""</f>
        <v/>
      </c>
      <c r="G372" t="str">
        <f>""</f>
        <v/>
      </c>
      <c r="H372" s="1">
        <v>41913</v>
      </c>
      <c r="I372" t="str">
        <f>"PHY00642"</f>
        <v>PHY00642</v>
      </c>
      <c r="J372" t="str">
        <f>"W0120743"</f>
        <v>W0120743</v>
      </c>
      <c r="K372" t="str">
        <f t="shared" si="85"/>
        <v>AS89</v>
      </c>
      <c r="L372" t="s">
        <v>2408</v>
      </c>
      <c r="M372" s="2">
        <v>3211.64</v>
      </c>
    </row>
    <row r="373" spans="1:13" x14ac:dyDescent="0.25">
      <c r="A373" t="str">
        <f t="shared" si="82"/>
        <v>E160</v>
      </c>
      <c r="B373">
        <v>1</v>
      </c>
      <c r="C373" t="str">
        <f t="shared" ref="C373:C396" si="88">"43000"</f>
        <v>43000</v>
      </c>
      <c r="D373" t="str">
        <f t="shared" si="83"/>
        <v>5740</v>
      </c>
      <c r="E373" t="str">
        <f t="shared" si="84"/>
        <v>850LOS</v>
      </c>
      <c r="F373" t="str">
        <f>""</f>
        <v/>
      </c>
      <c r="G373" t="str">
        <f>""</f>
        <v/>
      </c>
      <c r="H373" s="1">
        <v>41974</v>
      </c>
      <c r="I373" t="str">
        <f>"PHY00646"</f>
        <v>PHY00646</v>
      </c>
      <c r="J373" t="str">
        <f>"W0120743"</f>
        <v>W0120743</v>
      </c>
      <c r="K373" t="str">
        <f t="shared" si="85"/>
        <v>AS89</v>
      </c>
      <c r="L373" t="s">
        <v>2408</v>
      </c>
      <c r="M373" s="2">
        <v>4198.34</v>
      </c>
    </row>
    <row r="374" spans="1:13" x14ac:dyDescent="0.25">
      <c r="A374" t="str">
        <f t="shared" si="82"/>
        <v>E160</v>
      </c>
      <c r="B374">
        <v>1</v>
      </c>
      <c r="C374" t="str">
        <f t="shared" si="88"/>
        <v>43000</v>
      </c>
      <c r="D374" t="str">
        <f t="shared" si="83"/>
        <v>5740</v>
      </c>
      <c r="E374" t="str">
        <f t="shared" si="84"/>
        <v>850LOS</v>
      </c>
      <c r="F374" t="str">
        <f>""</f>
        <v/>
      </c>
      <c r="G374" t="str">
        <f>""</f>
        <v/>
      </c>
      <c r="H374" s="1">
        <v>42005</v>
      </c>
      <c r="I374" t="str">
        <f>"PHY00648"</f>
        <v>PHY00648</v>
      </c>
      <c r="J374" t="str">
        <f>"W0002219"</f>
        <v>W0002219</v>
      </c>
      <c r="K374" t="str">
        <f t="shared" si="85"/>
        <v>AS89</v>
      </c>
      <c r="L374" t="s">
        <v>724</v>
      </c>
      <c r="M374">
        <v>199.74</v>
      </c>
    </row>
    <row r="375" spans="1:13" x14ac:dyDescent="0.25">
      <c r="A375" t="str">
        <f t="shared" si="82"/>
        <v>E160</v>
      </c>
      <c r="B375">
        <v>1</v>
      </c>
      <c r="C375" t="str">
        <f t="shared" si="88"/>
        <v>43000</v>
      </c>
      <c r="D375" t="str">
        <f t="shared" si="83"/>
        <v>5740</v>
      </c>
      <c r="E375" t="str">
        <f t="shared" si="84"/>
        <v>850LOS</v>
      </c>
      <c r="F375" t="str">
        <f>""</f>
        <v/>
      </c>
      <c r="G375" t="str">
        <f>""</f>
        <v/>
      </c>
      <c r="H375" s="1">
        <v>42005</v>
      </c>
      <c r="I375" t="str">
        <f>"PHY00648"</f>
        <v>PHY00648</v>
      </c>
      <c r="J375" t="str">
        <f>"W0013030"</f>
        <v>W0013030</v>
      </c>
      <c r="K375" t="str">
        <f t="shared" si="85"/>
        <v>AS89</v>
      </c>
      <c r="L375" t="s">
        <v>729</v>
      </c>
      <c r="M375">
        <v>140.87</v>
      </c>
    </row>
    <row r="376" spans="1:13" x14ac:dyDescent="0.25">
      <c r="A376" t="str">
        <f t="shared" si="82"/>
        <v>E160</v>
      </c>
      <c r="B376">
        <v>1</v>
      </c>
      <c r="C376" t="str">
        <f t="shared" si="88"/>
        <v>43000</v>
      </c>
      <c r="D376" t="str">
        <f t="shared" si="83"/>
        <v>5740</v>
      </c>
      <c r="E376" t="str">
        <f t="shared" si="84"/>
        <v>850LOS</v>
      </c>
      <c r="F376" t="str">
        <f>""</f>
        <v/>
      </c>
      <c r="G376" t="str">
        <f>""</f>
        <v/>
      </c>
      <c r="H376" s="1">
        <v>42005</v>
      </c>
      <c r="I376" t="str">
        <f>"PHY00648"</f>
        <v>PHY00648</v>
      </c>
      <c r="J376" t="str">
        <f>"W0130076"</f>
        <v>W0130076</v>
      </c>
      <c r="K376" t="str">
        <f t="shared" si="85"/>
        <v>AS89</v>
      </c>
      <c r="L376" t="s">
        <v>2666</v>
      </c>
      <c r="M376">
        <v>354.22</v>
      </c>
    </row>
    <row r="377" spans="1:13" x14ac:dyDescent="0.25">
      <c r="A377" t="str">
        <f t="shared" si="82"/>
        <v>E160</v>
      </c>
      <c r="B377">
        <v>1</v>
      </c>
      <c r="C377" t="str">
        <f t="shared" si="88"/>
        <v>43000</v>
      </c>
      <c r="D377" t="str">
        <f t="shared" si="83"/>
        <v>5740</v>
      </c>
      <c r="E377" t="str">
        <f t="shared" si="84"/>
        <v>850LOS</v>
      </c>
      <c r="F377" t="str">
        <f>""</f>
        <v/>
      </c>
      <c r="G377" t="str">
        <f>""</f>
        <v/>
      </c>
      <c r="H377" s="1">
        <v>42005</v>
      </c>
      <c r="I377" t="str">
        <f>"PHY00648"</f>
        <v>PHY00648</v>
      </c>
      <c r="J377" t="str">
        <f>"W0140407"</f>
        <v>W0140407</v>
      </c>
      <c r="K377" t="str">
        <f t="shared" si="85"/>
        <v>AS89</v>
      </c>
      <c r="L377" t="s">
        <v>2665</v>
      </c>
      <c r="M377">
        <v>491.16</v>
      </c>
    </row>
    <row r="378" spans="1:13" x14ac:dyDescent="0.25">
      <c r="A378" t="str">
        <f t="shared" si="82"/>
        <v>E160</v>
      </c>
      <c r="B378">
        <v>1</v>
      </c>
      <c r="C378" t="str">
        <f t="shared" si="88"/>
        <v>43000</v>
      </c>
      <c r="D378" t="str">
        <f t="shared" si="83"/>
        <v>5740</v>
      </c>
      <c r="E378" t="str">
        <f t="shared" si="84"/>
        <v>850LOS</v>
      </c>
      <c r="F378" t="str">
        <f>""</f>
        <v/>
      </c>
      <c r="G378" t="str">
        <f>""</f>
        <v/>
      </c>
      <c r="H378" s="1">
        <v>42036</v>
      </c>
      <c r="I378" t="str">
        <f>"PHY00650"</f>
        <v>PHY00650</v>
      </c>
      <c r="J378" t="str">
        <f>"W0013030"</f>
        <v>W0013030</v>
      </c>
      <c r="K378" t="str">
        <f t="shared" si="85"/>
        <v>AS89</v>
      </c>
      <c r="L378" t="s">
        <v>729</v>
      </c>
      <c r="M378">
        <v>338.08</v>
      </c>
    </row>
    <row r="379" spans="1:13" x14ac:dyDescent="0.25">
      <c r="A379" t="str">
        <f t="shared" si="82"/>
        <v>E160</v>
      </c>
      <c r="B379">
        <v>1</v>
      </c>
      <c r="C379" t="str">
        <f t="shared" si="88"/>
        <v>43000</v>
      </c>
      <c r="D379" t="str">
        <f t="shared" si="83"/>
        <v>5740</v>
      </c>
      <c r="E379" t="str">
        <f t="shared" si="84"/>
        <v>850LOS</v>
      </c>
      <c r="F379" t="str">
        <f>""</f>
        <v/>
      </c>
      <c r="G379" t="str">
        <f>""</f>
        <v/>
      </c>
      <c r="H379" s="1">
        <v>42036</v>
      </c>
      <c r="I379" t="str">
        <f>"PHY00650"</f>
        <v>PHY00650</v>
      </c>
      <c r="J379" t="str">
        <f>"W0141149"</f>
        <v>W0141149</v>
      </c>
      <c r="K379" t="str">
        <f t="shared" si="85"/>
        <v>AS89</v>
      </c>
      <c r="L379" t="s">
        <v>2414</v>
      </c>
      <c r="M379">
        <v>280.58999999999997</v>
      </c>
    </row>
    <row r="380" spans="1:13" x14ac:dyDescent="0.25">
      <c r="A380" t="str">
        <f t="shared" si="82"/>
        <v>E160</v>
      </c>
      <c r="B380">
        <v>1</v>
      </c>
      <c r="C380" t="str">
        <f t="shared" si="88"/>
        <v>43000</v>
      </c>
      <c r="D380" t="str">
        <f t="shared" si="83"/>
        <v>5740</v>
      </c>
      <c r="E380" t="str">
        <f t="shared" si="84"/>
        <v>850LOS</v>
      </c>
      <c r="F380" t="str">
        <f>""</f>
        <v/>
      </c>
      <c r="G380" t="str">
        <f>""</f>
        <v/>
      </c>
      <c r="H380" s="1">
        <v>42094</v>
      </c>
      <c r="I380" t="str">
        <f>"PHY0652B"</f>
        <v>PHY0652B</v>
      </c>
      <c r="J380" t="str">
        <f>"W0142092"</f>
        <v>W0142092</v>
      </c>
      <c r="K380" t="str">
        <f t="shared" si="85"/>
        <v>AS89</v>
      </c>
      <c r="L380" t="s">
        <v>2663</v>
      </c>
      <c r="M380">
        <v>354.89</v>
      </c>
    </row>
    <row r="381" spans="1:13" x14ac:dyDescent="0.25">
      <c r="A381" t="str">
        <f t="shared" si="82"/>
        <v>E160</v>
      </c>
      <c r="B381">
        <v>1</v>
      </c>
      <c r="C381" t="str">
        <f t="shared" si="88"/>
        <v>43000</v>
      </c>
      <c r="D381" t="str">
        <f t="shared" si="83"/>
        <v>5740</v>
      </c>
      <c r="E381" t="str">
        <f t="shared" si="84"/>
        <v>850LOS</v>
      </c>
      <c r="F381" t="str">
        <f>""</f>
        <v/>
      </c>
      <c r="G381" t="str">
        <f>""</f>
        <v/>
      </c>
      <c r="H381" s="1">
        <v>42095</v>
      </c>
      <c r="I381" t="str">
        <f>"PHY00652"</f>
        <v>PHY00652</v>
      </c>
      <c r="J381" t="str">
        <f>"W0142092"</f>
        <v>W0142092</v>
      </c>
      <c r="K381" t="str">
        <f t="shared" si="85"/>
        <v>AS89</v>
      </c>
      <c r="L381" t="s">
        <v>2664</v>
      </c>
      <c r="M381">
        <v>354.89</v>
      </c>
    </row>
    <row r="382" spans="1:13" x14ac:dyDescent="0.25">
      <c r="A382" t="str">
        <f t="shared" ref="A382:A396" si="89">"E160"</f>
        <v>E160</v>
      </c>
      <c r="B382">
        <v>1</v>
      </c>
      <c r="C382" t="str">
        <f t="shared" si="88"/>
        <v>43000</v>
      </c>
      <c r="D382" t="str">
        <f t="shared" si="83"/>
        <v>5740</v>
      </c>
      <c r="E382" t="str">
        <f t="shared" si="84"/>
        <v>850LOS</v>
      </c>
      <c r="F382" t="str">
        <f>""</f>
        <v/>
      </c>
      <c r="G382" t="str">
        <f>""</f>
        <v/>
      </c>
      <c r="H382" s="1">
        <v>42095</v>
      </c>
      <c r="I382" t="str">
        <f>"PHY00653"</f>
        <v>PHY00653</v>
      </c>
      <c r="J382" t="str">
        <f>"W0143182"</f>
        <v>W0143182</v>
      </c>
      <c r="K382" t="str">
        <f t="shared" si="85"/>
        <v>AS89</v>
      </c>
      <c r="L382" t="s">
        <v>2076</v>
      </c>
      <c r="M382">
        <v>140.87</v>
      </c>
    </row>
    <row r="383" spans="1:13" x14ac:dyDescent="0.25">
      <c r="A383" t="str">
        <f t="shared" si="89"/>
        <v>E160</v>
      </c>
      <c r="B383">
        <v>1</v>
      </c>
      <c r="C383" t="str">
        <f t="shared" si="88"/>
        <v>43000</v>
      </c>
      <c r="D383" t="str">
        <f t="shared" si="83"/>
        <v>5740</v>
      </c>
      <c r="E383" t="str">
        <f t="shared" si="84"/>
        <v>850LOS</v>
      </c>
      <c r="F383" t="str">
        <f>""</f>
        <v/>
      </c>
      <c r="G383" t="str">
        <f>""</f>
        <v/>
      </c>
      <c r="H383" s="1">
        <v>42125</v>
      </c>
      <c r="I383" t="str">
        <f>"PHY00654"</f>
        <v>PHY00654</v>
      </c>
      <c r="J383" t="str">
        <f>"W0002219"</f>
        <v>W0002219</v>
      </c>
      <c r="K383" t="str">
        <f t="shared" si="85"/>
        <v>AS89</v>
      </c>
      <c r="L383" t="s">
        <v>724</v>
      </c>
      <c r="M383">
        <v>112.7</v>
      </c>
    </row>
    <row r="384" spans="1:13" x14ac:dyDescent="0.25">
      <c r="A384" t="str">
        <f t="shared" si="89"/>
        <v>E160</v>
      </c>
      <c r="B384">
        <v>1</v>
      </c>
      <c r="C384" t="str">
        <f t="shared" si="88"/>
        <v>43000</v>
      </c>
      <c r="D384" t="str">
        <f t="shared" si="83"/>
        <v>5740</v>
      </c>
      <c r="E384" t="str">
        <f t="shared" si="84"/>
        <v>850LOS</v>
      </c>
      <c r="F384" t="str">
        <f>""</f>
        <v/>
      </c>
      <c r="G384" t="str">
        <f>""</f>
        <v/>
      </c>
      <c r="H384" s="1">
        <v>42125</v>
      </c>
      <c r="I384" t="str">
        <f>"PHY00654"</f>
        <v>PHY00654</v>
      </c>
      <c r="J384" t="str">
        <f>"W0147315"</f>
        <v>W0147315</v>
      </c>
      <c r="K384" t="str">
        <f t="shared" si="85"/>
        <v>AS89</v>
      </c>
      <c r="L384" t="s">
        <v>2662</v>
      </c>
      <c r="M384">
        <v>463.79</v>
      </c>
    </row>
    <row r="385" spans="1:13" x14ac:dyDescent="0.25">
      <c r="A385" t="str">
        <f t="shared" si="89"/>
        <v>E160</v>
      </c>
      <c r="B385">
        <v>1</v>
      </c>
      <c r="C385" t="str">
        <f t="shared" si="88"/>
        <v>43000</v>
      </c>
      <c r="D385" t="str">
        <f t="shared" si="83"/>
        <v>5740</v>
      </c>
      <c r="E385" t="str">
        <f t="shared" ref="E385:E396" si="90">"850PKE"</f>
        <v>850PKE</v>
      </c>
      <c r="F385" t="str">
        <f>""</f>
        <v/>
      </c>
      <c r="G385" t="str">
        <f>""</f>
        <v/>
      </c>
      <c r="H385" s="1">
        <v>41883</v>
      </c>
      <c r="I385" t="str">
        <f>"PHY00640"</f>
        <v>PHY00640</v>
      </c>
      <c r="J385" t="str">
        <f>"W0133777"</f>
        <v>W0133777</v>
      </c>
      <c r="K385" t="str">
        <f t="shared" si="85"/>
        <v>AS89</v>
      </c>
      <c r="L385" t="s">
        <v>2065</v>
      </c>
      <c r="M385">
        <v>236.99</v>
      </c>
    </row>
    <row r="386" spans="1:13" x14ac:dyDescent="0.25">
      <c r="A386" t="str">
        <f t="shared" si="89"/>
        <v>E160</v>
      </c>
      <c r="B386">
        <v>1</v>
      </c>
      <c r="C386" t="str">
        <f t="shared" si="88"/>
        <v>43000</v>
      </c>
      <c r="D386" t="str">
        <f t="shared" si="83"/>
        <v>5740</v>
      </c>
      <c r="E386" t="str">
        <f t="shared" si="90"/>
        <v>850PKE</v>
      </c>
      <c r="F386" t="str">
        <f>""</f>
        <v/>
      </c>
      <c r="G386" t="str">
        <f>""</f>
        <v/>
      </c>
      <c r="H386" s="1">
        <v>41974</v>
      </c>
      <c r="I386" t="str">
        <f>"PHY00646"</f>
        <v>PHY00646</v>
      </c>
      <c r="J386" t="str">
        <f>"W0136621"</f>
        <v>W0136621</v>
      </c>
      <c r="K386" t="str">
        <f t="shared" si="85"/>
        <v>AS89</v>
      </c>
      <c r="L386" t="s">
        <v>1819</v>
      </c>
      <c r="M386">
        <v>928.49</v>
      </c>
    </row>
    <row r="387" spans="1:13" x14ac:dyDescent="0.25">
      <c r="A387" t="str">
        <f t="shared" si="89"/>
        <v>E160</v>
      </c>
      <c r="B387">
        <v>1</v>
      </c>
      <c r="C387" t="str">
        <f t="shared" si="88"/>
        <v>43000</v>
      </c>
      <c r="D387" t="str">
        <f t="shared" si="83"/>
        <v>5740</v>
      </c>
      <c r="E387" t="str">
        <f t="shared" si="90"/>
        <v>850PKE</v>
      </c>
      <c r="F387" t="str">
        <f>""</f>
        <v/>
      </c>
      <c r="G387" t="str">
        <f>""</f>
        <v/>
      </c>
      <c r="H387" s="1">
        <v>41974</v>
      </c>
      <c r="I387" t="str">
        <f>"PHY00646"</f>
        <v>PHY00646</v>
      </c>
      <c r="J387" t="str">
        <f>"W0138680"</f>
        <v>W0138680</v>
      </c>
      <c r="K387" t="str">
        <f t="shared" si="85"/>
        <v>AS89</v>
      </c>
      <c r="L387" t="s">
        <v>2660</v>
      </c>
      <c r="M387">
        <v>152.03</v>
      </c>
    </row>
    <row r="388" spans="1:13" x14ac:dyDescent="0.25">
      <c r="A388" t="str">
        <f t="shared" si="89"/>
        <v>E160</v>
      </c>
      <c r="B388">
        <v>1</v>
      </c>
      <c r="C388" t="str">
        <f t="shared" si="88"/>
        <v>43000</v>
      </c>
      <c r="D388" t="str">
        <f t="shared" si="83"/>
        <v>5740</v>
      </c>
      <c r="E388" t="str">
        <f t="shared" si="90"/>
        <v>850PKE</v>
      </c>
      <c r="F388" t="str">
        <f>""</f>
        <v/>
      </c>
      <c r="G388" t="str">
        <f>""</f>
        <v/>
      </c>
      <c r="H388" s="1">
        <v>42005</v>
      </c>
      <c r="I388" t="str">
        <f>"PHY00648"</f>
        <v>PHY00648</v>
      </c>
      <c r="J388" t="str">
        <f>"W0002153"</f>
        <v>W0002153</v>
      </c>
      <c r="K388" t="str">
        <f t="shared" si="85"/>
        <v>AS89</v>
      </c>
      <c r="L388" t="s">
        <v>719</v>
      </c>
      <c r="M388">
        <v>366.01</v>
      </c>
    </row>
    <row r="389" spans="1:13" x14ac:dyDescent="0.25">
      <c r="A389" t="str">
        <f t="shared" si="89"/>
        <v>E160</v>
      </c>
      <c r="B389">
        <v>1</v>
      </c>
      <c r="C389" t="str">
        <f t="shared" si="88"/>
        <v>43000</v>
      </c>
      <c r="D389" t="str">
        <f t="shared" si="83"/>
        <v>5740</v>
      </c>
      <c r="E389" t="str">
        <f t="shared" si="90"/>
        <v>850PKE</v>
      </c>
      <c r="F389" t="str">
        <f>""</f>
        <v/>
      </c>
      <c r="G389" t="str">
        <f>""</f>
        <v/>
      </c>
      <c r="H389" s="1">
        <v>42005</v>
      </c>
      <c r="I389" t="str">
        <f>"PHY00648"</f>
        <v>PHY00648</v>
      </c>
      <c r="J389" t="str">
        <f>"W0138680"</f>
        <v>W0138680</v>
      </c>
      <c r="K389" t="str">
        <f t="shared" si="85"/>
        <v>AS89</v>
      </c>
      <c r="L389" t="s">
        <v>2660</v>
      </c>
      <c r="M389">
        <v>262.62</v>
      </c>
    </row>
    <row r="390" spans="1:13" x14ac:dyDescent="0.25">
      <c r="A390" t="str">
        <f t="shared" si="89"/>
        <v>E160</v>
      </c>
      <c r="B390">
        <v>1</v>
      </c>
      <c r="C390" t="str">
        <f t="shared" si="88"/>
        <v>43000</v>
      </c>
      <c r="D390" t="str">
        <f t="shared" si="83"/>
        <v>5740</v>
      </c>
      <c r="E390" t="str">
        <f t="shared" si="90"/>
        <v>850PKE</v>
      </c>
      <c r="F390" t="str">
        <f>""</f>
        <v/>
      </c>
      <c r="G390" t="str">
        <f>""</f>
        <v/>
      </c>
      <c r="H390" s="1">
        <v>42005</v>
      </c>
      <c r="I390" t="str">
        <f>"PHY00648"</f>
        <v>PHY00648</v>
      </c>
      <c r="J390" t="str">
        <f>"W0139806"</f>
        <v>W0139806</v>
      </c>
      <c r="K390" t="str">
        <f t="shared" si="85"/>
        <v>AS89</v>
      </c>
      <c r="L390" t="s">
        <v>2661</v>
      </c>
      <c r="M390">
        <v>438.86</v>
      </c>
    </row>
    <row r="391" spans="1:13" x14ac:dyDescent="0.25">
      <c r="A391" t="str">
        <f t="shared" si="89"/>
        <v>E160</v>
      </c>
      <c r="B391">
        <v>1</v>
      </c>
      <c r="C391" t="str">
        <f t="shared" si="88"/>
        <v>43000</v>
      </c>
      <c r="D391" t="str">
        <f t="shared" si="83"/>
        <v>5740</v>
      </c>
      <c r="E391" t="str">
        <f t="shared" si="90"/>
        <v>850PKE</v>
      </c>
      <c r="F391" t="str">
        <f>""</f>
        <v/>
      </c>
      <c r="G391" t="str">
        <f>""</f>
        <v/>
      </c>
      <c r="H391" s="1">
        <v>42036</v>
      </c>
      <c r="I391" t="str">
        <f>"PHY00650"</f>
        <v>PHY00650</v>
      </c>
      <c r="J391" t="str">
        <f>"W0002153"</f>
        <v>W0002153</v>
      </c>
      <c r="K391" t="str">
        <f t="shared" si="85"/>
        <v>AS89</v>
      </c>
      <c r="L391" t="s">
        <v>719</v>
      </c>
      <c r="M391">
        <v>352.86</v>
      </c>
    </row>
    <row r="392" spans="1:13" x14ac:dyDescent="0.25">
      <c r="A392" t="str">
        <f t="shared" si="89"/>
        <v>E160</v>
      </c>
      <c r="B392">
        <v>1</v>
      </c>
      <c r="C392" t="str">
        <f t="shared" si="88"/>
        <v>43000</v>
      </c>
      <c r="D392" t="str">
        <f t="shared" si="83"/>
        <v>5740</v>
      </c>
      <c r="E392" t="str">
        <f t="shared" si="90"/>
        <v>850PKE</v>
      </c>
      <c r="F392" t="str">
        <f>""</f>
        <v/>
      </c>
      <c r="G392" t="str">
        <f>""</f>
        <v/>
      </c>
      <c r="H392" s="1">
        <v>42036</v>
      </c>
      <c r="I392" t="str">
        <f>"PHY00650"</f>
        <v>PHY00650</v>
      </c>
      <c r="J392" t="str">
        <f>"W0138680"</f>
        <v>W0138680</v>
      </c>
      <c r="K392" t="str">
        <f t="shared" si="85"/>
        <v>AS89</v>
      </c>
      <c r="L392" t="s">
        <v>2660</v>
      </c>
      <c r="M392" s="2">
        <v>1103.24</v>
      </c>
    </row>
    <row r="393" spans="1:13" x14ac:dyDescent="0.25">
      <c r="A393" t="str">
        <f t="shared" si="89"/>
        <v>E160</v>
      </c>
      <c r="B393">
        <v>1</v>
      </c>
      <c r="C393" t="str">
        <f t="shared" si="88"/>
        <v>43000</v>
      </c>
      <c r="D393" t="str">
        <f t="shared" si="83"/>
        <v>5740</v>
      </c>
      <c r="E393" t="str">
        <f t="shared" si="90"/>
        <v>850PKE</v>
      </c>
      <c r="F393" t="str">
        <f>""</f>
        <v/>
      </c>
      <c r="G393" t="str">
        <f>""</f>
        <v/>
      </c>
      <c r="H393" s="1">
        <v>42094</v>
      </c>
      <c r="I393" t="str">
        <f>"PHY0652B"</f>
        <v>PHY0652B</v>
      </c>
      <c r="J393" t="str">
        <f>"W0140205"</f>
        <v>W0140205</v>
      </c>
      <c r="K393" t="str">
        <f t="shared" si="85"/>
        <v>AS89</v>
      </c>
      <c r="L393" t="s">
        <v>2657</v>
      </c>
      <c r="M393">
        <v>339.06</v>
      </c>
    </row>
    <row r="394" spans="1:13" x14ac:dyDescent="0.25">
      <c r="A394" t="str">
        <f t="shared" si="89"/>
        <v>E160</v>
      </c>
      <c r="B394">
        <v>1</v>
      </c>
      <c r="C394" t="str">
        <f t="shared" si="88"/>
        <v>43000</v>
      </c>
      <c r="D394" t="str">
        <f t="shared" si="83"/>
        <v>5740</v>
      </c>
      <c r="E394" t="str">
        <f t="shared" si="90"/>
        <v>850PKE</v>
      </c>
      <c r="F394" t="str">
        <f>""</f>
        <v/>
      </c>
      <c r="G394" t="str">
        <f>""</f>
        <v/>
      </c>
      <c r="H394" s="1">
        <v>42095</v>
      </c>
      <c r="I394" t="str">
        <f>"PHY00652"</f>
        <v>PHY00652</v>
      </c>
      <c r="J394" t="str">
        <f>"W0140205"</f>
        <v>W0140205</v>
      </c>
      <c r="K394" t="str">
        <f t="shared" si="85"/>
        <v>AS89</v>
      </c>
      <c r="L394" t="s">
        <v>2659</v>
      </c>
      <c r="M394">
        <v>339.06</v>
      </c>
    </row>
    <row r="395" spans="1:13" x14ac:dyDescent="0.25">
      <c r="A395" t="str">
        <f t="shared" si="89"/>
        <v>E160</v>
      </c>
      <c r="B395">
        <v>1</v>
      </c>
      <c r="C395" t="str">
        <f t="shared" si="88"/>
        <v>43000</v>
      </c>
      <c r="D395" t="str">
        <f t="shared" si="83"/>
        <v>5740</v>
      </c>
      <c r="E395" t="str">
        <f t="shared" si="90"/>
        <v>850PKE</v>
      </c>
      <c r="F395" t="str">
        <f>""</f>
        <v/>
      </c>
      <c r="G395" t="str">
        <f>""</f>
        <v/>
      </c>
      <c r="H395" s="1">
        <v>42095</v>
      </c>
      <c r="I395" t="str">
        <f>"PHY00653"</f>
        <v>PHY00653</v>
      </c>
      <c r="J395" t="str">
        <f>"W0077238"</f>
        <v>W0077238</v>
      </c>
      <c r="K395" t="str">
        <f t="shared" si="85"/>
        <v>AS89</v>
      </c>
      <c r="L395" t="s">
        <v>1585</v>
      </c>
      <c r="M395">
        <v>120.56</v>
      </c>
    </row>
    <row r="396" spans="1:13" x14ac:dyDescent="0.25">
      <c r="A396" t="str">
        <f t="shared" si="89"/>
        <v>E160</v>
      </c>
      <c r="B396">
        <v>1</v>
      </c>
      <c r="C396" t="str">
        <f t="shared" si="88"/>
        <v>43000</v>
      </c>
      <c r="D396" t="str">
        <f t="shared" si="83"/>
        <v>5740</v>
      </c>
      <c r="E396" t="str">
        <f t="shared" si="90"/>
        <v>850PKE</v>
      </c>
      <c r="F396" t="str">
        <f>""</f>
        <v/>
      </c>
      <c r="G396" t="str">
        <f>""</f>
        <v/>
      </c>
      <c r="H396" s="1">
        <v>42095</v>
      </c>
      <c r="I396" t="str">
        <f>"PHY00653"</f>
        <v>PHY00653</v>
      </c>
      <c r="J396" t="str">
        <f>"W0138680"</f>
        <v>W0138680</v>
      </c>
      <c r="K396" t="str">
        <f t="shared" si="85"/>
        <v>AS89</v>
      </c>
      <c r="L396" t="s">
        <v>2658</v>
      </c>
      <c r="M396">
        <v>323.93</v>
      </c>
    </row>
    <row r="397" spans="1:13" x14ac:dyDescent="0.25">
      <c r="A397" t="str">
        <f t="shared" ref="A397:A405" si="91">"E162"</f>
        <v>E162</v>
      </c>
      <c r="B397">
        <v>1</v>
      </c>
      <c r="C397" t="str">
        <f>"10200"</f>
        <v>10200</v>
      </c>
      <c r="D397" t="str">
        <f t="shared" ref="D397:D403" si="92">"5620"</f>
        <v>5620</v>
      </c>
      <c r="E397" t="str">
        <f>"094OMS"</f>
        <v>094OMS</v>
      </c>
      <c r="F397" t="str">
        <f>""</f>
        <v/>
      </c>
      <c r="G397" t="str">
        <f>""</f>
        <v/>
      </c>
      <c r="H397" s="1">
        <v>42004</v>
      </c>
      <c r="I397" t="str">
        <f>"PCD00700"</f>
        <v>PCD00700</v>
      </c>
      <c r="J397" t="str">
        <f>""</f>
        <v/>
      </c>
      <c r="K397" t="str">
        <f t="shared" si="85"/>
        <v>AS89</v>
      </c>
      <c r="L397" t="s">
        <v>2656</v>
      </c>
      <c r="M397">
        <v>873.95</v>
      </c>
    </row>
    <row r="398" spans="1:13" x14ac:dyDescent="0.25">
      <c r="A398" t="str">
        <f t="shared" si="91"/>
        <v>E162</v>
      </c>
      <c r="B398">
        <v>1</v>
      </c>
      <c r="C398" t="str">
        <f>"10200"</f>
        <v>10200</v>
      </c>
      <c r="D398" t="str">
        <f t="shared" si="92"/>
        <v>5620</v>
      </c>
      <c r="E398" t="str">
        <f>"094OMS"</f>
        <v>094OMS</v>
      </c>
      <c r="F398" t="str">
        <f>""</f>
        <v/>
      </c>
      <c r="G398" t="str">
        <f>""</f>
        <v/>
      </c>
      <c r="H398" s="1">
        <v>42027</v>
      </c>
      <c r="I398" t="str">
        <f>"222512"</f>
        <v>222512</v>
      </c>
      <c r="J398" t="str">
        <f>""</f>
        <v/>
      </c>
      <c r="K398" t="str">
        <f>"INNI"</f>
        <v>INNI</v>
      </c>
      <c r="L398" t="s">
        <v>2424</v>
      </c>
      <c r="M398" s="2">
        <v>4138.62</v>
      </c>
    </row>
    <row r="399" spans="1:13" x14ac:dyDescent="0.25">
      <c r="A399" t="str">
        <f t="shared" si="91"/>
        <v>E162</v>
      </c>
      <c r="B399">
        <v>1</v>
      </c>
      <c r="C399" t="str">
        <f>"23275"</f>
        <v>23275</v>
      </c>
      <c r="D399" t="str">
        <f t="shared" si="92"/>
        <v>5620</v>
      </c>
      <c r="E399" t="str">
        <f>"063STF"</f>
        <v>063STF</v>
      </c>
      <c r="F399" t="str">
        <f>""</f>
        <v/>
      </c>
      <c r="G399" t="str">
        <f>""</f>
        <v/>
      </c>
      <c r="H399" s="1">
        <v>41950</v>
      </c>
      <c r="I399" t="str">
        <f>"PCD00692"</f>
        <v>PCD00692</v>
      </c>
      <c r="J399" t="str">
        <f>""</f>
        <v/>
      </c>
      <c r="K399" t="str">
        <f>"AS89"</f>
        <v>AS89</v>
      </c>
      <c r="L399" t="s">
        <v>2655</v>
      </c>
      <c r="M399">
        <v>302.73</v>
      </c>
    </row>
    <row r="400" spans="1:13" x14ac:dyDescent="0.25">
      <c r="A400" t="str">
        <f t="shared" si="91"/>
        <v>E162</v>
      </c>
      <c r="B400">
        <v>1</v>
      </c>
      <c r="C400" t="str">
        <f t="shared" ref="C400:C405" si="93">"43000"</f>
        <v>43000</v>
      </c>
      <c r="D400" t="str">
        <f t="shared" si="92"/>
        <v>5620</v>
      </c>
      <c r="E400" t="str">
        <f>"850LOS"</f>
        <v>850LOS</v>
      </c>
      <c r="F400" t="str">
        <f>""</f>
        <v/>
      </c>
      <c r="G400" t="str">
        <f>""</f>
        <v/>
      </c>
      <c r="H400" s="1">
        <v>41936</v>
      </c>
      <c r="I400" t="str">
        <f>"PCD00689"</f>
        <v>PCD00689</v>
      </c>
      <c r="J400" t="str">
        <f>""</f>
        <v/>
      </c>
      <c r="K400" t="str">
        <f>"AS89"</f>
        <v>AS89</v>
      </c>
      <c r="L400" t="s">
        <v>2654</v>
      </c>
      <c r="M400">
        <v>461.06</v>
      </c>
    </row>
    <row r="401" spans="1:13" x14ac:dyDescent="0.25">
      <c r="A401" t="str">
        <f t="shared" si="91"/>
        <v>E162</v>
      </c>
      <c r="B401">
        <v>1</v>
      </c>
      <c r="C401" t="str">
        <f t="shared" si="93"/>
        <v>43000</v>
      </c>
      <c r="D401" t="str">
        <f t="shared" si="92"/>
        <v>5620</v>
      </c>
      <c r="E401" t="str">
        <f>"850LOS"</f>
        <v>850LOS</v>
      </c>
      <c r="F401" t="str">
        <f>""</f>
        <v/>
      </c>
      <c r="G401" t="str">
        <f>""</f>
        <v/>
      </c>
      <c r="H401" s="1">
        <v>42064</v>
      </c>
      <c r="I401" t="str">
        <f>"J0013490"</f>
        <v>J0013490</v>
      </c>
      <c r="J401" t="str">
        <f>""</f>
        <v/>
      </c>
      <c r="K401" t="str">
        <f>"J079"</f>
        <v>J079</v>
      </c>
      <c r="L401" t="s">
        <v>2513</v>
      </c>
      <c r="M401" s="2">
        <v>1800</v>
      </c>
    </row>
    <row r="402" spans="1:13" x14ac:dyDescent="0.25">
      <c r="A402" t="str">
        <f t="shared" si="91"/>
        <v>E162</v>
      </c>
      <c r="B402">
        <v>1</v>
      </c>
      <c r="C402" t="str">
        <f t="shared" si="93"/>
        <v>43000</v>
      </c>
      <c r="D402" t="str">
        <f t="shared" si="92"/>
        <v>5620</v>
      </c>
      <c r="E402" t="str">
        <f>"850LOS"</f>
        <v>850LOS</v>
      </c>
      <c r="F402" t="str">
        <f>""</f>
        <v/>
      </c>
      <c r="G402" t="str">
        <f>""</f>
        <v/>
      </c>
      <c r="H402" s="1">
        <v>42081</v>
      </c>
      <c r="I402" t="str">
        <f>"2209747"</f>
        <v>2209747</v>
      </c>
      <c r="J402" t="str">
        <f>""</f>
        <v/>
      </c>
      <c r="K402" t="str">
        <f>"INNI"</f>
        <v>INNI</v>
      </c>
      <c r="L402" t="s">
        <v>229</v>
      </c>
      <c r="M402">
        <v>331.82</v>
      </c>
    </row>
    <row r="403" spans="1:13" x14ac:dyDescent="0.25">
      <c r="A403" t="str">
        <f t="shared" si="91"/>
        <v>E162</v>
      </c>
      <c r="B403">
        <v>1</v>
      </c>
      <c r="C403" t="str">
        <f t="shared" si="93"/>
        <v>43000</v>
      </c>
      <c r="D403" t="str">
        <f t="shared" si="92"/>
        <v>5620</v>
      </c>
      <c r="E403" t="str">
        <f>"850PKE"</f>
        <v>850PKE</v>
      </c>
      <c r="F403" t="str">
        <f>""</f>
        <v/>
      </c>
      <c r="G403" t="str">
        <f>""</f>
        <v/>
      </c>
      <c r="H403" s="1">
        <v>42004</v>
      </c>
      <c r="I403" t="str">
        <f>"PCD00700"</f>
        <v>PCD00700</v>
      </c>
      <c r="J403" t="str">
        <f>""</f>
        <v/>
      </c>
      <c r="K403" t="str">
        <f t="shared" ref="K403:K408" si="94">"AS89"</f>
        <v>AS89</v>
      </c>
      <c r="L403" t="s">
        <v>2653</v>
      </c>
      <c r="M403">
        <v>393.99</v>
      </c>
    </row>
    <row r="404" spans="1:13" x14ac:dyDescent="0.25">
      <c r="A404" t="str">
        <f t="shared" si="91"/>
        <v>E162</v>
      </c>
      <c r="B404">
        <v>1</v>
      </c>
      <c r="C404" t="str">
        <f t="shared" si="93"/>
        <v>43000</v>
      </c>
      <c r="D404" t="str">
        <f>"5740"</f>
        <v>5740</v>
      </c>
      <c r="E404" t="str">
        <f>"850LOS"</f>
        <v>850LOS</v>
      </c>
      <c r="F404" t="str">
        <f>""</f>
        <v/>
      </c>
      <c r="G404" t="str">
        <f>""</f>
        <v/>
      </c>
      <c r="H404" s="1">
        <v>41926</v>
      </c>
      <c r="I404" t="str">
        <f>"ADM00007"</f>
        <v>ADM00007</v>
      </c>
      <c r="J404" t="str">
        <f>""</f>
        <v/>
      </c>
      <c r="K404" t="str">
        <f t="shared" si="94"/>
        <v>AS89</v>
      </c>
      <c r="L404" t="s">
        <v>1352</v>
      </c>
      <c r="M404">
        <v>900</v>
      </c>
    </row>
    <row r="405" spans="1:13" x14ac:dyDescent="0.25">
      <c r="A405" t="str">
        <f t="shared" si="91"/>
        <v>E162</v>
      </c>
      <c r="B405">
        <v>1</v>
      </c>
      <c r="C405" t="str">
        <f t="shared" si="93"/>
        <v>43000</v>
      </c>
      <c r="D405" t="str">
        <f>"5740"</f>
        <v>5740</v>
      </c>
      <c r="E405" t="str">
        <f>"850LOS"</f>
        <v>850LOS</v>
      </c>
      <c r="F405" t="str">
        <f>""</f>
        <v/>
      </c>
      <c r="G405" t="str">
        <f>""</f>
        <v/>
      </c>
      <c r="H405" s="1">
        <v>42009</v>
      </c>
      <c r="I405" t="str">
        <f>"ADM00008"</f>
        <v>ADM00008</v>
      </c>
      <c r="J405" t="str">
        <f>""</f>
        <v/>
      </c>
      <c r="K405" t="str">
        <f t="shared" si="94"/>
        <v>AS89</v>
      </c>
      <c r="L405" t="s">
        <v>1352</v>
      </c>
      <c r="M405">
        <v>900</v>
      </c>
    </row>
    <row r="406" spans="1:13" x14ac:dyDescent="0.25">
      <c r="A406" t="str">
        <f t="shared" ref="A406:A411" si="95">"E163"</f>
        <v>E163</v>
      </c>
      <c r="B406">
        <v>1</v>
      </c>
      <c r="C406" t="str">
        <f>"10200"</f>
        <v>10200</v>
      </c>
      <c r="D406" t="str">
        <f>"5620"</f>
        <v>5620</v>
      </c>
      <c r="E406" t="str">
        <f>"094OMS"</f>
        <v>094OMS</v>
      </c>
      <c r="F406" t="str">
        <f>""</f>
        <v/>
      </c>
      <c r="G406" t="str">
        <f>""</f>
        <v/>
      </c>
      <c r="H406" s="1">
        <v>41936</v>
      </c>
      <c r="I406" t="str">
        <f>"PCD00689"</f>
        <v>PCD00689</v>
      </c>
      <c r="J406" t="str">
        <f>""</f>
        <v/>
      </c>
      <c r="K406" t="str">
        <f t="shared" si="94"/>
        <v>AS89</v>
      </c>
      <c r="L406" t="s">
        <v>2652</v>
      </c>
      <c r="M406">
        <v>150.94</v>
      </c>
    </row>
    <row r="407" spans="1:13" x14ac:dyDescent="0.25">
      <c r="A407" t="str">
        <f t="shared" si="95"/>
        <v>E163</v>
      </c>
      <c r="B407">
        <v>1</v>
      </c>
      <c r="C407" t="str">
        <f>"10200"</f>
        <v>10200</v>
      </c>
      <c r="D407" t="str">
        <f>"5620"</f>
        <v>5620</v>
      </c>
      <c r="E407" t="str">
        <f>"094OMS"</f>
        <v>094OMS</v>
      </c>
      <c r="F407" t="str">
        <f>""</f>
        <v/>
      </c>
      <c r="G407" t="str">
        <f>""</f>
        <v/>
      </c>
      <c r="H407" s="1">
        <v>42035</v>
      </c>
      <c r="I407" t="str">
        <f>"PCD00705"</f>
        <v>PCD00705</v>
      </c>
      <c r="J407" t="str">
        <f>""</f>
        <v/>
      </c>
      <c r="K407" t="str">
        <f t="shared" si="94"/>
        <v>AS89</v>
      </c>
      <c r="L407" t="s">
        <v>2651</v>
      </c>
      <c r="M407">
        <v>182.82</v>
      </c>
    </row>
    <row r="408" spans="1:13" x14ac:dyDescent="0.25">
      <c r="A408" t="str">
        <f t="shared" si="95"/>
        <v>E163</v>
      </c>
      <c r="B408">
        <v>1</v>
      </c>
      <c r="C408" t="str">
        <f>"23275"</f>
        <v>23275</v>
      </c>
      <c r="D408" t="str">
        <f>"5620"</f>
        <v>5620</v>
      </c>
      <c r="E408" t="str">
        <f>"063STF"</f>
        <v>063STF</v>
      </c>
      <c r="F408" t="str">
        <f>""</f>
        <v/>
      </c>
      <c r="G408" t="str">
        <f>""</f>
        <v/>
      </c>
      <c r="H408" s="1">
        <v>41882</v>
      </c>
      <c r="I408" t="str">
        <f>"PCD00680"</f>
        <v>PCD00680</v>
      </c>
      <c r="J408" t="str">
        <f>""</f>
        <v/>
      </c>
      <c r="K408" t="str">
        <f t="shared" si="94"/>
        <v>AS89</v>
      </c>
      <c r="L408" t="s">
        <v>2650</v>
      </c>
      <c r="M408">
        <v>634.6</v>
      </c>
    </row>
    <row r="409" spans="1:13" x14ac:dyDescent="0.25">
      <c r="A409" t="str">
        <f t="shared" si="95"/>
        <v>E163</v>
      </c>
      <c r="B409">
        <v>1</v>
      </c>
      <c r="C409" t="str">
        <f>"43000"</f>
        <v>43000</v>
      </c>
      <c r="D409" t="str">
        <f>"5620"</f>
        <v>5620</v>
      </c>
      <c r="E409" t="str">
        <f>"850LOS"</f>
        <v>850LOS</v>
      </c>
      <c r="F409" t="str">
        <f>""</f>
        <v/>
      </c>
      <c r="G409" t="str">
        <f>""</f>
        <v/>
      </c>
      <c r="H409" s="1">
        <v>42064</v>
      </c>
      <c r="I409" t="str">
        <f>"J0013490"</f>
        <v>J0013490</v>
      </c>
      <c r="J409" t="str">
        <f>""</f>
        <v/>
      </c>
      <c r="K409" t="str">
        <f>"J079"</f>
        <v>J079</v>
      </c>
      <c r="L409" t="s">
        <v>2513</v>
      </c>
      <c r="M409">
        <v>326.08999999999997</v>
      </c>
    </row>
    <row r="410" spans="1:13" x14ac:dyDescent="0.25">
      <c r="A410" t="str">
        <f t="shared" si="95"/>
        <v>E163</v>
      </c>
      <c r="B410">
        <v>1</v>
      </c>
      <c r="C410" t="str">
        <f>"43000"</f>
        <v>43000</v>
      </c>
      <c r="D410" t="str">
        <f>"5620"</f>
        <v>5620</v>
      </c>
      <c r="E410" t="str">
        <f>"850PAY"</f>
        <v>850PAY</v>
      </c>
      <c r="F410" t="str">
        <f>""</f>
        <v/>
      </c>
      <c r="G410" t="str">
        <f>""</f>
        <v/>
      </c>
      <c r="H410" s="1">
        <v>42004</v>
      </c>
      <c r="I410" t="str">
        <f>"PCD00700"</f>
        <v>PCD00700</v>
      </c>
      <c r="J410" t="str">
        <f>""</f>
        <v/>
      </c>
      <c r="K410" t="str">
        <f>"AS89"</f>
        <v>AS89</v>
      </c>
      <c r="L410" t="s">
        <v>2649</v>
      </c>
      <c r="M410">
        <v>667.75</v>
      </c>
    </row>
    <row r="411" spans="1:13" x14ac:dyDescent="0.25">
      <c r="A411" t="str">
        <f t="shared" si="95"/>
        <v>E163</v>
      </c>
      <c r="B411">
        <v>1</v>
      </c>
      <c r="C411" t="str">
        <f>"43000"</f>
        <v>43000</v>
      </c>
      <c r="D411" t="str">
        <f>"5740"</f>
        <v>5740</v>
      </c>
      <c r="E411" t="str">
        <f>"850LOS"</f>
        <v>850LOS</v>
      </c>
      <c r="F411" t="str">
        <f>""</f>
        <v/>
      </c>
      <c r="G411" t="str">
        <f>""</f>
        <v/>
      </c>
      <c r="H411" s="1">
        <v>42004</v>
      </c>
      <c r="I411" t="str">
        <f>"PCD00700"</f>
        <v>PCD00700</v>
      </c>
      <c r="J411" t="str">
        <f>""</f>
        <v/>
      </c>
      <c r="K411" t="str">
        <f>"AS89"</f>
        <v>AS89</v>
      </c>
      <c r="L411" t="s">
        <v>2648</v>
      </c>
      <c r="M411">
        <v>326.08999999999997</v>
      </c>
    </row>
    <row r="412" spans="1:13" x14ac:dyDescent="0.25">
      <c r="A412" t="str">
        <f t="shared" ref="A412:A420" si="96">"E164"</f>
        <v>E164</v>
      </c>
      <c r="B412">
        <v>1</v>
      </c>
      <c r="C412" t="str">
        <f t="shared" ref="C412:C420" si="97">"10200"</f>
        <v>10200</v>
      </c>
      <c r="D412" t="str">
        <f t="shared" ref="D412:D421" si="98">"5620"</f>
        <v>5620</v>
      </c>
      <c r="E412" t="str">
        <f t="shared" ref="E412:E420" si="99">"094OMS"</f>
        <v>094OMS</v>
      </c>
      <c r="F412" t="str">
        <f>""</f>
        <v/>
      </c>
      <c r="G412" t="str">
        <f>""</f>
        <v/>
      </c>
      <c r="H412" s="1">
        <v>41851</v>
      </c>
      <c r="I412" t="str">
        <f>"LKS00225"</f>
        <v>LKS00225</v>
      </c>
      <c r="J412" t="str">
        <f>"L30034"</f>
        <v>L30034</v>
      </c>
      <c r="K412" t="str">
        <f t="shared" ref="K412:K419" si="100">"LKW1"</f>
        <v>LKW1</v>
      </c>
      <c r="L412" t="s">
        <v>133</v>
      </c>
      <c r="M412">
        <v>237.88</v>
      </c>
    </row>
    <row r="413" spans="1:13" x14ac:dyDescent="0.25">
      <c r="A413" t="str">
        <f t="shared" si="96"/>
        <v>E164</v>
      </c>
      <c r="B413">
        <v>1</v>
      </c>
      <c r="C413" t="str">
        <f t="shared" si="97"/>
        <v>10200</v>
      </c>
      <c r="D413" t="str">
        <f t="shared" si="98"/>
        <v>5620</v>
      </c>
      <c r="E413" t="str">
        <f t="shared" si="99"/>
        <v>094OMS</v>
      </c>
      <c r="F413" t="str">
        <f>""</f>
        <v/>
      </c>
      <c r="G413" t="str">
        <f>""</f>
        <v/>
      </c>
      <c r="H413" s="1">
        <v>41882</v>
      </c>
      <c r="I413" t="str">
        <f>"LKS00226"</f>
        <v>LKS00226</v>
      </c>
      <c r="J413" t="str">
        <f>"L30034"</f>
        <v>L30034</v>
      </c>
      <c r="K413" t="str">
        <f t="shared" si="100"/>
        <v>LKW1</v>
      </c>
      <c r="L413" t="s">
        <v>133</v>
      </c>
      <c r="M413">
        <v>103.45</v>
      </c>
    </row>
    <row r="414" spans="1:13" x14ac:dyDescent="0.25">
      <c r="A414" t="str">
        <f t="shared" si="96"/>
        <v>E164</v>
      </c>
      <c r="B414">
        <v>1</v>
      </c>
      <c r="C414" t="str">
        <f t="shared" si="97"/>
        <v>10200</v>
      </c>
      <c r="D414" t="str">
        <f t="shared" si="98"/>
        <v>5620</v>
      </c>
      <c r="E414" t="str">
        <f t="shared" si="99"/>
        <v>094OMS</v>
      </c>
      <c r="F414" t="str">
        <f>""</f>
        <v/>
      </c>
      <c r="G414" t="str">
        <f>""</f>
        <v/>
      </c>
      <c r="H414" s="1">
        <v>41882</v>
      </c>
      <c r="I414" t="str">
        <f>"LKS00226"</f>
        <v>LKS00226</v>
      </c>
      <c r="J414" t="str">
        <f>"L74327"</f>
        <v>L74327</v>
      </c>
      <c r="K414" t="str">
        <f t="shared" si="100"/>
        <v>LKW1</v>
      </c>
      <c r="L414" t="s">
        <v>1810</v>
      </c>
      <c r="M414">
        <v>127.85</v>
      </c>
    </row>
    <row r="415" spans="1:13" x14ac:dyDescent="0.25">
      <c r="A415" t="str">
        <f t="shared" si="96"/>
        <v>E164</v>
      </c>
      <c r="B415">
        <v>1</v>
      </c>
      <c r="C415" t="str">
        <f t="shared" si="97"/>
        <v>10200</v>
      </c>
      <c r="D415" t="str">
        <f t="shared" si="98"/>
        <v>5620</v>
      </c>
      <c r="E415" t="str">
        <f t="shared" si="99"/>
        <v>094OMS</v>
      </c>
      <c r="F415" t="str">
        <f>""</f>
        <v/>
      </c>
      <c r="G415" t="str">
        <f>""</f>
        <v/>
      </c>
      <c r="H415" s="1">
        <v>41912</v>
      </c>
      <c r="I415" t="str">
        <f>"LKS00227"</f>
        <v>LKS00227</v>
      </c>
      <c r="J415" t="str">
        <f>"L30034"</f>
        <v>L30034</v>
      </c>
      <c r="K415" t="str">
        <f t="shared" si="100"/>
        <v>LKW1</v>
      </c>
      <c r="L415" t="s">
        <v>133</v>
      </c>
      <c r="M415">
        <v>800.13</v>
      </c>
    </row>
    <row r="416" spans="1:13" x14ac:dyDescent="0.25">
      <c r="A416" t="str">
        <f t="shared" si="96"/>
        <v>E164</v>
      </c>
      <c r="B416">
        <v>1</v>
      </c>
      <c r="C416" t="str">
        <f t="shared" si="97"/>
        <v>10200</v>
      </c>
      <c r="D416" t="str">
        <f t="shared" si="98"/>
        <v>5620</v>
      </c>
      <c r="E416" t="str">
        <f t="shared" si="99"/>
        <v>094OMS</v>
      </c>
      <c r="F416" t="str">
        <f>""</f>
        <v/>
      </c>
      <c r="G416" t="str">
        <f>""</f>
        <v/>
      </c>
      <c r="H416" s="1">
        <v>41943</v>
      </c>
      <c r="I416" t="str">
        <f>"LKS00228"</f>
        <v>LKS00228</v>
      </c>
      <c r="J416" t="str">
        <f>"L30034"</f>
        <v>L30034</v>
      </c>
      <c r="K416" t="str">
        <f t="shared" si="100"/>
        <v>LKW1</v>
      </c>
      <c r="L416" t="s">
        <v>133</v>
      </c>
      <c r="M416">
        <v>179.25</v>
      </c>
    </row>
    <row r="417" spans="1:13" x14ac:dyDescent="0.25">
      <c r="A417" t="str">
        <f t="shared" si="96"/>
        <v>E164</v>
      </c>
      <c r="B417">
        <v>1</v>
      </c>
      <c r="C417" t="str">
        <f t="shared" si="97"/>
        <v>10200</v>
      </c>
      <c r="D417" t="str">
        <f t="shared" si="98"/>
        <v>5620</v>
      </c>
      <c r="E417" t="str">
        <f t="shared" si="99"/>
        <v>094OMS</v>
      </c>
      <c r="F417" t="str">
        <f>""</f>
        <v/>
      </c>
      <c r="G417" t="str">
        <f>""</f>
        <v/>
      </c>
      <c r="H417" s="1">
        <v>41973</v>
      </c>
      <c r="I417" t="str">
        <f>"LKS00229"</f>
        <v>LKS00229</v>
      </c>
      <c r="J417" t="str">
        <f>"L30034"</f>
        <v>L30034</v>
      </c>
      <c r="K417" t="str">
        <f t="shared" si="100"/>
        <v>LKW1</v>
      </c>
      <c r="L417" t="s">
        <v>133</v>
      </c>
      <c r="M417">
        <v>201.3</v>
      </c>
    </row>
    <row r="418" spans="1:13" x14ac:dyDescent="0.25">
      <c r="A418" t="str">
        <f t="shared" si="96"/>
        <v>E164</v>
      </c>
      <c r="B418">
        <v>1</v>
      </c>
      <c r="C418" t="str">
        <f t="shared" si="97"/>
        <v>10200</v>
      </c>
      <c r="D418" t="str">
        <f t="shared" si="98"/>
        <v>5620</v>
      </c>
      <c r="E418" t="str">
        <f t="shared" si="99"/>
        <v>094OMS</v>
      </c>
      <c r="F418" t="str">
        <f>""</f>
        <v/>
      </c>
      <c r="G418" t="str">
        <f>""</f>
        <v/>
      </c>
      <c r="H418" s="1">
        <v>42063</v>
      </c>
      <c r="I418" t="str">
        <f>"LKS00232"</f>
        <v>LKS00232</v>
      </c>
      <c r="J418" t="str">
        <f>"L30034"</f>
        <v>L30034</v>
      </c>
      <c r="K418" t="str">
        <f t="shared" si="100"/>
        <v>LKW1</v>
      </c>
      <c r="L418" t="s">
        <v>133</v>
      </c>
      <c r="M418">
        <v>117.8</v>
      </c>
    </row>
    <row r="419" spans="1:13" x14ac:dyDescent="0.25">
      <c r="A419" t="str">
        <f t="shared" si="96"/>
        <v>E164</v>
      </c>
      <c r="B419">
        <v>1</v>
      </c>
      <c r="C419" t="str">
        <f t="shared" si="97"/>
        <v>10200</v>
      </c>
      <c r="D419" t="str">
        <f t="shared" si="98"/>
        <v>5620</v>
      </c>
      <c r="E419" t="str">
        <f t="shared" si="99"/>
        <v>094OMS</v>
      </c>
      <c r="F419" t="str">
        <f>""</f>
        <v/>
      </c>
      <c r="G419" t="str">
        <f>""</f>
        <v/>
      </c>
      <c r="H419" s="1">
        <v>42152</v>
      </c>
      <c r="I419" t="str">
        <f>"LKS00235"</f>
        <v>LKS00235</v>
      </c>
      <c r="J419" t="str">
        <f>"L30034"</f>
        <v>L30034</v>
      </c>
      <c r="K419" t="str">
        <f t="shared" si="100"/>
        <v>LKW1</v>
      </c>
      <c r="L419" t="s">
        <v>133</v>
      </c>
      <c r="M419">
        <v>696.67</v>
      </c>
    </row>
    <row r="420" spans="1:13" x14ac:dyDescent="0.25">
      <c r="A420" t="str">
        <f t="shared" si="96"/>
        <v>E164</v>
      </c>
      <c r="B420">
        <v>1</v>
      </c>
      <c r="C420" t="str">
        <f t="shared" si="97"/>
        <v>10200</v>
      </c>
      <c r="D420" t="str">
        <f t="shared" si="98"/>
        <v>5620</v>
      </c>
      <c r="E420" t="str">
        <f t="shared" si="99"/>
        <v>094OMS</v>
      </c>
      <c r="F420" t="str">
        <f>""</f>
        <v/>
      </c>
      <c r="G420" t="str">
        <f>""</f>
        <v/>
      </c>
      <c r="H420" s="1">
        <v>42172</v>
      </c>
      <c r="I420" t="str">
        <f>"225760"</f>
        <v>225760</v>
      </c>
      <c r="J420" t="str">
        <f>""</f>
        <v/>
      </c>
      <c r="K420" t="str">
        <f>"INNI"</f>
        <v>INNI</v>
      </c>
      <c r="L420" t="s">
        <v>92</v>
      </c>
      <c r="M420">
        <v>203.6</v>
      </c>
    </row>
    <row r="421" spans="1:13" x14ac:dyDescent="0.25">
      <c r="A421" t="str">
        <f>"E166"</f>
        <v>E166</v>
      </c>
      <c r="B421">
        <v>1</v>
      </c>
      <c r="C421" t="str">
        <f>"43000"</f>
        <v>43000</v>
      </c>
      <c r="D421" t="str">
        <f t="shared" si="98"/>
        <v>5620</v>
      </c>
      <c r="E421" t="str">
        <f>"850LOS"</f>
        <v>850LOS</v>
      </c>
      <c r="F421" t="str">
        <f>""</f>
        <v/>
      </c>
      <c r="G421" t="str">
        <f>""</f>
        <v/>
      </c>
      <c r="H421" s="1">
        <v>42064</v>
      </c>
      <c r="I421" t="str">
        <f>"J0013490"</f>
        <v>J0013490</v>
      </c>
      <c r="J421" t="str">
        <f>""</f>
        <v/>
      </c>
      <c r="K421" t="str">
        <f>"J079"</f>
        <v>J079</v>
      </c>
      <c r="L421" t="s">
        <v>2513</v>
      </c>
      <c r="M421" s="2">
        <v>1458.87</v>
      </c>
    </row>
    <row r="422" spans="1:13" x14ac:dyDescent="0.25">
      <c r="A422" t="str">
        <f>"E166"</f>
        <v>E166</v>
      </c>
      <c r="B422">
        <v>1</v>
      </c>
      <c r="C422" t="str">
        <f>"43000"</f>
        <v>43000</v>
      </c>
      <c r="D422" t="str">
        <f>"5740"</f>
        <v>5740</v>
      </c>
      <c r="E422" t="str">
        <f>"850LOS"</f>
        <v>850LOS</v>
      </c>
      <c r="F422" t="str">
        <f>"PKOLOT"</f>
        <v>PKOLOT</v>
      </c>
      <c r="G422" t="str">
        <f>""</f>
        <v/>
      </c>
      <c r="H422" s="1">
        <v>41857</v>
      </c>
      <c r="I422" t="str">
        <f>"156621"</f>
        <v>156621</v>
      </c>
      <c r="J422" t="str">
        <f>"N076383H"</f>
        <v>N076383H</v>
      </c>
      <c r="K422" t="str">
        <f>"INEI"</f>
        <v>INEI</v>
      </c>
      <c r="L422" t="s">
        <v>140</v>
      </c>
      <c r="M422" s="2">
        <v>1458.87</v>
      </c>
    </row>
    <row r="423" spans="1:13" x14ac:dyDescent="0.25">
      <c r="A423" t="str">
        <f>"E167"</f>
        <v>E167</v>
      </c>
      <c r="B423">
        <v>1</v>
      </c>
      <c r="C423" t="str">
        <f>"10200"</f>
        <v>10200</v>
      </c>
      <c r="D423" t="str">
        <f t="shared" ref="D423:D440" si="101">"5620"</f>
        <v>5620</v>
      </c>
      <c r="E423" t="str">
        <f>"094OMS"</f>
        <v>094OMS</v>
      </c>
      <c r="F423" t="str">
        <f>""</f>
        <v/>
      </c>
      <c r="G423" t="str">
        <f>""</f>
        <v/>
      </c>
      <c r="H423" s="1">
        <v>42094</v>
      </c>
      <c r="I423" t="str">
        <f>"PCD00715"</f>
        <v>PCD00715</v>
      </c>
      <c r="J423" t="str">
        <f>""</f>
        <v/>
      </c>
      <c r="K423" t="str">
        <f t="shared" ref="K423:K437" si="102">"AS89"</f>
        <v>AS89</v>
      </c>
      <c r="L423" t="s">
        <v>2647</v>
      </c>
      <c r="M423" s="2">
        <v>1686.79</v>
      </c>
    </row>
    <row r="424" spans="1:13" x14ac:dyDescent="0.25">
      <c r="A424" t="str">
        <f>"E170"</f>
        <v>E170</v>
      </c>
      <c r="B424">
        <v>1</v>
      </c>
      <c r="C424" t="str">
        <f>"23275"</f>
        <v>23275</v>
      </c>
      <c r="D424" t="str">
        <f t="shared" si="101"/>
        <v>5620</v>
      </c>
      <c r="E424" t="str">
        <f>"063STF"</f>
        <v>063STF</v>
      </c>
      <c r="F424" t="str">
        <f>""</f>
        <v/>
      </c>
      <c r="G424" t="str">
        <f>""</f>
        <v/>
      </c>
      <c r="H424" s="1">
        <v>41908</v>
      </c>
      <c r="I424" t="str">
        <f>"PCD00684"</f>
        <v>PCD00684</v>
      </c>
      <c r="J424" t="str">
        <f>""</f>
        <v/>
      </c>
      <c r="K424" t="str">
        <f t="shared" si="102"/>
        <v>AS89</v>
      </c>
      <c r="L424" t="s">
        <v>2646</v>
      </c>
      <c r="M424">
        <v>195.3</v>
      </c>
    </row>
    <row r="425" spans="1:13" x14ac:dyDescent="0.25">
      <c r="A425" t="str">
        <f>"E170"</f>
        <v>E170</v>
      </c>
      <c r="B425">
        <v>1</v>
      </c>
      <c r="C425" t="str">
        <f>"23275"</f>
        <v>23275</v>
      </c>
      <c r="D425" t="str">
        <f t="shared" si="101"/>
        <v>5620</v>
      </c>
      <c r="E425" t="str">
        <f>"063STF"</f>
        <v>063STF</v>
      </c>
      <c r="F425" t="str">
        <f>""</f>
        <v/>
      </c>
      <c r="G425" t="str">
        <f>""</f>
        <v/>
      </c>
      <c r="H425" s="1">
        <v>42185</v>
      </c>
      <c r="I425" t="str">
        <f>"PCD00730"</f>
        <v>PCD00730</v>
      </c>
      <c r="J425" t="str">
        <f>""</f>
        <v/>
      </c>
      <c r="K425" t="str">
        <f t="shared" si="102"/>
        <v>AS89</v>
      </c>
      <c r="L425" t="s">
        <v>2645</v>
      </c>
      <c r="M425">
        <v>206.15</v>
      </c>
    </row>
    <row r="426" spans="1:13" x14ac:dyDescent="0.25">
      <c r="A426" t="str">
        <f>"E171"</f>
        <v>E171</v>
      </c>
      <c r="B426">
        <v>1</v>
      </c>
      <c r="C426" t="str">
        <f>"10200"</f>
        <v>10200</v>
      </c>
      <c r="D426" t="str">
        <f t="shared" si="101"/>
        <v>5620</v>
      </c>
      <c r="E426" t="str">
        <f>"094OMS"</f>
        <v>094OMS</v>
      </c>
      <c r="F426" t="str">
        <f>""</f>
        <v/>
      </c>
      <c r="G426" t="str">
        <f>""</f>
        <v/>
      </c>
      <c r="H426" s="1">
        <v>41943</v>
      </c>
      <c r="I426" t="str">
        <f>"COP00291"</f>
        <v>COP00291</v>
      </c>
      <c r="J426" t="str">
        <f t="shared" ref="J426:J437" si="103">"JOB ORDR"</f>
        <v>JOB ORDR</v>
      </c>
      <c r="K426" t="str">
        <f t="shared" si="102"/>
        <v>AS89</v>
      </c>
      <c r="L426" t="s">
        <v>2643</v>
      </c>
      <c r="M426">
        <v>203.81</v>
      </c>
    </row>
    <row r="427" spans="1:13" x14ac:dyDescent="0.25">
      <c r="A427" t="str">
        <f>"E171"</f>
        <v>E171</v>
      </c>
      <c r="B427">
        <v>1</v>
      </c>
      <c r="C427" t="str">
        <f>"43000"</f>
        <v>43000</v>
      </c>
      <c r="D427" t="str">
        <f t="shared" si="101"/>
        <v>5620</v>
      </c>
      <c r="E427" t="str">
        <f>"850LOS"</f>
        <v>850LOS</v>
      </c>
      <c r="F427" t="str">
        <f>""</f>
        <v/>
      </c>
      <c r="G427" t="str">
        <f>""</f>
        <v/>
      </c>
      <c r="H427" s="1">
        <v>41912</v>
      </c>
      <c r="I427" t="str">
        <f>"COP00290"</f>
        <v>COP00290</v>
      </c>
      <c r="J427" t="str">
        <f t="shared" si="103"/>
        <v>JOB ORDR</v>
      </c>
      <c r="K427" t="str">
        <f t="shared" si="102"/>
        <v>AS89</v>
      </c>
      <c r="L427" t="s">
        <v>2641</v>
      </c>
      <c r="M427" s="2">
        <v>1505.74</v>
      </c>
    </row>
    <row r="428" spans="1:13" x14ac:dyDescent="0.25">
      <c r="A428" t="str">
        <f>"E171"</f>
        <v>E171</v>
      </c>
      <c r="B428">
        <v>1</v>
      </c>
      <c r="C428" t="str">
        <f>"43000"</f>
        <v>43000</v>
      </c>
      <c r="D428" t="str">
        <f t="shared" si="101"/>
        <v>5620</v>
      </c>
      <c r="E428" t="str">
        <f>"850PKE"</f>
        <v>850PKE</v>
      </c>
      <c r="F428" t="str">
        <f>""</f>
        <v/>
      </c>
      <c r="G428" t="str">
        <f>""</f>
        <v/>
      </c>
      <c r="H428" s="1">
        <v>42062</v>
      </c>
      <c r="I428" t="str">
        <f>"COP00295"</f>
        <v>COP00295</v>
      </c>
      <c r="J428" t="str">
        <f t="shared" si="103"/>
        <v>JOB ORDR</v>
      </c>
      <c r="K428" t="str">
        <f t="shared" si="102"/>
        <v>AS89</v>
      </c>
      <c r="L428" t="s">
        <v>2642</v>
      </c>
      <c r="M428">
        <v>181.58</v>
      </c>
    </row>
    <row r="429" spans="1:13" x14ac:dyDescent="0.25">
      <c r="A429" t="str">
        <f t="shared" ref="A429:A441" si="104">"E172"</f>
        <v>E172</v>
      </c>
      <c r="B429">
        <v>1</v>
      </c>
      <c r="C429" t="str">
        <f>"10200"</f>
        <v>10200</v>
      </c>
      <c r="D429" t="str">
        <f t="shared" si="101"/>
        <v>5620</v>
      </c>
      <c r="E429" t="str">
        <f>"094OMS"</f>
        <v>094OMS</v>
      </c>
      <c r="F429" t="str">
        <f>""</f>
        <v/>
      </c>
      <c r="G429" t="str">
        <f>""</f>
        <v/>
      </c>
      <c r="H429" s="1">
        <v>41943</v>
      </c>
      <c r="I429" t="str">
        <f>"COP00291"</f>
        <v>COP00291</v>
      </c>
      <c r="J429" t="str">
        <f t="shared" si="103"/>
        <v>JOB ORDR</v>
      </c>
      <c r="K429" t="str">
        <f t="shared" si="102"/>
        <v>AS89</v>
      </c>
      <c r="L429" t="s">
        <v>2643</v>
      </c>
      <c r="M429">
        <v>135.4</v>
      </c>
    </row>
    <row r="430" spans="1:13" x14ac:dyDescent="0.25">
      <c r="A430" t="str">
        <f t="shared" si="104"/>
        <v>E172</v>
      </c>
      <c r="B430">
        <v>1</v>
      </c>
      <c r="C430" t="str">
        <f>"23275"</f>
        <v>23275</v>
      </c>
      <c r="D430" t="str">
        <f t="shared" si="101"/>
        <v>5620</v>
      </c>
      <c r="E430" t="str">
        <f>"063STF"</f>
        <v>063STF</v>
      </c>
      <c r="F430" t="str">
        <f>""</f>
        <v/>
      </c>
      <c r="G430" t="str">
        <f>""</f>
        <v/>
      </c>
      <c r="H430" s="1">
        <v>41912</v>
      </c>
      <c r="I430" t="str">
        <f>"COP00290"</f>
        <v>COP00290</v>
      </c>
      <c r="J430" t="str">
        <f t="shared" si="103"/>
        <v>JOB ORDR</v>
      </c>
      <c r="K430" t="str">
        <f t="shared" si="102"/>
        <v>AS89</v>
      </c>
      <c r="L430" t="s">
        <v>2641</v>
      </c>
      <c r="M430">
        <v>244.06</v>
      </c>
    </row>
    <row r="431" spans="1:13" x14ac:dyDescent="0.25">
      <c r="A431" t="str">
        <f t="shared" si="104"/>
        <v>E172</v>
      </c>
      <c r="B431">
        <v>1</v>
      </c>
      <c r="C431" t="str">
        <f>"23275"</f>
        <v>23275</v>
      </c>
      <c r="D431" t="str">
        <f t="shared" si="101"/>
        <v>5620</v>
      </c>
      <c r="E431" t="str">
        <f>"063STF"</f>
        <v>063STF</v>
      </c>
      <c r="F431" t="str">
        <f>""</f>
        <v/>
      </c>
      <c r="G431" t="str">
        <f>""</f>
        <v/>
      </c>
      <c r="H431" s="1">
        <v>42003</v>
      </c>
      <c r="I431" t="str">
        <f>"COP00293"</f>
        <v>COP00293</v>
      </c>
      <c r="J431" t="str">
        <f t="shared" si="103"/>
        <v>JOB ORDR</v>
      </c>
      <c r="K431" t="str">
        <f t="shared" si="102"/>
        <v>AS89</v>
      </c>
      <c r="L431" t="s">
        <v>2640</v>
      </c>
      <c r="M431">
        <v>364.06</v>
      </c>
    </row>
    <row r="432" spans="1:13" x14ac:dyDescent="0.25">
      <c r="A432" t="str">
        <f t="shared" si="104"/>
        <v>E172</v>
      </c>
      <c r="B432">
        <v>1</v>
      </c>
      <c r="C432" t="str">
        <f>"23275"</f>
        <v>23275</v>
      </c>
      <c r="D432" t="str">
        <f t="shared" si="101"/>
        <v>5620</v>
      </c>
      <c r="E432" t="str">
        <f>"063STF"</f>
        <v>063STF</v>
      </c>
      <c r="F432" t="str">
        <f>""</f>
        <v/>
      </c>
      <c r="G432" t="str">
        <f>""</f>
        <v/>
      </c>
      <c r="H432" s="1">
        <v>42034</v>
      </c>
      <c r="I432" t="str">
        <f>"COP00294"</f>
        <v>COP00294</v>
      </c>
      <c r="J432" t="str">
        <f t="shared" si="103"/>
        <v>JOB ORDR</v>
      </c>
      <c r="K432" t="str">
        <f t="shared" si="102"/>
        <v>AS89</v>
      </c>
      <c r="L432" t="s">
        <v>2639</v>
      </c>
      <c r="M432">
        <v>756.13</v>
      </c>
    </row>
    <row r="433" spans="1:13" x14ac:dyDescent="0.25">
      <c r="A433" t="str">
        <f t="shared" si="104"/>
        <v>E172</v>
      </c>
      <c r="B433">
        <v>1</v>
      </c>
      <c r="C433" t="str">
        <f>"32040"</f>
        <v>32040</v>
      </c>
      <c r="D433" t="str">
        <f t="shared" si="101"/>
        <v>5620</v>
      </c>
      <c r="E433" t="str">
        <f>"850LCK"</f>
        <v>850LCK</v>
      </c>
      <c r="F433" t="str">
        <f>""</f>
        <v/>
      </c>
      <c r="G433" t="str">
        <f>""</f>
        <v/>
      </c>
      <c r="H433" s="1">
        <v>42034</v>
      </c>
      <c r="I433" t="str">
        <f>"COP00294"</f>
        <v>COP00294</v>
      </c>
      <c r="J433" t="str">
        <f t="shared" si="103"/>
        <v>JOB ORDR</v>
      </c>
      <c r="K433" t="str">
        <f t="shared" si="102"/>
        <v>AS89</v>
      </c>
      <c r="L433" t="s">
        <v>2639</v>
      </c>
      <c r="M433">
        <v>225.75</v>
      </c>
    </row>
    <row r="434" spans="1:13" x14ac:dyDescent="0.25">
      <c r="A434" t="str">
        <f t="shared" si="104"/>
        <v>E172</v>
      </c>
      <c r="B434">
        <v>1</v>
      </c>
      <c r="C434" t="str">
        <f t="shared" ref="C434:C441" si="105">"43000"</f>
        <v>43000</v>
      </c>
      <c r="D434" t="str">
        <f t="shared" si="101"/>
        <v>5620</v>
      </c>
      <c r="E434" t="str">
        <f>"850ALT"</f>
        <v>850ALT</v>
      </c>
      <c r="F434" t="str">
        <f>""</f>
        <v/>
      </c>
      <c r="G434" t="str">
        <f>""</f>
        <v/>
      </c>
      <c r="H434" s="1">
        <v>41851</v>
      </c>
      <c r="I434" t="str">
        <f>"COP00288"</f>
        <v>COP00288</v>
      </c>
      <c r="J434" t="str">
        <f t="shared" si="103"/>
        <v>JOB ORDR</v>
      </c>
      <c r="K434" t="str">
        <f t="shared" si="102"/>
        <v>AS89</v>
      </c>
      <c r="L434" t="s">
        <v>2644</v>
      </c>
      <c r="M434">
        <v>465.62</v>
      </c>
    </row>
    <row r="435" spans="1:13" x14ac:dyDescent="0.25">
      <c r="A435" t="str">
        <f t="shared" si="104"/>
        <v>E172</v>
      </c>
      <c r="B435">
        <v>1</v>
      </c>
      <c r="C435" t="str">
        <f t="shared" si="105"/>
        <v>43000</v>
      </c>
      <c r="D435" t="str">
        <f t="shared" si="101"/>
        <v>5620</v>
      </c>
      <c r="E435" t="str">
        <f t="shared" ref="E435:E441" si="106">"850LOS"</f>
        <v>850LOS</v>
      </c>
      <c r="F435" t="str">
        <f>""</f>
        <v/>
      </c>
      <c r="G435" t="str">
        <f>""</f>
        <v/>
      </c>
      <c r="H435" s="1">
        <v>41912</v>
      </c>
      <c r="I435" t="str">
        <f>"COP00290"</f>
        <v>COP00290</v>
      </c>
      <c r="J435" t="str">
        <f t="shared" si="103"/>
        <v>JOB ORDR</v>
      </c>
      <c r="K435" t="str">
        <f t="shared" si="102"/>
        <v>AS89</v>
      </c>
      <c r="L435" t="s">
        <v>2641</v>
      </c>
      <c r="M435" s="2">
        <v>1072.03</v>
      </c>
    </row>
    <row r="436" spans="1:13" x14ac:dyDescent="0.25">
      <c r="A436" t="str">
        <f t="shared" si="104"/>
        <v>E172</v>
      </c>
      <c r="B436">
        <v>1</v>
      </c>
      <c r="C436" t="str">
        <f t="shared" si="105"/>
        <v>43000</v>
      </c>
      <c r="D436" t="str">
        <f t="shared" si="101"/>
        <v>5620</v>
      </c>
      <c r="E436" t="str">
        <f t="shared" si="106"/>
        <v>850LOS</v>
      </c>
      <c r="F436" t="str">
        <f>""</f>
        <v/>
      </c>
      <c r="G436" t="str">
        <f>""</f>
        <v/>
      </c>
      <c r="H436" s="1">
        <v>42003</v>
      </c>
      <c r="I436" t="str">
        <f>"COP00293"</f>
        <v>COP00293</v>
      </c>
      <c r="J436" t="str">
        <f t="shared" si="103"/>
        <v>JOB ORDR</v>
      </c>
      <c r="K436" t="str">
        <f t="shared" si="102"/>
        <v>AS89</v>
      </c>
      <c r="L436" t="s">
        <v>2640</v>
      </c>
      <c r="M436">
        <v>116.2</v>
      </c>
    </row>
    <row r="437" spans="1:13" x14ac:dyDescent="0.25">
      <c r="A437" t="str">
        <f t="shared" si="104"/>
        <v>E172</v>
      </c>
      <c r="B437">
        <v>1</v>
      </c>
      <c r="C437" t="str">
        <f t="shared" si="105"/>
        <v>43000</v>
      </c>
      <c r="D437" t="str">
        <f t="shared" si="101"/>
        <v>5620</v>
      </c>
      <c r="E437" t="str">
        <f t="shared" si="106"/>
        <v>850LOS</v>
      </c>
      <c r="F437" t="str">
        <f>""</f>
        <v/>
      </c>
      <c r="G437" t="str">
        <f>""</f>
        <v/>
      </c>
      <c r="H437" s="1">
        <v>42034</v>
      </c>
      <c r="I437" t="str">
        <f>"COP00294"</f>
        <v>COP00294</v>
      </c>
      <c r="J437" t="str">
        <f t="shared" si="103"/>
        <v>JOB ORDR</v>
      </c>
      <c r="K437" t="str">
        <f t="shared" si="102"/>
        <v>AS89</v>
      </c>
      <c r="L437" t="s">
        <v>2639</v>
      </c>
      <c r="M437">
        <v>223.18</v>
      </c>
    </row>
    <row r="438" spans="1:13" x14ac:dyDescent="0.25">
      <c r="A438" t="str">
        <f t="shared" si="104"/>
        <v>E172</v>
      </c>
      <c r="B438">
        <v>1</v>
      </c>
      <c r="C438" t="str">
        <f t="shared" si="105"/>
        <v>43000</v>
      </c>
      <c r="D438" t="str">
        <f t="shared" si="101"/>
        <v>5620</v>
      </c>
      <c r="E438" t="str">
        <f t="shared" si="106"/>
        <v>850LOS</v>
      </c>
      <c r="F438" t="str">
        <f>""</f>
        <v/>
      </c>
      <c r="G438" t="str">
        <f>""</f>
        <v/>
      </c>
      <c r="H438" s="1">
        <v>42064</v>
      </c>
      <c r="I438" t="str">
        <f>"J0013490"</f>
        <v>J0013490</v>
      </c>
      <c r="J438" t="str">
        <f>""</f>
        <v/>
      </c>
      <c r="K438" t="str">
        <f>"J079"</f>
        <v>J079</v>
      </c>
      <c r="L438" t="s">
        <v>2513</v>
      </c>
      <c r="M438">
        <v>218.66</v>
      </c>
    </row>
    <row r="439" spans="1:13" x14ac:dyDescent="0.25">
      <c r="A439" t="str">
        <f t="shared" si="104"/>
        <v>E172</v>
      </c>
      <c r="B439">
        <v>1</v>
      </c>
      <c r="C439" t="str">
        <f t="shared" si="105"/>
        <v>43000</v>
      </c>
      <c r="D439" t="str">
        <f t="shared" si="101"/>
        <v>5620</v>
      </c>
      <c r="E439" t="str">
        <f t="shared" si="106"/>
        <v>850LOS</v>
      </c>
      <c r="F439" t="str">
        <f>""</f>
        <v/>
      </c>
      <c r="G439" t="str">
        <f>""</f>
        <v/>
      </c>
      <c r="H439" s="1">
        <v>42124</v>
      </c>
      <c r="I439" t="str">
        <f>"COP00297"</f>
        <v>COP00297</v>
      </c>
      <c r="J439" t="str">
        <f>"JOB ORDR"</f>
        <v>JOB ORDR</v>
      </c>
      <c r="K439" t="str">
        <f t="shared" ref="K439:K454" si="107">"AS89"</f>
        <v>AS89</v>
      </c>
      <c r="L439" t="s">
        <v>2638</v>
      </c>
      <c r="M439">
        <v>710.33</v>
      </c>
    </row>
    <row r="440" spans="1:13" x14ac:dyDescent="0.25">
      <c r="A440" t="str">
        <f t="shared" si="104"/>
        <v>E172</v>
      </c>
      <c r="B440">
        <v>1</v>
      </c>
      <c r="C440" t="str">
        <f t="shared" si="105"/>
        <v>43000</v>
      </c>
      <c r="D440" t="str">
        <f t="shared" si="101"/>
        <v>5620</v>
      </c>
      <c r="E440" t="str">
        <f t="shared" si="106"/>
        <v>850LOS</v>
      </c>
      <c r="F440" t="str">
        <f>""</f>
        <v/>
      </c>
      <c r="G440" t="str">
        <f>""</f>
        <v/>
      </c>
      <c r="H440" s="1">
        <v>42184</v>
      </c>
      <c r="I440" t="str">
        <f>"COP00299"</f>
        <v>COP00299</v>
      </c>
      <c r="J440" t="str">
        <f>"JOB ORDR"</f>
        <v>JOB ORDR</v>
      </c>
      <c r="K440" t="str">
        <f t="shared" si="107"/>
        <v>AS89</v>
      </c>
      <c r="L440" t="s">
        <v>2637</v>
      </c>
      <c r="M440">
        <v>674.81</v>
      </c>
    </row>
    <row r="441" spans="1:13" x14ac:dyDescent="0.25">
      <c r="A441" t="str">
        <f t="shared" si="104"/>
        <v>E172</v>
      </c>
      <c r="B441">
        <v>1</v>
      </c>
      <c r="C441" t="str">
        <f t="shared" si="105"/>
        <v>43000</v>
      </c>
      <c r="D441" t="str">
        <f>"5740"</f>
        <v>5740</v>
      </c>
      <c r="E441" t="str">
        <f t="shared" si="106"/>
        <v>850LOS</v>
      </c>
      <c r="F441" t="str">
        <f>""</f>
        <v/>
      </c>
      <c r="G441" t="str">
        <f>""</f>
        <v/>
      </c>
      <c r="H441" s="1">
        <v>41879</v>
      </c>
      <c r="I441" t="str">
        <f>"COP00289"</f>
        <v>COP00289</v>
      </c>
      <c r="J441" t="str">
        <f>"JOB ORDR"</f>
        <v>JOB ORDR</v>
      </c>
      <c r="K441" t="str">
        <f t="shared" si="107"/>
        <v>AS89</v>
      </c>
      <c r="L441" t="s">
        <v>2636</v>
      </c>
      <c r="M441">
        <v>218.66</v>
      </c>
    </row>
    <row r="442" spans="1:13" x14ac:dyDescent="0.25">
      <c r="A442" t="str">
        <f t="shared" ref="A442:A463" si="108">"E173"</f>
        <v>E173</v>
      </c>
      <c r="B442">
        <v>1</v>
      </c>
      <c r="C442" t="str">
        <f t="shared" ref="C442:C450" si="109">"10200"</f>
        <v>10200</v>
      </c>
      <c r="D442" t="str">
        <f t="shared" ref="D442:D457" si="110">"5620"</f>
        <v>5620</v>
      </c>
      <c r="E442" t="str">
        <f t="shared" ref="E442:E450" si="111">"094OMS"</f>
        <v>094OMS</v>
      </c>
      <c r="F442" t="str">
        <f>""</f>
        <v/>
      </c>
      <c r="G442" t="str">
        <f>""</f>
        <v/>
      </c>
      <c r="H442" s="1">
        <v>41851</v>
      </c>
      <c r="I442" t="str">
        <f>"MLT00075"</f>
        <v>MLT00075</v>
      </c>
      <c r="J442" t="str">
        <f>""</f>
        <v/>
      </c>
      <c r="K442" t="str">
        <f t="shared" si="107"/>
        <v>AS89</v>
      </c>
      <c r="L442" t="s">
        <v>2635</v>
      </c>
      <c r="M442">
        <v>109.2</v>
      </c>
    </row>
    <row r="443" spans="1:13" x14ac:dyDescent="0.25">
      <c r="A443" t="str">
        <f t="shared" si="108"/>
        <v>E173</v>
      </c>
      <c r="B443">
        <v>1</v>
      </c>
      <c r="C443" t="str">
        <f t="shared" si="109"/>
        <v>10200</v>
      </c>
      <c r="D443" t="str">
        <f t="shared" si="110"/>
        <v>5620</v>
      </c>
      <c r="E443" t="str">
        <f t="shared" si="111"/>
        <v>094OMS</v>
      </c>
      <c r="F443" t="str">
        <f>""</f>
        <v/>
      </c>
      <c r="G443" t="str">
        <f>""</f>
        <v/>
      </c>
      <c r="H443" s="1">
        <v>41912</v>
      </c>
      <c r="I443" t="str">
        <f>"MLT00077"</f>
        <v>MLT00077</v>
      </c>
      <c r="J443" t="str">
        <f>""</f>
        <v/>
      </c>
      <c r="K443" t="str">
        <f t="shared" si="107"/>
        <v>AS89</v>
      </c>
      <c r="L443" t="s">
        <v>2634</v>
      </c>
      <c r="M443">
        <v>164.55</v>
      </c>
    </row>
    <row r="444" spans="1:13" x14ac:dyDescent="0.25">
      <c r="A444" t="str">
        <f t="shared" si="108"/>
        <v>E173</v>
      </c>
      <c r="B444">
        <v>1</v>
      </c>
      <c r="C444" t="str">
        <f t="shared" si="109"/>
        <v>10200</v>
      </c>
      <c r="D444" t="str">
        <f t="shared" si="110"/>
        <v>5620</v>
      </c>
      <c r="E444" t="str">
        <f t="shared" si="111"/>
        <v>094OMS</v>
      </c>
      <c r="F444" t="str">
        <f>""</f>
        <v/>
      </c>
      <c r="G444" t="str">
        <f>""</f>
        <v/>
      </c>
      <c r="H444" s="1">
        <v>41912</v>
      </c>
      <c r="I444" t="str">
        <f>"MLT00077"</f>
        <v>MLT00077</v>
      </c>
      <c r="J444" t="str">
        <f>""</f>
        <v/>
      </c>
      <c r="K444" t="str">
        <f t="shared" si="107"/>
        <v>AS89</v>
      </c>
      <c r="L444" t="s">
        <v>2633</v>
      </c>
      <c r="M444">
        <v>117.56</v>
      </c>
    </row>
    <row r="445" spans="1:13" x14ac:dyDescent="0.25">
      <c r="A445" t="str">
        <f t="shared" si="108"/>
        <v>E173</v>
      </c>
      <c r="B445">
        <v>1</v>
      </c>
      <c r="C445" t="str">
        <f t="shared" si="109"/>
        <v>10200</v>
      </c>
      <c r="D445" t="str">
        <f t="shared" si="110"/>
        <v>5620</v>
      </c>
      <c r="E445" t="str">
        <f t="shared" si="111"/>
        <v>094OMS</v>
      </c>
      <c r="F445" t="str">
        <f>""</f>
        <v/>
      </c>
      <c r="G445" t="str">
        <f>""</f>
        <v/>
      </c>
      <c r="H445" s="1">
        <v>41943</v>
      </c>
      <c r="I445" t="str">
        <f>"MLT00078"</f>
        <v>MLT00078</v>
      </c>
      <c r="J445" t="str">
        <f>""</f>
        <v/>
      </c>
      <c r="K445" t="str">
        <f t="shared" si="107"/>
        <v>AS89</v>
      </c>
      <c r="L445" t="s">
        <v>2632</v>
      </c>
      <c r="M445">
        <v>116.25</v>
      </c>
    </row>
    <row r="446" spans="1:13" x14ac:dyDescent="0.25">
      <c r="A446" t="str">
        <f t="shared" si="108"/>
        <v>E173</v>
      </c>
      <c r="B446">
        <v>1</v>
      </c>
      <c r="C446" t="str">
        <f t="shared" si="109"/>
        <v>10200</v>
      </c>
      <c r="D446" t="str">
        <f t="shared" si="110"/>
        <v>5620</v>
      </c>
      <c r="E446" t="str">
        <f t="shared" si="111"/>
        <v>094OMS</v>
      </c>
      <c r="F446" t="str">
        <f>""</f>
        <v/>
      </c>
      <c r="G446" t="str">
        <f>""</f>
        <v/>
      </c>
      <c r="H446" s="1">
        <v>42004</v>
      </c>
      <c r="I446" t="str">
        <f>"MLT00080"</f>
        <v>MLT00080</v>
      </c>
      <c r="J446" t="str">
        <f>""</f>
        <v/>
      </c>
      <c r="K446" t="str">
        <f t="shared" si="107"/>
        <v>AS89</v>
      </c>
      <c r="L446" t="s">
        <v>2631</v>
      </c>
      <c r="M446">
        <v>162.75</v>
      </c>
    </row>
    <row r="447" spans="1:13" x14ac:dyDescent="0.25">
      <c r="A447" t="str">
        <f t="shared" si="108"/>
        <v>E173</v>
      </c>
      <c r="B447">
        <v>1</v>
      </c>
      <c r="C447" t="str">
        <f t="shared" si="109"/>
        <v>10200</v>
      </c>
      <c r="D447" t="str">
        <f t="shared" si="110"/>
        <v>5620</v>
      </c>
      <c r="E447" t="str">
        <f t="shared" si="111"/>
        <v>094OMS</v>
      </c>
      <c r="F447" t="str">
        <f>""</f>
        <v/>
      </c>
      <c r="G447" t="str">
        <f>""</f>
        <v/>
      </c>
      <c r="H447" s="1">
        <v>42094</v>
      </c>
      <c r="I447" t="str">
        <f>"MLT00084"</f>
        <v>MLT00084</v>
      </c>
      <c r="J447" t="str">
        <f>""</f>
        <v/>
      </c>
      <c r="K447" t="str">
        <f t="shared" si="107"/>
        <v>AS89</v>
      </c>
      <c r="L447" t="s">
        <v>2630</v>
      </c>
      <c r="M447">
        <v>146.4</v>
      </c>
    </row>
    <row r="448" spans="1:13" x14ac:dyDescent="0.25">
      <c r="A448" t="str">
        <f t="shared" si="108"/>
        <v>E173</v>
      </c>
      <c r="B448">
        <v>1</v>
      </c>
      <c r="C448" t="str">
        <f t="shared" si="109"/>
        <v>10200</v>
      </c>
      <c r="D448" t="str">
        <f t="shared" si="110"/>
        <v>5620</v>
      </c>
      <c r="E448" t="str">
        <f t="shared" si="111"/>
        <v>094OMS</v>
      </c>
      <c r="F448" t="str">
        <f>""</f>
        <v/>
      </c>
      <c r="G448" t="str">
        <f>""</f>
        <v/>
      </c>
      <c r="H448" s="1">
        <v>42124</v>
      </c>
      <c r="I448" t="str">
        <f>"MLT00085"</f>
        <v>MLT00085</v>
      </c>
      <c r="J448" t="str">
        <f>""</f>
        <v/>
      </c>
      <c r="K448" t="str">
        <f t="shared" si="107"/>
        <v>AS89</v>
      </c>
      <c r="L448" t="s">
        <v>2629</v>
      </c>
      <c r="M448">
        <v>297.45</v>
      </c>
    </row>
    <row r="449" spans="1:13" x14ac:dyDescent="0.25">
      <c r="A449" t="str">
        <f t="shared" si="108"/>
        <v>E173</v>
      </c>
      <c r="B449">
        <v>1</v>
      </c>
      <c r="C449" t="str">
        <f t="shared" si="109"/>
        <v>10200</v>
      </c>
      <c r="D449" t="str">
        <f t="shared" si="110"/>
        <v>5620</v>
      </c>
      <c r="E449" t="str">
        <f t="shared" si="111"/>
        <v>094OMS</v>
      </c>
      <c r="F449" t="str">
        <f>""</f>
        <v/>
      </c>
      <c r="G449" t="str">
        <f>""</f>
        <v/>
      </c>
      <c r="H449" s="1">
        <v>42153</v>
      </c>
      <c r="I449" t="str">
        <f>"MLT00086"</f>
        <v>MLT00086</v>
      </c>
      <c r="J449" t="str">
        <f>""</f>
        <v/>
      </c>
      <c r="K449" t="str">
        <f t="shared" si="107"/>
        <v>AS89</v>
      </c>
      <c r="L449" t="s">
        <v>2628</v>
      </c>
      <c r="M449">
        <v>219</v>
      </c>
    </row>
    <row r="450" spans="1:13" x14ac:dyDescent="0.25">
      <c r="A450" t="str">
        <f t="shared" si="108"/>
        <v>E173</v>
      </c>
      <c r="B450">
        <v>1</v>
      </c>
      <c r="C450" t="str">
        <f t="shared" si="109"/>
        <v>10200</v>
      </c>
      <c r="D450" t="str">
        <f t="shared" si="110"/>
        <v>5620</v>
      </c>
      <c r="E450" t="str">
        <f t="shared" si="111"/>
        <v>094OMS</v>
      </c>
      <c r="F450" t="str">
        <f>""</f>
        <v/>
      </c>
      <c r="G450" t="str">
        <f>""</f>
        <v/>
      </c>
      <c r="H450" s="1">
        <v>42184</v>
      </c>
      <c r="I450" t="str">
        <f>"MLT00087"</f>
        <v>MLT00087</v>
      </c>
      <c r="J450" t="str">
        <f>""</f>
        <v/>
      </c>
      <c r="K450" t="str">
        <f t="shared" si="107"/>
        <v>AS89</v>
      </c>
      <c r="L450" t="s">
        <v>2627</v>
      </c>
      <c r="M450">
        <v>239.85</v>
      </c>
    </row>
    <row r="451" spans="1:13" x14ac:dyDescent="0.25">
      <c r="A451" t="str">
        <f t="shared" si="108"/>
        <v>E173</v>
      </c>
      <c r="B451">
        <v>1</v>
      </c>
      <c r="C451" t="str">
        <f>"32040"</f>
        <v>32040</v>
      </c>
      <c r="D451" t="str">
        <f t="shared" si="110"/>
        <v>5620</v>
      </c>
      <c r="E451" t="str">
        <f t="shared" ref="E451:E463" si="112">"850LOS"</f>
        <v>850LOS</v>
      </c>
      <c r="F451" t="str">
        <f>""</f>
        <v/>
      </c>
      <c r="G451" t="str">
        <f>""</f>
        <v/>
      </c>
      <c r="H451" s="1">
        <v>41912</v>
      </c>
      <c r="I451" t="str">
        <f>"MLT00077"</f>
        <v>MLT00077</v>
      </c>
      <c r="J451" t="str">
        <f>""</f>
        <v/>
      </c>
      <c r="K451" t="str">
        <f t="shared" si="107"/>
        <v>AS89</v>
      </c>
      <c r="L451" t="s">
        <v>2626</v>
      </c>
      <c r="M451">
        <v>142.5</v>
      </c>
    </row>
    <row r="452" spans="1:13" x14ac:dyDescent="0.25">
      <c r="A452" t="str">
        <f t="shared" si="108"/>
        <v>E173</v>
      </c>
      <c r="B452">
        <v>1</v>
      </c>
      <c r="C452" t="str">
        <f>"32040"</f>
        <v>32040</v>
      </c>
      <c r="D452" t="str">
        <f t="shared" si="110"/>
        <v>5620</v>
      </c>
      <c r="E452" t="str">
        <f t="shared" si="112"/>
        <v>850LOS</v>
      </c>
      <c r="F452" t="str">
        <f>""</f>
        <v/>
      </c>
      <c r="G452" t="str">
        <f>""</f>
        <v/>
      </c>
      <c r="H452" s="1">
        <v>41943</v>
      </c>
      <c r="I452" t="str">
        <f>"MLT00078"</f>
        <v>MLT00078</v>
      </c>
      <c r="J452" t="str">
        <f>""</f>
        <v/>
      </c>
      <c r="K452" t="str">
        <f t="shared" si="107"/>
        <v>AS89</v>
      </c>
      <c r="L452" t="s">
        <v>2625</v>
      </c>
      <c r="M452">
        <v>112.65</v>
      </c>
    </row>
    <row r="453" spans="1:13" x14ac:dyDescent="0.25">
      <c r="A453" t="str">
        <f t="shared" si="108"/>
        <v>E173</v>
      </c>
      <c r="B453">
        <v>1</v>
      </c>
      <c r="C453" t="str">
        <f>"32040"</f>
        <v>32040</v>
      </c>
      <c r="D453" t="str">
        <f t="shared" si="110"/>
        <v>5620</v>
      </c>
      <c r="E453" t="str">
        <f t="shared" si="112"/>
        <v>850LOS</v>
      </c>
      <c r="F453" t="str">
        <f>""</f>
        <v/>
      </c>
      <c r="G453" t="str">
        <f>""</f>
        <v/>
      </c>
      <c r="H453" s="1">
        <v>42094</v>
      </c>
      <c r="I453" t="str">
        <f>"MLT00084"</f>
        <v>MLT00084</v>
      </c>
      <c r="J453" t="str">
        <f>""</f>
        <v/>
      </c>
      <c r="K453" t="str">
        <f t="shared" si="107"/>
        <v>AS89</v>
      </c>
      <c r="L453" t="s">
        <v>2624</v>
      </c>
      <c r="M453">
        <v>106.2</v>
      </c>
    </row>
    <row r="454" spans="1:13" x14ac:dyDescent="0.25">
      <c r="A454" t="str">
        <f t="shared" si="108"/>
        <v>E173</v>
      </c>
      <c r="B454">
        <v>1</v>
      </c>
      <c r="C454" t="str">
        <f>"32040"</f>
        <v>32040</v>
      </c>
      <c r="D454" t="str">
        <f t="shared" si="110"/>
        <v>5620</v>
      </c>
      <c r="E454" t="str">
        <f t="shared" si="112"/>
        <v>850LOS</v>
      </c>
      <c r="F454" t="str">
        <f>""</f>
        <v/>
      </c>
      <c r="G454" t="str">
        <f>""</f>
        <v/>
      </c>
      <c r="H454" s="1">
        <v>42153</v>
      </c>
      <c r="I454" t="str">
        <f>"MLT00086"</f>
        <v>MLT00086</v>
      </c>
      <c r="J454" t="str">
        <f>""</f>
        <v/>
      </c>
      <c r="K454" t="str">
        <f t="shared" si="107"/>
        <v>AS89</v>
      </c>
      <c r="L454" t="s">
        <v>2623</v>
      </c>
      <c r="M454">
        <v>183.6</v>
      </c>
    </row>
    <row r="455" spans="1:13" x14ac:dyDescent="0.25">
      <c r="A455" t="str">
        <f t="shared" si="108"/>
        <v>E173</v>
      </c>
      <c r="B455">
        <v>1</v>
      </c>
      <c r="C455" t="str">
        <f t="shared" ref="C455:C463" si="113">"43000"</f>
        <v>43000</v>
      </c>
      <c r="D455" t="str">
        <f t="shared" si="110"/>
        <v>5620</v>
      </c>
      <c r="E455" t="str">
        <f t="shared" si="112"/>
        <v>850LOS</v>
      </c>
      <c r="F455" t="str">
        <f>""</f>
        <v/>
      </c>
      <c r="G455" t="str">
        <f>""</f>
        <v/>
      </c>
      <c r="H455" s="1">
        <v>42064</v>
      </c>
      <c r="I455" t="str">
        <f>"J0013490"</f>
        <v>J0013490</v>
      </c>
      <c r="J455" t="str">
        <f>""</f>
        <v/>
      </c>
      <c r="K455" t="str">
        <f>"J079"</f>
        <v>J079</v>
      </c>
      <c r="L455" t="s">
        <v>2513</v>
      </c>
      <c r="M455" s="2">
        <v>1255.1400000000001</v>
      </c>
    </row>
    <row r="456" spans="1:13" x14ac:dyDescent="0.25">
      <c r="A456" t="str">
        <f t="shared" si="108"/>
        <v>E173</v>
      </c>
      <c r="B456">
        <v>1</v>
      </c>
      <c r="C456" t="str">
        <f t="shared" si="113"/>
        <v>43000</v>
      </c>
      <c r="D456" t="str">
        <f t="shared" si="110"/>
        <v>5620</v>
      </c>
      <c r="E456" t="str">
        <f t="shared" si="112"/>
        <v>850LOS</v>
      </c>
      <c r="F456" t="str">
        <f>""</f>
        <v/>
      </c>
      <c r="G456" t="str">
        <f>""</f>
        <v/>
      </c>
      <c r="H456" s="1">
        <v>42184</v>
      </c>
      <c r="I456" t="str">
        <f>"MLT00087"</f>
        <v>MLT00087</v>
      </c>
      <c r="J456" t="str">
        <f>""</f>
        <v/>
      </c>
      <c r="K456" t="str">
        <f>"AS89"</f>
        <v>AS89</v>
      </c>
      <c r="L456" t="s">
        <v>2034</v>
      </c>
      <c r="M456">
        <v>159.44999999999999</v>
      </c>
    </row>
    <row r="457" spans="1:13" x14ac:dyDescent="0.25">
      <c r="A457" t="str">
        <f t="shared" si="108"/>
        <v>E173</v>
      </c>
      <c r="B457">
        <v>1</v>
      </c>
      <c r="C457" t="str">
        <f t="shared" si="113"/>
        <v>43000</v>
      </c>
      <c r="D457" t="str">
        <f t="shared" si="110"/>
        <v>5620</v>
      </c>
      <c r="E457" t="str">
        <f t="shared" si="112"/>
        <v>850LOS</v>
      </c>
      <c r="F457" t="str">
        <f>""</f>
        <v/>
      </c>
      <c r="G457" t="str">
        <f>""</f>
        <v/>
      </c>
      <c r="H457" s="1">
        <v>42185</v>
      </c>
      <c r="I457" t="str">
        <f>"J0016407"</f>
        <v>J0016407</v>
      </c>
      <c r="J457" t="str">
        <f>""</f>
        <v/>
      </c>
      <c r="K457" t="str">
        <f>"J079"</f>
        <v>J079</v>
      </c>
      <c r="L457" t="s">
        <v>2510</v>
      </c>
      <c r="M457">
        <v>955.72</v>
      </c>
    </row>
    <row r="458" spans="1:13" x14ac:dyDescent="0.25">
      <c r="A458" t="str">
        <f t="shared" si="108"/>
        <v>E173</v>
      </c>
      <c r="B458">
        <v>1</v>
      </c>
      <c r="C458" t="str">
        <f t="shared" si="113"/>
        <v>43000</v>
      </c>
      <c r="D458" t="str">
        <f t="shared" ref="D458:D463" si="114">"5740"</f>
        <v>5740</v>
      </c>
      <c r="E458" t="str">
        <f t="shared" si="112"/>
        <v>850LOS</v>
      </c>
      <c r="F458" t="str">
        <f>""</f>
        <v/>
      </c>
      <c r="G458" t="str">
        <f>""</f>
        <v/>
      </c>
      <c r="H458" s="1">
        <v>41851</v>
      </c>
      <c r="I458" t="str">
        <f>"MLT00075"</f>
        <v>MLT00075</v>
      </c>
      <c r="J458" t="str">
        <f>""</f>
        <v/>
      </c>
      <c r="K458" t="str">
        <f t="shared" ref="K458:K467" si="115">"AS89"</f>
        <v>AS89</v>
      </c>
      <c r="L458" t="s">
        <v>2383</v>
      </c>
      <c r="M458">
        <v>141.6</v>
      </c>
    </row>
    <row r="459" spans="1:13" x14ac:dyDescent="0.25">
      <c r="A459" t="str">
        <f t="shared" si="108"/>
        <v>E173</v>
      </c>
      <c r="B459">
        <v>1</v>
      </c>
      <c r="C459" t="str">
        <f t="shared" si="113"/>
        <v>43000</v>
      </c>
      <c r="D459" t="str">
        <f t="shared" si="114"/>
        <v>5740</v>
      </c>
      <c r="E459" t="str">
        <f t="shared" si="112"/>
        <v>850LOS</v>
      </c>
      <c r="F459" t="str">
        <f>""</f>
        <v/>
      </c>
      <c r="G459" t="str">
        <f>""</f>
        <v/>
      </c>
      <c r="H459" s="1">
        <v>42004</v>
      </c>
      <c r="I459" t="str">
        <f>"MLT00080"</f>
        <v>MLT00080</v>
      </c>
      <c r="J459" t="str">
        <f>""</f>
        <v/>
      </c>
      <c r="K459" t="str">
        <f t="shared" si="115"/>
        <v>AS89</v>
      </c>
      <c r="L459" t="s">
        <v>2378</v>
      </c>
      <c r="M459">
        <v>102.9</v>
      </c>
    </row>
    <row r="460" spans="1:13" x14ac:dyDescent="0.25">
      <c r="A460" t="str">
        <f t="shared" si="108"/>
        <v>E173</v>
      </c>
      <c r="B460">
        <v>1</v>
      </c>
      <c r="C460" t="str">
        <f t="shared" si="113"/>
        <v>43000</v>
      </c>
      <c r="D460" t="str">
        <f t="shared" si="114"/>
        <v>5740</v>
      </c>
      <c r="E460" t="str">
        <f t="shared" si="112"/>
        <v>850LOS</v>
      </c>
      <c r="F460" t="str">
        <f>""</f>
        <v/>
      </c>
      <c r="G460" t="str">
        <f>""</f>
        <v/>
      </c>
      <c r="H460" s="1">
        <v>42035</v>
      </c>
      <c r="I460" t="str">
        <f>"MLT00082"</f>
        <v>MLT00082</v>
      </c>
      <c r="J460" t="str">
        <f>""</f>
        <v/>
      </c>
      <c r="K460" t="str">
        <f t="shared" si="115"/>
        <v>AS89</v>
      </c>
      <c r="L460" t="s">
        <v>2622</v>
      </c>
      <c r="M460">
        <v>114.9</v>
      </c>
    </row>
    <row r="461" spans="1:13" x14ac:dyDescent="0.25">
      <c r="A461" t="str">
        <f t="shared" si="108"/>
        <v>E173</v>
      </c>
      <c r="B461">
        <v>1</v>
      </c>
      <c r="C461" t="str">
        <f t="shared" si="113"/>
        <v>43000</v>
      </c>
      <c r="D461" t="str">
        <f t="shared" si="114"/>
        <v>5740</v>
      </c>
      <c r="E461" t="str">
        <f t="shared" si="112"/>
        <v>850LOS</v>
      </c>
      <c r="F461" t="str">
        <f>""</f>
        <v/>
      </c>
      <c r="G461" t="str">
        <f>""</f>
        <v/>
      </c>
      <c r="H461" s="1">
        <v>42062</v>
      </c>
      <c r="I461" t="str">
        <f>"MLT00083"</f>
        <v>MLT00083</v>
      </c>
      <c r="J461" t="str">
        <f>""</f>
        <v/>
      </c>
      <c r="K461" t="str">
        <f t="shared" si="115"/>
        <v>AS89</v>
      </c>
      <c r="L461" t="s">
        <v>2621</v>
      </c>
      <c r="M461">
        <v>189.45</v>
      </c>
    </row>
    <row r="462" spans="1:13" x14ac:dyDescent="0.25">
      <c r="A462" t="str">
        <f t="shared" si="108"/>
        <v>E173</v>
      </c>
      <c r="B462">
        <v>1</v>
      </c>
      <c r="C462" t="str">
        <f t="shared" si="113"/>
        <v>43000</v>
      </c>
      <c r="D462" t="str">
        <f t="shared" si="114"/>
        <v>5740</v>
      </c>
      <c r="E462" t="str">
        <f t="shared" si="112"/>
        <v>850LOS</v>
      </c>
      <c r="F462" t="str">
        <f>""</f>
        <v/>
      </c>
      <c r="G462" t="str">
        <f>""</f>
        <v/>
      </c>
      <c r="H462" s="1">
        <v>42124</v>
      </c>
      <c r="I462" t="str">
        <f>"MLT00085"</f>
        <v>MLT00085</v>
      </c>
      <c r="J462" t="str">
        <f>""</f>
        <v/>
      </c>
      <c r="K462" t="str">
        <f t="shared" si="115"/>
        <v>AS89</v>
      </c>
      <c r="L462" t="s">
        <v>2036</v>
      </c>
      <c r="M462">
        <v>152.25</v>
      </c>
    </row>
    <row r="463" spans="1:13" x14ac:dyDescent="0.25">
      <c r="A463" t="str">
        <f t="shared" si="108"/>
        <v>E173</v>
      </c>
      <c r="B463">
        <v>1</v>
      </c>
      <c r="C463" t="str">
        <f t="shared" si="113"/>
        <v>43000</v>
      </c>
      <c r="D463" t="str">
        <f t="shared" si="114"/>
        <v>5740</v>
      </c>
      <c r="E463" t="str">
        <f t="shared" si="112"/>
        <v>850LOS</v>
      </c>
      <c r="F463" t="str">
        <f>""</f>
        <v/>
      </c>
      <c r="G463" t="str">
        <f>""</f>
        <v/>
      </c>
      <c r="H463" s="1">
        <v>42153</v>
      </c>
      <c r="I463" t="str">
        <f>"MLT00086"</f>
        <v>MLT00086</v>
      </c>
      <c r="J463" t="str">
        <f>""</f>
        <v/>
      </c>
      <c r="K463" t="str">
        <f t="shared" si="115"/>
        <v>AS89</v>
      </c>
      <c r="L463" t="s">
        <v>2035</v>
      </c>
      <c r="M463">
        <v>192.15</v>
      </c>
    </row>
    <row r="464" spans="1:13" x14ac:dyDescent="0.25">
      <c r="A464" t="str">
        <f>"E178"</f>
        <v>E178</v>
      </c>
      <c r="B464">
        <v>1</v>
      </c>
      <c r="C464" t="str">
        <f>"23275"</f>
        <v>23275</v>
      </c>
      <c r="D464" t="str">
        <f t="shared" ref="D464:D511" si="116">"5620"</f>
        <v>5620</v>
      </c>
      <c r="E464" t="str">
        <f>"063STF"</f>
        <v>063STF</v>
      </c>
      <c r="F464" t="str">
        <f>""</f>
        <v/>
      </c>
      <c r="G464" t="str">
        <f>""</f>
        <v/>
      </c>
      <c r="H464" s="1">
        <v>42004</v>
      </c>
      <c r="I464" t="str">
        <f>"PCD00700"</f>
        <v>PCD00700</v>
      </c>
      <c r="J464" t="str">
        <f>""</f>
        <v/>
      </c>
      <c r="K464" t="str">
        <f t="shared" si="115"/>
        <v>AS89</v>
      </c>
      <c r="L464" t="s">
        <v>2620</v>
      </c>
      <c r="M464">
        <v>596.75</v>
      </c>
    </row>
    <row r="465" spans="1:13" x14ac:dyDescent="0.25">
      <c r="A465" t="str">
        <f t="shared" ref="A465:A471" si="117">"E191"</f>
        <v>E191</v>
      </c>
      <c r="B465">
        <v>1</v>
      </c>
      <c r="C465" t="str">
        <f>"10200"</f>
        <v>10200</v>
      </c>
      <c r="D465" t="str">
        <f t="shared" si="116"/>
        <v>5620</v>
      </c>
      <c r="E465" t="str">
        <f>"094OMS"</f>
        <v>094OMS</v>
      </c>
      <c r="F465" t="str">
        <f>""</f>
        <v/>
      </c>
      <c r="G465" t="str">
        <f>""</f>
        <v/>
      </c>
      <c r="H465" s="1">
        <v>41851</v>
      </c>
      <c r="I465" t="str">
        <f>"PCD00675"</f>
        <v>PCD00675</v>
      </c>
      <c r="J465" t="str">
        <f>""</f>
        <v/>
      </c>
      <c r="K465" t="str">
        <f t="shared" si="115"/>
        <v>AS89</v>
      </c>
      <c r="L465" t="s">
        <v>2619</v>
      </c>
      <c r="M465">
        <v>175</v>
      </c>
    </row>
    <row r="466" spans="1:13" x14ac:dyDescent="0.25">
      <c r="A466" t="str">
        <f t="shared" si="117"/>
        <v>E191</v>
      </c>
      <c r="B466">
        <v>1</v>
      </c>
      <c r="C466" t="str">
        <f>"10200"</f>
        <v>10200</v>
      </c>
      <c r="D466" t="str">
        <f t="shared" si="116"/>
        <v>5620</v>
      </c>
      <c r="E466" t="str">
        <f>"094OMS"</f>
        <v>094OMS</v>
      </c>
      <c r="F466" t="str">
        <f>""</f>
        <v/>
      </c>
      <c r="G466" t="str">
        <f>""</f>
        <v/>
      </c>
      <c r="H466" s="1">
        <v>41943</v>
      </c>
      <c r="I466" t="str">
        <f>"PCD00691"</f>
        <v>PCD00691</v>
      </c>
      <c r="J466" t="str">
        <f>""</f>
        <v/>
      </c>
      <c r="K466" t="str">
        <f t="shared" si="115"/>
        <v>AS89</v>
      </c>
      <c r="L466" t="s">
        <v>2618</v>
      </c>
      <c r="M466">
        <v>300</v>
      </c>
    </row>
    <row r="467" spans="1:13" x14ac:dyDescent="0.25">
      <c r="A467" t="str">
        <f t="shared" si="117"/>
        <v>E191</v>
      </c>
      <c r="B467">
        <v>1</v>
      </c>
      <c r="C467" t="str">
        <f>"10200"</f>
        <v>10200</v>
      </c>
      <c r="D467" t="str">
        <f t="shared" si="116"/>
        <v>5620</v>
      </c>
      <c r="E467" t="str">
        <f>"094OMS"</f>
        <v>094OMS</v>
      </c>
      <c r="F467" t="str">
        <f>""</f>
        <v/>
      </c>
      <c r="G467" t="str">
        <f>""</f>
        <v/>
      </c>
      <c r="H467" s="1">
        <v>42094</v>
      </c>
      <c r="I467" t="str">
        <f>"PCD00715"</f>
        <v>PCD00715</v>
      </c>
      <c r="J467" t="str">
        <f>""</f>
        <v/>
      </c>
      <c r="K467" t="str">
        <f t="shared" si="115"/>
        <v>AS89</v>
      </c>
      <c r="L467" t="s">
        <v>2617</v>
      </c>
      <c r="M467">
        <v>140</v>
      </c>
    </row>
    <row r="468" spans="1:13" x14ac:dyDescent="0.25">
      <c r="A468" t="str">
        <f t="shared" si="117"/>
        <v>E191</v>
      </c>
      <c r="B468">
        <v>1</v>
      </c>
      <c r="C468" t="str">
        <f>"10200"</f>
        <v>10200</v>
      </c>
      <c r="D468" t="str">
        <f t="shared" si="116"/>
        <v>5620</v>
      </c>
      <c r="E468" t="str">
        <f>"094OMS"</f>
        <v>094OMS</v>
      </c>
      <c r="F468" t="str">
        <f>""</f>
        <v/>
      </c>
      <c r="G468" t="str">
        <f>""</f>
        <v/>
      </c>
      <c r="H468" s="1">
        <v>42185</v>
      </c>
      <c r="I468" t="str">
        <f>"225761"</f>
        <v>225761</v>
      </c>
      <c r="J468" t="str">
        <f>""</f>
        <v/>
      </c>
      <c r="K468" t="str">
        <f>"INNI"</f>
        <v>INNI</v>
      </c>
      <c r="L468" t="s">
        <v>181</v>
      </c>
      <c r="M468">
        <v>600</v>
      </c>
    </row>
    <row r="469" spans="1:13" x14ac:dyDescent="0.25">
      <c r="A469" t="str">
        <f t="shared" si="117"/>
        <v>E191</v>
      </c>
      <c r="B469">
        <v>1</v>
      </c>
      <c r="C469" t="str">
        <f>"43000"</f>
        <v>43000</v>
      </c>
      <c r="D469" t="str">
        <f t="shared" si="116"/>
        <v>5620</v>
      </c>
      <c r="E469" t="str">
        <f>"850LOS"</f>
        <v>850LOS</v>
      </c>
      <c r="F469" t="str">
        <f>"PKOLOT"</f>
        <v>PKOLOT</v>
      </c>
      <c r="G469" t="str">
        <f>""</f>
        <v/>
      </c>
      <c r="H469" s="1">
        <v>42094</v>
      </c>
      <c r="I469" t="str">
        <f>"PCD00715"</f>
        <v>PCD00715</v>
      </c>
      <c r="J469" t="str">
        <f>""</f>
        <v/>
      </c>
      <c r="K469" t="str">
        <f>"AS89"</f>
        <v>AS89</v>
      </c>
      <c r="L469" t="s">
        <v>2616</v>
      </c>
      <c r="M469">
        <v>120</v>
      </c>
    </row>
    <row r="470" spans="1:13" x14ac:dyDescent="0.25">
      <c r="A470" t="str">
        <f t="shared" si="117"/>
        <v>E191</v>
      </c>
      <c r="B470">
        <v>1</v>
      </c>
      <c r="C470" t="str">
        <f>"43000"</f>
        <v>43000</v>
      </c>
      <c r="D470" t="str">
        <f t="shared" si="116"/>
        <v>5620</v>
      </c>
      <c r="E470" t="str">
        <f>"850LOS"</f>
        <v>850LOS</v>
      </c>
      <c r="F470" t="str">
        <f>""</f>
        <v/>
      </c>
      <c r="G470" t="str">
        <f>""</f>
        <v/>
      </c>
      <c r="H470" s="1">
        <v>42035</v>
      </c>
      <c r="I470" t="str">
        <f>"PCD00705"</f>
        <v>PCD00705</v>
      </c>
      <c r="J470" t="str">
        <f>""</f>
        <v/>
      </c>
      <c r="K470" t="str">
        <f>"AS89"</f>
        <v>AS89</v>
      </c>
      <c r="L470" t="s">
        <v>2615</v>
      </c>
      <c r="M470">
        <v>199</v>
      </c>
    </row>
    <row r="471" spans="1:13" x14ac:dyDescent="0.25">
      <c r="A471" t="str">
        <f t="shared" si="117"/>
        <v>E191</v>
      </c>
      <c r="B471">
        <v>1</v>
      </c>
      <c r="C471" t="str">
        <f>"43000"</f>
        <v>43000</v>
      </c>
      <c r="D471" t="str">
        <f t="shared" si="116"/>
        <v>5620</v>
      </c>
      <c r="E471" t="str">
        <f>"850PKE"</f>
        <v>850PKE</v>
      </c>
      <c r="F471" t="str">
        <f>""</f>
        <v/>
      </c>
      <c r="G471" t="str">
        <f>""</f>
        <v/>
      </c>
      <c r="H471" s="1">
        <v>42035</v>
      </c>
      <c r="I471" t="str">
        <f>"PCD00705"</f>
        <v>PCD00705</v>
      </c>
      <c r="J471" t="str">
        <f>""</f>
        <v/>
      </c>
      <c r="K471" t="str">
        <f>"AS89"</f>
        <v>AS89</v>
      </c>
      <c r="L471" t="s">
        <v>2615</v>
      </c>
      <c r="M471">
        <v>199</v>
      </c>
    </row>
    <row r="472" spans="1:13" x14ac:dyDescent="0.25">
      <c r="A472" t="str">
        <f t="shared" ref="A472:A482" si="118">"E192"</f>
        <v>E192</v>
      </c>
      <c r="B472">
        <v>1</v>
      </c>
      <c r="C472" t="str">
        <f t="shared" ref="C472:C477" si="119">"10200"</f>
        <v>10200</v>
      </c>
      <c r="D472" t="str">
        <f t="shared" si="116"/>
        <v>5620</v>
      </c>
      <c r="E472" t="str">
        <f t="shared" ref="E472:E477" si="120">"094OMS"</f>
        <v>094OMS</v>
      </c>
      <c r="F472" t="str">
        <f>""</f>
        <v/>
      </c>
      <c r="G472" t="str">
        <f>""</f>
        <v/>
      </c>
      <c r="H472" s="1">
        <v>41935</v>
      </c>
      <c r="I472" t="str">
        <f>"222508"</f>
        <v>222508</v>
      </c>
      <c r="J472" t="str">
        <f>""</f>
        <v/>
      </c>
      <c r="K472" t="str">
        <f>"INNI"</f>
        <v>INNI</v>
      </c>
      <c r="L472" t="s">
        <v>188</v>
      </c>
      <c r="M472">
        <v>100</v>
      </c>
    </row>
    <row r="473" spans="1:13" x14ac:dyDescent="0.25">
      <c r="A473" t="str">
        <f t="shared" si="118"/>
        <v>E192</v>
      </c>
      <c r="B473">
        <v>1</v>
      </c>
      <c r="C473" t="str">
        <f t="shared" si="119"/>
        <v>10200</v>
      </c>
      <c r="D473" t="str">
        <f t="shared" si="116"/>
        <v>5620</v>
      </c>
      <c r="E473" t="str">
        <f t="shared" si="120"/>
        <v>094OMS</v>
      </c>
      <c r="F473" t="str">
        <f>""</f>
        <v/>
      </c>
      <c r="G473" t="str">
        <f>""</f>
        <v/>
      </c>
      <c r="H473" s="1">
        <v>42045</v>
      </c>
      <c r="I473" t="str">
        <f>"222516"</f>
        <v>222516</v>
      </c>
      <c r="J473" t="str">
        <f>""</f>
        <v/>
      </c>
      <c r="K473" t="str">
        <f>"INNI"</f>
        <v>INNI</v>
      </c>
      <c r="L473" t="s">
        <v>2614</v>
      </c>
      <c r="M473">
        <v>331</v>
      </c>
    </row>
    <row r="474" spans="1:13" x14ac:dyDescent="0.25">
      <c r="A474" t="str">
        <f t="shared" si="118"/>
        <v>E192</v>
      </c>
      <c r="B474">
        <v>1</v>
      </c>
      <c r="C474" t="str">
        <f t="shared" si="119"/>
        <v>10200</v>
      </c>
      <c r="D474" t="str">
        <f t="shared" si="116"/>
        <v>5620</v>
      </c>
      <c r="E474" t="str">
        <f t="shared" si="120"/>
        <v>094OMS</v>
      </c>
      <c r="F474" t="str">
        <f>""</f>
        <v/>
      </c>
      <c r="G474" t="str">
        <f>""</f>
        <v/>
      </c>
      <c r="H474" s="1">
        <v>42062</v>
      </c>
      <c r="I474" t="str">
        <f>"PCD00709"</f>
        <v>PCD00709</v>
      </c>
      <c r="J474" t="str">
        <f>""</f>
        <v/>
      </c>
      <c r="K474" t="str">
        <f t="shared" ref="K474:K482" si="121">"AS89"</f>
        <v>AS89</v>
      </c>
      <c r="L474" t="s">
        <v>2613</v>
      </c>
      <c r="M474">
        <v>180</v>
      </c>
    </row>
    <row r="475" spans="1:13" x14ac:dyDescent="0.25">
      <c r="A475" t="str">
        <f t="shared" si="118"/>
        <v>E192</v>
      </c>
      <c r="B475">
        <v>1</v>
      </c>
      <c r="C475" t="str">
        <f t="shared" si="119"/>
        <v>10200</v>
      </c>
      <c r="D475" t="str">
        <f t="shared" si="116"/>
        <v>5620</v>
      </c>
      <c r="E475" t="str">
        <f t="shared" si="120"/>
        <v>094OMS</v>
      </c>
      <c r="F475" t="str">
        <f>""</f>
        <v/>
      </c>
      <c r="G475" t="str">
        <f>""</f>
        <v/>
      </c>
      <c r="H475" s="1">
        <v>42094</v>
      </c>
      <c r="I475" t="str">
        <f>"PCD00715"</f>
        <v>PCD00715</v>
      </c>
      <c r="J475" t="str">
        <f>""</f>
        <v/>
      </c>
      <c r="K475" t="str">
        <f t="shared" si="121"/>
        <v>AS89</v>
      </c>
      <c r="L475" t="s">
        <v>2612</v>
      </c>
      <c r="M475">
        <v>350</v>
      </c>
    </row>
    <row r="476" spans="1:13" x14ac:dyDescent="0.25">
      <c r="A476" t="str">
        <f t="shared" si="118"/>
        <v>E192</v>
      </c>
      <c r="B476">
        <v>1</v>
      </c>
      <c r="C476" t="str">
        <f t="shared" si="119"/>
        <v>10200</v>
      </c>
      <c r="D476" t="str">
        <f t="shared" si="116"/>
        <v>5620</v>
      </c>
      <c r="E476" t="str">
        <f t="shared" si="120"/>
        <v>094OMS</v>
      </c>
      <c r="F476" t="str">
        <f>""</f>
        <v/>
      </c>
      <c r="G476" t="str">
        <f>""</f>
        <v/>
      </c>
      <c r="H476" s="1">
        <v>42094</v>
      </c>
      <c r="I476" t="str">
        <f>"PCD00715"</f>
        <v>PCD00715</v>
      </c>
      <c r="J476" t="str">
        <f>""</f>
        <v/>
      </c>
      <c r="K476" t="str">
        <f t="shared" si="121"/>
        <v>AS89</v>
      </c>
      <c r="L476" t="s">
        <v>2611</v>
      </c>
      <c r="M476">
        <v>100</v>
      </c>
    </row>
    <row r="477" spans="1:13" x14ac:dyDescent="0.25">
      <c r="A477" t="str">
        <f t="shared" si="118"/>
        <v>E192</v>
      </c>
      <c r="B477">
        <v>1</v>
      </c>
      <c r="C477" t="str">
        <f t="shared" si="119"/>
        <v>10200</v>
      </c>
      <c r="D477" t="str">
        <f t="shared" si="116"/>
        <v>5620</v>
      </c>
      <c r="E477" t="str">
        <f t="shared" si="120"/>
        <v>094OMS</v>
      </c>
      <c r="F477" t="str">
        <f>""</f>
        <v/>
      </c>
      <c r="G477" t="str">
        <f>""</f>
        <v/>
      </c>
      <c r="H477" s="1">
        <v>42185</v>
      </c>
      <c r="I477" t="str">
        <f>"PCD00730"</f>
        <v>PCD00730</v>
      </c>
      <c r="J477" t="str">
        <f>""</f>
        <v/>
      </c>
      <c r="K477" t="str">
        <f t="shared" si="121"/>
        <v>AS89</v>
      </c>
      <c r="L477" t="s">
        <v>2610</v>
      </c>
      <c r="M477">
        <v>100</v>
      </c>
    </row>
    <row r="478" spans="1:13" x14ac:dyDescent="0.25">
      <c r="A478" t="str">
        <f t="shared" si="118"/>
        <v>E192</v>
      </c>
      <c r="B478">
        <v>1</v>
      </c>
      <c r="C478" t="str">
        <f>"32040"</f>
        <v>32040</v>
      </c>
      <c r="D478" t="str">
        <f t="shared" si="116"/>
        <v>5620</v>
      </c>
      <c r="E478" t="str">
        <f>"850LCK"</f>
        <v>850LCK</v>
      </c>
      <c r="F478" t="str">
        <f>""</f>
        <v/>
      </c>
      <c r="G478" t="str">
        <f>""</f>
        <v/>
      </c>
      <c r="H478" s="1">
        <v>41973</v>
      </c>
      <c r="I478" t="str">
        <f>"PCD00694"</f>
        <v>PCD00694</v>
      </c>
      <c r="J478" t="str">
        <f>""</f>
        <v/>
      </c>
      <c r="K478" t="str">
        <f t="shared" si="121"/>
        <v>AS89</v>
      </c>
      <c r="L478" t="s">
        <v>2609</v>
      </c>
      <c r="M478">
        <v>221</v>
      </c>
    </row>
    <row r="479" spans="1:13" x14ac:dyDescent="0.25">
      <c r="A479" t="str">
        <f t="shared" si="118"/>
        <v>E192</v>
      </c>
      <c r="B479">
        <v>1</v>
      </c>
      <c r="C479" t="str">
        <f>"32040"</f>
        <v>32040</v>
      </c>
      <c r="D479" t="str">
        <f t="shared" si="116"/>
        <v>5620</v>
      </c>
      <c r="E479" t="str">
        <f>"850LCK"</f>
        <v>850LCK</v>
      </c>
      <c r="F479" t="str">
        <f>""</f>
        <v/>
      </c>
      <c r="G479" t="str">
        <f>""</f>
        <v/>
      </c>
      <c r="H479" s="1">
        <v>41973</v>
      </c>
      <c r="I479" t="str">
        <f>"PCD00694"</f>
        <v>PCD00694</v>
      </c>
      <c r="J479" t="str">
        <f>""</f>
        <v/>
      </c>
      <c r="K479" t="str">
        <f t="shared" si="121"/>
        <v>AS89</v>
      </c>
      <c r="L479" t="s">
        <v>2608</v>
      </c>
      <c r="M479">
        <v>221</v>
      </c>
    </row>
    <row r="480" spans="1:13" x14ac:dyDescent="0.25">
      <c r="A480" t="str">
        <f t="shared" si="118"/>
        <v>E192</v>
      </c>
      <c r="B480">
        <v>1</v>
      </c>
      <c r="C480" t="str">
        <f>"32040"</f>
        <v>32040</v>
      </c>
      <c r="D480" t="str">
        <f t="shared" si="116"/>
        <v>5620</v>
      </c>
      <c r="E480" t="str">
        <f>"850LCK"</f>
        <v>850LCK</v>
      </c>
      <c r="F480" t="str">
        <f>""</f>
        <v/>
      </c>
      <c r="G480" t="str">
        <f>""</f>
        <v/>
      </c>
      <c r="H480" s="1">
        <v>41973</v>
      </c>
      <c r="I480" t="str">
        <f>"PCD00694"</f>
        <v>PCD00694</v>
      </c>
      <c r="J480" t="str">
        <f>""</f>
        <v/>
      </c>
      <c r="K480" t="str">
        <f t="shared" si="121"/>
        <v>AS89</v>
      </c>
      <c r="L480" t="s">
        <v>2607</v>
      </c>
      <c r="M480">
        <v>221</v>
      </c>
    </row>
    <row r="481" spans="1:13" x14ac:dyDescent="0.25">
      <c r="A481" t="str">
        <f t="shared" si="118"/>
        <v>E192</v>
      </c>
      <c r="B481">
        <v>1</v>
      </c>
      <c r="C481" t="str">
        <f>"32040"</f>
        <v>32040</v>
      </c>
      <c r="D481" t="str">
        <f t="shared" si="116"/>
        <v>5620</v>
      </c>
      <c r="E481" t="str">
        <f>"850LCK"</f>
        <v>850LCK</v>
      </c>
      <c r="F481" t="str">
        <f>""</f>
        <v/>
      </c>
      <c r="G481" t="str">
        <f>""</f>
        <v/>
      </c>
      <c r="H481" s="1">
        <v>42094</v>
      </c>
      <c r="I481" t="str">
        <f>"PCD00715"</f>
        <v>PCD00715</v>
      </c>
      <c r="J481" t="str">
        <f>""</f>
        <v/>
      </c>
      <c r="K481" t="str">
        <f t="shared" si="121"/>
        <v>AS89</v>
      </c>
      <c r="L481" t="s">
        <v>2606</v>
      </c>
      <c r="M481">
        <v>201</v>
      </c>
    </row>
    <row r="482" spans="1:13" x14ac:dyDescent="0.25">
      <c r="A482" t="str">
        <f t="shared" si="118"/>
        <v>E192</v>
      </c>
      <c r="B482">
        <v>1</v>
      </c>
      <c r="C482" t="str">
        <f>"32040"</f>
        <v>32040</v>
      </c>
      <c r="D482" t="str">
        <f t="shared" si="116"/>
        <v>5620</v>
      </c>
      <c r="E482" t="str">
        <f>"850LCK"</f>
        <v>850LCK</v>
      </c>
      <c r="F482" t="str">
        <f>""</f>
        <v/>
      </c>
      <c r="G482" t="str">
        <f>""</f>
        <v/>
      </c>
      <c r="H482" s="1">
        <v>42124</v>
      </c>
      <c r="I482" t="str">
        <f>"PCD00720"</f>
        <v>PCD00720</v>
      </c>
      <c r="J482" t="str">
        <f>""</f>
        <v/>
      </c>
      <c r="K482" t="str">
        <f t="shared" si="121"/>
        <v>AS89</v>
      </c>
      <c r="L482" t="s">
        <v>2605</v>
      </c>
      <c r="M482">
        <v>201</v>
      </c>
    </row>
    <row r="483" spans="1:13" x14ac:dyDescent="0.25">
      <c r="A483" t="str">
        <f>"E193"</f>
        <v>E193</v>
      </c>
      <c r="B483">
        <v>1</v>
      </c>
      <c r="C483" t="str">
        <f>"10200"</f>
        <v>10200</v>
      </c>
      <c r="D483" t="str">
        <f t="shared" si="116"/>
        <v>5620</v>
      </c>
      <c r="E483" t="str">
        <f>"094OMS"</f>
        <v>094OMS</v>
      </c>
      <c r="F483" t="str">
        <f>""</f>
        <v/>
      </c>
      <c r="G483" t="str">
        <f>""</f>
        <v/>
      </c>
      <c r="H483" s="1">
        <v>41925</v>
      </c>
      <c r="I483" t="str">
        <f>"Q89016"</f>
        <v>Q89016</v>
      </c>
      <c r="J483" t="str">
        <f>""</f>
        <v/>
      </c>
      <c r="K483" t="str">
        <f>"INNI"</f>
        <v>INNI</v>
      </c>
      <c r="L483" t="s">
        <v>1930</v>
      </c>
      <c r="M483">
        <v>140</v>
      </c>
    </row>
    <row r="484" spans="1:13" x14ac:dyDescent="0.25">
      <c r="A484" t="str">
        <f>"E193"</f>
        <v>E193</v>
      </c>
      <c r="B484">
        <v>1</v>
      </c>
      <c r="C484" t="str">
        <f>"43000"</f>
        <v>43000</v>
      </c>
      <c r="D484" t="str">
        <f t="shared" si="116"/>
        <v>5620</v>
      </c>
      <c r="E484" t="str">
        <f>"850LOS"</f>
        <v>850LOS</v>
      </c>
      <c r="F484" t="str">
        <f>""</f>
        <v/>
      </c>
      <c r="G484" t="str">
        <f>""</f>
        <v/>
      </c>
      <c r="H484" s="1">
        <v>41851</v>
      </c>
      <c r="I484" t="str">
        <f>"PCD00675"</f>
        <v>PCD00675</v>
      </c>
      <c r="J484" t="str">
        <f>""</f>
        <v/>
      </c>
      <c r="K484" t="str">
        <f>"AS89"</f>
        <v>AS89</v>
      </c>
      <c r="L484" t="s">
        <v>2604</v>
      </c>
      <c r="M484">
        <v>295</v>
      </c>
    </row>
    <row r="485" spans="1:13" x14ac:dyDescent="0.25">
      <c r="A485" t="str">
        <f>"E193"</f>
        <v>E193</v>
      </c>
      <c r="B485">
        <v>1</v>
      </c>
      <c r="C485" t="str">
        <f>"43000"</f>
        <v>43000</v>
      </c>
      <c r="D485" t="str">
        <f t="shared" si="116"/>
        <v>5620</v>
      </c>
      <c r="E485" t="str">
        <f>"850LOS"</f>
        <v>850LOS</v>
      </c>
      <c r="F485" t="str">
        <f>""</f>
        <v/>
      </c>
      <c r="G485" t="str">
        <f>""</f>
        <v/>
      </c>
      <c r="H485" s="1">
        <v>41946</v>
      </c>
      <c r="I485" t="str">
        <f>"220971"</f>
        <v>220971</v>
      </c>
      <c r="J485" t="str">
        <f>""</f>
        <v/>
      </c>
      <c r="K485" t="str">
        <f>"INNI"</f>
        <v>INNI</v>
      </c>
      <c r="L485" t="s">
        <v>229</v>
      </c>
      <c r="M485" s="2">
        <v>1990</v>
      </c>
    </row>
    <row r="486" spans="1:13" x14ac:dyDescent="0.25">
      <c r="A486" t="str">
        <f>"E200"</f>
        <v>E200</v>
      </c>
      <c r="B486">
        <v>1</v>
      </c>
      <c r="C486" t="str">
        <f>"43000"</f>
        <v>43000</v>
      </c>
      <c r="D486" t="str">
        <f t="shared" si="116"/>
        <v>5620</v>
      </c>
      <c r="E486" t="str">
        <f>"850LOS"</f>
        <v>850LOS</v>
      </c>
      <c r="F486" t="str">
        <f>""</f>
        <v/>
      </c>
      <c r="G486" t="str">
        <f>""</f>
        <v/>
      </c>
      <c r="H486" s="1">
        <v>42101</v>
      </c>
      <c r="I486" t="str">
        <f>"ADM00009"</f>
        <v>ADM00009</v>
      </c>
      <c r="J486" t="str">
        <f>""</f>
        <v/>
      </c>
      <c r="K486" t="str">
        <f>"AS89"</f>
        <v>AS89</v>
      </c>
      <c r="L486" t="s">
        <v>1352</v>
      </c>
      <c r="M486">
        <v>900</v>
      </c>
    </row>
    <row r="487" spans="1:13" x14ac:dyDescent="0.25">
      <c r="A487" t="str">
        <f>"E200"</f>
        <v>E200</v>
      </c>
      <c r="B487">
        <v>1</v>
      </c>
      <c r="C487" t="str">
        <f>"43000"</f>
        <v>43000</v>
      </c>
      <c r="D487" t="str">
        <f t="shared" si="116"/>
        <v>5620</v>
      </c>
      <c r="E487" t="str">
        <f>"850LOS"</f>
        <v>850LOS</v>
      </c>
      <c r="F487" t="str">
        <f>""</f>
        <v/>
      </c>
      <c r="G487" t="str">
        <f>""</f>
        <v/>
      </c>
      <c r="H487" s="1">
        <v>42157</v>
      </c>
      <c r="I487" t="str">
        <f>"ADM00010"</f>
        <v>ADM00010</v>
      </c>
      <c r="J487" t="str">
        <f>""</f>
        <v/>
      </c>
      <c r="K487" t="str">
        <f>"AS89"</f>
        <v>AS89</v>
      </c>
      <c r="L487" t="s">
        <v>1352</v>
      </c>
      <c r="M487">
        <v>900</v>
      </c>
    </row>
    <row r="488" spans="1:13" x14ac:dyDescent="0.25">
      <c r="A488" t="str">
        <f t="shared" ref="A488:A497" si="122">"E209"</f>
        <v>E209</v>
      </c>
      <c r="B488">
        <v>1</v>
      </c>
      <c r="C488" t="str">
        <f>"23275"</f>
        <v>23275</v>
      </c>
      <c r="D488" t="str">
        <f t="shared" si="116"/>
        <v>5620</v>
      </c>
      <c r="E488" t="str">
        <f>"063STF"</f>
        <v>063STF</v>
      </c>
      <c r="F488" t="str">
        <f>""</f>
        <v/>
      </c>
      <c r="G488" t="str">
        <f>""</f>
        <v/>
      </c>
      <c r="H488" s="1">
        <v>42064</v>
      </c>
      <c r="I488" t="str">
        <f>"J0013435"</f>
        <v>J0013435</v>
      </c>
      <c r="J488" t="str">
        <f>""</f>
        <v/>
      </c>
      <c r="K488" t="str">
        <f>"J089"</f>
        <v>J089</v>
      </c>
      <c r="L488" t="s">
        <v>2603</v>
      </c>
      <c r="M488">
        <v>135.72</v>
      </c>
    </row>
    <row r="489" spans="1:13" x14ac:dyDescent="0.25">
      <c r="A489" t="str">
        <f t="shared" si="122"/>
        <v>E209</v>
      </c>
      <c r="B489">
        <v>1</v>
      </c>
      <c r="C489" t="str">
        <f t="shared" ref="C489:C497" si="123">"24081"</f>
        <v>24081</v>
      </c>
      <c r="D489" t="str">
        <f t="shared" si="116"/>
        <v>5620</v>
      </c>
      <c r="E489" t="str">
        <f t="shared" ref="E489:E498" si="124">"094OMS"</f>
        <v>094OMS</v>
      </c>
      <c r="F489" t="str">
        <f>""</f>
        <v/>
      </c>
      <c r="G489" t="str">
        <f>""</f>
        <v/>
      </c>
      <c r="H489" s="1">
        <v>41915</v>
      </c>
      <c r="I489" t="str">
        <f>"I0111675"</f>
        <v>I0111675</v>
      </c>
      <c r="J489" t="str">
        <f t="shared" ref="J489:J496" si="125">"N218277A"</f>
        <v>N218277A</v>
      </c>
      <c r="K489" t="str">
        <f t="shared" ref="K489:K496" si="126">"INEI"</f>
        <v>INEI</v>
      </c>
      <c r="L489" t="s">
        <v>78</v>
      </c>
      <c r="M489">
        <v>144</v>
      </c>
    </row>
    <row r="490" spans="1:13" x14ac:dyDescent="0.25">
      <c r="A490" t="str">
        <f t="shared" si="122"/>
        <v>E209</v>
      </c>
      <c r="B490">
        <v>1</v>
      </c>
      <c r="C490" t="str">
        <f t="shared" si="123"/>
        <v>24081</v>
      </c>
      <c r="D490" t="str">
        <f t="shared" si="116"/>
        <v>5620</v>
      </c>
      <c r="E490" t="str">
        <f t="shared" si="124"/>
        <v>094OMS</v>
      </c>
      <c r="F490" t="str">
        <f>""</f>
        <v/>
      </c>
      <c r="G490" t="str">
        <f>""</f>
        <v/>
      </c>
      <c r="H490" s="1">
        <v>41934</v>
      </c>
      <c r="I490" t="str">
        <f>"I0112361"</f>
        <v>I0112361</v>
      </c>
      <c r="J490" t="str">
        <f t="shared" si="125"/>
        <v>N218277A</v>
      </c>
      <c r="K490" t="str">
        <f t="shared" si="126"/>
        <v>INEI</v>
      </c>
      <c r="L490" t="s">
        <v>78</v>
      </c>
      <c r="M490">
        <v>128</v>
      </c>
    </row>
    <row r="491" spans="1:13" x14ac:dyDescent="0.25">
      <c r="A491" t="str">
        <f t="shared" si="122"/>
        <v>E209</v>
      </c>
      <c r="B491">
        <v>1</v>
      </c>
      <c r="C491" t="str">
        <f t="shared" si="123"/>
        <v>24081</v>
      </c>
      <c r="D491" t="str">
        <f t="shared" si="116"/>
        <v>5620</v>
      </c>
      <c r="E491" t="str">
        <f t="shared" si="124"/>
        <v>094OMS</v>
      </c>
      <c r="F491" t="str">
        <f>""</f>
        <v/>
      </c>
      <c r="G491" t="str">
        <f>""</f>
        <v/>
      </c>
      <c r="H491" s="1">
        <v>41969</v>
      </c>
      <c r="I491" t="str">
        <f>"I0113353"</f>
        <v>I0113353</v>
      </c>
      <c r="J491" t="str">
        <f t="shared" si="125"/>
        <v>N218277A</v>
      </c>
      <c r="K491" t="str">
        <f t="shared" si="126"/>
        <v>INEI</v>
      </c>
      <c r="L491" t="s">
        <v>78</v>
      </c>
      <c r="M491">
        <v>208</v>
      </c>
    </row>
    <row r="492" spans="1:13" x14ac:dyDescent="0.25">
      <c r="A492" t="str">
        <f t="shared" si="122"/>
        <v>E209</v>
      </c>
      <c r="B492">
        <v>1</v>
      </c>
      <c r="C492" t="str">
        <f t="shared" si="123"/>
        <v>24081</v>
      </c>
      <c r="D492" t="str">
        <f t="shared" si="116"/>
        <v>5620</v>
      </c>
      <c r="E492" t="str">
        <f t="shared" si="124"/>
        <v>094OMS</v>
      </c>
      <c r="F492" t="str">
        <f>""</f>
        <v/>
      </c>
      <c r="G492" t="str">
        <f>""</f>
        <v/>
      </c>
      <c r="H492" s="1">
        <v>41996</v>
      </c>
      <c r="I492" t="str">
        <f>"I0114073"</f>
        <v>I0114073</v>
      </c>
      <c r="J492" t="str">
        <f t="shared" si="125"/>
        <v>N218277A</v>
      </c>
      <c r="K492" t="str">
        <f t="shared" si="126"/>
        <v>INEI</v>
      </c>
      <c r="L492" t="s">
        <v>78</v>
      </c>
      <c r="M492">
        <v>160</v>
      </c>
    </row>
    <row r="493" spans="1:13" x14ac:dyDescent="0.25">
      <c r="A493" t="str">
        <f t="shared" si="122"/>
        <v>E209</v>
      </c>
      <c r="B493">
        <v>1</v>
      </c>
      <c r="C493" t="str">
        <f t="shared" si="123"/>
        <v>24081</v>
      </c>
      <c r="D493" t="str">
        <f t="shared" si="116"/>
        <v>5620</v>
      </c>
      <c r="E493" t="str">
        <f t="shared" si="124"/>
        <v>094OMS</v>
      </c>
      <c r="F493" t="str">
        <f>""</f>
        <v/>
      </c>
      <c r="G493" t="str">
        <f>""</f>
        <v/>
      </c>
      <c r="H493" s="1">
        <v>42012</v>
      </c>
      <c r="I493" t="str">
        <f>"I0114473"</f>
        <v>I0114473</v>
      </c>
      <c r="J493" t="str">
        <f t="shared" si="125"/>
        <v>N218277A</v>
      </c>
      <c r="K493" t="str">
        <f t="shared" si="126"/>
        <v>INEI</v>
      </c>
      <c r="L493" t="s">
        <v>78</v>
      </c>
      <c r="M493">
        <v>160</v>
      </c>
    </row>
    <row r="494" spans="1:13" x14ac:dyDescent="0.25">
      <c r="A494" t="str">
        <f t="shared" si="122"/>
        <v>E209</v>
      </c>
      <c r="B494">
        <v>1</v>
      </c>
      <c r="C494" t="str">
        <f t="shared" si="123"/>
        <v>24081</v>
      </c>
      <c r="D494" t="str">
        <f t="shared" si="116"/>
        <v>5620</v>
      </c>
      <c r="E494" t="str">
        <f t="shared" si="124"/>
        <v>094OMS</v>
      </c>
      <c r="F494" t="str">
        <f>""</f>
        <v/>
      </c>
      <c r="G494" t="str">
        <f>""</f>
        <v/>
      </c>
      <c r="H494" s="1">
        <v>42017</v>
      </c>
      <c r="I494" t="str">
        <f>"I0114624"</f>
        <v>I0114624</v>
      </c>
      <c r="J494" t="str">
        <f t="shared" si="125"/>
        <v>N218277A</v>
      </c>
      <c r="K494" t="str">
        <f t="shared" si="126"/>
        <v>INEI</v>
      </c>
      <c r="L494" t="s">
        <v>78</v>
      </c>
      <c r="M494">
        <v>112</v>
      </c>
    </row>
    <row r="495" spans="1:13" x14ac:dyDescent="0.25">
      <c r="A495" t="str">
        <f t="shared" si="122"/>
        <v>E209</v>
      </c>
      <c r="B495">
        <v>1</v>
      </c>
      <c r="C495" t="str">
        <f t="shared" si="123"/>
        <v>24081</v>
      </c>
      <c r="D495" t="str">
        <f t="shared" si="116"/>
        <v>5620</v>
      </c>
      <c r="E495" t="str">
        <f t="shared" si="124"/>
        <v>094OMS</v>
      </c>
      <c r="F495" t="str">
        <f>""</f>
        <v/>
      </c>
      <c r="G495" t="str">
        <f>""</f>
        <v/>
      </c>
      <c r="H495" s="1">
        <v>42079</v>
      </c>
      <c r="I495" t="str">
        <f>"I0116132"</f>
        <v>I0116132</v>
      </c>
      <c r="J495" t="str">
        <f t="shared" si="125"/>
        <v>N218277A</v>
      </c>
      <c r="K495" t="str">
        <f t="shared" si="126"/>
        <v>INEI</v>
      </c>
      <c r="L495" t="s">
        <v>78</v>
      </c>
      <c r="M495" s="2">
        <v>1150</v>
      </c>
    </row>
    <row r="496" spans="1:13" x14ac:dyDescent="0.25">
      <c r="A496" t="str">
        <f t="shared" si="122"/>
        <v>E209</v>
      </c>
      <c r="B496">
        <v>1</v>
      </c>
      <c r="C496" t="str">
        <f t="shared" si="123"/>
        <v>24081</v>
      </c>
      <c r="D496" t="str">
        <f t="shared" si="116"/>
        <v>5620</v>
      </c>
      <c r="E496" t="str">
        <f t="shared" si="124"/>
        <v>094OMS</v>
      </c>
      <c r="F496" t="str">
        <f>""</f>
        <v/>
      </c>
      <c r="G496" t="str">
        <f>""</f>
        <v/>
      </c>
      <c r="H496" s="1">
        <v>42156</v>
      </c>
      <c r="I496" t="str">
        <f>"I0118264"</f>
        <v>I0118264</v>
      </c>
      <c r="J496" t="str">
        <f t="shared" si="125"/>
        <v>N218277A</v>
      </c>
      <c r="K496" t="str">
        <f t="shared" si="126"/>
        <v>INEI</v>
      </c>
      <c r="L496" t="s">
        <v>78</v>
      </c>
      <c r="M496" s="2">
        <v>1260</v>
      </c>
    </row>
    <row r="497" spans="1:13" x14ac:dyDescent="0.25">
      <c r="A497" t="str">
        <f t="shared" si="122"/>
        <v>E209</v>
      </c>
      <c r="B497">
        <v>1</v>
      </c>
      <c r="C497" t="str">
        <f t="shared" si="123"/>
        <v>24081</v>
      </c>
      <c r="D497" t="str">
        <f t="shared" si="116"/>
        <v>5620</v>
      </c>
      <c r="E497" t="str">
        <f t="shared" si="124"/>
        <v>094OMS</v>
      </c>
      <c r="F497" t="str">
        <f>""</f>
        <v/>
      </c>
      <c r="G497" t="str">
        <f>""</f>
        <v/>
      </c>
      <c r="H497" s="1">
        <v>42185</v>
      </c>
      <c r="I497" t="str">
        <f>"J0016452"</f>
        <v>J0016452</v>
      </c>
      <c r="J497" t="str">
        <f>""</f>
        <v/>
      </c>
      <c r="K497" t="str">
        <f>"J096"</f>
        <v>J096</v>
      </c>
      <c r="L497" t="s">
        <v>2602</v>
      </c>
      <c r="M497">
        <v>597</v>
      </c>
    </row>
    <row r="498" spans="1:13" x14ac:dyDescent="0.25">
      <c r="A498" t="str">
        <f t="shared" ref="A498:A512" si="127">"E210"</f>
        <v>E210</v>
      </c>
      <c r="B498">
        <v>1</v>
      </c>
      <c r="C498" t="str">
        <f>"10200"</f>
        <v>10200</v>
      </c>
      <c r="D498" t="str">
        <f t="shared" si="116"/>
        <v>5620</v>
      </c>
      <c r="E498" t="str">
        <f t="shared" si="124"/>
        <v>094OMS</v>
      </c>
      <c r="F498" t="str">
        <f>""</f>
        <v/>
      </c>
      <c r="G498" t="str">
        <f>""</f>
        <v/>
      </c>
      <c r="H498" s="1">
        <v>42124</v>
      </c>
      <c r="I498" t="str">
        <f>"PCD00720"</f>
        <v>PCD00720</v>
      </c>
      <c r="J498" t="str">
        <f>""</f>
        <v/>
      </c>
      <c r="K498" t="str">
        <f>"AS89"</f>
        <v>AS89</v>
      </c>
      <c r="L498" t="s">
        <v>2601</v>
      </c>
      <c r="M498">
        <v>111.57</v>
      </c>
    </row>
    <row r="499" spans="1:13" x14ac:dyDescent="0.25">
      <c r="A499" t="str">
        <f t="shared" si="127"/>
        <v>E210</v>
      </c>
      <c r="B499">
        <v>1</v>
      </c>
      <c r="C499" t="str">
        <f>"23275"</f>
        <v>23275</v>
      </c>
      <c r="D499" t="str">
        <f t="shared" si="116"/>
        <v>5620</v>
      </c>
      <c r="E499" t="str">
        <f>"063STF"</f>
        <v>063STF</v>
      </c>
      <c r="F499" t="str">
        <f>""</f>
        <v/>
      </c>
      <c r="G499" t="str">
        <f>""</f>
        <v/>
      </c>
      <c r="H499" s="1">
        <v>41855</v>
      </c>
      <c r="I499" t="str">
        <f>"101312B"</f>
        <v>101312B</v>
      </c>
      <c r="J499" t="str">
        <f>"N132872C"</f>
        <v>N132872C</v>
      </c>
      <c r="K499" t="str">
        <f>"INEI"</f>
        <v>INEI</v>
      </c>
      <c r="L499" t="s">
        <v>2354</v>
      </c>
      <c r="M499">
        <v>978.3</v>
      </c>
    </row>
    <row r="500" spans="1:13" x14ac:dyDescent="0.25">
      <c r="A500" t="str">
        <f t="shared" si="127"/>
        <v>E210</v>
      </c>
      <c r="B500">
        <v>1</v>
      </c>
      <c r="C500" t="str">
        <f>"23275"</f>
        <v>23275</v>
      </c>
      <c r="D500" t="str">
        <f t="shared" si="116"/>
        <v>5620</v>
      </c>
      <c r="E500" t="str">
        <f>"063STF"</f>
        <v>063STF</v>
      </c>
      <c r="F500" t="str">
        <f>""</f>
        <v/>
      </c>
      <c r="G500" t="str">
        <f>""</f>
        <v/>
      </c>
      <c r="H500" s="1">
        <v>41892</v>
      </c>
      <c r="I500" t="str">
        <f>"101958A"</f>
        <v>101958A</v>
      </c>
      <c r="J500" t="str">
        <f>"F188452"</f>
        <v>F188452</v>
      </c>
      <c r="K500" t="str">
        <f>"INEI"</f>
        <v>INEI</v>
      </c>
      <c r="L500" t="s">
        <v>2354</v>
      </c>
      <c r="M500" s="2">
        <v>2717.5</v>
      </c>
    </row>
    <row r="501" spans="1:13" x14ac:dyDescent="0.25">
      <c r="A501" t="str">
        <f t="shared" si="127"/>
        <v>E210</v>
      </c>
      <c r="B501">
        <v>1</v>
      </c>
      <c r="C501" t="str">
        <f t="shared" ref="C501:C518" si="128">"43000"</f>
        <v>43000</v>
      </c>
      <c r="D501" t="str">
        <f t="shared" si="116"/>
        <v>5620</v>
      </c>
      <c r="E501" t="str">
        <f>"850LOS"</f>
        <v>850LOS</v>
      </c>
      <c r="F501" t="str">
        <f>""</f>
        <v/>
      </c>
      <c r="G501" t="str">
        <f>""</f>
        <v/>
      </c>
      <c r="H501" s="1">
        <v>42064</v>
      </c>
      <c r="I501" t="str">
        <f>"J0013490"</f>
        <v>J0013490</v>
      </c>
      <c r="J501" t="str">
        <f>""</f>
        <v/>
      </c>
      <c r="K501" t="str">
        <f>"J079"</f>
        <v>J079</v>
      </c>
      <c r="L501" t="s">
        <v>2513</v>
      </c>
      <c r="M501" s="2">
        <v>1956.6</v>
      </c>
    </row>
    <row r="502" spans="1:13" x14ac:dyDescent="0.25">
      <c r="A502" t="str">
        <f t="shared" si="127"/>
        <v>E210</v>
      </c>
      <c r="B502">
        <v>1</v>
      </c>
      <c r="C502" t="str">
        <f t="shared" si="128"/>
        <v>43000</v>
      </c>
      <c r="D502" t="str">
        <f t="shared" si="116"/>
        <v>5620</v>
      </c>
      <c r="E502" t="str">
        <f>"850LOS"</f>
        <v>850LOS</v>
      </c>
      <c r="F502" t="str">
        <f>""</f>
        <v/>
      </c>
      <c r="G502" t="str">
        <f>""</f>
        <v/>
      </c>
      <c r="H502" s="1">
        <v>42124</v>
      </c>
      <c r="I502" t="str">
        <f>"PCD00720"</f>
        <v>PCD00720</v>
      </c>
      <c r="J502" t="str">
        <f>""</f>
        <v/>
      </c>
      <c r="K502" t="str">
        <f>"AS89"</f>
        <v>AS89</v>
      </c>
      <c r="L502" t="s">
        <v>2601</v>
      </c>
      <c r="M502">
        <v>111.57</v>
      </c>
    </row>
    <row r="503" spans="1:13" x14ac:dyDescent="0.25">
      <c r="A503" t="str">
        <f t="shared" si="127"/>
        <v>E210</v>
      </c>
      <c r="B503">
        <v>1</v>
      </c>
      <c r="C503" t="str">
        <f t="shared" si="128"/>
        <v>43000</v>
      </c>
      <c r="D503" t="str">
        <f t="shared" si="116"/>
        <v>5620</v>
      </c>
      <c r="E503" t="str">
        <f>"850PAY"</f>
        <v>850PAY</v>
      </c>
      <c r="F503" t="str">
        <f>""</f>
        <v/>
      </c>
      <c r="G503" t="str">
        <f>""</f>
        <v/>
      </c>
      <c r="H503" s="1">
        <v>41950</v>
      </c>
      <c r="I503" t="str">
        <f>"I0112781"</f>
        <v>I0112781</v>
      </c>
      <c r="J503" t="str">
        <f>"N196028C"</f>
        <v>N196028C</v>
      </c>
      <c r="K503" t="str">
        <f>"INEI"</f>
        <v>INEI</v>
      </c>
      <c r="L503" t="s">
        <v>1189</v>
      </c>
      <c r="M503" s="2">
        <v>13152.7</v>
      </c>
    </row>
    <row r="504" spans="1:13" x14ac:dyDescent="0.25">
      <c r="A504" t="str">
        <f t="shared" si="127"/>
        <v>E210</v>
      </c>
      <c r="B504">
        <v>1</v>
      </c>
      <c r="C504" t="str">
        <f t="shared" si="128"/>
        <v>43000</v>
      </c>
      <c r="D504" t="str">
        <f t="shared" si="116"/>
        <v>5620</v>
      </c>
      <c r="E504" t="str">
        <f t="shared" ref="E504:E511" si="129">"850PKE"</f>
        <v>850PKE</v>
      </c>
      <c r="F504" t="str">
        <f>""</f>
        <v/>
      </c>
      <c r="G504" t="str">
        <f>""</f>
        <v/>
      </c>
      <c r="H504" s="1">
        <v>41977</v>
      </c>
      <c r="I504" t="str">
        <f>"I0113441"</f>
        <v>I0113441</v>
      </c>
      <c r="J504" t="str">
        <f t="shared" ref="J504:J511" si="130">"B125380C"</f>
        <v>B125380C</v>
      </c>
      <c r="K504" t="str">
        <f t="shared" ref="K504:K511" si="131">"INNI"</f>
        <v>INNI</v>
      </c>
      <c r="L504" t="s">
        <v>225</v>
      </c>
      <c r="M504">
        <v>127.15</v>
      </c>
    </row>
    <row r="505" spans="1:13" x14ac:dyDescent="0.25">
      <c r="A505" t="str">
        <f t="shared" si="127"/>
        <v>E210</v>
      </c>
      <c r="B505">
        <v>1</v>
      </c>
      <c r="C505" t="str">
        <f t="shared" si="128"/>
        <v>43000</v>
      </c>
      <c r="D505" t="str">
        <f t="shared" si="116"/>
        <v>5620</v>
      </c>
      <c r="E505" t="str">
        <f t="shared" si="129"/>
        <v>850PKE</v>
      </c>
      <c r="F505" t="str">
        <f>""</f>
        <v/>
      </c>
      <c r="G505" t="str">
        <f>""</f>
        <v/>
      </c>
      <c r="H505" s="1">
        <v>41977</v>
      </c>
      <c r="I505" t="str">
        <f>"I0113442"</f>
        <v>I0113442</v>
      </c>
      <c r="J505" t="str">
        <f t="shared" si="130"/>
        <v>B125380C</v>
      </c>
      <c r="K505" t="str">
        <f t="shared" si="131"/>
        <v>INNI</v>
      </c>
      <c r="L505" t="s">
        <v>225</v>
      </c>
      <c r="M505">
        <v>127.15</v>
      </c>
    </row>
    <row r="506" spans="1:13" x14ac:dyDescent="0.25">
      <c r="A506" t="str">
        <f t="shared" si="127"/>
        <v>E210</v>
      </c>
      <c r="B506">
        <v>1</v>
      </c>
      <c r="C506" t="str">
        <f t="shared" si="128"/>
        <v>43000</v>
      </c>
      <c r="D506" t="str">
        <f t="shared" si="116"/>
        <v>5620</v>
      </c>
      <c r="E506" t="str">
        <f t="shared" si="129"/>
        <v>850PKE</v>
      </c>
      <c r="F506" t="str">
        <f>""</f>
        <v/>
      </c>
      <c r="G506" t="str">
        <f>""</f>
        <v/>
      </c>
      <c r="H506" s="1">
        <v>42027</v>
      </c>
      <c r="I506" t="str">
        <f>"I0114848"</f>
        <v>I0114848</v>
      </c>
      <c r="J506" t="str">
        <f t="shared" si="130"/>
        <v>B125380C</v>
      </c>
      <c r="K506" t="str">
        <f t="shared" si="131"/>
        <v>INNI</v>
      </c>
      <c r="L506" t="s">
        <v>225</v>
      </c>
      <c r="M506">
        <v>127.15</v>
      </c>
    </row>
    <row r="507" spans="1:13" x14ac:dyDescent="0.25">
      <c r="A507" t="str">
        <f t="shared" si="127"/>
        <v>E210</v>
      </c>
      <c r="B507">
        <v>1</v>
      </c>
      <c r="C507" t="str">
        <f t="shared" si="128"/>
        <v>43000</v>
      </c>
      <c r="D507" t="str">
        <f t="shared" si="116"/>
        <v>5620</v>
      </c>
      <c r="E507" t="str">
        <f t="shared" si="129"/>
        <v>850PKE</v>
      </c>
      <c r="F507" t="str">
        <f>""</f>
        <v/>
      </c>
      <c r="G507" t="str">
        <f>""</f>
        <v/>
      </c>
      <c r="H507" s="1">
        <v>42088</v>
      </c>
      <c r="I507" t="str">
        <f>"I0116483"</f>
        <v>I0116483</v>
      </c>
      <c r="J507" t="str">
        <f t="shared" si="130"/>
        <v>B125380C</v>
      </c>
      <c r="K507" t="str">
        <f t="shared" si="131"/>
        <v>INNI</v>
      </c>
      <c r="L507" t="s">
        <v>225</v>
      </c>
      <c r="M507">
        <v>127.15</v>
      </c>
    </row>
    <row r="508" spans="1:13" x14ac:dyDescent="0.25">
      <c r="A508" t="str">
        <f t="shared" si="127"/>
        <v>E210</v>
      </c>
      <c r="B508">
        <v>1</v>
      </c>
      <c r="C508" t="str">
        <f t="shared" si="128"/>
        <v>43000</v>
      </c>
      <c r="D508" t="str">
        <f t="shared" si="116"/>
        <v>5620</v>
      </c>
      <c r="E508" t="str">
        <f t="shared" si="129"/>
        <v>850PKE</v>
      </c>
      <c r="F508" t="str">
        <f>""</f>
        <v/>
      </c>
      <c r="G508" t="str">
        <f>""</f>
        <v/>
      </c>
      <c r="H508" s="1">
        <v>42088</v>
      </c>
      <c r="I508" t="str">
        <f>"I0116484"</f>
        <v>I0116484</v>
      </c>
      <c r="J508" t="str">
        <f t="shared" si="130"/>
        <v>B125380C</v>
      </c>
      <c r="K508" t="str">
        <f t="shared" si="131"/>
        <v>INNI</v>
      </c>
      <c r="L508" t="s">
        <v>225</v>
      </c>
      <c r="M508">
        <v>127.15</v>
      </c>
    </row>
    <row r="509" spans="1:13" x14ac:dyDescent="0.25">
      <c r="A509" t="str">
        <f t="shared" si="127"/>
        <v>E210</v>
      </c>
      <c r="B509">
        <v>1</v>
      </c>
      <c r="C509" t="str">
        <f t="shared" si="128"/>
        <v>43000</v>
      </c>
      <c r="D509" t="str">
        <f t="shared" si="116"/>
        <v>5620</v>
      </c>
      <c r="E509" t="str">
        <f t="shared" si="129"/>
        <v>850PKE</v>
      </c>
      <c r="F509" t="str">
        <f>""</f>
        <v/>
      </c>
      <c r="G509" t="str">
        <f>""</f>
        <v/>
      </c>
      <c r="H509" s="1">
        <v>42123</v>
      </c>
      <c r="I509" t="str">
        <f>"I0117506"</f>
        <v>I0117506</v>
      </c>
      <c r="J509" t="str">
        <f t="shared" si="130"/>
        <v>B125380C</v>
      </c>
      <c r="K509" t="str">
        <f t="shared" si="131"/>
        <v>INNI</v>
      </c>
      <c r="L509" t="s">
        <v>225</v>
      </c>
      <c r="M509">
        <v>127.15</v>
      </c>
    </row>
    <row r="510" spans="1:13" x14ac:dyDescent="0.25">
      <c r="A510" t="str">
        <f t="shared" si="127"/>
        <v>E210</v>
      </c>
      <c r="B510">
        <v>1</v>
      </c>
      <c r="C510" t="str">
        <f t="shared" si="128"/>
        <v>43000</v>
      </c>
      <c r="D510" t="str">
        <f t="shared" si="116"/>
        <v>5620</v>
      </c>
      <c r="E510" t="str">
        <f t="shared" si="129"/>
        <v>850PKE</v>
      </c>
      <c r="F510" t="str">
        <f>""</f>
        <v/>
      </c>
      <c r="G510" t="str">
        <f>""</f>
        <v/>
      </c>
      <c r="H510" s="1">
        <v>42159</v>
      </c>
      <c r="I510" t="str">
        <f>"I0118467"</f>
        <v>I0118467</v>
      </c>
      <c r="J510" t="str">
        <f t="shared" si="130"/>
        <v>B125380C</v>
      </c>
      <c r="K510" t="str">
        <f t="shared" si="131"/>
        <v>INNI</v>
      </c>
      <c r="L510" t="s">
        <v>225</v>
      </c>
      <c r="M510">
        <v>127.15</v>
      </c>
    </row>
    <row r="511" spans="1:13" x14ac:dyDescent="0.25">
      <c r="A511" t="str">
        <f t="shared" si="127"/>
        <v>E210</v>
      </c>
      <c r="B511">
        <v>1</v>
      </c>
      <c r="C511" t="str">
        <f t="shared" si="128"/>
        <v>43000</v>
      </c>
      <c r="D511" t="str">
        <f t="shared" si="116"/>
        <v>5620</v>
      </c>
      <c r="E511" t="str">
        <f t="shared" si="129"/>
        <v>850PKE</v>
      </c>
      <c r="F511" t="str">
        <f>""</f>
        <v/>
      </c>
      <c r="G511" t="str">
        <f>""</f>
        <v/>
      </c>
      <c r="H511" s="1">
        <v>42178</v>
      </c>
      <c r="I511" t="str">
        <f>"I0119042"</f>
        <v>I0119042</v>
      </c>
      <c r="J511" t="str">
        <f t="shared" si="130"/>
        <v>B125380C</v>
      </c>
      <c r="K511" t="str">
        <f t="shared" si="131"/>
        <v>INNI</v>
      </c>
      <c r="L511" t="s">
        <v>225</v>
      </c>
      <c r="M511">
        <v>127.15</v>
      </c>
    </row>
    <row r="512" spans="1:13" x14ac:dyDescent="0.25">
      <c r="A512" t="str">
        <f t="shared" si="127"/>
        <v>E210</v>
      </c>
      <c r="B512">
        <v>1</v>
      </c>
      <c r="C512" t="str">
        <f t="shared" si="128"/>
        <v>43000</v>
      </c>
      <c r="D512" t="str">
        <f>"5740"</f>
        <v>5740</v>
      </c>
      <c r="E512" t="str">
        <f>"850LOS"</f>
        <v>850LOS</v>
      </c>
      <c r="F512" t="str">
        <f>""</f>
        <v/>
      </c>
      <c r="G512" t="str">
        <f>""</f>
        <v/>
      </c>
      <c r="H512" s="1">
        <v>41883</v>
      </c>
      <c r="I512" t="str">
        <f>"I0111071"</f>
        <v>I0111071</v>
      </c>
      <c r="J512" t="str">
        <f>"F218283"</f>
        <v>F218283</v>
      </c>
      <c r="K512" t="str">
        <f>"INEI"</f>
        <v>INEI</v>
      </c>
      <c r="L512" t="s">
        <v>229</v>
      </c>
      <c r="M512" s="2">
        <v>1956.6</v>
      </c>
    </row>
    <row r="513" spans="1:13" x14ac:dyDescent="0.25">
      <c r="A513" t="str">
        <f t="shared" ref="A513:A518" si="132">"E213"</f>
        <v>E213</v>
      </c>
      <c r="B513">
        <v>1</v>
      </c>
      <c r="C513" t="str">
        <f t="shared" si="128"/>
        <v>43000</v>
      </c>
      <c r="D513" t="str">
        <f>"5620"</f>
        <v>5620</v>
      </c>
      <c r="E513" t="str">
        <f>"850LOS"</f>
        <v>850LOS</v>
      </c>
      <c r="F513" t="str">
        <f>""</f>
        <v/>
      </c>
      <c r="G513" t="str">
        <f>""</f>
        <v/>
      </c>
      <c r="H513" s="1">
        <v>42064</v>
      </c>
      <c r="I513" t="str">
        <f>"J0013490"</f>
        <v>J0013490</v>
      </c>
      <c r="J513" t="str">
        <f>""</f>
        <v/>
      </c>
      <c r="K513" t="str">
        <f>"J079"</f>
        <v>J079</v>
      </c>
      <c r="L513" t="s">
        <v>2513</v>
      </c>
      <c r="M513">
        <v>508.6</v>
      </c>
    </row>
    <row r="514" spans="1:13" x14ac:dyDescent="0.25">
      <c r="A514" t="str">
        <f t="shared" si="132"/>
        <v>E213</v>
      </c>
      <c r="B514">
        <v>1</v>
      </c>
      <c r="C514" t="str">
        <f t="shared" si="128"/>
        <v>43000</v>
      </c>
      <c r="D514" t="str">
        <f>"5740"</f>
        <v>5740</v>
      </c>
      <c r="E514" t="str">
        <f>"850PKE"</f>
        <v>850PKE</v>
      </c>
      <c r="F514" t="str">
        <f>""</f>
        <v/>
      </c>
      <c r="G514" t="str">
        <f>""</f>
        <v/>
      </c>
      <c r="H514" s="1">
        <v>41851</v>
      </c>
      <c r="I514" t="str">
        <f>"I0110558"</f>
        <v>I0110558</v>
      </c>
      <c r="J514" t="str">
        <f>"B125380B"</f>
        <v>B125380B</v>
      </c>
      <c r="K514" t="str">
        <f>"INNI"</f>
        <v>INNI</v>
      </c>
      <c r="L514" t="s">
        <v>225</v>
      </c>
      <c r="M514">
        <v>127.15</v>
      </c>
    </row>
    <row r="515" spans="1:13" x14ac:dyDescent="0.25">
      <c r="A515" t="str">
        <f t="shared" si="132"/>
        <v>E213</v>
      </c>
      <c r="B515">
        <v>1</v>
      </c>
      <c r="C515" t="str">
        <f t="shared" si="128"/>
        <v>43000</v>
      </c>
      <c r="D515" t="str">
        <f>"5740"</f>
        <v>5740</v>
      </c>
      <c r="E515" t="str">
        <f>"850PKE"</f>
        <v>850PKE</v>
      </c>
      <c r="F515" t="str">
        <f>""</f>
        <v/>
      </c>
      <c r="G515" t="str">
        <f>""</f>
        <v/>
      </c>
      <c r="H515" s="1">
        <v>41873</v>
      </c>
      <c r="I515" t="str">
        <f>"I0110970"</f>
        <v>I0110970</v>
      </c>
      <c r="J515" t="str">
        <f>"B125380B"</f>
        <v>B125380B</v>
      </c>
      <c r="K515" t="str">
        <f>"INNI"</f>
        <v>INNI</v>
      </c>
      <c r="L515" t="s">
        <v>225</v>
      </c>
      <c r="M515">
        <v>127.15</v>
      </c>
    </row>
    <row r="516" spans="1:13" x14ac:dyDescent="0.25">
      <c r="A516" t="str">
        <f t="shared" si="132"/>
        <v>E213</v>
      </c>
      <c r="B516">
        <v>1</v>
      </c>
      <c r="C516" t="str">
        <f t="shared" si="128"/>
        <v>43000</v>
      </c>
      <c r="D516" t="str">
        <f>"5740"</f>
        <v>5740</v>
      </c>
      <c r="E516" t="str">
        <f>"850PKE"</f>
        <v>850PKE</v>
      </c>
      <c r="F516" t="str">
        <f>""</f>
        <v/>
      </c>
      <c r="G516" t="str">
        <f>""</f>
        <v/>
      </c>
      <c r="H516" s="1">
        <v>41893</v>
      </c>
      <c r="I516" t="str">
        <f>"I0111318"</f>
        <v>I0111318</v>
      </c>
      <c r="J516" t="str">
        <f>"B125380B"</f>
        <v>B125380B</v>
      </c>
      <c r="K516" t="str">
        <f>"INNI"</f>
        <v>INNI</v>
      </c>
      <c r="L516" t="s">
        <v>225</v>
      </c>
      <c r="M516">
        <v>127.15</v>
      </c>
    </row>
    <row r="517" spans="1:13" x14ac:dyDescent="0.25">
      <c r="A517" t="str">
        <f t="shared" si="132"/>
        <v>E213</v>
      </c>
      <c r="B517">
        <v>1</v>
      </c>
      <c r="C517" t="str">
        <f t="shared" si="128"/>
        <v>43000</v>
      </c>
      <c r="D517" t="str">
        <f>"5740"</f>
        <v>5740</v>
      </c>
      <c r="E517" t="str">
        <f>"850PKE"</f>
        <v>850PKE</v>
      </c>
      <c r="F517" t="str">
        <f>""</f>
        <v/>
      </c>
      <c r="G517" t="str">
        <f>""</f>
        <v/>
      </c>
      <c r="H517" s="1">
        <v>41893</v>
      </c>
      <c r="I517" t="str">
        <f>"I0111318"</f>
        <v>I0111318</v>
      </c>
      <c r="J517" t="str">
        <f>"B125380B"</f>
        <v>B125380B</v>
      </c>
      <c r="K517" t="str">
        <f>"INNI"</f>
        <v>INNI</v>
      </c>
      <c r="L517" t="s">
        <v>225</v>
      </c>
      <c r="M517">
        <v>127.15</v>
      </c>
    </row>
    <row r="518" spans="1:13" x14ac:dyDescent="0.25">
      <c r="A518" t="str">
        <f t="shared" si="132"/>
        <v>E213</v>
      </c>
      <c r="B518">
        <v>1</v>
      </c>
      <c r="C518" t="str">
        <f t="shared" si="128"/>
        <v>43000</v>
      </c>
      <c r="D518" t="str">
        <f>"5740"</f>
        <v>5740</v>
      </c>
      <c r="E518" t="str">
        <f>"850PKE"</f>
        <v>850PKE</v>
      </c>
      <c r="F518" t="str">
        <f>""</f>
        <v/>
      </c>
      <c r="G518" t="str">
        <f>""</f>
        <v/>
      </c>
      <c r="H518" s="1">
        <v>41934</v>
      </c>
      <c r="I518" t="str">
        <f>"I0112363"</f>
        <v>I0112363</v>
      </c>
      <c r="J518" t="str">
        <f>"B125380B"</f>
        <v>B125380B</v>
      </c>
      <c r="K518" t="str">
        <f>"INNI"</f>
        <v>INNI</v>
      </c>
      <c r="L518" t="s">
        <v>225</v>
      </c>
      <c r="M518">
        <v>127.15</v>
      </c>
    </row>
    <row r="519" spans="1:13" x14ac:dyDescent="0.25">
      <c r="A519" t="str">
        <f t="shared" ref="A519:A554" si="133">"E216"</f>
        <v>E216</v>
      </c>
      <c r="B519">
        <v>1</v>
      </c>
      <c r="C519" t="str">
        <f t="shared" ref="C519:C524" si="134">"10200"</f>
        <v>10200</v>
      </c>
      <c r="D519" t="str">
        <f t="shared" ref="D519:D546" si="135">"5620"</f>
        <v>5620</v>
      </c>
      <c r="E519" t="str">
        <f t="shared" ref="E519:E524" si="136">"094OMS"</f>
        <v>094OMS</v>
      </c>
      <c r="F519" t="str">
        <f>""</f>
        <v/>
      </c>
      <c r="G519" t="str">
        <f>""</f>
        <v/>
      </c>
      <c r="H519" s="1">
        <v>41827</v>
      </c>
      <c r="I519" t="str">
        <f>"1400724"</f>
        <v>1400724</v>
      </c>
      <c r="J519" t="str">
        <f>"N076270K"</f>
        <v>N076270K</v>
      </c>
      <c r="K519" t="str">
        <f>"INEI"</f>
        <v>INEI</v>
      </c>
      <c r="L519" t="s">
        <v>226</v>
      </c>
      <c r="M519" s="2">
        <v>4896.9399999999996</v>
      </c>
    </row>
    <row r="520" spans="1:13" x14ac:dyDescent="0.25">
      <c r="A520" t="str">
        <f t="shared" si="133"/>
        <v>E216</v>
      </c>
      <c r="B520">
        <v>1</v>
      </c>
      <c r="C520" t="str">
        <f t="shared" si="134"/>
        <v>10200</v>
      </c>
      <c r="D520" t="str">
        <f t="shared" si="135"/>
        <v>5620</v>
      </c>
      <c r="E520" t="str">
        <f t="shared" si="136"/>
        <v>094OMS</v>
      </c>
      <c r="F520" t="str">
        <f>""</f>
        <v/>
      </c>
      <c r="G520" t="str">
        <f>""</f>
        <v/>
      </c>
      <c r="H520" s="1">
        <v>41976</v>
      </c>
      <c r="I520" t="str">
        <f>"I0113411"</f>
        <v>I0113411</v>
      </c>
      <c r="J520" t="str">
        <f>"N188745C"</f>
        <v>N188745C</v>
      </c>
      <c r="K520" t="str">
        <f>"INEI"</f>
        <v>INEI</v>
      </c>
      <c r="L520" t="s">
        <v>1231</v>
      </c>
      <c r="M520" s="2">
        <v>1258.67</v>
      </c>
    </row>
    <row r="521" spans="1:13" x14ac:dyDescent="0.25">
      <c r="A521" t="str">
        <f t="shared" si="133"/>
        <v>E216</v>
      </c>
      <c r="B521">
        <v>1</v>
      </c>
      <c r="C521" t="str">
        <f t="shared" si="134"/>
        <v>10200</v>
      </c>
      <c r="D521" t="str">
        <f t="shared" si="135"/>
        <v>5620</v>
      </c>
      <c r="E521" t="str">
        <f t="shared" si="136"/>
        <v>094OMS</v>
      </c>
      <c r="F521" t="str">
        <f>""</f>
        <v/>
      </c>
      <c r="G521" t="str">
        <f>""</f>
        <v/>
      </c>
      <c r="H521" s="1">
        <v>42094</v>
      </c>
      <c r="I521" t="str">
        <f>"PCD00715"</f>
        <v>PCD00715</v>
      </c>
      <c r="J521" t="str">
        <f>""</f>
        <v/>
      </c>
      <c r="K521" t="str">
        <f>"AS89"</f>
        <v>AS89</v>
      </c>
      <c r="L521" t="s">
        <v>2600</v>
      </c>
      <c r="M521" s="2">
        <v>1000</v>
      </c>
    </row>
    <row r="522" spans="1:13" x14ac:dyDescent="0.25">
      <c r="A522" t="str">
        <f t="shared" si="133"/>
        <v>E216</v>
      </c>
      <c r="B522">
        <v>1</v>
      </c>
      <c r="C522" t="str">
        <f t="shared" si="134"/>
        <v>10200</v>
      </c>
      <c r="D522" t="str">
        <f t="shared" si="135"/>
        <v>5620</v>
      </c>
      <c r="E522" t="str">
        <f t="shared" si="136"/>
        <v>094OMS</v>
      </c>
      <c r="F522" t="str">
        <f>""</f>
        <v/>
      </c>
      <c r="G522" t="str">
        <f>""</f>
        <v/>
      </c>
      <c r="H522" s="1">
        <v>42094</v>
      </c>
      <c r="I522" t="str">
        <f>"PCD00715"</f>
        <v>PCD00715</v>
      </c>
      <c r="J522" t="str">
        <f>""</f>
        <v/>
      </c>
      <c r="K522" t="str">
        <f>"AS89"</f>
        <v>AS89</v>
      </c>
      <c r="L522" t="s">
        <v>2599</v>
      </c>
      <c r="M522">
        <v>500</v>
      </c>
    </row>
    <row r="523" spans="1:13" x14ac:dyDescent="0.25">
      <c r="A523" t="str">
        <f t="shared" si="133"/>
        <v>E216</v>
      </c>
      <c r="B523">
        <v>1</v>
      </c>
      <c r="C523" t="str">
        <f t="shared" si="134"/>
        <v>10200</v>
      </c>
      <c r="D523" t="str">
        <f t="shared" si="135"/>
        <v>5620</v>
      </c>
      <c r="E523" t="str">
        <f t="shared" si="136"/>
        <v>094OMS</v>
      </c>
      <c r="F523" t="str">
        <f>""</f>
        <v/>
      </c>
      <c r="G523" t="str">
        <f>""</f>
        <v/>
      </c>
      <c r="H523" s="1">
        <v>42124</v>
      </c>
      <c r="I523" t="str">
        <f>"PCD00720"</f>
        <v>PCD00720</v>
      </c>
      <c r="J523" t="str">
        <f>"220977"</f>
        <v>220977</v>
      </c>
      <c r="K523" t="str">
        <f>"AS89"</f>
        <v>AS89</v>
      </c>
      <c r="L523" t="s">
        <v>2598</v>
      </c>
      <c r="M523">
        <v>491.43</v>
      </c>
    </row>
    <row r="524" spans="1:13" x14ac:dyDescent="0.25">
      <c r="A524" t="str">
        <f t="shared" si="133"/>
        <v>E216</v>
      </c>
      <c r="B524">
        <v>1</v>
      </c>
      <c r="C524" t="str">
        <f t="shared" si="134"/>
        <v>10200</v>
      </c>
      <c r="D524" t="str">
        <f t="shared" si="135"/>
        <v>5620</v>
      </c>
      <c r="E524" t="str">
        <f t="shared" si="136"/>
        <v>094OMS</v>
      </c>
      <c r="F524" t="str">
        <f>""</f>
        <v/>
      </c>
      <c r="G524" t="str">
        <f>""</f>
        <v/>
      </c>
      <c r="H524" s="1">
        <v>42143</v>
      </c>
      <c r="I524" t="str">
        <f>"I0118011"</f>
        <v>I0118011</v>
      </c>
      <c r="J524" t="str">
        <f>"N210971B"</f>
        <v>N210971B</v>
      </c>
      <c r="K524" t="str">
        <f>"INEI"</f>
        <v>INEI</v>
      </c>
      <c r="L524" t="s">
        <v>1996</v>
      </c>
      <c r="M524" s="2">
        <v>2663.15</v>
      </c>
    </row>
    <row r="525" spans="1:13" x14ac:dyDescent="0.25">
      <c r="A525" t="str">
        <f t="shared" si="133"/>
        <v>E216</v>
      </c>
      <c r="B525">
        <v>1</v>
      </c>
      <c r="C525" t="str">
        <f t="shared" ref="C525:C547" si="137">"43000"</f>
        <v>43000</v>
      </c>
      <c r="D525" t="str">
        <f t="shared" si="135"/>
        <v>5620</v>
      </c>
      <c r="E525" t="str">
        <f t="shared" ref="E525:E531" si="138">"850LOS"</f>
        <v>850LOS</v>
      </c>
      <c r="F525" t="str">
        <f>""</f>
        <v/>
      </c>
      <c r="G525" t="str">
        <f>""</f>
        <v/>
      </c>
      <c r="H525" s="1">
        <v>42064</v>
      </c>
      <c r="I525" t="str">
        <f>"I0114799"</f>
        <v>I0114799</v>
      </c>
      <c r="J525" t="str">
        <f>"N125348E"</f>
        <v>N125348E</v>
      </c>
      <c r="K525" t="str">
        <f>"INEI"</f>
        <v>INEI</v>
      </c>
      <c r="L525" t="s">
        <v>229</v>
      </c>
      <c r="M525" s="2">
        <v>13044</v>
      </c>
    </row>
    <row r="526" spans="1:13" x14ac:dyDescent="0.25">
      <c r="A526" t="str">
        <f t="shared" si="133"/>
        <v>E216</v>
      </c>
      <c r="B526">
        <v>1</v>
      </c>
      <c r="C526" t="str">
        <f t="shared" si="137"/>
        <v>43000</v>
      </c>
      <c r="D526" t="str">
        <f t="shared" si="135"/>
        <v>5620</v>
      </c>
      <c r="E526" t="str">
        <f t="shared" si="138"/>
        <v>850LOS</v>
      </c>
      <c r="F526" t="str">
        <f>""</f>
        <v/>
      </c>
      <c r="G526" t="str">
        <f>""</f>
        <v/>
      </c>
      <c r="H526" s="1">
        <v>42064</v>
      </c>
      <c r="I526" t="str">
        <f>"I0114801"</f>
        <v>I0114801</v>
      </c>
      <c r="J526" t="str">
        <f>"N125348E"</f>
        <v>N125348E</v>
      </c>
      <c r="K526" t="str">
        <f>"INEI"</f>
        <v>INEI</v>
      </c>
      <c r="L526" t="s">
        <v>229</v>
      </c>
      <c r="M526" s="2">
        <v>1643.54</v>
      </c>
    </row>
    <row r="527" spans="1:13" x14ac:dyDescent="0.25">
      <c r="A527" t="str">
        <f t="shared" si="133"/>
        <v>E216</v>
      </c>
      <c r="B527">
        <v>1</v>
      </c>
      <c r="C527" t="str">
        <f t="shared" si="137"/>
        <v>43000</v>
      </c>
      <c r="D527" t="str">
        <f t="shared" si="135"/>
        <v>5620</v>
      </c>
      <c r="E527" t="str">
        <f t="shared" si="138"/>
        <v>850LOS</v>
      </c>
      <c r="F527" t="str">
        <f>""</f>
        <v/>
      </c>
      <c r="G527" t="str">
        <f>""</f>
        <v/>
      </c>
      <c r="H527" s="1">
        <v>42124</v>
      </c>
      <c r="I527" t="str">
        <f>"PCD00720"</f>
        <v>PCD00720</v>
      </c>
      <c r="J527" t="str">
        <f>"220978"</f>
        <v>220978</v>
      </c>
      <c r="K527" t="str">
        <f>"AS89"</f>
        <v>AS89</v>
      </c>
      <c r="L527" t="s">
        <v>2597</v>
      </c>
      <c r="M527">
        <v>245.72</v>
      </c>
    </row>
    <row r="528" spans="1:13" x14ac:dyDescent="0.25">
      <c r="A528" t="str">
        <f t="shared" si="133"/>
        <v>E216</v>
      </c>
      <c r="B528">
        <v>1</v>
      </c>
      <c r="C528" t="str">
        <f t="shared" si="137"/>
        <v>43000</v>
      </c>
      <c r="D528" t="str">
        <f t="shared" si="135"/>
        <v>5620</v>
      </c>
      <c r="E528" t="str">
        <f t="shared" si="138"/>
        <v>850LOS</v>
      </c>
      <c r="F528" t="str">
        <f>""</f>
        <v/>
      </c>
      <c r="G528" t="str">
        <f>""</f>
        <v/>
      </c>
      <c r="H528" s="1">
        <v>42185</v>
      </c>
      <c r="I528" t="str">
        <f>"I0114800"</f>
        <v>I0114800</v>
      </c>
      <c r="J528" t="str">
        <f>"N125348E"</f>
        <v>N125348E</v>
      </c>
      <c r="K528" t="str">
        <f>"INEI"</f>
        <v>INEI</v>
      </c>
      <c r="L528" t="s">
        <v>229</v>
      </c>
      <c r="M528" s="2">
        <v>3517.5</v>
      </c>
    </row>
    <row r="529" spans="1:13" x14ac:dyDescent="0.25">
      <c r="A529" t="str">
        <f t="shared" si="133"/>
        <v>E216</v>
      </c>
      <c r="B529">
        <v>1</v>
      </c>
      <c r="C529" t="str">
        <f t="shared" si="137"/>
        <v>43000</v>
      </c>
      <c r="D529" t="str">
        <f t="shared" si="135"/>
        <v>5620</v>
      </c>
      <c r="E529" t="str">
        <f t="shared" si="138"/>
        <v>850LOS</v>
      </c>
      <c r="F529" t="str">
        <f>""</f>
        <v/>
      </c>
      <c r="G529" t="str">
        <f>""</f>
        <v/>
      </c>
      <c r="H529" s="1">
        <v>42185</v>
      </c>
      <c r="I529" t="str">
        <f>"I0114800"</f>
        <v>I0114800</v>
      </c>
      <c r="J529" t="str">
        <f>"N125348E"</f>
        <v>N125348E</v>
      </c>
      <c r="K529" t="str">
        <f>"INEI"</f>
        <v>INEI</v>
      </c>
      <c r="L529" t="s">
        <v>229</v>
      </c>
      <c r="M529" s="2">
        <v>1750.44</v>
      </c>
    </row>
    <row r="530" spans="1:13" x14ac:dyDescent="0.25">
      <c r="A530" t="str">
        <f t="shared" si="133"/>
        <v>E216</v>
      </c>
      <c r="B530">
        <v>1</v>
      </c>
      <c r="C530" t="str">
        <f t="shared" si="137"/>
        <v>43000</v>
      </c>
      <c r="D530" t="str">
        <f t="shared" si="135"/>
        <v>5620</v>
      </c>
      <c r="E530" t="str">
        <f t="shared" si="138"/>
        <v>850LOS</v>
      </c>
      <c r="F530" t="str">
        <f>""</f>
        <v/>
      </c>
      <c r="G530" t="str">
        <f>""</f>
        <v/>
      </c>
      <c r="H530" s="1">
        <v>42185</v>
      </c>
      <c r="I530" t="str">
        <f>"J0016407"</f>
        <v>J0016407</v>
      </c>
      <c r="J530" t="str">
        <f>""</f>
        <v/>
      </c>
      <c r="K530" t="str">
        <f>"J079"</f>
        <v>J079</v>
      </c>
      <c r="L530" t="s">
        <v>2510</v>
      </c>
      <c r="M530" s="2">
        <v>14500</v>
      </c>
    </row>
    <row r="531" spans="1:13" x14ac:dyDescent="0.25">
      <c r="A531" t="str">
        <f t="shared" si="133"/>
        <v>E216</v>
      </c>
      <c r="B531">
        <v>1</v>
      </c>
      <c r="C531" t="str">
        <f t="shared" si="137"/>
        <v>43000</v>
      </c>
      <c r="D531" t="str">
        <f t="shared" si="135"/>
        <v>5620</v>
      </c>
      <c r="E531" t="str">
        <f t="shared" si="138"/>
        <v>850LOS</v>
      </c>
      <c r="F531" t="str">
        <f>""</f>
        <v/>
      </c>
      <c r="G531" t="str">
        <f>""</f>
        <v/>
      </c>
      <c r="H531" s="1">
        <v>42185</v>
      </c>
      <c r="I531" t="str">
        <f>"J0016645"</f>
        <v>J0016645</v>
      </c>
      <c r="J531" t="str">
        <f>""</f>
        <v/>
      </c>
      <c r="K531" t="str">
        <f>"J096"</f>
        <v>J096</v>
      </c>
      <c r="L531" t="s">
        <v>2572</v>
      </c>
      <c r="M531" s="2">
        <v>7851.96</v>
      </c>
    </row>
    <row r="532" spans="1:13" x14ac:dyDescent="0.25">
      <c r="A532" t="str">
        <f t="shared" si="133"/>
        <v>E216</v>
      </c>
      <c r="B532">
        <v>1</v>
      </c>
      <c r="C532" t="str">
        <f t="shared" si="137"/>
        <v>43000</v>
      </c>
      <c r="D532" t="str">
        <f t="shared" si="135"/>
        <v>5620</v>
      </c>
      <c r="E532" t="str">
        <f t="shared" ref="E532:E546" si="139">"850PAY"</f>
        <v>850PAY</v>
      </c>
      <c r="F532" t="str">
        <f>""</f>
        <v/>
      </c>
      <c r="G532" t="str">
        <f>""</f>
        <v/>
      </c>
      <c r="H532" s="1">
        <v>41886</v>
      </c>
      <c r="I532" t="str">
        <f>"202996"</f>
        <v>202996</v>
      </c>
      <c r="J532" t="str">
        <f t="shared" ref="J532:J540" si="140">"N125316E"</f>
        <v>N125316E</v>
      </c>
      <c r="K532" t="str">
        <f t="shared" ref="K532:K545" si="141">"INEI"</f>
        <v>INEI</v>
      </c>
      <c r="L532" t="s">
        <v>1189</v>
      </c>
      <c r="M532">
        <v>224.21</v>
      </c>
    </row>
    <row r="533" spans="1:13" x14ac:dyDescent="0.25">
      <c r="A533" t="str">
        <f t="shared" si="133"/>
        <v>E216</v>
      </c>
      <c r="B533">
        <v>1</v>
      </c>
      <c r="C533" t="str">
        <f t="shared" si="137"/>
        <v>43000</v>
      </c>
      <c r="D533" t="str">
        <f t="shared" si="135"/>
        <v>5620</v>
      </c>
      <c r="E533" t="str">
        <f t="shared" si="139"/>
        <v>850PAY</v>
      </c>
      <c r="F533" t="str">
        <f>""</f>
        <v/>
      </c>
      <c r="G533" t="str">
        <f>""</f>
        <v/>
      </c>
      <c r="H533" s="1">
        <v>41886</v>
      </c>
      <c r="I533" t="str">
        <f>"204618"</f>
        <v>204618</v>
      </c>
      <c r="J533" t="str">
        <f t="shared" si="140"/>
        <v>N125316E</v>
      </c>
      <c r="K533" t="str">
        <f t="shared" si="141"/>
        <v>INEI</v>
      </c>
      <c r="L533" t="s">
        <v>1189</v>
      </c>
      <c r="M533">
        <v>224.21</v>
      </c>
    </row>
    <row r="534" spans="1:13" x14ac:dyDescent="0.25">
      <c r="A534" t="str">
        <f t="shared" si="133"/>
        <v>E216</v>
      </c>
      <c r="B534">
        <v>1</v>
      </c>
      <c r="C534" t="str">
        <f t="shared" si="137"/>
        <v>43000</v>
      </c>
      <c r="D534" t="str">
        <f t="shared" si="135"/>
        <v>5620</v>
      </c>
      <c r="E534" t="str">
        <f t="shared" si="139"/>
        <v>850PAY</v>
      </c>
      <c r="F534" t="str">
        <f>""</f>
        <v/>
      </c>
      <c r="G534" t="str">
        <f>""</f>
        <v/>
      </c>
      <c r="H534" s="1">
        <v>41887</v>
      </c>
      <c r="I534" t="str">
        <f>"202996A"</f>
        <v>202996A</v>
      </c>
      <c r="J534" t="str">
        <f t="shared" si="140"/>
        <v>N125316E</v>
      </c>
      <c r="K534" t="str">
        <f t="shared" si="141"/>
        <v>INEI</v>
      </c>
      <c r="L534" t="s">
        <v>1189</v>
      </c>
      <c r="M534">
        <v>896.83</v>
      </c>
    </row>
    <row r="535" spans="1:13" x14ac:dyDescent="0.25">
      <c r="A535" t="str">
        <f t="shared" si="133"/>
        <v>E216</v>
      </c>
      <c r="B535">
        <v>1</v>
      </c>
      <c r="C535" t="str">
        <f t="shared" si="137"/>
        <v>43000</v>
      </c>
      <c r="D535" t="str">
        <f t="shared" si="135"/>
        <v>5620</v>
      </c>
      <c r="E535" t="str">
        <f t="shared" si="139"/>
        <v>850PAY</v>
      </c>
      <c r="F535" t="str">
        <f>""</f>
        <v/>
      </c>
      <c r="G535" t="str">
        <f>""</f>
        <v/>
      </c>
      <c r="H535" s="1">
        <v>41887</v>
      </c>
      <c r="I535" t="str">
        <f>"204918A"</f>
        <v>204918A</v>
      </c>
      <c r="J535" t="str">
        <f t="shared" si="140"/>
        <v>N125316E</v>
      </c>
      <c r="K535" t="str">
        <f t="shared" si="141"/>
        <v>INEI</v>
      </c>
      <c r="L535" t="s">
        <v>1189</v>
      </c>
      <c r="M535">
        <v>896.83</v>
      </c>
    </row>
    <row r="536" spans="1:13" x14ac:dyDescent="0.25">
      <c r="A536" t="str">
        <f t="shared" si="133"/>
        <v>E216</v>
      </c>
      <c r="B536">
        <v>1</v>
      </c>
      <c r="C536" t="str">
        <f t="shared" si="137"/>
        <v>43000</v>
      </c>
      <c r="D536" t="str">
        <f t="shared" si="135"/>
        <v>5620</v>
      </c>
      <c r="E536" t="str">
        <f t="shared" si="139"/>
        <v>850PAY</v>
      </c>
      <c r="F536" t="str">
        <f>""</f>
        <v/>
      </c>
      <c r="G536" t="str">
        <f>""</f>
        <v/>
      </c>
      <c r="H536" s="1">
        <v>41887</v>
      </c>
      <c r="I536" t="str">
        <f>"204618A"</f>
        <v>204618A</v>
      </c>
      <c r="J536" t="str">
        <f t="shared" si="140"/>
        <v>N125316E</v>
      </c>
      <c r="K536" t="str">
        <f t="shared" si="141"/>
        <v>INEI</v>
      </c>
      <c r="L536" t="s">
        <v>1189</v>
      </c>
      <c r="M536">
        <v>896.83</v>
      </c>
    </row>
    <row r="537" spans="1:13" x14ac:dyDescent="0.25">
      <c r="A537" t="str">
        <f t="shared" si="133"/>
        <v>E216</v>
      </c>
      <c r="B537">
        <v>1</v>
      </c>
      <c r="C537" t="str">
        <f t="shared" si="137"/>
        <v>43000</v>
      </c>
      <c r="D537" t="str">
        <f t="shared" si="135"/>
        <v>5620</v>
      </c>
      <c r="E537" t="str">
        <f t="shared" si="139"/>
        <v>850PAY</v>
      </c>
      <c r="F537" t="str">
        <f>""</f>
        <v/>
      </c>
      <c r="G537" t="str">
        <f>""</f>
        <v/>
      </c>
      <c r="H537" s="1">
        <v>41914</v>
      </c>
      <c r="I537" t="str">
        <f>"I0111627"</f>
        <v>I0111627</v>
      </c>
      <c r="J537" t="str">
        <f t="shared" si="140"/>
        <v>N125316E</v>
      </c>
      <c r="K537" t="str">
        <f t="shared" si="141"/>
        <v>INEI</v>
      </c>
      <c r="L537" t="s">
        <v>1189</v>
      </c>
      <c r="M537">
        <v>896.83</v>
      </c>
    </row>
    <row r="538" spans="1:13" x14ac:dyDescent="0.25">
      <c r="A538" t="str">
        <f t="shared" si="133"/>
        <v>E216</v>
      </c>
      <c r="B538">
        <v>1</v>
      </c>
      <c r="C538" t="str">
        <f t="shared" si="137"/>
        <v>43000</v>
      </c>
      <c r="D538" t="str">
        <f t="shared" si="135"/>
        <v>5620</v>
      </c>
      <c r="E538" t="str">
        <f t="shared" si="139"/>
        <v>850PAY</v>
      </c>
      <c r="F538" t="str">
        <f>""</f>
        <v/>
      </c>
      <c r="G538" t="str">
        <f>""</f>
        <v/>
      </c>
      <c r="H538" s="1">
        <v>41956</v>
      </c>
      <c r="I538" t="str">
        <f>"I0112853"</f>
        <v>I0112853</v>
      </c>
      <c r="J538" t="str">
        <f t="shared" si="140"/>
        <v>N125316E</v>
      </c>
      <c r="K538" t="str">
        <f t="shared" si="141"/>
        <v>INEI</v>
      </c>
      <c r="L538" t="s">
        <v>1189</v>
      </c>
      <c r="M538">
        <v>896.83</v>
      </c>
    </row>
    <row r="539" spans="1:13" x14ac:dyDescent="0.25">
      <c r="A539" t="str">
        <f t="shared" si="133"/>
        <v>E216</v>
      </c>
      <c r="B539">
        <v>1</v>
      </c>
      <c r="C539" t="str">
        <f t="shared" si="137"/>
        <v>43000</v>
      </c>
      <c r="D539" t="str">
        <f t="shared" si="135"/>
        <v>5620</v>
      </c>
      <c r="E539" t="str">
        <f t="shared" si="139"/>
        <v>850PAY</v>
      </c>
      <c r="F539" t="str">
        <f>""</f>
        <v/>
      </c>
      <c r="G539" t="str">
        <f>""</f>
        <v/>
      </c>
      <c r="H539" s="1">
        <v>41982</v>
      </c>
      <c r="I539" t="str">
        <f>"I0113584"</f>
        <v>I0113584</v>
      </c>
      <c r="J539" t="str">
        <f t="shared" si="140"/>
        <v>N125316E</v>
      </c>
      <c r="K539" t="str">
        <f t="shared" si="141"/>
        <v>INEI</v>
      </c>
      <c r="L539" t="s">
        <v>1189</v>
      </c>
      <c r="M539">
        <v>896.83</v>
      </c>
    </row>
    <row r="540" spans="1:13" x14ac:dyDescent="0.25">
      <c r="A540" t="str">
        <f t="shared" si="133"/>
        <v>E216</v>
      </c>
      <c r="B540">
        <v>1</v>
      </c>
      <c r="C540" t="str">
        <f t="shared" si="137"/>
        <v>43000</v>
      </c>
      <c r="D540" t="str">
        <f t="shared" si="135"/>
        <v>5620</v>
      </c>
      <c r="E540" t="str">
        <f t="shared" si="139"/>
        <v>850PAY</v>
      </c>
      <c r="F540" t="str">
        <f>""</f>
        <v/>
      </c>
      <c r="G540" t="str">
        <f>""</f>
        <v/>
      </c>
      <c r="H540" s="1">
        <v>42004</v>
      </c>
      <c r="I540" t="str">
        <f>"I0114286"</f>
        <v>I0114286</v>
      </c>
      <c r="J540" t="str">
        <f t="shared" si="140"/>
        <v>N125316E</v>
      </c>
      <c r="K540" t="str">
        <f t="shared" si="141"/>
        <v>INEI</v>
      </c>
      <c r="L540" t="s">
        <v>1189</v>
      </c>
      <c r="M540">
        <v>896.83</v>
      </c>
    </row>
    <row r="541" spans="1:13" x14ac:dyDescent="0.25">
      <c r="A541" t="str">
        <f t="shared" si="133"/>
        <v>E216</v>
      </c>
      <c r="B541">
        <v>1</v>
      </c>
      <c r="C541" t="str">
        <f t="shared" si="137"/>
        <v>43000</v>
      </c>
      <c r="D541" t="str">
        <f t="shared" si="135"/>
        <v>5620</v>
      </c>
      <c r="E541" t="str">
        <f t="shared" si="139"/>
        <v>850PAY</v>
      </c>
      <c r="F541" t="str">
        <f>""</f>
        <v/>
      </c>
      <c r="G541" t="str">
        <f>""</f>
        <v/>
      </c>
      <c r="H541" s="1">
        <v>42044</v>
      </c>
      <c r="I541" t="str">
        <f>"I0115255"</f>
        <v>I0115255</v>
      </c>
      <c r="J541" t="str">
        <f>"N125316F"</f>
        <v>N125316F</v>
      </c>
      <c r="K541" t="str">
        <f t="shared" si="141"/>
        <v>INEI</v>
      </c>
      <c r="L541" t="s">
        <v>2596</v>
      </c>
      <c r="M541">
        <v>896.83</v>
      </c>
    </row>
    <row r="542" spans="1:13" x14ac:dyDescent="0.25">
      <c r="A542" t="str">
        <f t="shared" si="133"/>
        <v>E216</v>
      </c>
      <c r="B542">
        <v>1</v>
      </c>
      <c r="C542" t="str">
        <f t="shared" si="137"/>
        <v>43000</v>
      </c>
      <c r="D542" t="str">
        <f t="shared" si="135"/>
        <v>5620</v>
      </c>
      <c r="E542" t="str">
        <f t="shared" si="139"/>
        <v>850PAY</v>
      </c>
      <c r="F542" t="str">
        <f>""</f>
        <v/>
      </c>
      <c r="G542" t="str">
        <f>""</f>
        <v/>
      </c>
      <c r="H542" s="1">
        <v>42096</v>
      </c>
      <c r="I542" t="str">
        <f>"I0116757"</f>
        <v>I0116757</v>
      </c>
      <c r="J542" t="str">
        <f>"N125316F"</f>
        <v>N125316F</v>
      </c>
      <c r="K542" t="str">
        <f t="shared" si="141"/>
        <v>INEI</v>
      </c>
      <c r="L542" t="s">
        <v>2596</v>
      </c>
      <c r="M542">
        <v>896.83</v>
      </c>
    </row>
    <row r="543" spans="1:13" x14ac:dyDescent="0.25">
      <c r="A543" t="str">
        <f t="shared" si="133"/>
        <v>E216</v>
      </c>
      <c r="B543">
        <v>1</v>
      </c>
      <c r="C543" t="str">
        <f t="shared" si="137"/>
        <v>43000</v>
      </c>
      <c r="D543" t="str">
        <f t="shared" si="135"/>
        <v>5620</v>
      </c>
      <c r="E543" t="str">
        <f t="shared" si="139"/>
        <v>850PAY</v>
      </c>
      <c r="F543" t="str">
        <f>""</f>
        <v/>
      </c>
      <c r="G543" t="str">
        <f>""</f>
        <v/>
      </c>
      <c r="H543" s="1">
        <v>42150</v>
      </c>
      <c r="I543" t="str">
        <f>"I0118170"</f>
        <v>I0118170</v>
      </c>
      <c r="J543" t="str">
        <f>"N125316F"</f>
        <v>N125316F</v>
      </c>
      <c r="K543" t="str">
        <f t="shared" si="141"/>
        <v>INEI</v>
      </c>
      <c r="L543" t="s">
        <v>2596</v>
      </c>
      <c r="M543">
        <v>896.83</v>
      </c>
    </row>
    <row r="544" spans="1:13" x14ac:dyDescent="0.25">
      <c r="A544" t="str">
        <f t="shared" si="133"/>
        <v>E216</v>
      </c>
      <c r="B544">
        <v>1</v>
      </c>
      <c r="C544" t="str">
        <f t="shared" si="137"/>
        <v>43000</v>
      </c>
      <c r="D544" t="str">
        <f t="shared" si="135"/>
        <v>5620</v>
      </c>
      <c r="E544" t="str">
        <f t="shared" si="139"/>
        <v>850PAY</v>
      </c>
      <c r="F544" t="str">
        <f>""</f>
        <v/>
      </c>
      <c r="G544" t="str">
        <f>""</f>
        <v/>
      </c>
      <c r="H544" s="1">
        <v>42178</v>
      </c>
      <c r="I544" t="str">
        <f>"I0119047"</f>
        <v>I0119047</v>
      </c>
      <c r="J544" t="str">
        <f>"N125316F"</f>
        <v>N125316F</v>
      </c>
      <c r="K544" t="str">
        <f t="shared" si="141"/>
        <v>INEI</v>
      </c>
      <c r="L544" t="s">
        <v>2596</v>
      </c>
      <c r="M544">
        <v>896.83</v>
      </c>
    </row>
    <row r="545" spans="1:13" x14ac:dyDescent="0.25">
      <c r="A545" t="str">
        <f t="shared" si="133"/>
        <v>E216</v>
      </c>
      <c r="B545">
        <v>1</v>
      </c>
      <c r="C545" t="str">
        <f t="shared" si="137"/>
        <v>43000</v>
      </c>
      <c r="D545" t="str">
        <f t="shared" si="135"/>
        <v>5620</v>
      </c>
      <c r="E545" t="str">
        <f t="shared" si="139"/>
        <v>850PAY</v>
      </c>
      <c r="F545" t="str">
        <f>""</f>
        <v/>
      </c>
      <c r="G545" t="str">
        <f>""</f>
        <v/>
      </c>
      <c r="H545" s="1">
        <v>42185</v>
      </c>
      <c r="I545" t="str">
        <f>"I0119480"</f>
        <v>I0119480</v>
      </c>
      <c r="J545" t="str">
        <f>"N125316F"</f>
        <v>N125316F</v>
      </c>
      <c r="K545" t="str">
        <f t="shared" si="141"/>
        <v>INEI</v>
      </c>
      <c r="L545" t="s">
        <v>2596</v>
      </c>
      <c r="M545">
        <v>896.83</v>
      </c>
    </row>
    <row r="546" spans="1:13" x14ac:dyDescent="0.25">
      <c r="A546" t="str">
        <f t="shared" si="133"/>
        <v>E216</v>
      </c>
      <c r="B546">
        <v>1</v>
      </c>
      <c r="C546" t="str">
        <f t="shared" si="137"/>
        <v>43000</v>
      </c>
      <c r="D546" t="str">
        <f t="shared" si="135"/>
        <v>5620</v>
      </c>
      <c r="E546" t="str">
        <f t="shared" si="139"/>
        <v>850PAY</v>
      </c>
      <c r="F546" t="str">
        <f>""</f>
        <v/>
      </c>
      <c r="G546" t="str">
        <f>""</f>
        <v/>
      </c>
      <c r="H546" s="1">
        <v>42185</v>
      </c>
      <c r="I546" t="str">
        <f>"J0016370"</f>
        <v>J0016370</v>
      </c>
      <c r="J546" t="str">
        <f>""</f>
        <v/>
      </c>
      <c r="K546" t="str">
        <f>"J096"</f>
        <v>J096</v>
      </c>
      <c r="L546" t="s">
        <v>2506</v>
      </c>
      <c r="M546">
        <v>800</v>
      </c>
    </row>
    <row r="547" spans="1:13" x14ac:dyDescent="0.25">
      <c r="A547" t="str">
        <f t="shared" si="133"/>
        <v>E216</v>
      </c>
      <c r="B547">
        <v>1</v>
      </c>
      <c r="C547" t="str">
        <f t="shared" si="137"/>
        <v>43000</v>
      </c>
      <c r="D547" t="str">
        <f t="shared" ref="D547:D554" si="142">"5740"</f>
        <v>5740</v>
      </c>
      <c r="E547" t="str">
        <f>"850LOS"</f>
        <v>850LOS</v>
      </c>
      <c r="F547" t="str">
        <f>""</f>
        <v/>
      </c>
      <c r="G547" t="str">
        <f>""</f>
        <v/>
      </c>
      <c r="H547" s="1">
        <v>42083</v>
      </c>
      <c r="I547" t="str">
        <f>"I0116356"</f>
        <v>I0116356</v>
      </c>
      <c r="J547" t="str">
        <f>"N138267E"</f>
        <v>N138267E</v>
      </c>
      <c r="K547" t="str">
        <f t="shared" ref="K547:K553" si="143">"INEI"</f>
        <v>INEI</v>
      </c>
      <c r="L547" t="s">
        <v>3</v>
      </c>
      <c r="M547" s="2">
        <v>14500</v>
      </c>
    </row>
    <row r="548" spans="1:13" x14ac:dyDescent="0.25">
      <c r="A548" t="str">
        <f t="shared" si="133"/>
        <v>E216</v>
      </c>
      <c r="B548">
        <v>1</v>
      </c>
      <c r="C548" t="str">
        <f>"43003"</f>
        <v>43003</v>
      </c>
      <c r="D548" t="str">
        <f t="shared" si="142"/>
        <v>5740</v>
      </c>
      <c r="E548" t="str">
        <f>"850LOS"</f>
        <v>850LOS</v>
      </c>
      <c r="F548" t="str">
        <f>""</f>
        <v/>
      </c>
      <c r="G548" t="str">
        <f>""</f>
        <v/>
      </c>
      <c r="H548" s="1">
        <v>41850</v>
      </c>
      <c r="I548" t="str">
        <f>"4204508"</f>
        <v>4204508</v>
      </c>
      <c r="J548" t="str">
        <f>"N183002E"</f>
        <v>N183002E</v>
      </c>
      <c r="K548" t="str">
        <f t="shared" si="143"/>
        <v>INEI</v>
      </c>
      <c r="L548" t="s">
        <v>1304</v>
      </c>
      <c r="M548">
        <v>800</v>
      </c>
    </row>
    <row r="549" spans="1:13" x14ac:dyDescent="0.25">
      <c r="A549" t="str">
        <f t="shared" si="133"/>
        <v>E216</v>
      </c>
      <c r="B549">
        <v>1</v>
      </c>
      <c r="C549" t="str">
        <f>"43003"</f>
        <v>43003</v>
      </c>
      <c r="D549" t="str">
        <f t="shared" si="142"/>
        <v>5740</v>
      </c>
      <c r="E549" t="str">
        <f>"850LOS"</f>
        <v>850LOS</v>
      </c>
      <c r="F549" t="str">
        <f>""</f>
        <v/>
      </c>
      <c r="G549" t="str">
        <f>""</f>
        <v/>
      </c>
      <c r="H549" s="1">
        <v>41886</v>
      </c>
      <c r="I549" t="str">
        <f>"202996"</f>
        <v>202996</v>
      </c>
      <c r="J549" t="str">
        <f>"N125316E"</f>
        <v>N125316E</v>
      </c>
      <c r="K549" t="str">
        <f t="shared" si="143"/>
        <v>INEI</v>
      </c>
      <c r="L549" t="s">
        <v>1189</v>
      </c>
      <c r="M549">
        <v>672.62</v>
      </c>
    </row>
    <row r="550" spans="1:13" x14ac:dyDescent="0.25">
      <c r="A550" t="str">
        <f t="shared" si="133"/>
        <v>E216</v>
      </c>
      <c r="B550">
        <v>1</v>
      </c>
      <c r="C550" t="str">
        <f>"43003"</f>
        <v>43003</v>
      </c>
      <c r="D550" t="str">
        <f t="shared" si="142"/>
        <v>5740</v>
      </c>
      <c r="E550" t="str">
        <f>"850LOS"</f>
        <v>850LOS</v>
      </c>
      <c r="F550" t="str">
        <f>""</f>
        <v/>
      </c>
      <c r="G550" t="str">
        <f>""</f>
        <v/>
      </c>
      <c r="H550" s="1">
        <v>41886</v>
      </c>
      <c r="I550" t="str">
        <f>"204618"</f>
        <v>204618</v>
      </c>
      <c r="J550" t="str">
        <f>"N125316E"</f>
        <v>N125316E</v>
      </c>
      <c r="K550" t="str">
        <f t="shared" si="143"/>
        <v>INEI</v>
      </c>
      <c r="L550" t="s">
        <v>1189</v>
      </c>
      <c r="M550">
        <v>672.62</v>
      </c>
    </row>
    <row r="551" spans="1:13" x14ac:dyDescent="0.25">
      <c r="A551" t="str">
        <f t="shared" si="133"/>
        <v>E216</v>
      </c>
      <c r="B551">
        <v>1</v>
      </c>
      <c r="C551" t="str">
        <f>"43007"</f>
        <v>43007</v>
      </c>
      <c r="D551" t="str">
        <f t="shared" si="142"/>
        <v>5740</v>
      </c>
      <c r="E551" t="str">
        <f>"850PKE"</f>
        <v>850PKE</v>
      </c>
      <c r="F551" t="str">
        <f>""</f>
        <v/>
      </c>
      <c r="G551" t="str">
        <f>""</f>
        <v/>
      </c>
      <c r="H551" s="1">
        <v>41883</v>
      </c>
      <c r="I551" t="str">
        <f>"I0111074"</f>
        <v>I0111074</v>
      </c>
      <c r="J551" t="str">
        <f>"F210959"</f>
        <v>F210959</v>
      </c>
      <c r="K551" t="str">
        <f t="shared" si="143"/>
        <v>INEI</v>
      </c>
      <c r="L551" t="s">
        <v>229</v>
      </c>
      <c r="M551">
        <v>978.3</v>
      </c>
    </row>
    <row r="552" spans="1:13" x14ac:dyDescent="0.25">
      <c r="A552" t="str">
        <f t="shared" si="133"/>
        <v>E216</v>
      </c>
      <c r="B552">
        <v>1</v>
      </c>
      <c r="C552" t="str">
        <f>"43007"</f>
        <v>43007</v>
      </c>
      <c r="D552" t="str">
        <f t="shared" si="142"/>
        <v>5740</v>
      </c>
      <c r="E552" t="str">
        <f>"850PKE"</f>
        <v>850PKE</v>
      </c>
      <c r="F552" t="str">
        <f>""</f>
        <v/>
      </c>
      <c r="G552" t="str">
        <f>""</f>
        <v/>
      </c>
      <c r="H552" s="1">
        <v>41913</v>
      </c>
      <c r="I552" t="str">
        <f>"I0111073"</f>
        <v>I0111073</v>
      </c>
      <c r="J552" t="str">
        <f>"F218292"</f>
        <v>F218292</v>
      </c>
      <c r="K552" t="str">
        <f t="shared" si="143"/>
        <v>INEI</v>
      </c>
      <c r="L552" t="s">
        <v>229</v>
      </c>
      <c r="M552" s="2">
        <v>1767.06</v>
      </c>
    </row>
    <row r="553" spans="1:13" x14ac:dyDescent="0.25">
      <c r="A553" t="str">
        <f t="shared" si="133"/>
        <v>E216</v>
      </c>
      <c r="B553">
        <v>1</v>
      </c>
      <c r="C553" t="str">
        <f>"43007"</f>
        <v>43007</v>
      </c>
      <c r="D553" t="str">
        <f t="shared" si="142"/>
        <v>5740</v>
      </c>
      <c r="E553" t="str">
        <f>"850PKE"</f>
        <v>850PKE</v>
      </c>
      <c r="F553" t="str">
        <f>""</f>
        <v/>
      </c>
      <c r="G553" t="str">
        <f>""</f>
        <v/>
      </c>
      <c r="H553" s="1">
        <v>41921</v>
      </c>
      <c r="I553" t="str">
        <f>"I0111900"</f>
        <v>I0111900</v>
      </c>
      <c r="J553" t="str">
        <f>"F210959"</f>
        <v>F210959</v>
      </c>
      <c r="K553" t="str">
        <f t="shared" si="143"/>
        <v>INEI</v>
      </c>
      <c r="L553" t="s">
        <v>229</v>
      </c>
      <c r="M553" s="2">
        <v>1956.6</v>
      </c>
    </row>
    <row r="554" spans="1:13" x14ac:dyDescent="0.25">
      <c r="A554" t="str">
        <f t="shared" si="133"/>
        <v>E216</v>
      </c>
      <c r="B554">
        <v>1</v>
      </c>
      <c r="C554" t="str">
        <f>"43007"</f>
        <v>43007</v>
      </c>
      <c r="D554" t="str">
        <f t="shared" si="142"/>
        <v>5740</v>
      </c>
      <c r="E554" t="str">
        <f>"850PKE"</f>
        <v>850PKE</v>
      </c>
      <c r="F554" t="str">
        <f>""</f>
        <v/>
      </c>
      <c r="G554" t="str">
        <f>""</f>
        <v/>
      </c>
      <c r="H554" s="1">
        <v>42185</v>
      </c>
      <c r="I554" t="str">
        <f>"I0119847"</f>
        <v>I0119847</v>
      </c>
      <c r="J554" t="str">
        <f>""</f>
        <v/>
      </c>
      <c r="K554" t="str">
        <f>"INNI"</f>
        <v>INNI</v>
      </c>
      <c r="L554" t="s">
        <v>229</v>
      </c>
      <c r="M554" s="2">
        <v>3150</v>
      </c>
    </row>
    <row r="555" spans="1:13" x14ac:dyDescent="0.25">
      <c r="A555" t="str">
        <f t="shared" ref="A555:A596" si="144">"E217"</f>
        <v>E217</v>
      </c>
      <c r="B555">
        <v>1</v>
      </c>
      <c r="C555" t="str">
        <f t="shared" ref="C555:C593" si="145">"43000"</f>
        <v>43000</v>
      </c>
      <c r="D555" t="str">
        <f t="shared" ref="D555:D598" si="146">"5620"</f>
        <v>5620</v>
      </c>
      <c r="E555" t="str">
        <f t="shared" ref="E555:E585" si="147">"850LOS"</f>
        <v>850LOS</v>
      </c>
      <c r="F555" t="str">
        <f>""</f>
        <v/>
      </c>
      <c r="G555" t="str">
        <f>""</f>
        <v/>
      </c>
      <c r="H555" s="1">
        <v>41871</v>
      </c>
      <c r="I555" t="str">
        <f>"CMG00887"</f>
        <v>CMG00887</v>
      </c>
      <c r="J555" t="str">
        <f>""</f>
        <v/>
      </c>
      <c r="K555" t="str">
        <f t="shared" ref="K555:K566" si="148">"CM89"</f>
        <v>CM89</v>
      </c>
      <c r="L555" t="s">
        <v>2595</v>
      </c>
      <c r="M555">
        <v>316.02</v>
      </c>
    </row>
    <row r="556" spans="1:13" x14ac:dyDescent="0.25">
      <c r="A556" t="str">
        <f t="shared" si="144"/>
        <v>E217</v>
      </c>
      <c r="B556">
        <v>1</v>
      </c>
      <c r="C556" t="str">
        <f t="shared" si="145"/>
        <v>43000</v>
      </c>
      <c r="D556" t="str">
        <f t="shared" si="146"/>
        <v>5620</v>
      </c>
      <c r="E556" t="str">
        <f t="shared" si="147"/>
        <v>850LOS</v>
      </c>
      <c r="F556" t="str">
        <f>""</f>
        <v/>
      </c>
      <c r="G556" t="str">
        <f>""</f>
        <v/>
      </c>
      <c r="H556" s="1">
        <v>41871</v>
      </c>
      <c r="I556" t="str">
        <f>"CMG00887"</f>
        <v>CMG00887</v>
      </c>
      <c r="J556" t="str">
        <f>""</f>
        <v/>
      </c>
      <c r="K556" t="str">
        <f t="shared" si="148"/>
        <v>CM89</v>
      </c>
      <c r="L556" t="s">
        <v>2595</v>
      </c>
      <c r="M556">
        <v>165.65</v>
      </c>
    </row>
    <row r="557" spans="1:13" x14ac:dyDescent="0.25">
      <c r="A557" t="str">
        <f t="shared" si="144"/>
        <v>E217</v>
      </c>
      <c r="B557">
        <v>1</v>
      </c>
      <c r="C557" t="str">
        <f t="shared" si="145"/>
        <v>43000</v>
      </c>
      <c r="D557" t="str">
        <f t="shared" si="146"/>
        <v>5620</v>
      </c>
      <c r="E557" t="str">
        <f t="shared" si="147"/>
        <v>850LOS</v>
      </c>
      <c r="F557" t="str">
        <f>""</f>
        <v/>
      </c>
      <c r="G557" t="str">
        <f>""</f>
        <v/>
      </c>
      <c r="H557" s="1">
        <v>41899</v>
      </c>
      <c r="I557" t="str">
        <f>"CMG00893"</f>
        <v>CMG00893</v>
      </c>
      <c r="J557" t="str">
        <f>""</f>
        <v/>
      </c>
      <c r="K557" t="str">
        <f t="shared" si="148"/>
        <v>CM89</v>
      </c>
      <c r="L557" t="s">
        <v>2594</v>
      </c>
      <c r="M557">
        <v>183.17</v>
      </c>
    </row>
    <row r="558" spans="1:13" x14ac:dyDescent="0.25">
      <c r="A558" t="str">
        <f t="shared" si="144"/>
        <v>E217</v>
      </c>
      <c r="B558">
        <v>1</v>
      </c>
      <c r="C558" t="str">
        <f t="shared" si="145"/>
        <v>43000</v>
      </c>
      <c r="D558" t="str">
        <f t="shared" si="146"/>
        <v>5620</v>
      </c>
      <c r="E558" t="str">
        <f t="shared" si="147"/>
        <v>850LOS</v>
      </c>
      <c r="F558" t="str">
        <f>""</f>
        <v/>
      </c>
      <c r="G558" t="str">
        <f>""</f>
        <v/>
      </c>
      <c r="H558" s="1">
        <v>41899</v>
      </c>
      <c r="I558" t="str">
        <f>"CMG00893"</f>
        <v>CMG00893</v>
      </c>
      <c r="J558" t="str">
        <f>""</f>
        <v/>
      </c>
      <c r="K558" t="str">
        <f t="shared" si="148"/>
        <v>CM89</v>
      </c>
      <c r="L558" t="s">
        <v>2594</v>
      </c>
      <c r="M558">
        <v>277.56</v>
      </c>
    </row>
    <row r="559" spans="1:13" x14ac:dyDescent="0.25">
      <c r="A559" t="str">
        <f t="shared" si="144"/>
        <v>E217</v>
      </c>
      <c r="B559">
        <v>1</v>
      </c>
      <c r="C559" t="str">
        <f t="shared" si="145"/>
        <v>43000</v>
      </c>
      <c r="D559" t="str">
        <f t="shared" si="146"/>
        <v>5620</v>
      </c>
      <c r="E559" t="str">
        <f t="shared" si="147"/>
        <v>850LOS</v>
      </c>
      <c r="F559" t="str">
        <f>""</f>
        <v/>
      </c>
      <c r="G559" t="str">
        <f>""</f>
        <v/>
      </c>
      <c r="H559" s="1">
        <v>41927</v>
      </c>
      <c r="I559" t="str">
        <f>"CMG00897"</f>
        <v>CMG00897</v>
      </c>
      <c r="J559" t="str">
        <f>""</f>
        <v/>
      </c>
      <c r="K559" t="str">
        <f t="shared" si="148"/>
        <v>CM89</v>
      </c>
      <c r="L559" t="s">
        <v>2593</v>
      </c>
      <c r="M559">
        <v>136.84</v>
      </c>
    </row>
    <row r="560" spans="1:13" x14ac:dyDescent="0.25">
      <c r="A560" t="str">
        <f t="shared" si="144"/>
        <v>E217</v>
      </c>
      <c r="B560">
        <v>1</v>
      </c>
      <c r="C560" t="str">
        <f t="shared" si="145"/>
        <v>43000</v>
      </c>
      <c r="D560" t="str">
        <f t="shared" si="146"/>
        <v>5620</v>
      </c>
      <c r="E560" t="str">
        <f t="shared" si="147"/>
        <v>850LOS</v>
      </c>
      <c r="F560" t="str">
        <f>""</f>
        <v/>
      </c>
      <c r="G560" t="str">
        <f>""</f>
        <v/>
      </c>
      <c r="H560" s="1">
        <v>41927</v>
      </c>
      <c r="I560" t="str">
        <f>"CMG00897"</f>
        <v>CMG00897</v>
      </c>
      <c r="J560" t="str">
        <f>""</f>
        <v/>
      </c>
      <c r="K560" t="str">
        <f t="shared" si="148"/>
        <v>CM89</v>
      </c>
      <c r="L560" t="s">
        <v>2593</v>
      </c>
      <c r="M560">
        <v>328.39</v>
      </c>
    </row>
    <row r="561" spans="1:13" x14ac:dyDescent="0.25">
      <c r="A561" t="str">
        <f t="shared" si="144"/>
        <v>E217</v>
      </c>
      <c r="B561">
        <v>1</v>
      </c>
      <c r="C561" t="str">
        <f t="shared" si="145"/>
        <v>43000</v>
      </c>
      <c r="D561" t="str">
        <f t="shared" si="146"/>
        <v>5620</v>
      </c>
      <c r="E561" t="str">
        <f t="shared" si="147"/>
        <v>850LOS</v>
      </c>
      <c r="F561" t="str">
        <f>""</f>
        <v/>
      </c>
      <c r="G561" t="str">
        <f>""</f>
        <v/>
      </c>
      <c r="H561" s="1">
        <v>41932</v>
      </c>
      <c r="I561" t="str">
        <f>"CMG00899"</f>
        <v>CMG00899</v>
      </c>
      <c r="J561" t="str">
        <f>""</f>
        <v/>
      </c>
      <c r="K561" t="str">
        <f t="shared" si="148"/>
        <v>CM89</v>
      </c>
      <c r="L561" t="s">
        <v>2592</v>
      </c>
      <c r="M561" s="2">
        <v>1658.92</v>
      </c>
    </row>
    <row r="562" spans="1:13" x14ac:dyDescent="0.25">
      <c r="A562" t="str">
        <f t="shared" si="144"/>
        <v>E217</v>
      </c>
      <c r="B562">
        <v>1</v>
      </c>
      <c r="C562" t="str">
        <f t="shared" si="145"/>
        <v>43000</v>
      </c>
      <c r="D562" t="str">
        <f t="shared" si="146"/>
        <v>5620</v>
      </c>
      <c r="E562" t="str">
        <f t="shared" si="147"/>
        <v>850LOS</v>
      </c>
      <c r="F562" t="str">
        <f>""</f>
        <v/>
      </c>
      <c r="G562" t="str">
        <f>""</f>
        <v/>
      </c>
      <c r="H562" s="1">
        <v>41932</v>
      </c>
      <c r="I562" t="str">
        <f>"CMG00899"</f>
        <v>CMG00899</v>
      </c>
      <c r="J562" t="str">
        <f>""</f>
        <v/>
      </c>
      <c r="K562" t="str">
        <f t="shared" si="148"/>
        <v>CM89</v>
      </c>
      <c r="L562" t="s">
        <v>2592</v>
      </c>
      <c r="M562" s="2">
        <v>2832.15</v>
      </c>
    </row>
    <row r="563" spans="1:13" x14ac:dyDescent="0.25">
      <c r="A563" t="str">
        <f t="shared" si="144"/>
        <v>E217</v>
      </c>
      <c r="B563">
        <v>1</v>
      </c>
      <c r="C563" t="str">
        <f t="shared" si="145"/>
        <v>43000</v>
      </c>
      <c r="D563" t="str">
        <f t="shared" si="146"/>
        <v>5620</v>
      </c>
      <c r="E563" t="str">
        <f t="shared" si="147"/>
        <v>850LOS</v>
      </c>
      <c r="F563" t="str">
        <f>""</f>
        <v/>
      </c>
      <c r="G563" t="str">
        <f>""</f>
        <v/>
      </c>
      <c r="H563" s="1">
        <v>41963</v>
      </c>
      <c r="I563" t="str">
        <f>"CMG00903"</f>
        <v>CMG00903</v>
      </c>
      <c r="J563" t="str">
        <f>""</f>
        <v/>
      </c>
      <c r="K563" t="str">
        <f t="shared" si="148"/>
        <v>CM89</v>
      </c>
      <c r="L563" t="s">
        <v>2591</v>
      </c>
      <c r="M563">
        <v>306.17</v>
      </c>
    </row>
    <row r="564" spans="1:13" x14ac:dyDescent="0.25">
      <c r="A564" t="str">
        <f t="shared" si="144"/>
        <v>E217</v>
      </c>
      <c r="B564">
        <v>1</v>
      </c>
      <c r="C564" t="str">
        <f t="shared" si="145"/>
        <v>43000</v>
      </c>
      <c r="D564" t="str">
        <f t="shared" si="146"/>
        <v>5620</v>
      </c>
      <c r="E564" t="str">
        <f t="shared" si="147"/>
        <v>850LOS</v>
      </c>
      <c r="F564" t="str">
        <f>""</f>
        <v/>
      </c>
      <c r="G564" t="str">
        <f>""</f>
        <v/>
      </c>
      <c r="H564" s="1">
        <v>41963</v>
      </c>
      <c r="I564" t="str">
        <f>"CMG00903"</f>
        <v>CMG00903</v>
      </c>
      <c r="J564" t="str">
        <f>""</f>
        <v/>
      </c>
      <c r="K564" t="str">
        <f t="shared" si="148"/>
        <v>CM89</v>
      </c>
      <c r="L564" t="s">
        <v>2591</v>
      </c>
      <c r="M564">
        <v>242.55</v>
      </c>
    </row>
    <row r="565" spans="1:13" x14ac:dyDescent="0.25">
      <c r="A565" t="str">
        <f t="shared" si="144"/>
        <v>E217</v>
      </c>
      <c r="B565">
        <v>1</v>
      </c>
      <c r="C565" t="str">
        <f t="shared" si="145"/>
        <v>43000</v>
      </c>
      <c r="D565" t="str">
        <f t="shared" si="146"/>
        <v>5620</v>
      </c>
      <c r="E565" t="str">
        <f t="shared" si="147"/>
        <v>850LOS</v>
      </c>
      <c r="F565" t="str">
        <f>""</f>
        <v/>
      </c>
      <c r="G565" t="str">
        <f>""</f>
        <v/>
      </c>
      <c r="H565" s="1">
        <v>41981</v>
      </c>
      <c r="I565" t="str">
        <f>"CMG00910"</f>
        <v>CMG00910</v>
      </c>
      <c r="J565" t="str">
        <f>""</f>
        <v/>
      </c>
      <c r="K565" t="str">
        <f t="shared" si="148"/>
        <v>CM89</v>
      </c>
      <c r="L565" t="s">
        <v>2590</v>
      </c>
      <c r="M565">
        <v>312.77</v>
      </c>
    </row>
    <row r="566" spans="1:13" x14ac:dyDescent="0.25">
      <c r="A566" t="str">
        <f t="shared" si="144"/>
        <v>E217</v>
      </c>
      <c r="B566">
        <v>1</v>
      </c>
      <c r="C566" t="str">
        <f t="shared" si="145"/>
        <v>43000</v>
      </c>
      <c r="D566" t="str">
        <f t="shared" si="146"/>
        <v>5620</v>
      </c>
      <c r="E566" t="str">
        <f t="shared" si="147"/>
        <v>850LOS</v>
      </c>
      <c r="F566" t="str">
        <f>""</f>
        <v/>
      </c>
      <c r="G566" t="str">
        <f>""</f>
        <v/>
      </c>
      <c r="H566" s="1">
        <v>41981</v>
      </c>
      <c r="I566" t="str">
        <f>"CMG00910"</f>
        <v>CMG00910</v>
      </c>
      <c r="J566" t="str">
        <f>""</f>
        <v/>
      </c>
      <c r="K566" t="str">
        <f t="shared" si="148"/>
        <v>CM89</v>
      </c>
      <c r="L566" t="s">
        <v>2590</v>
      </c>
      <c r="M566">
        <v>286.98</v>
      </c>
    </row>
    <row r="567" spans="1:13" x14ac:dyDescent="0.25">
      <c r="A567" t="str">
        <f t="shared" si="144"/>
        <v>E217</v>
      </c>
      <c r="B567">
        <v>1</v>
      </c>
      <c r="C567" t="str">
        <f t="shared" si="145"/>
        <v>43000</v>
      </c>
      <c r="D567" t="str">
        <f t="shared" si="146"/>
        <v>5620</v>
      </c>
      <c r="E567" t="str">
        <f t="shared" si="147"/>
        <v>850LOS</v>
      </c>
      <c r="F567" t="str">
        <f>""</f>
        <v/>
      </c>
      <c r="G567" t="str">
        <f>""</f>
        <v/>
      </c>
      <c r="H567" s="1">
        <v>42005</v>
      </c>
      <c r="I567" t="str">
        <f>"J0012735"</f>
        <v>J0012735</v>
      </c>
      <c r="J567" t="str">
        <f>""</f>
        <v/>
      </c>
      <c r="K567" t="str">
        <f>"J089"</f>
        <v>J089</v>
      </c>
      <c r="L567" t="s">
        <v>2589</v>
      </c>
      <c r="M567" s="2">
        <v>1161.76</v>
      </c>
    </row>
    <row r="568" spans="1:13" x14ac:dyDescent="0.25">
      <c r="A568" t="str">
        <f t="shared" si="144"/>
        <v>E217</v>
      </c>
      <c r="B568">
        <v>1</v>
      </c>
      <c r="C568" t="str">
        <f t="shared" si="145"/>
        <v>43000</v>
      </c>
      <c r="D568" t="str">
        <f t="shared" si="146"/>
        <v>5620</v>
      </c>
      <c r="E568" t="str">
        <f t="shared" si="147"/>
        <v>850LOS</v>
      </c>
      <c r="F568" t="str">
        <f>""</f>
        <v/>
      </c>
      <c r="G568" t="str">
        <f>""</f>
        <v/>
      </c>
      <c r="H568" s="1">
        <v>42005</v>
      </c>
      <c r="I568" t="str">
        <f>"J0012809"</f>
        <v>J0012809</v>
      </c>
      <c r="J568" t="str">
        <f>""</f>
        <v/>
      </c>
      <c r="K568" t="str">
        <f>"J089"</f>
        <v>J089</v>
      </c>
      <c r="L568" t="s">
        <v>2576</v>
      </c>
      <c r="M568">
        <v>694.79</v>
      </c>
    </row>
    <row r="569" spans="1:13" x14ac:dyDescent="0.25">
      <c r="A569" t="str">
        <f t="shared" si="144"/>
        <v>E217</v>
      </c>
      <c r="B569">
        <v>1</v>
      </c>
      <c r="C569" t="str">
        <f t="shared" si="145"/>
        <v>43000</v>
      </c>
      <c r="D569" t="str">
        <f t="shared" si="146"/>
        <v>5620</v>
      </c>
      <c r="E569" t="str">
        <f t="shared" si="147"/>
        <v>850LOS</v>
      </c>
      <c r="F569" t="str">
        <f>""</f>
        <v/>
      </c>
      <c r="G569" t="str">
        <f>""</f>
        <v/>
      </c>
      <c r="H569" s="1">
        <v>42005</v>
      </c>
      <c r="I569" t="str">
        <f>"J0012811"</f>
        <v>J0012811</v>
      </c>
      <c r="J569" t="str">
        <f>""</f>
        <v/>
      </c>
      <c r="K569" t="str">
        <f>"J089"</f>
        <v>J089</v>
      </c>
      <c r="L569" t="s">
        <v>2575</v>
      </c>
      <c r="M569">
        <v>566.9</v>
      </c>
    </row>
    <row r="570" spans="1:13" x14ac:dyDescent="0.25">
      <c r="A570" t="str">
        <f t="shared" si="144"/>
        <v>E217</v>
      </c>
      <c r="B570">
        <v>1</v>
      </c>
      <c r="C570" t="str">
        <f t="shared" si="145"/>
        <v>43000</v>
      </c>
      <c r="D570" t="str">
        <f t="shared" si="146"/>
        <v>5620</v>
      </c>
      <c r="E570" t="str">
        <f t="shared" si="147"/>
        <v>850LOS</v>
      </c>
      <c r="F570" t="str">
        <f>""</f>
        <v/>
      </c>
      <c r="G570" t="str">
        <f>""</f>
        <v/>
      </c>
      <c r="H570" s="1">
        <v>42005</v>
      </c>
      <c r="I570" t="str">
        <f>"J0012813"</f>
        <v>J0012813</v>
      </c>
      <c r="J570" t="str">
        <f>""</f>
        <v/>
      </c>
      <c r="K570" t="str">
        <f>"J089"</f>
        <v>J089</v>
      </c>
      <c r="L570" t="s">
        <v>2574</v>
      </c>
      <c r="M570" s="2">
        <v>1319.16</v>
      </c>
    </row>
    <row r="571" spans="1:13" x14ac:dyDescent="0.25">
      <c r="A571" t="str">
        <f t="shared" si="144"/>
        <v>E217</v>
      </c>
      <c r="B571">
        <v>1</v>
      </c>
      <c r="C571" t="str">
        <f t="shared" si="145"/>
        <v>43000</v>
      </c>
      <c r="D571" t="str">
        <f t="shared" si="146"/>
        <v>5620</v>
      </c>
      <c r="E571" t="str">
        <f t="shared" si="147"/>
        <v>850LOS</v>
      </c>
      <c r="F571" t="str">
        <f>""</f>
        <v/>
      </c>
      <c r="G571" t="str">
        <f>""</f>
        <v/>
      </c>
      <c r="H571" s="1">
        <v>42030</v>
      </c>
      <c r="I571" t="str">
        <f>"CMG00915"</f>
        <v>CMG00915</v>
      </c>
      <c r="J571" t="str">
        <f>""</f>
        <v/>
      </c>
      <c r="K571" t="str">
        <f t="shared" ref="K571:K585" si="149">"CM89"</f>
        <v>CM89</v>
      </c>
      <c r="L571" t="s">
        <v>2588</v>
      </c>
      <c r="M571">
        <v>289.83999999999997</v>
      </c>
    </row>
    <row r="572" spans="1:13" x14ac:dyDescent="0.25">
      <c r="A572" t="str">
        <f t="shared" si="144"/>
        <v>E217</v>
      </c>
      <c r="B572">
        <v>1</v>
      </c>
      <c r="C572" t="str">
        <f t="shared" si="145"/>
        <v>43000</v>
      </c>
      <c r="D572" t="str">
        <f t="shared" si="146"/>
        <v>5620</v>
      </c>
      <c r="E572" t="str">
        <f t="shared" si="147"/>
        <v>850LOS</v>
      </c>
      <c r="F572" t="str">
        <f>""</f>
        <v/>
      </c>
      <c r="G572" t="str">
        <f>""</f>
        <v/>
      </c>
      <c r="H572" s="1">
        <v>42030</v>
      </c>
      <c r="I572" t="str">
        <f>"CMG00915"</f>
        <v>CMG00915</v>
      </c>
      <c r="J572" t="str">
        <f>""</f>
        <v/>
      </c>
      <c r="K572" t="str">
        <f t="shared" si="149"/>
        <v>CM89</v>
      </c>
      <c r="L572" t="s">
        <v>2588</v>
      </c>
      <c r="M572">
        <v>388.51</v>
      </c>
    </row>
    <row r="573" spans="1:13" x14ac:dyDescent="0.25">
      <c r="A573" t="str">
        <f t="shared" si="144"/>
        <v>E217</v>
      </c>
      <c r="B573">
        <v>1</v>
      </c>
      <c r="C573" t="str">
        <f t="shared" si="145"/>
        <v>43000</v>
      </c>
      <c r="D573" t="str">
        <f t="shared" si="146"/>
        <v>5620</v>
      </c>
      <c r="E573" t="str">
        <f t="shared" si="147"/>
        <v>850LOS</v>
      </c>
      <c r="F573" t="str">
        <f>""</f>
        <v/>
      </c>
      <c r="G573" t="str">
        <f>""</f>
        <v/>
      </c>
      <c r="H573" s="1">
        <v>42048</v>
      </c>
      <c r="I573" t="str">
        <f>"CMG00920"</f>
        <v>CMG00920</v>
      </c>
      <c r="J573" t="str">
        <f>""</f>
        <v/>
      </c>
      <c r="K573" t="str">
        <f t="shared" si="149"/>
        <v>CM89</v>
      </c>
      <c r="L573" t="s">
        <v>2587</v>
      </c>
      <c r="M573">
        <v>773.24</v>
      </c>
    </row>
    <row r="574" spans="1:13" x14ac:dyDescent="0.25">
      <c r="A574" t="str">
        <f t="shared" si="144"/>
        <v>E217</v>
      </c>
      <c r="B574">
        <v>1</v>
      </c>
      <c r="C574" t="str">
        <f t="shared" si="145"/>
        <v>43000</v>
      </c>
      <c r="D574" t="str">
        <f t="shared" si="146"/>
        <v>5620</v>
      </c>
      <c r="E574" t="str">
        <f t="shared" si="147"/>
        <v>850LOS</v>
      </c>
      <c r="F574" t="str">
        <f>""</f>
        <v/>
      </c>
      <c r="G574" t="str">
        <f>""</f>
        <v/>
      </c>
      <c r="H574" s="1">
        <v>42048</v>
      </c>
      <c r="I574" t="str">
        <f>"CMG00920"</f>
        <v>CMG00920</v>
      </c>
      <c r="J574" t="str">
        <f>""</f>
        <v/>
      </c>
      <c r="K574" t="str">
        <f t="shared" si="149"/>
        <v>CM89</v>
      </c>
      <c r="L574" t="s">
        <v>2587</v>
      </c>
      <c r="M574">
        <v>484.12</v>
      </c>
    </row>
    <row r="575" spans="1:13" x14ac:dyDescent="0.25">
      <c r="A575" t="str">
        <f t="shared" si="144"/>
        <v>E217</v>
      </c>
      <c r="B575">
        <v>1</v>
      </c>
      <c r="C575" t="str">
        <f t="shared" si="145"/>
        <v>43000</v>
      </c>
      <c r="D575" t="str">
        <f t="shared" si="146"/>
        <v>5620</v>
      </c>
      <c r="E575" t="str">
        <f t="shared" si="147"/>
        <v>850LOS</v>
      </c>
      <c r="F575" t="str">
        <f>""</f>
        <v/>
      </c>
      <c r="G575" t="str">
        <f>""</f>
        <v/>
      </c>
      <c r="H575" s="1">
        <v>42083</v>
      </c>
      <c r="I575" t="str">
        <f>"CMG00924"</f>
        <v>CMG00924</v>
      </c>
      <c r="J575" t="str">
        <f>""</f>
        <v/>
      </c>
      <c r="K575" t="str">
        <f t="shared" si="149"/>
        <v>CM89</v>
      </c>
      <c r="L575" t="s">
        <v>2586</v>
      </c>
      <c r="M575">
        <v>348.48</v>
      </c>
    </row>
    <row r="576" spans="1:13" x14ac:dyDescent="0.25">
      <c r="A576" t="str">
        <f t="shared" si="144"/>
        <v>E217</v>
      </c>
      <c r="B576">
        <v>1</v>
      </c>
      <c r="C576" t="str">
        <f t="shared" si="145"/>
        <v>43000</v>
      </c>
      <c r="D576" t="str">
        <f t="shared" si="146"/>
        <v>5620</v>
      </c>
      <c r="E576" t="str">
        <f t="shared" si="147"/>
        <v>850LOS</v>
      </c>
      <c r="F576" t="str">
        <f>""</f>
        <v/>
      </c>
      <c r="G576" t="str">
        <f>""</f>
        <v/>
      </c>
      <c r="H576" s="1">
        <v>42083</v>
      </c>
      <c r="I576" t="str">
        <f>"CMG00924"</f>
        <v>CMG00924</v>
      </c>
      <c r="J576" t="str">
        <f>""</f>
        <v/>
      </c>
      <c r="K576" t="str">
        <f t="shared" si="149"/>
        <v>CM89</v>
      </c>
      <c r="L576" t="s">
        <v>2586</v>
      </c>
      <c r="M576">
        <v>406.17</v>
      </c>
    </row>
    <row r="577" spans="1:13" x14ac:dyDescent="0.25">
      <c r="A577" t="str">
        <f t="shared" si="144"/>
        <v>E217</v>
      </c>
      <c r="B577">
        <v>1</v>
      </c>
      <c r="C577" t="str">
        <f t="shared" si="145"/>
        <v>43000</v>
      </c>
      <c r="D577" t="str">
        <f t="shared" si="146"/>
        <v>5620</v>
      </c>
      <c r="E577" t="str">
        <f t="shared" si="147"/>
        <v>850LOS</v>
      </c>
      <c r="F577" t="str">
        <f>""</f>
        <v/>
      </c>
      <c r="G577" t="str">
        <f>""</f>
        <v/>
      </c>
      <c r="H577" s="1">
        <v>42103</v>
      </c>
      <c r="I577" t="str">
        <f>"CMG00928"</f>
        <v>CMG00928</v>
      </c>
      <c r="J577" t="str">
        <f>""</f>
        <v/>
      </c>
      <c r="K577" t="str">
        <f t="shared" si="149"/>
        <v>CM89</v>
      </c>
      <c r="L577" t="s">
        <v>2585</v>
      </c>
      <c r="M577">
        <v>500.62</v>
      </c>
    </row>
    <row r="578" spans="1:13" x14ac:dyDescent="0.25">
      <c r="A578" t="str">
        <f t="shared" si="144"/>
        <v>E217</v>
      </c>
      <c r="B578">
        <v>1</v>
      </c>
      <c r="C578" t="str">
        <f t="shared" si="145"/>
        <v>43000</v>
      </c>
      <c r="D578" t="str">
        <f t="shared" si="146"/>
        <v>5620</v>
      </c>
      <c r="E578" t="str">
        <f t="shared" si="147"/>
        <v>850LOS</v>
      </c>
      <c r="F578" t="str">
        <f>""</f>
        <v/>
      </c>
      <c r="G578" t="str">
        <f>""</f>
        <v/>
      </c>
      <c r="H578" s="1">
        <v>42103</v>
      </c>
      <c r="I578" t="str">
        <f>"CMG00928"</f>
        <v>CMG00928</v>
      </c>
      <c r="J578" t="str">
        <f>""</f>
        <v/>
      </c>
      <c r="K578" t="str">
        <f t="shared" si="149"/>
        <v>CM89</v>
      </c>
      <c r="L578" t="s">
        <v>2585</v>
      </c>
      <c r="M578">
        <v>696.85</v>
      </c>
    </row>
    <row r="579" spans="1:13" x14ac:dyDescent="0.25">
      <c r="A579" t="str">
        <f t="shared" si="144"/>
        <v>E217</v>
      </c>
      <c r="B579">
        <v>1</v>
      </c>
      <c r="C579" t="str">
        <f t="shared" si="145"/>
        <v>43000</v>
      </c>
      <c r="D579" t="str">
        <f t="shared" si="146"/>
        <v>5620</v>
      </c>
      <c r="E579" t="str">
        <f t="shared" si="147"/>
        <v>850LOS</v>
      </c>
      <c r="F579" t="str">
        <f>""</f>
        <v/>
      </c>
      <c r="G579" t="str">
        <f>""</f>
        <v/>
      </c>
      <c r="H579" s="1">
        <v>42104</v>
      </c>
      <c r="I579" t="str">
        <f>"CMG00930"</f>
        <v>CMG00930</v>
      </c>
      <c r="J579" t="str">
        <f>""</f>
        <v/>
      </c>
      <c r="K579" t="str">
        <f t="shared" si="149"/>
        <v>CM89</v>
      </c>
      <c r="L579" t="s">
        <v>2584</v>
      </c>
      <c r="M579">
        <v>115.69</v>
      </c>
    </row>
    <row r="580" spans="1:13" x14ac:dyDescent="0.25">
      <c r="A580" t="str">
        <f t="shared" si="144"/>
        <v>E217</v>
      </c>
      <c r="B580">
        <v>1</v>
      </c>
      <c r="C580" t="str">
        <f t="shared" si="145"/>
        <v>43000</v>
      </c>
      <c r="D580" t="str">
        <f t="shared" si="146"/>
        <v>5620</v>
      </c>
      <c r="E580" t="str">
        <f t="shared" si="147"/>
        <v>850LOS</v>
      </c>
      <c r="F580" t="str">
        <f>""</f>
        <v/>
      </c>
      <c r="G580" t="str">
        <f>""</f>
        <v/>
      </c>
      <c r="H580" s="1">
        <v>42138</v>
      </c>
      <c r="I580" t="str">
        <f>"CMG00934"</f>
        <v>CMG00934</v>
      </c>
      <c r="J580" t="str">
        <f>""</f>
        <v/>
      </c>
      <c r="K580" t="str">
        <f t="shared" si="149"/>
        <v>CM89</v>
      </c>
      <c r="L580" t="s">
        <v>2583</v>
      </c>
      <c r="M580">
        <v>459.94</v>
      </c>
    </row>
    <row r="581" spans="1:13" x14ac:dyDescent="0.25">
      <c r="A581" t="str">
        <f t="shared" si="144"/>
        <v>E217</v>
      </c>
      <c r="B581">
        <v>1</v>
      </c>
      <c r="C581" t="str">
        <f t="shared" si="145"/>
        <v>43000</v>
      </c>
      <c r="D581" t="str">
        <f t="shared" si="146"/>
        <v>5620</v>
      </c>
      <c r="E581" t="str">
        <f t="shared" si="147"/>
        <v>850LOS</v>
      </c>
      <c r="F581" t="str">
        <f>""</f>
        <v/>
      </c>
      <c r="G581" t="str">
        <f>""</f>
        <v/>
      </c>
      <c r="H581" s="1">
        <v>42138</v>
      </c>
      <c r="I581" t="str">
        <f>"CMG00934"</f>
        <v>CMG00934</v>
      </c>
      <c r="J581" t="str">
        <f>""</f>
        <v/>
      </c>
      <c r="K581" t="str">
        <f t="shared" si="149"/>
        <v>CM89</v>
      </c>
      <c r="L581" t="s">
        <v>2583</v>
      </c>
      <c r="M581">
        <v>694.14</v>
      </c>
    </row>
    <row r="582" spans="1:13" x14ac:dyDescent="0.25">
      <c r="A582" t="str">
        <f t="shared" si="144"/>
        <v>E217</v>
      </c>
      <c r="B582">
        <v>1</v>
      </c>
      <c r="C582" t="str">
        <f t="shared" si="145"/>
        <v>43000</v>
      </c>
      <c r="D582" t="str">
        <f t="shared" si="146"/>
        <v>5620</v>
      </c>
      <c r="E582" t="str">
        <f t="shared" si="147"/>
        <v>850LOS</v>
      </c>
      <c r="F582" t="str">
        <f>""</f>
        <v/>
      </c>
      <c r="G582" t="str">
        <f>""</f>
        <v/>
      </c>
      <c r="H582" s="1">
        <v>42166</v>
      </c>
      <c r="I582" t="str">
        <f>"CMG00941"</f>
        <v>CMG00941</v>
      </c>
      <c r="J582" t="str">
        <f>""</f>
        <v/>
      </c>
      <c r="K582" t="str">
        <f t="shared" si="149"/>
        <v>CM89</v>
      </c>
      <c r="L582" t="s">
        <v>2582</v>
      </c>
      <c r="M582">
        <v>282.44</v>
      </c>
    </row>
    <row r="583" spans="1:13" x14ac:dyDescent="0.25">
      <c r="A583" t="str">
        <f t="shared" si="144"/>
        <v>E217</v>
      </c>
      <c r="B583">
        <v>1</v>
      </c>
      <c r="C583" t="str">
        <f t="shared" si="145"/>
        <v>43000</v>
      </c>
      <c r="D583" t="str">
        <f t="shared" si="146"/>
        <v>5620</v>
      </c>
      <c r="E583" t="str">
        <f t="shared" si="147"/>
        <v>850LOS</v>
      </c>
      <c r="F583" t="str">
        <f>""</f>
        <v/>
      </c>
      <c r="G583" t="str">
        <f>""</f>
        <v/>
      </c>
      <c r="H583" s="1">
        <v>42166</v>
      </c>
      <c r="I583" t="str">
        <f>"CMG00941"</f>
        <v>CMG00941</v>
      </c>
      <c r="J583" t="str">
        <f>""</f>
        <v/>
      </c>
      <c r="K583" t="str">
        <f t="shared" si="149"/>
        <v>CM89</v>
      </c>
      <c r="L583" t="s">
        <v>2582</v>
      </c>
      <c r="M583">
        <v>338.36</v>
      </c>
    </row>
    <row r="584" spans="1:13" x14ac:dyDescent="0.25">
      <c r="A584" t="str">
        <f t="shared" si="144"/>
        <v>E217</v>
      </c>
      <c r="B584">
        <v>1</v>
      </c>
      <c r="C584" t="str">
        <f t="shared" si="145"/>
        <v>43000</v>
      </c>
      <c r="D584" t="str">
        <f t="shared" si="146"/>
        <v>5620</v>
      </c>
      <c r="E584" t="str">
        <f t="shared" si="147"/>
        <v>850LOS</v>
      </c>
      <c r="F584" t="str">
        <f>""</f>
        <v/>
      </c>
      <c r="G584" t="str">
        <f>""</f>
        <v/>
      </c>
      <c r="H584" s="1">
        <v>42185</v>
      </c>
      <c r="I584" t="str">
        <f>"CMG00946"</f>
        <v>CMG00946</v>
      </c>
      <c r="J584" t="str">
        <f>""</f>
        <v/>
      </c>
      <c r="K584" t="str">
        <f t="shared" si="149"/>
        <v>CM89</v>
      </c>
      <c r="L584" t="s">
        <v>2581</v>
      </c>
      <c r="M584">
        <v>339.57</v>
      </c>
    </row>
    <row r="585" spans="1:13" x14ac:dyDescent="0.25">
      <c r="A585" t="str">
        <f t="shared" si="144"/>
        <v>E217</v>
      </c>
      <c r="B585">
        <v>1</v>
      </c>
      <c r="C585" t="str">
        <f t="shared" si="145"/>
        <v>43000</v>
      </c>
      <c r="D585" t="str">
        <f t="shared" si="146"/>
        <v>5620</v>
      </c>
      <c r="E585" t="str">
        <f t="shared" si="147"/>
        <v>850LOS</v>
      </c>
      <c r="F585" t="str">
        <f>""</f>
        <v/>
      </c>
      <c r="G585" t="str">
        <f>""</f>
        <v/>
      </c>
      <c r="H585" s="1">
        <v>42185</v>
      </c>
      <c r="I585" t="str">
        <f>"CMG00946"</f>
        <v>CMG00946</v>
      </c>
      <c r="J585" t="str">
        <f>""</f>
        <v/>
      </c>
      <c r="K585" t="str">
        <f t="shared" si="149"/>
        <v>CM89</v>
      </c>
      <c r="L585" t="s">
        <v>2581</v>
      </c>
      <c r="M585">
        <v>572.96</v>
      </c>
    </row>
    <row r="586" spans="1:13" x14ac:dyDescent="0.25">
      <c r="A586" t="str">
        <f t="shared" si="144"/>
        <v>E217</v>
      </c>
      <c r="B586">
        <v>1</v>
      </c>
      <c r="C586" t="str">
        <f t="shared" si="145"/>
        <v>43000</v>
      </c>
      <c r="D586" t="str">
        <f t="shared" si="146"/>
        <v>5620</v>
      </c>
      <c r="E586" t="str">
        <f t="shared" ref="E586:E593" si="150">"850PAY"</f>
        <v>850PAY</v>
      </c>
      <c r="F586" t="str">
        <f>""</f>
        <v/>
      </c>
      <c r="G586" t="str">
        <f>""</f>
        <v/>
      </c>
      <c r="H586" s="1">
        <v>42064</v>
      </c>
      <c r="I586" t="str">
        <f>"J0013344"</f>
        <v>J0013344</v>
      </c>
      <c r="J586" t="str">
        <f>""</f>
        <v/>
      </c>
      <c r="K586" t="str">
        <f t="shared" ref="K586:K596" si="151">"J089"</f>
        <v>J089</v>
      </c>
      <c r="L586" t="s">
        <v>2574</v>
      </c>
      <c r="M586" s="2">
        <v>1345.09</v>
      </c>
    </row>
    <row r="587" spans="1:13" x14ac:dyDescent="0.25">
      <c r="A587" t="str">
        <f t="shared" si="144"/>
        <v>E217</v>
      </c>
      <c r="B587">
        <v>1</v>
      </c>
      <c r="C587" t="str">
        <f t="shared" si="145"/>
        <v>43000</v>
      </c>
      <c r="D587" t="str">
        <f t="shared" si="146"/>
        <v>5620</v>
      </c>
      <c r="E587" t="str">
        <f t="shared" si="150"/>
        <v>850PAY</v>
      </c>
      <c r="F587" t="str">
        <f>""</f>
        <v/>
      </c>
      <c r="G587" t="str">
        <f>""</f>
        <v/>
      </c>
      <c r="H587" s="1">
        <v>42073</v>
      </c>
      <c r="I587" t="str">
        <f>"J0013725"</f>
        <v>J0013725</v>
      </c>
      <c r="J587" t="str">
        <f>""</f>
        <v/>
      </c>
      <c r="K587" t="str">
        <f t="shared" si="151"/>
        <v>J089</v>
      </c>
      <c r="L587" t="s">
        <v>2580</v>
      </c>
      <c r="M587" s="2">
        <v>1393.58</v>
      </c>
    </row>
    <row r="588" spans="1:13" x14ac:dyDescent="0.25">
      <c r="A588" t="str">
        <f t="shared" si="144"/>
        <v>E217</v>
      </c>
      <c r="B588">
        <v>1</v>
      </c>
      <c r="C588" t="str">
        <f t="shared" si="145"/>
        <v>43000</v>
      </c>
      <c r="D588" t="str">
        <f t="shared" si="146"/>
        <v>5620</v>
      </c>
      <c r="E588" t="str">
        <f t="shared" si="150"/>
        <v>850PAY</v>
      </c>
      <c r="F588" t="str">
        <f>""</f>
        <v/>
      </c>
      <c r="G588" t="str">
        <f>""</f>
        <v/>
      </c>
      <c r="H588" s="1">
        <v>42095</v>
      </c>
      <c r="I588" t="str">
        <f>"J0013186"</f>
        <v>J0013186</v>
      </c>
      <c r="J588" t="str">
        <f>""</f>
        <v/>
      </c>
      <c r="K588" t="str">
        <f t="shared" si="151"/>
        <v>J089</v>
      </c>
      <c r="L588" t="s">
        <v>2579</v>
      </c>
      <c r="M588">
        <v>812.34</v>
      </c>
    </row>
    <row r="589" spans="1:13" x14ac:dyDescent="0.25">
      <c r="A589" t="str">
        <f t="shared" si="144"/>
        <v>E217</v>
      </c>
      <c r="B589">
        <v>1</v>
      </c>
      <c r="C589" t="str">
        <f t="shared" si="145"/>
        <v>43000</v>
      </c>
      <c r="D589" t="str">
        <f t="shared" si="146"/>
        <v>5620</v>
      </c>
      <c r="E589" t="str">
        <f t="shared" si="150"/>
        <v>850PAY</v>
      </c>
      <c r="F589" t="str">
        <f>""</f>
        <v/>
      </c>
      <c r="G589" t="str">
        <f>""</f>
        <v/>
      </c>
      <c r="H589" s="1">
        <v>42125</v>
      </c>
      <c r="I589" t="str">
        <f>"J0014521"</f>
        <v>J0014521</v>
      </c>
      <c r="J589" t="str">
        <f>""</f>
        <v/>
      </c>
      <c r="K589" t="str">
        <f t="shared" si="151"/>
        <v>J089</v>
      </c>
      <c r="L589" t="s">
        <v>2578</v>
      </c>
      <c r="M589" s="2">
        <v>1318.33</v>
      </c>
    </row>
    <row r="590" spans="1:13" x14ac:dyDescent="0.25">
      <c r="A590" t="str">
        <f t="shared" si="144"/>
        <v>E217</v>
      </c>
      <c r="B590">
        <v>1</v>
      </c>
      <c r="C590" t="str">
        <f t="shared" si="145"/>
        <v>43000</v>
      </c>
      <c r="D590" t="str">
        <f t="shared" si="146"/>
        <v>5620</v>
      </c>
      <c r="E590" t="str">
        <f t="shared" si="150"/>
        <v>850PAY</v>
      </c>
      <c r="F590" t="str">
        <f>""</f>
        <v/>
      </c>
      <c r="G590" t="str">
        <f>""</f>
        <v/>
      </c>
      <c r="H590" s="1">
        <v>42135</v>
      </c>
      <c r="I590" t="str">
        <f>"J0014874"</f>
        <v>J0014874</v>
      </c>
      <c r="J590" t="str">
        <f>""</f>
        <v/>
      </c>
      <c r="K590" t="str">
        <f t="shared" si="151"/>
        <v>J089</v>
      </c>
      <c r="L590" t="s">
        <v>2575</v>
      </c>
      <c r="M590" s="2">
        <v>1658.39</v>
      </c>
    </row>
    <row r="591" spans="1:13" x14ac:dyDescent="0.25">
      <c r="A591" t="str">
        <f t="shared" si="144"/>
        <v>E217</v>
      </c>
      <c r="B591">
        <v>1</v>
      </c>
      <c r="C591" t="str">
        <f t="shared" si="145"/>
        <v>43000</v>
      </c>
      <c r="D591" t="str">
        <f t="shared" si="146"/>
        <v>5620</v>
      </c>
      <c r="E591" t="str">
        <f t="shared" si="150"/>
        <v>850PAY</v>
      </c>
      <c r="F591" t="str">
        <f>""</f>
        <v/>
      </c>
      <c r="G591" t="str">
        <f>""</f>
        <v/>
      </c>
      <c r="H591" s="1">
        <v>42163</v>
      </c>
      <c r="I591" t="str">
        <f>"J0015371"</f>
        <v>J0015371</v>
      </c>
      <c r="J591" t="str">
        <f>""</f>
        <v/>
      </c>
      <c r="K591" t="str">
        <f t="shared" si="151"/>
        <v>J089</v>
      </c>
      <c r="L591" t="s">
        <v>2575</v>
      </c>
      <c r="M591" s="2">
        <v>1468.04</v>
      </c>
    </row>
    <row r="592" spans="1:13" x14ac:dyDescent="0.25">
      <c r="A592" t="str">
        <f t="shared" si="144"/>
        <v>E217</v>
      </c>
      <c r="B592">
        <v>1</v>
      </c>
      <c r="C592" t="str">
        <f t="shared" si="145"/>
        <v>43000</v>
      </c>
      <c r="D592" t="str">
        <f t="shared" si="146"/>
        <v>5620</v>
      </c>
      <c r="E592" t="str">
        <f t="shared" si="150"/>
        <v>850PAY</v>
      </c>
      <c r="F592" t="str">
        <f>""</f>
        <v/>
      </c>
      <c r="G592" t="str">
        <f>""</f>
        <v/>
      </c>
      <c r="H592" s="1">
        <v>42185</v>
      </c>
      <c r="I592" t="str">
        <f>"J0016246"</f>
        <v>J0016246</v>
      </c>
      <c r="J592" t="str">
        <f>"J0011432"</f>
        <v>J0011432</v>
      </c>
      <c r="K592" t="str">
        <f t="shared" si="151"/>
        <v>J089</v>
      </c>
      <c r="L592" t="s">
        <v>2575</v>
      </c>
      <c r="M592">
        <v>606.46</v>
      </c>
    </row>
    <row r="593" spans="1:13" x14ac:dyDescent="0.25">
      <c r="A593" t="str">
        <f t="shared" si="144"/>
        <v>E217</v>
      </c>
      <c r="B593">
        <v>1</v>
      </c>
      <c r="C593" t="str">
        <f t="shared" si="145"/>
        <v>43000</v>
      </c>
      <c r="D593" t="str">
        <f t="shared" si="146"/>
        <v>5620</v>
      </c>
      <c r="E593" t="str">
        <f t="shared" si="150"/>
        <v>850PAY</v>
      </c>
      <c r="F593" t="str">
        <f>""</f>
        <v/>
      </c>
      <c r="G593" t="str">
        <f>""</f>
        <v/>
      </c>
      <c r="H593" s="1">
        <v>42185</v>
      </c>
      <c r="I593" t="str">
        <f>"J0016305"</f>
        <v>J0016305</v>
      </c>
      <c r="J593" t="str">
        <f>""</f>
        <v/>
      </c>
      <c r="K593" t="str">
        <f t="shared" si="151"/>
        <v>J089</v>
      </c>
      <c r="L593" t="s">
        <v>2577</v>
      </c>
      <c r="M593">
        <v>894.73</v>
      </c>
    </row>
    <row r="594" spans="1:13" x14ac:dyDescent="0.25">
      <c r="A594" t="str">
        <f t="shared" si="144"/>
        <v>E217</v>
      </c>
      <c r="B594">
        <v>1</v>
      </c>
      <c r="C594" t="str">
        <f>"43003"</f>
        <v>43003</v>
      </c>
      <c r="D594" t="str">
        <f t="shared" si="146"/>
        <v>5620</v>
      </c>
      <c r="E594" t="str">
        <f>"850LOS"</f>
        <v>850LOS</v>
      </c>
      <c r="F594" t="str">
        <f>""</f>
        <v/>
      </c>
      <c r="G594" t="str">
        <f>""</f>
        <v/>
      </c>
      <c r="H594" s="1">
        <v>41914</v>
      </c>
      <c r="I594" t="str">
        <f>"J0011447"</f>
        <v>J0011447</v>
      </c>
      <c r="J594" t="str">
        <f>""</f>
        <v/>
      </c>
      <c r="K594" t="str">
        <f t="shared" si="151"/>
        <v>J089</v>
      </c>
      <c r="L594" t="s">
        <v>2576</v>
      </c>
      <c r="M594">
        <v>694.79</v>
      </c>
    </row>
    <row r="595" spans="1:13" x14ac:dyDescent="0.25">
      <c r="A595" t="str">
        <f t="shared" si="144"/>
        <v>E217</v>
      </c>
      <c r="B595">
        <v>1</v>
      </c>
      <c r="C595" t="str">
        <f>"43003"</f>
        <v>43003</v>
      </c>
      <c r="D595" t="str">
        <f t="shared" si="146"/>
        <v>5620</v>
      </c>
      <c r="E595" t="str">
        <f>"850LOS"</f>
        <v>850LOS</v>
      </c>
      <c r="F595" t="str">
        <f>""</f>
        <v/>
      </c>
      <c r="G595" t="str">
        <f>""</f>
        <v/>
      </c>
      <c r="H595" s="1">
        <v>41925</v>
      </c>
      <c r="I595" t="str">
        <f>"J0011571"</f>
        <v>J0011571</v>
      </c>
      <c r="J595" t="str">
        <f>""</f>
        <v/>
      </c>
      <c r="K595" t="str">
        <f t="shared" si="151"/>
        <v>J089</v>
      </c>
      <c r="L595" t="s">
        <v>2575</v>
      </c>
      <c r="M595">
        <v>566.9</v>
      </c>
    </row>
    <row r="596" spans="1:13" x14ac:dyDescent="0.25">
      <c r="A596" t="str">
        <f t="shared" si="144"/>
        <v>E217</v>
      </c>
      <c r="B596">
        <v>1</v>
      </c>
      <c r="C596" t="str">
        <f>"43003"</f>
        <v>43003</v>
      </c>
      <c r="D596" t="str">
        <f t="shared" si="146"/>
        <v>5620</v>
      </c>
      <c r="E596" t="str">
        <f>"850LOS"</f>
        <v>850LOS</v>
      </c>
      <c r="F596" t="str">
        <f>""</f>
        <v/>
      </c>
      <c r="G596" t="str">
        <f>""</f>
        <v/>
      </c>
      <c r="H596" s="1">
        <v>41975</v>
      </c>
      <c r="I596" t="str">
        <f>"J0012452"</f>
        <v>J0012452</v>
      </c>
      <c r="J596" t="str">
        <f>""</f>
        <v/>
      </c>
      <c r="K596" t="str">
        <f t="shared" si="151"/>
        <v>J089</v>
      </c>
      <c r="L596" t="s">
        <v>2574</v>
      </c>
      <c r="M596" s="2">
        <v>1319.16</v>
      </c>
    </row>
    <row r="597" spans="1:13" x14ac:dyDescent="0.25">
      <c r="A597" t="str">
        <f>"E220"</f>
        <v>E220</v>
      </c>
      <c r="B597">
        <v>1</v>
      </c>
      <c r="C597" t="str">
        <f>"23275"</f>
        <v>23275</v>
      </c>
      <c r="D597" t="str">
        <f t="shared" si="146"/>
        <v>5620</v>
      </c>
      <c r="E597" t="str">
        <f>"063STF"</f>
        <v>063STF</v>
      </c>
      <c r="F597" t="str">
        <f>""</f>
        <v/>
      </c>
      <c r="G597" t="str">
        <f>""</f>
        <v/>
      </c>
      <c r="H597" s="1">
        <v>42095</v>
      </c>
      <c r="I597" t="str">
        <f>"J0013980"</f>
        <v>J0013980</v>
      </c>
      <c r="J597" t="str">
        <f>""</f>
        <v/>
      </c>
      <c r="K597" t="str">
        <f>"J096"</f>
        <v>J096</v>
      </c>
      <c r="L597" t="s">
        <v>2573</v>
      </c>
      <c r="M597" s="2">
        <v>1240.92</v>
      </c>
    </row>
    <row r="598" spans="1:13" x14ac:dyDescent="0.25">
      <c r="A598" t="str">
        <f>"E222"</f>
        <v>E222</v>
      </c>
      <c r="B598">
        <v>1</v>
      </c>
      <c r="C598" t="str">
        <f>"43000"</f>
        <v>43000</v>
      </c>
      <c r="D598" t="str">
        <f t="shared" si="146"/>
        <v>5620</v>
      </c>
      <c r="E598" t="str">
        <f>"850LOS"</f>
        <v>850LOS</v>
      </c>
      <c r="F598" t="str">
        <f>""</f>
        <v/>
      </c>
      <c r="G598" t="str">
        <f>""</f>
        <v/>
      </c>
      <c r="H598" s="1">
        <v>42185</v>
      </c>
      <c r="I598" t="str">
        <f>"J0016645"</f>
        <v>J0016645</v>
      </c>
      <c r="J598" t="str">
        <f>""</f>
        <v/>
      </c>
      <c r="K598" t="str">
        <f>"J096"</f>
        <v>J096</v>
      </c>
      <c r="L598" t="s">
        <v>2572</v>
      </c>
      <c r="M598" s="2">
        <v>3000</v>
      </c>
    </row>
    <row r="599" spans="1:13" x14ac:dyDescent="0.25">
      <c r="A599" t="str">
        <f>"E222"</f>
        <v>E222</v>
      </c>
      <c r="B599">
        <v>1</v>
      </c>
      <c r="C599" t="str">
        <f>"43007"</f>
        <v>43007</v>
      </c>
      <c r="D599" t="str">
        <f>"5740"</f>
        <v>5740</v>
      </c>
      <c r="E599" t="str">
        <f>"850PKE"</f>
        <v>850PKE</v>
      </c>
      <c r="F599" t="str">
        <f>""</f>
        <v/>
      </c>
      <c r="G599" t="str">
        <f>""</f>
        <v/>
      </c>
      <c r="H599" s="1">
        <v>42185</v>
      </c>
      <c r="I599" t="str">
        <f>"I0114508"</f>
        <v>I0114508</v>
      </c>
      <c r="J599" t="str">
        <f>"F210975"</f>
        <v>F210975</v>
      </c>
      <c r="K599" t="str">
        <f>"INEI"</f>
        <v>INEI</v>
      </c>
      <c r="L599" t="s">
        <v>229</v>
      </c>
      <c r="M599" s="2">
        <v>3000</v>
      </c>
    </row>
    <row r="600" spans="1:13" x14ac:dyDescent="0.25">
      <c r="A600" t="str">
        <f>"E230"</f>
        <v>E230</v>
      </c>
      <c r="B600">
        <v>1</v>
      </c>
      <c r="C600" t="str">
        <f>"23275"</f>
        <v>23275</v>
      </c>
      <c r="D600" t="str">
        <f t="shared" ref="D600:D624" si="152">"5620"</f>
        <v>5620</v>
      </c>
      <c r="E600" t="str">
        <f>"063STF"</f>
        <v>063STF</v>
      </c>
      <c r="F600" t="str">
        <f>""</f>
        <v/>
      </c>
      <c r="G600" t="str">
        <f>""</f>
        <v/>
      </c>
      <c r="H600" s="1">
        <v>41865</v>
      </c>
      <c r="I600" t="str">
        <f>"00008756"</f>
        <v>00008756</v>
      </c>
      <c r="J600" t="str">
        <f>"N132870E"</f>
        <v>N132870E</v>
      </c>
      <c r="K600" t="str">
        <f>"INEI"</f>
        <v>INEI</v>
      </c>
      <c r="L600" t="s">
        <v>1994</v>
      </c>
      <c r="M600">
        <v>765.46</v>
      </c>
    </row>
    <row r="601" spans="1:13" x14ac:dyDescent="0.25">
      <c r="A601" t="str">
        <f t="shared" ref="A601:A647" si="153">"E231"</f>
        <v>E231</v>
      </c>
      <c r="B601">
        <v>1</v>
      </c>
      <c r="C601" t="str">
        <f t="shared" ref="C601:C613" si="154">"10200"</f>
        <v>10200</v>
      </c>
      <c r="D601" t="str">
        <f t="shared" si="152"/>
        <v>5620</v>
      </c>
      <c r="E601" t="str">
        <f t="shared" ref="E601:E613" si="155">"094OMS"</f>
        <v>094OMS</v>
      </c>
      <c r="F601" t="str">
        <f>""</f>
        <v/>
      </c>
      <c r="G601" t="str">
        <f>""</f>
        <v/>
      </c>
      <c r="H601" s="1">
        <v>41821</v>
      </c>
      <c r="I601" t="str">
        <f>"PHY00637"</f>
        <v>PHY00637</v>
      </c>
      <c r="J601" t="str">
        <f t="shared" ref="J601:J613" si="156">"FPOLICE"</f>
        <v>FPOLICE</v>
      </c>
      <c r="K601" t="str">
        <f t="shared" ref="K601:K628" si="157">"AS89"</f>
        <v>AS89</v>
      </c>
      <c r="L601" t="s">
        <v>2570</v>
      </c>
      <c r="M601" s="2">
        <v>2076.23</v>
      </c>
    </row>
    <row r="602" spans="1:13" x14ac:dyDescent="0.25">
      <c r="A602" t="str">
        <f t="shared" si="153"/>
        <v>E231</v>
      </c>
      <c r="B602">
        <v>1</v>
      </c>
      <c r="C602" t="str">
        <f t="shared" si="154"/>
        <v>10200</v>
      </c>
      <c r="D602" t="str">
        <f t="shared" si="152"/>
        <v>5620</v>
      </c>
      <c r="E602" t="str">
        <f t="shared" si="155"/>
        <v>094OMS</v>
      </c>
      <c r="F602" t="str">
        <f>""</f>
        <v/>
      </c>
      <c r="G602" t="str">
        <f>""</f>
        <v/>
      </c>
      <c r="H602" s="1">
        <v>41852</v>
      </c>
      <c r="I602" t="str">
        <f>"PHY00639"</f>
        <v>PHY00639</v>
      </c>
      <c r="J602" t="str">
        <f t="shared" si="156"/>
        <v>FPOLICE</v>
      </c>
      <c r="K602" t="str">
        <f t="shared" si="157"/>
        <v>AS89</v>
      </c>
      <c r="L602" t="s">
        <v>2570</v>
      </c>
      <c r="M602" s="2">
        <v>1471.46</v>
      </c>
    </row>
    <row r="603" spans="1:13" x14ac:dyDescent="0.25">
      <c r="A603" t="str">
        <f t="shared" si="153"/>
        <v>E231</v>
      </c>
      <c r="B603">
        <v>1</v>
      </c>
      <c r="C603" t="str">
        <f t="shared" si="154"/>
        <v>10200</v>
      </c>
      <c r="D603" t="str">
        <f t="shared" si="152"/>
        <v>5620</v>
      </c>
      <c r="E603" t="str">
        <f t="shared" si="155"/>
        <v>094OMS</v>
      </c>
      <c r="F603" t="str">
        <f>""</f>
        <v/>
      </c>
      <c r="G603" t="str">
        <f>""</f>
        <v/>
      </c>
      <c r="H603" s="1">
        <v>41883</v>
      </c>
      <c r="I603" t="str">
        <f>"PHY00641"</f>
        <v>PHY00641</v>
      </c>
      <c r="J603" t="str">
        <f t="shared" si="156"/>
        <v>FPOLICE</v>
      </c>
      <c r="K603" t="str">
        <f t="shared" si="157"/>
        <v>AS89</v>
      </c>
      <c r="L603" t="s">
        <v>2570</v>
      </c>
      <c r="M603" s="2">
        <v>2405.36</v>
      </c>
    </row>
    <row r="604" spans="1:13" x14ac:dyDescent="0.25">
      <c r="A604" t="str">
        <f t="shared" si="153"/>
        <v>E231</v>
      </c>
      <c r="B604">
        <v>1</v>
      </c>
      <c r="C604" t="str">
        <f t="shared" si="154"/>
        <v>10200</v>
      </c>
      <c r="D604" t="str">
        <f t="shared" si="152"/>
        <v>5620</v>
      </c>
      <c r="E604" t="str">
        <f t="shared" si="155"/>
        <v>094OMS</v>
      </c>
      <c r="F604" t="str">
        <f>""</f>
        <v/>
      </c>
      <c r="G604" t="str">
        <f>""</f>
        <v/>
      </c>
      <c r="H604" s="1">
        <v>41913</v>
      </c>
      <c r="I604" t="str">
        <f>"PHY00643"</f>
        <v>PHY00643</v>
      </c>
      <c r="J604" t="str">
        <f t="shared" si="156"/>
        <v>FPOLICE</v>
      </c>
      <c r="K604" t="str">
        <f t="shared" si="157"/>
        <v>AS89</v>
      </c>
      <c r="L604" t="s">
        <v>2570</v>
      </c>
      <c r="M604" s="2">
        <v>2797.84</v>
      </c>
    </row>
    <row r="605" spans="1:13" x14ac:dyDescent="0.25">
      <c r="A605" t="str">
        <f t="shared" si="153"/>
        <v>E231</v>
      </c>
      <c r="B605">
        <v>1</v>
      </c>
      <c r="C605" t="str">
        <f t="shared" si="154"/>
        <v>10200</v>
      </c>
      <c r="D605" t="str">
        <f t="shared" si="152"/>
        <v>5620</v>
      </c>
      <c r="E605" t="str">
        <f t="shared" si="155"/>
        <v>094OMS</v>
      </c>
      <c r="F605" t="str">
        <f>""</f>
        <v/>
      </c>
      <c r="G605" t="str">
        <f>""</f>
        <v/>
      </c>
      <c r="H605" s="1">
        <v>41944</v>
      </c>
      <c r="I605" t="str">
        <f>"PHY00645"</f>
        <v>PHY00645</v>
      </c>
      <c r="J605" t="str">
        <f t="shared" si="156"/>
        <v>FPOLICE</v>
      </c>
      <c r="K605" t="str">
        <f t="shared" si="157"/>
        <v>AS89</v>
      </c>
      <c r="L605" t="s">
        <v>2570</v>
      </c>
      <c r="M605" s="2">
        <v>2170.8200000000002</v>
      </c>
    </row>
    <row r="606" spans="1:13" x14ac:dyDescent="0.25">
      <c r="A606" t="str">
        <f t="shared" si="153"/>
        <v>E231</v>
      </c>
      <c r="B606">
        <v>1</v>
      </c>
      <c r="C606" t="str">
        <f t="shared" si="154"/>
        <v>10200</v>
      </c>
      <c r="D606" t="str">
        <f t="shared" si="152"/>
        <v>5620</v>
      </c>
      <c r="E606" t="str">
        <f t="shared" si="155"/>
        <v>094OMS</v>
      </c>
      <c r="F606" t="str">
        <f>""</f>
        <v/>
      </c>
      <c r="G606" t="str">
        <f>""</f>
        <v/>
      </c>
      <c r="H606" s="1">
        <v>41974</v>
      </c>
      <c r="I606" t="str">
        <f>"PHY00647"</f>
        <v>PHY00647</v>
      </c>
      <c r="J606" t="str">
        <f t="shared" si="156"/>
        <v>FPOLICE</v>
      </c>
      <c r="K606" t="str">
        <f t="shared" si="157"/>
        <v>AS89</v>
      </c>
      <c r="L606" t="s">
        <v>2570</v>
      </c>
      <c r="M606" s="2">
        <v>1840.4</v>
      </c>
    </row>
    <row r="607" spans="1:13" x14ac:dyDescent="0.25">
      <c r="A607" t="str">
        <f t="shared" si="153"/>
        <v>E231</v>
      </c>
      <c r="B607">
        <v>1</v>
      </c>
      <c r="C607" t="str">
        <f t="shared" si="154"/>
        <v>10200</v>
      </c>
      <c r="D607" t="str">
        <f t="shared" si="152"/>
        <v>5620</v>
      </c>
      <c r="E607" t="str">
        <f t="shared" si="155"/>
        <v>094OMS</v>
      </c>
      <c r="F607" t="str">
        <f>""</f>
        <v/>
      </c>
      <c r="G607" t="str">
        <f>""</f>
        <v/>
      </c>
      <c r="H607" s="1">
        <v>42005</v>
      </c>
      <c r="I607" t="str">
        <f>"PHY00649"</f>
        <v>PHY00649</v>
      </c>
      <c r="J607" t="str">
        <f t="shared" si="156"/>
        <v>FPOLICE</v>
      </c>
      <c r="K607" t="str">
        <f t="shared" si="157"/>
        <v>AS89</v>
      </c>
      <c r="L607" t="s">
        <v>2570</v>
      </c>
      <c r="M607" s="2">
        <v>2695.12</v>
      </c>
    </row>
    <row r="608" spans="1:13" x14ac:dyDescent="0.25">
      <c r="A608" t="str">
        <f t="shared" si="153"/>
        <v>E231</v>
      </c>
      <c r="B608">
        <v>1</v>
      </c>
      <c r="C608" t="str">
        <f t="shared" si="154"/>
        <v>10200</v>
      </c>
      <c r="D608" t="str">
        <f t="shared" si="152"/>
        <v>5620</v>
      </c>
      <c r="E608" t="str">
        <f t="shared" si="155"/>
        <v>094OMS</v>
      </c>
      <c r="F608" t="str">
        <f>""</f>
        <v/>
      </c>
      <c r="G608" t="str">
        <f>""</f>
        <v/>
      </c>
      <c r="H608" s="1">
        <v>42036</v>
      </c>
      <c r="I608" t="str">
        <f>"PHY00650"</f>
        <v>PHY00650</v>
      </c>
      <c r="J608" t="str">
        <f t="shared" si="156"/>
        <v>FPOLICE</v>
      </c>
      <c r="K608" t="str">
        <f t="shared" si="157"/>
        <v>AS89</v>
      </c>
      <c r="L608" t="s">
        <v>2570</v>
      </c>
      <c r="M608" s="2">
        <v>1655.07</v>
      </c>
    </row>
    <row r="609" spans="1:13" x14ac:dyDescent="0.25">
      <c r="A609" t="str">
        <f t="shared" si="153"/>
        <v>E231</v>
      </c>
      <c r="B609">
        <v>1</v>
      </c>
      <c r="C609" t="str">
        <f t="shared" si="154"/>
        <v>10200</v>
      </c>
      <c r="D609" t="str">
        <f t="shared" si="152"/>
        <v>5620</v>
      </c>
      <c r="E609" t="str">
        <f t="shared" si="155"/>
        <v>094OMS</v>
      </c>
      <c r="F609" t="str">
        <f>""</f>
        <v/>
      </c>
      <c r="G609" t="str">
        <f>""</f>
        <v/>
      </c>
      <c r="H609" s="1">
        <v>42094</v>
      </c>
      <c r="I609" t="str">
        <f>"PHY0652B"</f>
        <v>PHY0652B</v>
      </c>
      <c r="J609" t="str">
        <f t="shared" si="156"/>
        <v>FPOLICE</v>
      </c>
      <c r="K609" t="str">
        <f t="shared" si="157"/>
        <v>AS89</v>
      </c>
      <c r="L609" t="s">
        <v>2570</v>
      </c>
      <c r="M609" s="2">
        <v>2510.64</v>
      </c>
    </row>
    <row r="610" spans="1:13" x14ac:dyDescent="0.25">
      <c r="A610" t="str">
        <f t="shared" si="153"/>
        <v>E231</v>
      </c>
      <c r="B610">
        <v>1</v>
      </c>
      <c r="C610" t="str">
        <f t="shared" si="154"/>
        <v>10200</v>
      </c>
      <c r="D610" t="str">
        <f t="shared" si="152"/>
        <v>5620</v>
      </c>
      <c r="E610" t="str">
        <f t="shared" si="155"/>
        <v>094OMS</v>
      </c>
      <c r="F610" t="str">
        <f>""</f>
        <v/>
      </c>
      <c r="G610" t="str">
        <f>""</f>
        <v/>
      </c>
      <c r="H610" s="1">
        <v>42095</v>
      </c>
      <c r="I610" t="str">
        <f>"PHY00652"</f>
        <v>PHY00652</v>
      </c>
      <c r="J610" t="str">
        <f t="shared" si="156"/>
        <v>FPOLICE</v>
      </c>
      <c r="K610" t="str">
        <f t="shared" si="157"/>
        <v>AS89</v>
      </c>
      <c r="L610" t="s">
        <v>2570</v>
      </c>
      <c r="M610" s="2">
        <v>2510.64</v>
      </c>
    </row>
    <row r="611" spans="1:13" x14ac:dyDescent="0.25">
      <c r="A611" t="str">
        <f t="shared" si="153"/>
        <v>E231</v>
      </c>
      <c r="B611">
        <v>1</v>
      </c>
      <c r="C611" t="str">
        <f t="shared" si="154"/>
        <v>10200</v>
      </c>
      <c r="D611" t="str">
        <f t="shared" si="152"/>
        <v>5620</v>
      </c>
      <c r="E611" t="str">
        <f t="shared" si="155"/>
        <v>094OMS</v>
      </c>
      <c r="F611" t="str">
        <f>""</f>
        <v/>
      </c>
      <c r="G611" t="str">
        <f>""</f>
        <v/>
      </c>
      <c r="H611" s="1">
        <v>42095</v>
      </c>
      <c r="I611" t="str">
        <f>"PHY00653"</f>
        <v>PHY00653</v>
      </c>
      <c r="J611" t="str">
        <f t="shared" si="156"/>
        <v>FPOLICE</v>
      </c>
      <c r="K611" t="str">
        <f t="shared" si="157"/>
        <v>AS89</v>
      </c>
      <c r="L611" t="s">
        <v>2570</v>
      </c>
      <c r="M611" s="2">
        <v>2755.03</v>
      </c>
    </row>
    <row r="612" spans="1:13" x14ac:dyDescent="0.25">
      <c r="A612" t="str">
        <f t="shared" si="153"/>
        <v>E231</v>
      </c>
      <c r="B612">
        <v>1</v>
      </c>
      <c r="C612" t="str">
        <f t="shared" si="154"/>
        <v>10200</v>
      </c>
      <c r="D612" t="str">
        <f t="shared" si="152"/>
        <v>5620</v>
      </c>
      <c r="E612" t="str">
        <f t="shared" si="155"/>
        <v>094OMS</v>
      </c>
      <c r="F612" t="str">
        <f>""</f>
        <v/>
      </c>
      <c r="G612" t="str">
        <f>""</f>
        <v/>
      </c>
      <c r="H612" s="1">
        <v>42125</v>
      </c>
      <c r="I612" t="str">
        <f>"PHY00654"</f>
        <v>PHY00654</v>
      </c>
      <c r="J612" t="str">
        <f t="shared" si="156"/>
        <v>FPOLICE</v>
      </c>
      <c r="K612" t="str">
        <f t="shared" si="157"/>
        <v>AS89</v>
      </c>
      <c r="L612" t="s">
        <v>2570</v>
      </c>
      <c r="M612" s="2">
        <v>2557.3000000000002</v>
      </c>
    </row>
    <row r="613" spans="1:13" x14ac:dyDescent="0.25">
      <c r="A613" t="str">
        <f t="shared" si="153"/>
        <v>E231</v>
      </c>
      <c r="B613">
        <v>1</v>
      </c>
      <c r="C613" t="str">
        <f t="shared" si="154"/>
        <v>10200</v>
      </c>
      <c r="D613" t="str">
        <f t="shared" si="152"/>
        <v>5620</v>
      </c>
      <c r="E613" t="str">
        <f t="shared" si="155"/>
        <v>094OMS</v>
      </c>
      <c r="F613" t="str">
        <f>""</f>
        <v/>
      </c>
      <c r="G613" t="str">
        <f>""</f>
        <v/>
      </c>
      <c r="H613" s="1">
        <v>42156</v>
      </c>
      <c r="I613" t="str">
        <f>"PHY00655"</f>
        <v>PHY00655</v>
      </c>
      <c r="J613" t="str">
        <f t="shared" si="156"/>
        <v>FPOLICE</v>
      </c>
      <c r="K613" t="str">
        <f t="shared" si="157"/>
        <v>AS89</v>
      </c>
      <c r="L613" t="s">
        <v>2570</v>
      </c>
      <c r="M613" s="2">
        <v>2345.44</v>
      </c>
    </row>
    <row r="614" spans="1:13" x14ac:dyDescent="0.25">
      <c r="A614" t="str">
        <f t="shared" si="153"/>
        <v>E231</v>
      </c>
      <c r="B614">
        <v>1</v>
      </c>
      <c r="C614" t="str">
        <f t="shared" ref="C614:C624" si="158">"23275"</f>
        <v>23275</v>
      </c>
      <c r="D614" t="str">
        <f t="shared" si="152"/>
        <v>5620</v>
      </c>
      <c r="E614" t="str">
        <f t="shared" ref="E614:E624" si="159">"063STF"</f>
        <v>063STF</v>
      </c>
      <c r="F614" t="str">
        <f>""</f>
        <v/>
      </c>
      <c r="G614" t="str">
        <f>""</f>
        <v/>
      </c>
      <c r="H614" s="1">
        <v>41883</v>
      </c>
      <c r="I614" t="str">
        <f>"PHY00641"</f>
        <v>PHY00641</v>
      </c>
      <c r="J614" t="str">
        <f t="shared" ref="J614:J624" si="160">"FUNIVSHU"</f>
        <v>FUNIVSHU</v>
      </c>
      <c r="K614" t="str">
        <f t="shared" si="157"/>
        <v>AS89</v>
      </c>
      <c r="L614" t="s">
        <v>2570</v>
      </c>
      <c r="M614">
        <v>592.29999999999995</v>
      </c>
    </row>
    <row r="615" spans="1:13" x14ac:dyDescent="0.25">
      <c r="A615" t="str">
        <f t="shared" si="153"/>
        <v>E231</v>
      </c>
      <c r="B615">
        <v>1</v>
      </c>
      <c r="C615" t="str">
        <f t="shared" si="158"/>
        <v>23275</v>
      </c>
      <c r="D615" t="str">
        <f t="shared" si="152"/>
        <v>5620</v>
      </c>
      <c r="E615" t="str">
        <f t="shared" si="159"/>
        <v>063STF</v>
      </c>
      <c r="F615" t="str">
        <f>""</f>
        <v/>
      </c>
      <c r="G615" t="str">
        <f>""</f>
        <v/>
      </c>
      <c r="H615" s="1">
        <v>41913</v>
      </c>
      <c r="I615" t="str">
        <f>"PHY00643"</f>
        <v>PHY00643</v>
      </c>
      <c r="J615" t="str">
        <f t="shared" si="160"/>
        <v>FUNIVSHU</v>
      </c>
      <c r="K615" t="str">
        <f t="shared" si="157"/>
        <v>AS89</v>
      </c>
      <c r="L615" t="s">
        <v>2570</v>
      </c>
      <c r="M615" s="2">
        <v>3031.19</v>
      </c>
    </row>
    <row r="616" spans="1:13" x14ac:dyDescent="0.25">
      <c r="A616" t="str">
        <f t="shared" si="153"/>
        <v>E231</v>
      </c>
      <c r="B616">
        <v>1</v>
      </c>
      <c r="C616" t="str">
        <f t="shared" si="158"/>
        <v>23275</v>
      </c>
      <c r="D616" t="str">
        <f t="shared" si="152"/>
        <v>5620</v>
      </c>
      <c r="E616" t="str">
        <f t="shared" si="159"/>
        <v>063STF</v>
      </c>
      <c r="F616" t="str">
        <f>""</f>
        <v/>
      </c>
      <c r="G616" t="str">
        <f>""</f>
        <v/>
      </c>
      <c r="H616" s="1">
        <v>41944</v>
      </c>
      <c r="I616" t="str">
        <f>"PHY00645"</f>
        <v>PHY00645</v>
      </c>
      <c r="J616" t="str">
        <f t="shared" si="160"/>
        <v>FUNIVSHU</v>
      </c>
      <c r="K616" t="str">
        <f t="shared" si="157"/>
        <v>AS89</v>
      </c>
      <c r="L616" t="s">
        <v>2570</v>
      </c>
      <c r="M616" s="2">
        <v>2414.4699999999998</v>
      </c>
    </row>
    <row r="617" spans="1:13" x14ac:dyDescent="0.25">
      <c r="A617" t="str">
        <f t="shared" si="153"/>
        <v>E231</v>
      </c>
      <c r="B617">
        <v>1</v>
      </c>
      <c r="C617" t="str">
        <f t="shared" si="158"/>
        <v>23275</v>
      </c>
      <c r="D617" t="str">
        <f t="shared" si="152"/>
        <v>5620</v>
      </c>
      <c r="E617" t="str">
        <f t="shared" si="159"/>
        <v>063STF</v>
      </c>
      <c r="F617" t="str">
        <f>""</f>
        <v/>
      </c>
      <c r="G617" t="str">
        <f>""</f>
        <v/>
      </c>
      <c r="H617" s="1">
        <v>41974</v>
      </c>
      <c r="I617" t="str">
        <f>"PHY00647"</f>
        <v>PHY00647</v>
      </c>
      <c r="J617" t="str">
        <f t="shared" si="160"/>
        <v>FUNIVSHU</v>
      </c>
      <c r="K617" t="str">
        <f t="shared" si="157"/>
        <v>AS89</v>
      </c>
      <c r="L617" t="s">
        <v>2570</v>
      </c>
      <c r="M617" s="2">
        <v>1218.3399999999999</v>
      </c>
    </row>
    <row r="618" spans="1:13" x14ac:dyDescent="0.25">
      <c r="A618" t="str">
        <f t="shared" si="153"/>
        <v>E231</v>
      </c>
      <c r="B618">
        <v>1</v>
      </c>
      <c r="C618" t="str">
        <f t="shared" si="158"/>
        <v>23275</v>
      </c>
      <c r="D618" t="str">
        <f t="shared" si="152"/>
        <v>5620</v>
      </c>
      <c r="E618" t="str">
        <f t="shared" si="159"/>
        <v>063STF</v>
      </c>
      <c r="F618" t="str">
        <f>""</f>
        <v/>
      </c>
      <c r="G618" t="str">
        <f>""</f>
        <v/>
      </c>
      <c r="H618" s="1">
        <v>42005</v>
      </c>
      <c r="I618" t="str">
        <f>"PHY00649"</f>
        <v>PHY00649</v>
      </c>
      <c r="J618" t="str">
        <f t="shared" si="160"/>
        <v>FUNIVSHU</v>
      </c>
      <c r="K618" t="str">
        <f t="shared" si="157"/>
        <v>AS89</v>
      </c>
      <c r="L618" t="s">
        <v>2570</v>
      </c>
      <c r="M618" s="2">
        <v>2470.86</v>
      </c>
    </row>
    <row r="619" spans="1:13" x14ac:dyDescent="0.25">
      <c r="A619" t="str">
        <f t="shared" si="153"/>
        <v>E231</v>
      </c>
      <c r="B619">
        <v>1</v>
      </c>
      <c r="C619" t="str">
        <f t="shared" si="158"/>
        <v>23275</v>
      </c>
      <c r="D619" t="str">
        <f t="shared" si="152"/>
        <v>5620</v>
      </c>
      <c r="E619" t="str">
        <f t="shared" si="159"/>
        <v>063STF</v>
      </c>
      <c r="F619" t="str">
        <f>""</f>
        <v/>
      </c>
      <c r="G619" t="str">
        <f>""</f>
        <v/>
      </c>
      <c r="H619" s="1">
        <v>42036</v>
      </c>
      <c r="I619" t="str">
        <f>"PHY00650"</f>
        <v>PHY00650</v>
      </c>
      <c r="J619" t="str">
        <f t="shared" si="160"/>
        <v>FUNIVSHU</v>
      </c>
      <c r="K619" t="str">
        <f t="shared" si="157"/>
        <v>AS89</v>
      </c>
      <c r="L619" t="s">
        <v>2570</v>
      </c>
      <c r="M619" s="2">
        <v>1993.56</v>
      </c>
    </row>
    <row r="620" spans="1:13" x14ac:dyDescent="0.25">
      <c r="A620" t="str">
        <f t="shared" si="153"/>
        <v>E231</v>
      </c>
      <c r="B620">
        <v>1</v>
      </c>
      <c r="C620" t="str">
        <f t="shared" si="158"/>
        <v>23275</v>
      </c>
      <c r="D620" t="str">
        <f t="shared" si="152"/>
        <v>5620</v>
      </c>
      <c r="E620" t="str">
        <f t="shared" si="159"/>
        <v>063STF</v>
      </c>
      <c r="F620" t="str">
        <f>""</f>
        <v/>
      </c>
      <c r="G620" t="str">
        <f>""</f>
        <v/>
      </c>
      <c r="H620" s="1">
        <v>42094</v>
      </c>
      <c r="I620" t="str">
        <f>"PHY0652B"</f>
        <v>PHY0652B</v>
      </c>
      <c r="J620" t="str">
        <f t="shared" si="160"/>
        <v>FUNIVSHU</v>
      </c>
      <c r="K620" t="str">
        <f t="shared" si="157"/>
        <v>AS89</v>
      </c>
      <c r="L620" t="s">
        <v>2570</v>
      </c>
      <c r="M620" s="2">
        <v>2354.98</v>
      </c>
    </row>
    <row r="621" spans="1:13" x14ac:dyDescent="0.25">
      <c r="A621" t="str">
        <f t="shared" si="153"/>
        <v>E231</v>
      </c>
      <c r="B621">
        <v>1</v>
      </c>
      <c r="C621" t="str">
        <f t="shared" si="158"/>
        <v>23275</v>
      </c>
      <c r="D621" t="str">
        <f t="shared" si="152"/>
        <v>5620</v>
      </c>
      <c r="E621" t="str">
        <f t="shared" si="159"/>
        <v>063STF</v>
      </c>
      <c r="F621" t="str">
        <f>""</f>
        <v/>
      </c>
      <c r="G621" t="str">
        <f>""</f>
        <v/>
      </c>
      <c r="H621" s="1">
        <v>42095</v>
      </c>
      <c r="I621" t="str">
        <f>"PHY00652"</f>
        <v>PHY00652</v>
      </c>
      <c r="J621" t="str">
        <f t="shared" si="160"/>
        <v>FUNIVSHU</v>
      </c>
      <c r="K621" t="str">
        <f t="shared" si="157"/>
        <v>AS89</v>
      </c>
      <c r="L621" t="s">
        <v>2570</v>
      </c>
      <c r="M621" s="2">
        <v>2354.98</v>
      </c>
    </row>
    <row r="622" spans="1:13" x14ac:dyDescent="0.25">
      <c r="A622" t="str">
        <f t="shared" si="153"/>
        <v>E231</v>
      </c>
      <c r="B622">
        <v>1</v>
      </c>
      <c r="C622" t="str">
        <f t="shared" si="158"/>
        <v>23275</v>
      </c>
      <c r="D622" t="str">
        <f t="shared" si="152"/>
        <v>5620</v>
      </c>
      <c r="E622" t="str">
        <f t="shared" si="159"/>
        <v>063STF</v>
      </c>
      <c r="F622" t="str">
        <f>""</f>
        <v/>
      </c>
      <c r="G622" t="str">
        <f>""</f>
        <v/>
      </c>
      <c r="H622" s="1">
        <v>42095</v>
      </c>
      <c r="I622" t="str">
        <f>"PHY00653"</f>
        <v>PHY00653</v>
      </c>
      <c r="J622" t="str">
        <f t="shared" si="160"/>
        <v>FUNIVSHU</v>
      </c>
      <c r="K622" t="str">
        <f t="shared" si="157"/>
        <v>AS89</v>
      </c>
      <c r="L622" t="s">
        <v>2570</v>
      </c>
      <c r="M622" s="2">
        <v>2031.74</v>
      </c>
    </row>
    <row r="623" spans="1:13" x14ac:dyDescent="0.25">
      <c r="A623" t="str">
        <f t="shared" si="153"/>
        <v>E231</v>
      </c>
      <c r="B623">
        <v>1</v>
      </c>
      <c r="C623" t="str">
        <f t="shared" si="158"/>
        <v>23275</v>
      </c>
      <c r="D623" t="str">
        <f t="shared" si="152"/>
        <v>5620</v>
      </c>
      <c r="E623" t="str">
        <f t="shared" si="159"/>
        <v>063STF</v>
      </c>
      <c r="F623" t="str">
        <f>""</f>
        <v/>
      </c>
      <c r="G623" t="str">
        <f>""</f>
        <v/>
      </c>
      <c r="H623" s="1">
        <v>42125</v>
      </c>
      <c r="I623" t="str">
        <f>"PHY00654"</f>
        <v>PHY00654</v>
      </c>
      <c r="J623" t="str">
        <f t="shared" si="160"/>
        <v>FUNIVSHU</v>
      </c>
      <c r="K623" t="str">
        <f t="shared" si="157"/>
        <v>AS89</v>
      </c>
      <c r="L623" t="s">
        <v>2570</v>
      </c>
      <c r="M623" s="2">
        <v>2614.27</v>
      </c>
    </row>
    <row r="624" spans="1:13" x14ac:dyDescent="0.25">
      <c r="A624" t="str">
        <f t="shared" si="153"/>
        <v>E231</v>
      </c>
      <c r="B624">
        <v>1</v>
      </c>
      <c r="C624" t="str">
        <f t="shared" si="158"/>
        <v>23275</v>
      </c>
      <c r="D624" t="str">
        <f t="shared" si="152"/>
        <v>5620</v>
      </c>
      <c r="E624" t="str">
        <f t="shared" si="159"/>
        <v>063STF</v>
      </c>
      <c r="F624" t="str">
        <f>""</f>
        <v/>
      </c>
      <c r="G624" t="str">
        <f>""</f>
        <v/>
      </c>
      <c r="H624" s="1">
        <v>42156</v>
      </c>
      <c r="I624" t="str">
        <f>"PHY00655"</f>
        <v>PHY00655</v>
      </c>
      <c r="J624" t="str">
        <f t="shared" si="160"/>
        <v>FUNIVSHU</v>
      </c>
      <c r="K624" t="str">
        <f t="shared" si="157"/>
        <v>AS89</v>
      </c>
      <c r="L624" t="s">
        <v>2570</v>
      </c>
      <c r="M624" s="2">
        <v>1950.05</v>
      </c>
    </row>
    <row r="625" spans="1:13" x14ac:dyDescent="0.25">
      <c r="A625" t="str">
        <f t="shared" si="153"/>
        <v>E231</v>
      </c>
      <c r="B625">
        <v>1</v>
      </c>
      <c r="C625" t="str">
        <f t="shared" ref="C625:C632" si="161">"32040"</f>
        <v>32040</v>
      </c>
      <c r="D625" t="str">
        <f>"5610"</f>
        <v>5610</v>
      </c>
      <c r="E625" t="str">
        <f t="shared" ref="E625:E647" si="162">"850LOS"</f>
        <v>850LOS</v>
      </c>
      <c r="F625" t="str">
        <f>""</f>
        <v/>
      </c>
      <c r="G625" t="str">
        <f>""</f>
        <v/>
      </c>
      <c r="H625" s="1">
        <v>41821</v>
      </c>
      <c r="I625" t="str">
        <f>"PHY00637"</f>
        <v>PHY00637</v>
      </c>
      <c r="J625" t="str">
        <f>"FLOCKSHO"</f>
        <v>FLOCKSHO</v>
      </c>
      <c r="K625" t="str">
        <f t="shared" si="157"/>
        <v>AS89</v>
      </c>
      <c r="L625" t="s">
        <v>2570</v>
      </c>
      <c r="M625">
        <v>187.04</v>
      </c>
    </row>
    <row r="626" spans="1:13" x14ac:dyDescent="0.25">
      <c r="A626" t="str">
        <f t="shared" si="153"/>
        <v>E231</v>
      </c>
      <c r="B626">
        <v>1</v>
      </c>
      <c r="C626" t="str">
        <f t="shared" si="161"/>
        <v>32040</v>
      </c>
      <c r="D626" t="str">
        <f>"5610"</f>
        <v>5610</v>
      </c>
      <c r="E626" t="str">
        <f t="shared" si="162"/>
        <v>850LOS</v>
      </c>
      <c r="F626" t="str">
        <f>""</f>
        <v/>
      </c>
      <c r="G626" t="str">
        <f>""</f>
        <v/>
      </c>
      <c r="H626" s="1">
        <v>41883</v>
      </c>
      <c r="I626" t="str">
        <f>"PHY00641"</f>
        <v>PHY00641</v>
      </c>
      <c r="J626" t="str">
        <f>"FLOCKSHO"</f>
        <v>FLOCKSHO</v>
      </c>
      <c r="K626" t="str">
        <f t="shared" si="157"/>
        <v>AS89</v>
      </c>
      <c r="L626" t="s">
        <v>2570</v>
      </c>
      <c r="M626">
        <v>110.42</v>
      </c>
    </row>
    <row r="627" spans="1:13" x14ac:dyDescent="0.25">
      <c r="A627" t="str">
        <f t="shared" si="153"/>
        <v>E231</v>
      </c>
      <c r="B627">
        <v>1</v>
      </c>
      <c r="C627" t="str">
        <f t="shared" si="161"/>
        <v>32040</v>
      </c>
      <c r="D627" t="str">
        <f>"5610"</f>
        <v>5610</v>
      </c>
      <c r="E627" t="str">
        <f t="shared" si="162"/>
        <v>850LOS</v>
      </c>
      <c r="F627" t="str">
        <f>""</f>
        <v/>
      </c>
      <c r="G627" t="str">
        <f>""</f>
        <v/>
      </c>
      <c r="H627" s="1">
        <v>41944</v>
      </c>
      <c r="I627" t="str">
        <f>"PHY00645"</f>
        <v>PHY00645</v>
      </c>
      <c r="J627" t="str">
        <f>"FLOCKSHO"</f>
        <v>FLOCKSHO</v>
      </c>
      <c r="K627" t="str">
        <f t="shared" si="157"/>
        <v>AS89</v>
      </c>
      <c r="L627" t="s">
        <v>2570</v>
      </c>
      <c r="M627">
        <v>110.42</v>
      </c>
    </row>
    <row r="628" spans="1:13" x14ac:dyDescent="0.25">
      <c r="A628" t="str">
        <f t="shared" si="153"/>
        <v>E231</v>
      </c>
      <c r="B628">
        <v>1</v>
      </c>
      <c r="C628" t="str">
        <f t="shared" si="161"/>
        <v>32040</v>
      </c>
      <c r="D628" t="str">
        <f t="shared" ref="D628:D635" si="163">"5620"</f>
        <v>5620</v>
      </c>
      <c r="E628" t="str">
        <f t="shared" si="162"/>
        <v>850LOS</v>
      </c>
      <c r="F628" t="str">
        <f>""</f>
        <v/>
      </c>
      <c r="G628" t="str">
        <f>""</f>
        <v/>
      </c>
      <c r="H628" s="1">
        <v>42036</v>
      </c>
      <c r="I628" t="str">
        <f>"PHY00650"</f>
        <v>PHY00650</v>
      </c>
      <c r="J628" t="str">
        <f>"FLOCKSHO"</f>
        <v>FLOCKSHO</v>
      </c>
      <c r="K628" t="str">
        <f t="shared" si="157"/>
        <v>AS89</v>
      </c>
      <c r="L628" t="s">
        <v>2570</v>
      </c>
      <c r="M628">
        <v>164.78</v>
      </c>
    </row>
    <row r="629" spans="1:13" x14ac:dyDescent="0.25">
      <c r="A629" t="str">
        <f t="shared" si="153"/>
        <v>E231</v>
      </c>
      <c r="B629">
        <v>1</v>
      </c>
      <c r="C629" t="str">
        <f t="shared" si="161"/>
        <v>32040</v>
      </c>
      <c r="D629" t="str">
        <f t="shared" si="163"/>
        <v>5620</v>
      </c>
      <c r="E629" t="str">
        <f t="shared" si="162"/>
        <v>850LOS</v>
      </c>
      <c r="F629" t="str">
        <f>""</f>
        <v/>
      </c>
      <c r="G629" t="str">
        <f>""</f>
        <v/>
      </c>
      <c r="H629" s="1">
        <v>42064</v>
      </c>
      <c r="I629" t="str">
        <f>"J0013487"</f>
        <v>J0013487</v>
      </c>
      <c r="J629" t="str">
        <f>""</f>
        <v/>
      </c>
      <c r="K629" t="str">
        <f>"J079"</f>
        <v>J079</v>
      </c>
      <c r="L629" t="s">
        <v>2571</v>
      </c>
      <c r="M629">
        <v>544.84</v>
      </c>
    </row>
    <row r="630" spans="1:13" x14ac:dyDescent="0.25">
      <c r="A630" t="str">
        <f t="shared" si="153"/>
        <v>E231</v>
      </c>
      <c r="B630">
        <v>1</v>
      </c>
      <c r="C630" t="str">
        <f t="shared" si="161"/>
        <v>32040</v>
      </c>
      <c r="D630" t="str">
        <f t="shared" si="163"/>
        <v>5620</v>
      </c>
      <c r="E630" t="str">
        <f t="shared" si="162"/>
        <v>850LOS</v>
      </c>
      <c r="F630" t="str">
        <f>""</f>
        <v/>
      </c>
      <c r="G630" t="str">
        <f>""</f>
        <v/>
      </c>
      <c r="H630" s="1">
        <v>42094</v>
      </c>
      <c r="I630" t="str">
        <f>"PHY0652B"</f>
        <v>PHY0652B</v>
      </c>
      <c r="J630" t="str">
        <f>"FLOCKSHO"</f>
        <v>FLOCKSHO</v>
      </c>
      <c r="K630" t="str">
        <f>"AS89"</f>
        <v>AS89</v>
      </c>
      <c r="L630" t="s">
        <v>2570</v>
      </c>
      <c r="M630">
        <v>107.86</v>
      </c>
    </row>
    <row r="631" spans="1:13" x14ac:dyDescent="0.25">
      <c r="A631" t="str">
        <f t="shared" si="153"/>
        <v>E231</v>
      </c>
      <c r="B631">
        <v>1</v>
      </c>
      <c r="C631" t="str">
        <f t="shared" si="161"/>
        <v>32040</v>
      </c>
      <c r="D631" t="str">
        <f t="shared" si="163"/>
        <v>5620</v>
      </c>
      <c r="E631" t="str">
        <f t="shared" si="162"/>
        <v>850LOS</v>
      </c>
      <c r="F631" t="str">
        <f>""</f>
        <v/>
      </c>
      <c r="G631" t="str">
        <f>""</f>
        <v/>
      </c>
      <c r="H631" s="1">
        <v>42095</v>
      </c>
      <c r="I631" t="str">
        <f>"PHY00652"</f>
        <v>PHY00652</v>
      </c>
      <c r="J631" t="str">
        <f>"FLOCKSHO"</f>
        <v>FLOCKSHO</v>
      </c>
      <c r="K631" t="str">
        <f>"AS89"</f>
        <v>AS89</v>
      </c>
      <c r="L631" t="s">
        <v>2570</v>
      </c>
      <c r="M631">
        <v>107.86</v>
      </c>
    </row>
    <row r="632" spans="1:13" x14ac:dyDescent="0.25">
      <c r="A632" t="str">
        <f t="shared" si="153"/>
        <v>E231</v>
      </c>
      <c r="B632">
        <v>1</v>
      </c>
      <c r="C632" t="str">
        <f t="shared" si="161"/>
        <v>32040</v>
      </c>
      <c r="D632" t="str">
        <f t="shared" si="163"/>
        <v>5620</v>
      </c>
      <c r="E632" t="str">
        <f t="shared" si="162"/>
        <v>850LOS</v>
      </c>
      <c r="F632" t="str">
        <f>""</f>
        <v/>
      </c>
      <c r="G632" t="str">
        <f>""</f>
        <v/>
      </c>
      <c r="H632" s="1">
        <v>42095</v>
      </c>
      <c r="I632" t="str">
        <f>"PHY00653"</f>
        <v>PHY00653</v>
      </c>
      <c r="J632" t="str">
        <f>"FLOCKSHO"</f>
        <v>FLOCKSHO</v>
      </c>
      <c r="K632" t="str">
        <f>"AS89"</f>
        <v>AS89</v>
      </c>
      <c r="L632" t="s">
        <v>2570</v>
      </c>
      <c r="M632">
        <v>174.2</v>
      </c>
    </row>
    <row r="633" spans="1:13" x14ac:dyDescent="0.25">
      <c r="A633" t="str">
        <f t="shared" si="153"/>
        <v>E231</v>
      </c>
      <c r="B633">
        <v>1</v>
      </c>
      <c r="C633" t="str">
        <f t="shared" ref="C633:C647" si="164">"43000"</f>
        <v>43000</v>
      </c>
      <c r="D633" t="str">
        <f t="shared" si="163"/>
        <v>5620</v>
      </c>
      <c r="E633" t="str">
        <f t="shared" si="162"/>
        <v>850LOS</v>
      </c>
      <c r="F633" t="str">
        <f>""</f>
        <v/>
      </c>
      <c r="G633" t="str">
        <f>""</f>
        <v/>
      </c>
      <c r="H633" s="1">
        <v>42064</v>
      </c>
      <c r="I633" t="str">
        <f>"J0013490"</f>
        <v>J0013490</v>
      </c>
      <c r="J633" t="str">
        <f>""</f>
        <v/>
      </c>
      <c r="K633" t="str">
        <f>"J079"</f>
        <v>J079</v>
      </c>
      <c r="L633" t="s">
        <v>2513</v>
      </c>
      <c r="M633" s="2">
        <v>6705.13</v>
      </c>
    </row>
    <row r="634" spans="1:13" x14ac:dyDescent="0.25">
      <c r="A634" t="str">
        <f t="shared" si="153"/>
        <v>E231</v>
      </c>
      <c r="B634">
        <v>1</v>
      </c>
      <c r="C634" t="str">
        <f t="shared" si="164"/>
        <v>43000</v>
      </c>
      <c r="D634" t="str">
        <f t="shared" si="163"/>
        <v>5620</v>
      </c>
      <c r="E634" t="str">
        <f t="shared" si="162"/>
        <v>850LOS</v>
      </c>
      <c r="F634" t="str">
        <f>""</f>
        <v/>
      </c>
      <c r="G634" t="str">
        <f>""</f>
        <v/>
      </c>
      <c r="H634" s="1">
        <v>42156</v>
      </c>
      <c r="I634" t="str">
        <f>"PHY00655"</f>
        <v>PHY00655</v>
      </c>
      <c r="J634" t="str">
        <f>"FPARKING"</f>
        <v>FPARKING</v>
      </c>
      <c r="K634" t="str">
        <f>"AS89"</f>
        <v>AS89</v>
      </c>
      <c r="L634" t="s">
        <v>2570</v>
      </c>
      <c r="M634">
        <v>883.82</v>
      </c>
    </row>
    <row r="635" spans="1:13" x14ac:dyDescent="0.25">
      <c r="A635" t="str">
        <f t="shared" si="153"/>
        <v>E231</v>
      </c>
      <c r="B635">
        <v>1</v>
      </c>
      <c r="C635" t="str">
        <f t="shared" si="164"/>
        <v>43000</v>
      </c>
      <c r="D635" t="str">
        <f t="shared" si="163"/>
        <v>5620</v>
      </c>
      <c r="E635" t="str">
        <f t="shared" si="162"/>
        <v>850LOS</v>
      </c>
      <c r="F635" t="str">
        <f>""</f>
        <v/>
      </c>
      <c r="G635" t="str">
        <f>""</f>
        <v/>
      </c>
      <c r="H635" s="1">
        <v>42185</v>
      </c>
      <c r="I635" t="str">
        <f>"J0016407"</f>
        <v>J0016407</v>
      </c>
      <c r="J635" t="str">
        <f>""</f>
        <v/>
      </c>
      <c r="K635" t="str">
        <f>"J079"</f>
        <v>J079</v>
      </c>
      <c r="L635" t="s">
        <v>2510</v>
      </c>
      <c r="M635" s="2">
        <v>3291.5</v>
      </c>
    </row>
    <row r="636" spans="1:13" x14ac:dyDescent="0.25">
      <c r="A636" t="str">
        <f t="shared" si="153"/>
        <v>E231</v>
      </c>
      <c r="B636">
        <v>1</v>
      </c>
      <c r="C636" t="str">
        <f t="shared" si="164"/>
        <v>43000</v>
      </c>
      <c r="D636" t="str">
        <f t="shared" ref="D636:D647" si="165">"5740"</f>
        <v>5740</v>
      </c>
      <c r="E636" t="str">
        <f t="shared" si="162"/>
        <v>850LOS</v>
      </c>
      <c r="F636" t="str">
        <f>""</f>
        <v/>
      </c>
      <c r="G636" t="str">
        <f>""</f>
        <v/>
      </c>
      <c r="H636" s="1">
        <v>41821</v>
      </c>
      <c r="I636" t="str">
        <f>"PHY00637"</f>
        <v>PHY00637</v>
      </c>
      <c r="J636" t="str">
        <f t="shared" ref="J636:J647" si="166">"FPARKING"</f>
        <v>FPARKING</v>
      </c>
      <c r="K636" t="str">
        <f t="shared" ref="K636:K650" si="167">"AS89"</f>
        <v>AS89</v>
      </c>
      <c r="L636" t="s">
        <v>2570</v>
      </c>
      <c r="M636" s="2">
        <v>1092.68</v>
      </c>
    </row>
    <row r="637" spans="1:13" x14ac:dyDescent="0.25">
      <c r="A637" t="str">
        <f t="shared" si="153"/>
        <v>E231</v>
      </c>
      <c r="B637">
        <v>1</v>
      </c>
      <c r="C637" t="str">
        <f t="shared" si="164"/>
        <v>43000</v>
      </c>
      <c r="D637" t="str">
        <f t="shared" si="165"/>
        <v>5740</v>
      </c>
      <c r="E637" t="str">
        <f t="shared" si="162"/>
        <v>850LOS</v>
      </c>
      <c r="F637" t="str">
        <f>""</f>
        <v/>
      </c>
      <c r="G637" t="str">
        <f>""</f>
        <v/>
      </c>
      <c r="H637" s="1">
        <v>41852</v>
      </c>
      <c r="I637" t="str">
        <f>"PHY00639"</f>
        <v>PHY00639</v>
      </c>
      <c r="J637" t="str">
        <f t="shared" si="166"/>
        <v>FPARKING</v>
      </c>
      <c r="K637" t="str">
        <f t="shared" si="167"/>
        <v>AS89</v>
      </c>
      <c r="L637" t="s">
        <v>2570</v>
      </c>
      <c r="M637">
        <v>763.88</v>
      </c>
    </row>
    <row r="638" spans="1:13" x14ac:dyDescent="0.25">
      <c r="A638" t="str">
        <f t="shared" si="153"/>
        <v>E231</v>
      </c>
      <c r="B638">
        <v>1</v>
      </c>
      <c r="C638" t="str">
        <f t="shared" si="164"/>
        <v>43000</v>
      </c>
      <c r="D638" t="str">
        <f t="shared" si="165"/>
        <v>5740</v>
      </c>
      <c r="E638" t="str">
        <f t="shared" si="162"/>
        <v>850LOS</v>
      </c>
      <c r="F638" t="str">
        <f>""</f>
        <v/>
      </c>
      <c r="G638" t="str">
        <f>""</f>
        <v/>
      </c>
      <c r="H638" s="1">
        <v>41883</v>
      </c>
      <c r="I638" t="str">
        <f>"PHY00641"</f>
        <v>PHY00641</v>
      </c>
      <c r="J638" t="str">
        <f t="shared" si="166"/>
        <v>FPARKING</v>
      </c>
      <c r="K638" t="str">
        <f t="shared" si="167"/>
        <v>AS89</v>
      </c>
      <c r="L638" t="s">
        <v>2570</v>
      </c>
      <c r="M638" s="2">
        <v>1083.18</v>
      </c>
    </row>
    <row r="639" spans="1:13" x14ac:dyDescent="0.25">
      <c r="A639" t="str">
        <f t="shared" si="153"/>
        <v>E231</v>
      </c>
      <c r="B639">
        <v>1</v>
      </c>
      <c r="C639" t="str">
        <f t="shared" si="164"/>
        <v>43000</v>
      </c>
      <c r="D639" t="str">
        <f t="shared" si="165"/>
        <v>5740</v>
      </c>
      <c r="E639" t="str">
        <f t="shared" si="162"/>
        <v>850LOS</v>
      </c>
      <c r="F639" t="str">
        <f>""</f>
        <v/>
      </c>
      <c r="G639" t="str">
        <f>""</f>
        <v/>
      </c>
      <c r="H639" s="1">
        <v>41913</v>
      </c>
      <c r="I639" t="str">
        <f>"PHY00643"</f>
        <v>PHY00643</v>
      </c>
      <c r="J639" t="str">
        <f t="shared" si="166"/>
        <v>FPARKING</v>
      </c>
      <c r="K639" t="str">
        <f t="shared" si="167"/>
        <v>AS89</v>
      </c>
      <c r="L639" t="s">
        <v>2570</v>
      </c>
      <c r="M639" s="2">
        <v>1170.68</v>
      </c>
    </row>
    <row r="640" spans="1:13" x14ac:dyDescent="0.25">
      <c r="A640" t="str">
        <f t="shared" si="153"/>
        <v>E231</v>
      </c>
      <c r="B640">
        <v>1</v>
      </c>
      <c r="C640" t="str">
        <f t="shared" si="164"/>
        <v>43000</v>
      </c>
      <c r="D640" t="str">
        <f t="shared" si="165"/>
        <v>5740</v>
      </c>
      <c r="E640" t="str">
        <f t="shared" si="162"/>
        <v>850LOS</v>
      </c>
      <c r="F640" t="str">
        <f>""</f>
        <v/>
      </c>
      <c r="G640" t="str">
        <f>""</f>
        <v/>
      </c>
      <c r="H640" s="1">
        <v>41944</v>
      </c>
      <c r="I640" t="str">
        <f>"PHY00645"</f>
        <v>PHY00645</v>
      </c>
      <c r="J640" t="str">
        <f t="shared" si="166"/>
        <v>FPARKING</v>
      </c>
      <c r="K640" t="str">
        <f t="shared" si="167"/>
        <v>AS89</v>
      </c>
      <c r="L640" t="s">
        <v>2570</v>
      </c>
      <c r="M640">
        <v>951.99</v>
      </c>
    </row>
    <row r="641" spans="1:13" x14ac:dyDescent="0.25">
      <c r="A641" t="str">
        <f t="shared" si="153"/>
        <v>E231</v>
      </c>
      <c r="B641">
        <v>1</v>
      </c>
      <c r="C641" t="str">
        <f t="shared" si="164"/>
        <v>43000</v>
      </c>
      <c r="D641" t="str">
        <f t="shared" si="165"/>
        <v>5740</v>
      </c>
      <c r="E641" t="str">
        <f t="shared" si="162"/>
        <v>850LOS</v>
      </c>
      <c r="F641" t="str">
        <f>""</f>
        <v/>
      </c>
      <c r="G641" t="str">
        <f>""</f>
        <v/>
      </c>
      <c r="H641" s="1">
        <v>41974</v>
      </c>
      <c r="I641" t="str">
        <f>"PHY00647"</f>
        <v>PHY00647</v>
      </c>
      <c r="J641" t="str">
        <f t="shared" si="166"/>
        <v>FPARKING</v>
      </c>
      <c r="K641" t="str">
        <f t="shared" si="167"/>
        <v>AS89</v>
      </c>
      <c r="L641" t="s">
        <v>2570</v>
      </c>
      <c r="M641">
        <v>844.22</v>
      </c>
    </row>
    <row r="642" spans="1:13" x14ac:dyDescent="0.25">
      <c r="A642" t="str">
        <f t="shared" si="153"/>
        <v>E231</v>
      </c>
      <c r="B642">
        <v>1</v>
      </c>
      <c r="C642" t="str">
        <f t="shared" si="164"/>
        <v>43000</v>
      </c>
      <c r="D642" t="str">
        <f t="shared" si="165"/>
        <v>5740</v>
      </c>
      <c r="E642" t="str">
        <f t="shared" si="162"/>
        <v>850LOS</v>
      </c>
      <c r="F642" t="str">
        <f>""</f>
        <v/>
      </c>
      <c r="G642" t="str">
        <f>""</f>
        <v/>
      </c>
      <c r="H642" s="1">
        <v>42005</v>
      </c>
      <c r="I642" t="str">
        <f>"PHY00649"</f>
        <v>PHY00649</v>
      </c>
      <c r="J642" t="str">
        <f t="shared" si="166"/>
        <v>FPARKING</v>
      </c>
      <c r="K642" t="str">
        <f t="shared" si="167"/>
        <v>AS89</v>
      </c>
      <c r="L642" t="s">
        <v>2570</v>
      </c>
      <c r="M642">
        <v>798.5</v>
      </c>
    </row>
    <row r="643" spans="1:13" x14ac:dyDescent="0.25">
      <c r="A643" t="str">
        <f t="shared" si="153"/>
        <v>E231</v>
      </c>
      <c r="B643">
        <v>1</v>
      </c>
      <c r="C643" t="str">
        <f t="shared" si="164"/>
        <v>43000</v>
      </c>
      <c r="D643" t="str">
        <f t="shared" si="165"/>
        <v>5740</v>
      </c>
      <c r="E643" t="str">
        <f t="shared" si="162"/>
        <v>850LOS</v>
      </c>
      <c r="F643" t="str">
        <f>""</f>
        <v/>
      </c>
      <c r="G643" t="str">
        <f>""</f>
        <v/>
      </c>
      <c r="H643" s="1">
        <v>42036</v>
      </c>
      <c r="I643" t="str">
        <f>"PHY00650"</f>
        <v>PHY00650</v>
      </c>
      <c r="J643" t="str">
        <f t="shared" si="166"/>
        <v>FPARKING</v>
      </c>
      <c r="K643" t="str">
        <f t="shared" si="167"/>
        <v>AS89</v>
      </c>
      <c r="L643" t="s">
        <v>2570</v>
      </c>
      <c r="M643">
        <v>661.4</v>
      </c>
    </row>
    <row r="644" spans="1:13" x14ac:dyDescent="0.25">
      <c r="A644" t="str">
        <f t="shared" si="153"/>
        <v>E231</v>
      </c>
      <c r="B644">
        <v>1</v>
      </c>
      <c r="C644" t="str">
        <f t="shared" si="164"/>
        <v>43000</v>
      </c>
      <c r="D644" t="str">
        <f t="shared" si="165"/>
        <v>5740</v>
      </c>
      <c r="E644" t="str">
        <f t="shared" si="162"/>
        <v>850LOS</v>
      </c>
      <c r="F644" t="str">
        <f>""</f>
        <v/>
      </c>
      <c r="G644" t="str">
        <f>""</f>
        <v/>
      </c>
      <c r="H644" s="1">
        <v>42094</v>
      </c>
      <c r="I644" t="str">
        <f>"PHY0652B"</f>
        <v>PHY0652B</v>
      </c>
      <c r="J644" t="str">
        <f t="shared" si="166"/>
        <v>FPARKING</v>
      </c>
      <c r="K644" t="str">
        <f t="shared" si="167"/>
        <v>AS89</v>
      </c>
      <c r="L644" t="s">
        <v>2570</v>
      </c>
      <c r="M644">
        <v>881.08</v>
      </c>
    </row>
    <row r="645" spans="1:13" x14ac:dyDescent="0.25">
      <c r="A645" t="str">
        <f t="shared" si="153"/>
        <v>E231</v>
      </c>
      <c r="B645">
        <v>1</v>
      </c>
      <c r="C645" t="str">
        <f t="shared" si="164"/>
        <v>43000</v>
      </c>
      <c r="D645" t="str">
        <f t="shared" si="165"/>
        <v>5740</v>
      </c>
      <c r="E645" t="str">
        <f t="shared" si="162"/>
        <v>850LOS</v>
      </c>
      <c r="F645" t="str">
        <f>""</f>
        <v/>
      </c>
      <c r="G645" t="str">
        <f>""</f>
        <v/>
      </c>
      <c r="H645" s="1">
        <v>42095</v>
      </c>
      <c r="I645" t="str">
        <f>"PHY00652"</f>
        <v>PHY00652</v>
      </c>
      <c r="J645" t="str">
        <f t="shared" si="166"/>
        <v>FPARKING</v>
      </c>
      <c r="K645" t="str">
        <f t="shared" si="167"/>
        <v>AS89</v>
      </c>
      <c r="L645" t="s">
        <v>2570</v>
      </c>
      <c r="M645">
        <v>881.08</v>
      </c>
    </row>
    <row r="646" spans="1:13" x14ac:dyDescent="0.25">
      <c r="A646" t="str">
        <f t="shared" si="153"/>
        <v>E231</v>
      </c>
      <c r="B646">
        <v>1</v>
      </c>
      <c r="C646" t="str">
        <f t="shared" si="164"/>
        <v>43000</v>
      </c>
      <c r="D646" t="str">
        <f t="shared" si="165"/>
        <v>5740</v>
      </c>
      <c r="E646" t="str">
        <f t="shared" si="162"/>
        <v>850LOS</v>
      </c>
      <c r="F646" t="str">
        <f>""</f>
        <v/>
      </c>
      <c r="G646" t="str">
        <f>""</f>
        <v/>
      </c>
      <c r="H646" s="1">
        <v>42095</v>
      </c>
      <c r="I646" t="str">
        <f>"PHY00653"</f>
        <v>PHY00653</v>
      </c>
      <c r="J646" t="str">
        <f t="shared" si="166"/>
        <v>FPARKING</v>
      </c>
      <c r="K646" t="str">
        <f t="shared" si="167"/>
        <v>AS89</v>
      </c>
      <c r="L646" t="s">
        <v>2570</v>
      </c>
      <c r="M646">
        <v>873.97</v>
      </c>
    </row>
    <row r="647" spans="1:13" x14ac:dyDescent="0.25">
      <c r="A647" t="str">
        <f t="shared" si="153"/>
        <v>E231</v>
      </c>
      <c r="B647">
        <v>1</v>
      </c>
      <c r="C647" t="str">
        <f t="shared" si="164"/>
        <v>43000</v>
      </c>
      <c r="D647" t="str">
        <f t="shared" si="165"/>
        <v>5740</v>
      </c>
      <c r="E647" t="str">
        <f t="shared" si="162"/>
        <v>850LOS</v>
      </c>
      <c r="F647" t="str">
        <f>""</f>
        <v/>
      </c>
      <c r="G647" t="str">
        <f>""</f>
        <v/>
      </c>
      <c r="H647" s="1">
        <v>42125</v>
      </c>
      <c r="I647" t="str">
        <f>"PHY00654"</f>
        <v>PHY00654</v>
      </c>
      <c r="J647" t="str">
        <f t="shared" si="166"/>
        <v>FPARKING</v>
      </c>
      <c r="K647" t="str">
        <f t="shared" si="167"/>
        <v>AS89</v>
      </c>
      <c r="L647" t="s">
        <v>2570</v>
      </c>
      <c r="M647">
        <v>875.05</v>
      </c>
    </row>
    <row r="648" spans="1:13" x14ac:dyDescent="0.25">
      <c r="A648" t="str">
        <f>"E232"</f>
        <v>E232</v>
      </c>
      <c r="B648">
        <v>1</v>
      </c>
      <c r="C648" t="str">
        <f>"23275"</f>
        <v>23275</v>
      </c>
      <c r="D648" t="str">
        <f t="shared" ref="D648:D687" si="168">"5620"</f>
        <v>5620</v>
      </c>
      <c r="E648" t="str">
        <f>"063STF"</f>
        <v>063STF</v>
      </c>
      <c r="F648" t="str">
        <f>""</f>
        <v/>
      </c>
      <c r="G648" t="str">
        <f>""</f>
        <v/>
      </c>
      <c r="H648" s="1">
        <v>41912</v>
      </c>
      <c r="I648" t="str">
        <f>"PRK00114"</f>
        <v>PRK00114</v>
      </c>
      <c r="J648" t="str">
        <f>""</f>
        <v/>
      </c>
      <c r="K648" t="str">
        <f t="shared" si="167"/>
        <v>AS89</v>
      </c>
      <c r="L648" t="s">
        <v>2224</v>
      </c>
      <c r="M648">
        <v>697.64</v>
      </c>
    </row>
    <row r="649" spans="1:13" x14ac:dyDescent="0.25">
      <c r="A649" t="str">
        <f>"E232"</f>
        <v>E232</v>
      </c>
      <c r="B649">
        <v>1</v>
      </c>
      <c r="C649" t="str">
        <f>"23275"</f>
        <v>23275</v>
      </c>
      <c r="D649" t="str">
        <f t="shared" si="168"/>
        <v>5620</v>
      </c>
      <c r="E649" t="str">
        <f>"063STF"</f>
        <v>063STF</v>
      </c>
      <c r="F649" t="str">
        <f>""</f>
        <v/>
      </c>
      <c r="G649" t="str">
        <f>""</f>
        <v/>
      </c>
      <c r="H649" s="1">
        <v>41973</v>
      </c>
      <c r="I649" t="str">
        <f>"PRK00116"</f>
        <v>PRK00116</v>
      </c>
      <c r="J649" t="str">
        <f>""</f>
        <v/>
      </c>
      <c r="K649" t="str">
        <f t="shared" si="167"/>
        <v>AS89</v>
      </c>
      <c r="L649" t="s">
        <v>748</v>
      </c>
      <c r="M649">
        <v>380.45</v>
      </c>
    </row>
    <row r="650" spans="1:13" x14ac:dyDescent="0.25">
      <c r="A650" t="str">
        <f>"E232"</f>
        <v>E232</v>
      </c>
      <c r="B650">
        <v>1</v>
      </c>
      <c r="C650" t="str">
        <f>"43000"</f>
        <v>43000</v>
      </c>
      <c r="D650" t="str">
        <f t="shared" si="168"/>
        <v>5620</v>
      </c>
      <c r="E650" t="str">
        <f>"850LOS"</f>
        <v>850LOS</v>
      </c>
      <c r="F650" t="str">
        <f>""</f>
        <v/>
      </c>
      <c r="G650" t="str">
        <f>""</f>
        <v/>
      </c>
      <c r="H650" s="1">
        <v>41943</v>
      </c>
      <c r="I650" t="str">
        <f>"ACG02516"</f>
        <v>ACG02516</v>
      </c>
      <c r="J650" t="str">
        <f>""</f>
        <v/>
      </c>
      <c r="K650" t="str">
        <f t="shared" si="167"/>
        <v>AS89</v>
      </c>
      <c r="L650" t="s">
        <v>2514</v>
      </c>
      <c r="M650" s="2">
        <v>7760.03</v>
      </c>
    </row>
    <row r="651" spans="1:13" x14ac:dyDescent="0.25">
      <c r="A651" t="str">
        <f t="shared" ref="A651:A657" si="169">"E240"</f>
        <v>E240</v>
      </c>
      <c r="B651">
        <v>1</v>
      </c>
      <c r="C651" t="str">
        <f>"10200"</f>
        <v>10200</v>
      </c>
      <c r="D651" t="str">
        <f t="shared" si="168"/>
        <v>5620</v>
      </c>
      <c r="E651" t="str">
        <f>"094OMS"</f>
        <v>094OMS</v>
      </c>
      <c r="F651" t="str">
        <f>""</f>
        <v/>
      </c>
      <c r="G651" t="str">
        <f>""</f>
        <v/>
      </c>
      <c r="H651" s="1">
        <v>42117</v>
      </c>
      <c r="I651" t="str">
        <f>"220976"</f>
        <v>220976</v>
      </c>
      <c r="J651" t="str">
        <f>""</f>
        <v/>
      </c>
      <c r="K651" t="str">
        <f>"INNI"</f>
        <v>INNI</v>
      </c>
      <c r="L651" t="s">
        <v>92</v>
      </c>
      <c r="M651" s="2">
        <v>1913.71</v>
      </c>
    </row>
    <row r="652" spans="1:13" x14ac:dyDescent="0.25">
      <c r="A652" t="str">
        <f t="shared" si="169"/>
        <v>E240</v>
      </c>
      <c r="B652">
        <v>1</v>
      </c>
      <c r="C652" t="str">
        <f>"23275"</f>
        <v>23275</v>
      </c>
      <c r="D652" t="str">
        <f t="shared" si="168"/>
        <v>5620</v>
      </c>
      <c r="E652" t="str">
        <f>"063STF"</f>
        <v>063STF</v>
      </c>
      <c r="F652" t="str">
        <f>""</f>
        <v/>
      </c>
      <c r="G652" t="str">
        <f>""</f>
        <v/>
      </c>
      <c r="H652" s="1">
        <v>42035</v>
      </c>
      <c r="I652" t="str">
        <f>"PCD00704"</f>
        <v>PCD00704</v>
      </c>
      <c r="J652" t="str">
        <f>""</f>
        <v/>
      </c>
      <c r="K652" t="str">
        <f>"AS89"</f>
        <v>AS89</v>
      </c>
      <c r="L652" t="s">
        <v>2569</v>
      </c>
      <c r="M652" s="2">
        <v>1627.5</v>
      </c>
    </row>
    <row r="653" spans="1:13" x14ac:dyDescent="0.25">
      <c r="A653" t="str">
        <f t="shared" si="169"/>
        <v>E240</v>
      </c>
      <c r="B653">
        <v>1</v>
      </c>
      <c r="C653" t="str">
        <f>"23275"</f>
        <v>23275</v>
      </c>
      <c r="D653" t="str">
        <f t="shared" si="168"/>
        <v>5620</v>
      </c>
      <c r="E653" t="str">
        <f>"063STF"</f>
        <v>063STF</v>
      </c>
      <c r="F653" t="str">
        <f>""</f>
        <v/>
      </c>
      <c r="G653" t="str">
        <f>""</f>
        <v/>
      </c>
      <c r="H653" s="1">
        <v>42062</v>
      </c>
      <c r="I653" t="str">
        <f>"PCD00709"</f>
        <v>PCD00709</v>
      </c>
      <c r="J653" t="str">
        <f>""</f>
        <v/>
      </c>
      <c r="K653" t="str">
        <f>"AS89"</f>
        <v>AS89</v>
      </c>
      <c r="L653" t="s">
        <v>2568</v>
      </c>
      <c r="M653" s="2">
        <v>1627.5</v>
      </c>
    </row>
    <row r="654" spans="1:13" x14ac:dyDescent="0.25">
      <c r="A654" t="str">
        <f t="shared" si="169"/>
        <v>E240</v>
      </c>
      <c r="B654">
        <v>1</v>
      </c>
      <c r="C654" t="str">
        <f>"23275"</f>
        <v>23275</v>
      </c>
      <c r="D654" t="str">
        <f t="shared" si="168"/>
        <v>5620</v>
      </c>
      <c r="E654" t="str">
        <f>"063STF"</f>
        <v>063STF</v>
      </c>
      <c r="F654" t="str">
        <f>""</f>
        <v/>
      </c>
      <c r="G654" t="str">
        <f>""</f>
        <v/>
      </c>
      <c r="H654" s="1">
        <v>42066</v>
      </c>
      <c r="I654" t="str">
        <f>"J0013593"</f>
        <v>J0013593</v>
      </c>
      <c r="J654" t="str">
        <f>""</f>
        <v/>
      </c>
      <c r="K654" t="str">
        <f>"J096"</f>
        <v>J096</v>
      </c>
      <c r="L654" t="s">
        <v>2315</v>
      </c>
      <c r="M654">
        <v>133.63</v>
      </c>
    </row>
    <row r="655" spans="1:13" x14ac:dyDescent="0.25">
      <c r="A655" t="str">
        <f t="shared" si="169"/>
        <v>E240</v>
      </c>
      <c r="B655">
        <v>1</v>
      </c>
      <c r="C655" t="str">
        <f>"23275"</f>
        <v>23275</v>
      </c>
      <c r="D655" t="str">
        <f t="shared" si="168"/>
        <v>5620</v>
      </c>
      <c r="E655" t="str">
        <f>"063STF"</f>
        <v>063STF</v>
      </c>
      <c r="F655" t="str">
        <f>""</f>
        <v/>
      </c>
      <c r="G655" t="str">
        <f>""</f>
        <v/>
      </c>
      <c r="H655" s="1">
        <v>42125</v>
      </c>
      <c r="I655" t="str">
        <f>"J0013246"</f>
        <v>J0013246</v>
      </c>
      <c r="J655" t="str">
        <f>""</f>
        <v/>
      </c>
      <c r="K655" t="str">
        <f>"J096"</f>
        <v>J096</v>
      </c>
      <c r="L655" t="s">
        <v>2315</v>
      </c>
      <c r="M655">
        <v>106.9</v>
      </c>
    </row>
    <row r="656" spans="1:13" x14ac:dyDescent="0.25">
      <c r="A656" t="str">
        <f t="shared" si="169"/>
        <v>E240</v>
      </c>
      <c r="B656">
        <v>1</v>
      </c>
      <c r="C656" t="str">
        <f>"43000"</f>
        <v>43000</v>
      </c>
      <c r="D656" t="str">
        <f t="shared" si="168"/>
        <v>5620</v>
      </c>
      <c r="E656" t="str">
        <f>"850LOS"</f>
        <v>850LOS</v>
      </c>
      <c r="F656" t="str">
        <f>"PKOLOT"</f>
        <v>PKOLOT</v>
      </c>
      <c r="G656" t="str">
        <f>""</f>
        <v/>
      </c>
      <c r="H656" s="1">
        <v>42185</v>
      </c>
      <c r="I656" t="str">
        <f>"J0015752"</f>
        <v>J0015752</v>
      </c>
      <c r="J656" t="str">
        <f>""</f>
        <v/>
      </c>
      <c r="K656" t="str">
        <f>"J096"</f>
        <v>J096</v>
      </c>
      <c r="L656" t="s">
        <v>2567</v>
      </c>
      <c r="M656">
        <v>230</v>
      </c>
    </row>
    <row r="657" spans="1:13" x14ac:dyDescent="0.25">
      <c r="A657" t="str">
        <f t="shared" si="169"/>
        <v>E240</v>
      </c>
      <c r="B657">
        <v>1</v>
      </c>
      <c r="C657" t="str">
        <f>"43000"</f>
        <v>43000</v>
      </c>
      <c r="D657" t="str">
        <f t="shared" si="168"/>
        <v>5620</v>
      </c>
      <c r="E657" t="str">
        <f>"850LOS"</f>
        <v>850LOS</v>
      </c>
      <c r="F657" t="str">
        <f>""</f>
        <v/>
      </c>
      <c r="G657" t="str">
        <f>""</f>
        <v/>
      </c>
      <c r="H657" s="1">
        <v>42125</v>
      </c>
      <c r="I657" t="str">
        <f>"J0013246"</f>
        <v>J0013246</v>
      </c>
      <c r="J657" t="str">
        <f>""</f>
        <v/>
      </c>
      <c r="K657" t="str">
        <f>"J096"</f>
        <v>J096</v>
      </c>
      <c r="L657" t="s">
        <v>2315</v>
      </c>
      <c r="M657">
        <v>400.88</v>
      </c>
    </row>
    <row r="658" spans="1:13" x14ac:dyDescent="0.25">
      <c r="A658" t="str">
        <f>"E241"</f>
        <v>E241</v>
      </c>
      <c r="B658">
        <v>1</v>
      </c>
      <c r="C658" t="str">
        <f>"23275"</f>
        <v>23275</v>
      </c>
      <c r="D658" t="str">
        <f t="shared" si="168"/>
        <v>5620</v>
      </c>
      <c r="E658" t="str">
        <f>"063STF"</f>
        <v>063STF</v>
      </c>
      <c r="F658" t="str">
        <f>""</f>
        <v/>
      </c>
      <c r="G658" t="str">
        <f>""</f>
        <v/>
      </c>
      <c r="H658" s="1">
        <v>41943</v>
      </c>
      <c r="I658" t="str">
        <f>"SPU00157"</f>
        <v>SPU00157</v>
      </c>
      <c r="J658" t="str">
        <f>""</f>
        <v/>
      </c>
      <c r="K658" t="str">
        <f>"AS96"</f>
        <v>AS96</v>
      </c>
      <c r="L658" t="s">
        <v>2566</v>
      </c>
      <c r="M658">
        <v>297.5</v>
      </c>
    </row>
    <row r="659" spans="1:13" x14ac:dyDescent="0.25">
      <c r="A659" t="str">
        <f>"E241"</f>
        <v>E241</v>
      </c>
      <c r="B659">
        <v>1</v>
      </c>
      <c r="C659" t="str">
        <f>"23275"</f>
        <v>23275</v>
      </c>
      <c r="D659" t="str">
        <f t="shared" si="168"/>
        <v>5620</v>
      </c>
      <c r="E659" t="str">
        <f>"063STF"</f>
        <v>063STF</v>
      </c>
      <c r="F659" t="str">
        <f>""</f>
        <v/>
      </c>
      <c r="G659" t="str">
        <f>""</f>
        <v/>
      </c>
      <c r="H659" s="1">
        <v>42004</v>
      </c>
      <c r="I659" t="str">
        <f>"SPU00159"</f>
        <v>SPU00159</v>
      </c>
      <c r="J659" t="str">
        <f>""</f>
        <v/>
      </c>
      <c r="K659" t="str">
        <f>"AS96"</f>
        <v>AS96</v>
      </c>
      <c r="L659" t="s">
        <v>2565</v>
      </c>
      <c r="M659">
        <v>297.5</v>
      </c>
    </row>
    <row r="660" spans="1:13" x14ac:dyDescent="0.25">
      <c r="A660" t="str">
        <f>"E241"</f>
        <v>E241</v>
      </c>
      <c r="B660">
        <v>1</v>
      </c>
      <c r="C660" t="str">
        <f>"23275"</f>
        <v>23275</v>
      </c>
      <c r="D660" t="str">
        <f t="shared" si="168"/>
        <v>5620</v>
      </c>
      <c r="E660" t="str">
        <f>"063STF"</f>
        <v>063STF</v>
      </c>
      <c r="F660" t="str">
        <f>""</f>
        <v/>
      </c>
      <c r="G660" t="str">
        <f>""</f>
        <v/>
      </c>
      <c r="H660" s="1">
        <v>42035</v>
      </c>
      <c r="I660" t="str">
        <f>"SPU00160"</f>
        <v>SPU00160</v>
      </c>
      <c r="J660" t="str">
        <f>""</f>
        <v/>
      </c>
      <c r="K660" t="str">
        <f>"AS96"</f>
        <v>AS96</v>
      </c>
      <c r="L660" t="s">
        <v>2564</v>
      </c>
      <c r="M660" s="2">
        <v>2148.8000000000002</v>
      </c>
    </row>
    <row r="661" spans="1:13" x14ac:dyDescent="0.25">
      <c r="A661" t="str">
        <f>"E242"</f>
        <v>E242</v>
      </c>
      <c r="B661">
        <v>1</v>
      </c>
      <c r="C661" t="str">
        <f>"10200"</f>
        <v>10200</v>
      </c>
      <c r="D661" t="str">
        <f t="shared" si="168"/>
        <v>5620</v>
      </c>
      <c r="E661" t="str">
        <f>"094OMS"</f>
        <v>094OMS</v>
      </c>
      <c r="F661" t="str">
        <f>""</f>
        <v/>
      </c>
      <c r="G661" t="str">
        <f>""</f>
        <v/>
      </c>
      <c r="H661" s="1">
        <v>42094</v>
      </c>
      <c r="I661" t="str">
        <f>"MOV00422"</f>
        <v>MOV00422</v>
      </c>
      <c r="J661" t="str">
        <f>"922066"</f>
        <v>922066</v>
      </c>
      <c r="K661" t="str">
        <f>"AS89"</f>
        <v>AS89</v>
      </c>
      <c r="L661" t="s">
        <v>282</v>
      </c>
      <c r="M661">
        <v>261</v>
      </c>
    </row>
    <row r="662" spans="1:13" x14ac:dyDescent="0.25">
      <c r="A662" t="str">
        <f>"E244"</f>
        <v>E244</v>
      </c>
      <c r="B662">
        <v>1</v>
      </c>
      <c r="C662" t="str">
        <f>"43000"</f>
        <v>43000</v>
      </c>
      <c r="D662" t="str">
        <f t="shared" si="168"/>
        <v>5620</v>
      </c>
      <c r="E662" t="str">
        <f>"850ALT"</f>
        <v>850ALT</v>
      </c>
      <c r="F662" t="str">
        <f>""</f>
        <v/>
      </c>
      <c r="G662" t="str">
        <f>""</f>
        <v/>
      </c>
      <c r="H662" s="1">
        <v>41908</v>
      </c>
      <c r="I662" t="str">
        <f>"PCD00684"</f>
        <v>PCD00684</v>
      </c>
      <c r="J662" t="str">
        <f>""</f>
        <v/>
      </c>
      <c r="K662" t="str">
        <f>"AS89"</f>
        <v>AS89</v>
      </c>
      <c r="L662" t="s">
        <v>2563</v>
      </c>
      <c r="M662">
        <v>100</v>
      </c>
    </row>
    <row r="663" spans="1:13" x14ac:dyDescent="0.25">
      <c r="A663" t="str">
        <f t="shared" ref="A663:A672" si="170">"E247"</f>
        <v>E247</v>
      </c>
      <c r="B663">
        <v>1</v>
      </c>
      <c r="C663" t="str">
        <f t="shared" ref="C663:C683" si="171">"10200"</f>
        <v>10200</v>
      </c>
      <c r="D663" t="str">
        <f t="shared" si="168"/>
        <v>5620</v>
      </c>
      <c r="E663" t="str">
        <f t="shared" ref="E663:E683" si="172">"094OMS"</f>
        <v>094OMS</v>
      </c>
      <c r="F663" t="str">
        <f>""</f>
        <v/>
      </c>
      <c r="G663" t="str">
        <f>""</f>
        <v/>
      </c>
      <c r="H663" s="1">
        <v>41878</v>
      </c>
      <c r="I663" t="str">
        <f>"I0111034"</f>
        <v>I0111034</v>
      </c>
      <c r="J663" t="str">
        <f t="shared" ref="J663:J672" si="173">"N218295A"</f>
        <v>N218295A</v>
      </c>
      <c r="K663" t="str">
        <f t="shared" ref="K663:K672" si="174">"INEI"</f>
        <v>INEI</v>
      </c>
      <c r="L663" t="s">
        <v>2303</v>
      </c>
      <c r="M663">
        <v>860.52</v>
      </c>
    </row>
    <row r="664" spans="1:13" x14ac:dyDescent="0.25">
      <c r="A664" t="str">
        <f t="shared" si="170"/>
        <v>E247</v>
      </c>
      <c r="B664">
        <v>1</v>
      </c>
      <c r="C664" t="str">
        <f t="shared" si="171"/>
        <v>10200</v>
      </c>
      <c r="D664" t="str">
        <f t="shared" si="168"/>
        <v>5620</v>
      </c>
      <c r="E664" t="str">
        <f t="shared" si="172"/>
        <v>094OMS</v>
      </c>
      <c r="F664" t="str">
        <f>""</f>
        <v/>
      </c>
      <c r="G664" t="str">
        <f>""</f>
        <v/>
      </c>
      <c r="H664" s="1">
        <v>41893</v>
      </c>
      <c r="I664" t="str">
        <f>"I0111339"</f>
        <v>I0111339</v>
      </c>
      <c r="J664" t="str">
        <f t="shared" si="173"/>
        <v>N218295A</v>
      </c>
      <c r="K664" t="str">
        <f t="shared" si="174"/>
        <v>INEI</v>
      </c>
      <c r="L664" t="s">
        <v>2303</v>
      </c>
      <c r="M664">
        <v>417.2</v>
      </c>
    </row>
    <row r="665" spans="1:13" x14ac:dyDescent="0.25">
      <c r="A665" t="str">
        <f t="shared" si="170"/>
        <v>E247</v>
      </c>
      <c r="B665">
        <v>1</v>
      </c>
      <c r="C665" t="str">
        <f t="shared" si="171"/>
        <v>10200</v>
      </c>
      <c r="D665" t="str">
        <f t="shared" si="168"/>
        <v>5620</v>
      </c>
      <c r="E665" t="str">
        <f t="shared" si="172"/>
        <v>094OMS</v>
      </c>
      <c r="F665" t="str">
        <f>""</f>
        <v/>
      </c>
      <c r="G665" t="str">
        <f>""</f>
        <v/>
      </c>
      <c r="H665" s="1">
        <v>41921</v>
      </c>
      <c r="I665" t="str">
        <f>"I0111940"</f>
        <v>I0111940</v>
      </c>
      <c r="J665" t="str">
        <f t="shared" si="173"/>
        <v>N218295A</v>
      </c>
      <c r="K665" t="str">
        <f t="shared" si="174"/>
        <v>INEI</v>
      </c>
      <c r="L665" t="s">
        <v>2303</v>
      </c>
      <c r="M665">
        <v>342.23</v>
      </c>
    </row>
    <row r="666" spans="1:13" x14ac:dyDescent="0.25">
      <c r="A666" t="str">
        <f t="shared" si="170"/>
        <v>E247</v>
      </c>
      <c r="B666">
        <v>1</v>
      </c>
      <c r="C666" t="str">
        <f t="shared" si="171"/>
        <v>10200</v>
      </c>
      <c r="D666" t="str">
        <f t="shared" si="168"/>
        <v>5620</v>
      </c>
      <c r="E666" t="str">
        <f t="shared" si="172"/>
        <v>094OMS</v>
      </c>
      <c r="F666" t="str">
        <f>""</f>
        <v/>
      </c>
      <c r="G666" t="str">
        <f>""</f>
        <v/>
      </c>
      <c r="H666" s="1">
        <v>41963</v>
      </c>
      <c r="I666" t="str">
        <f>"I0113093"</f>
        <v>I0113093</v>
      </c>
      <c r="J666" t="str">
        <f t="shared" si="173"/>
        <v>N218295A</v>
      </c>
      <c r="K666" t="str">
        <f t="shared" si="174"/>
        <v>INEI</v>
      </c>
      <c r="L666" t="s">
        <v>2303</v>
      </c>
      <c r="M666">
        <v>404.19</v>
      </c>
    </row>
    <row r="667" spans="1:13" x14ac:dyDescent="0.25">
      <c r="A667" t="str">
        <f t="shared" si="170"/>
        <v>E247</v>
      </c>
      <c r="B667">
        <v>1</v>
      </c>
      <c r="C667" t="str">
        <f t="shared" si="171"/>
        <v>10200</v>
      </c>
      <c r="D667" t="str">
        <f t="shared" si="168"/>
        <v>5620</v>
      </c>
      <c r="E667" t="str">
        <f t="shared" si="172"/>
        <v>094OMS</v>
      </c>
      <c r="F667" t="str">
        <f>""</f>
        <v/>
      </c>
      <c r="G667" t="str">
        <f>""</f>
        <v/>
      </c>
      <c r="H667" s="1">
        <v>41996</v>
      </c>
      <c r="I667" t="str">
        <f>"I0114042"</f>
        <v>I0114042</v>
      </c>
      <c r="J667" t="str">
        <f t="shared" si="173"/>
        <v>N218295A</v>
      </c>
      <c r="K667" t="str">
        <f t="shared" si="174"/>
        <v>INEI</v>
      </c>
      <c r="L667" t="s">
        <v>2303</v>
      </c>
      <c r="M667">
        <v>299.87</v>
      </c>
    </row>
    <row r="668" spans="1:13" x14ac:dyDescent="0.25">
      <c r="A668" t="str">
        <f t="shared" si="170"/>
        <v>E247</v>
      </c>
      <c r="B668">
        <v>1</v>
      </c>
      <c r="C668" t="str">
        <f t="shared" si="171"/>
        <v>10200</v>
      </c>
      <c r="D668" t="str">
        <f t="shared" si="168"/>
        <v>5620</v>
      </c>
      <c r="E668" t="str">
        <f t="shared" si="172"/>
        <v>094OMS</v>
      </c>
      <c r="F668" t="str">
        <f>""</f>
        <v/>
      </c>
      <c r="G668" t="str">
        <f>""</f>
        <v/>
      </c>
      <c r="H668" s="1">
        <v>42026</v>
      </c>
      <c r="I668" t="str">
        <f>"I0114810"</f>
        <v>I0114810</v>
      </c>
      <c r="J668" t="str">
        <f t="shared" si="173"/>
        <v>N218295A</v>
      </c>
      <c r="K668" t="str">
        <f t="shared" si="174"/>
        <v>INEI</v>
      </c>
      <c r="L668" t="s">
        <v>2303</v>
      </c>
      <c r="M668">
        <v>280.27</v>
      </c>
    </row>
    <row r="669" spans="1:13" x14ac:dyDescent="0.25">
      <c r="A669" t="str">
        <f t="shared" si="170"/>
        <v>E247</v>
      </c>
      <c r="B669">
        <v>1</v>
      </c>
      <c r="C669" t="str">
        <f t="shared" si="171"/>
        <v>10200</v>
      </c>
      <c r="D669" t="str">
        <f t="shared" si="168"/>
        <v>5620</v>
      </c>
      <c r="E669" t="str">
        <f t="shared" si="172"/>
        <v>094OMS</v>
      </c>
      <c r="F669" t="str">
        <f>""</f>
        <v/>
      </c>
      <c r="G669" t="str">
        <f>""</f>
        <v/>
      </c>
      <c r="H669" s="1">
        <v>42086</v>
      </c>
      <c r="I669" t="str">
        <f>"I0116367"</f>
        <v>I0116367</v>
      </c>
      <c r="J669" t="str">
        <f t="shared" si="173"/>
        <v>N218295A</v>
      </c>
      <c r="K669" t="str">
        <f t="shared" si="174"/>
        <v>INEI</v>
      </c>
      <c r="L669" t="s">
        <v>2303</v>
      </c>
      <c r="M669">
        <v>643.11</v>
      </c>
    </row>
    <row r="670" spans="1:13" x14ac:dyDescent="0.25">
      <c r="A670" t="str">
        <f t="shared" si="170"/>
        <v>E247</v>
      </c>
      <c r="B670">
        <v>1</v>
      </c>
      <c r="C670" t="str">
        <f t="shared" si="171"/>
        <v>10200</v>
      </c>
      <c r="D670" t="str">
        <f t="shared" si="168"/>
        <v>5620</v>
      </c>
      <c r="E670" t="str">
        <f t="shared" si="172"/>
        <v>094OMS</v>
      </c>
      <c r="F670" t="str">
        <f>""</f>
        <v/>
      </c>
      <c r="G670" t="str">
        <f>""</f>
        <v/>
      </c>
      <c r="H670" s="1">
        <v>42122</v>
      </c>
      <c r="I670" t="str">
        <f>"I0117474"</f>
        <v>I0117474</v>
      </c>
      <c r="J670" t="str">
        <f t="shared" si="173"/>
        <v>N218295A</v>
      </c>
      <c r="K670" t="str">
        <f t="shared" si="174"/>
        <v>INEI</v>
      </c>
      <c r="L670" t="s">
        <v>2303</v>
      </c>
      <c r="M670">
        <v>312.88</v>
      </c>
    </row>
    <row r="671" spans="1:13" x14ac:dyDescent="0.25">
      <c r="A671" t="str">
        <f t="shared" si="170"/>
        <v>E247</v>
      </c>
      <c r="B671">
        <v>1</v>
      </c>
      <c r="C671" t="str">
        <f t="shared" si="171"/>
        <v>10200</v>
      </c>
      <c r="D671" t="str">
        <f t="shared" si="168"/>
        <v>5620</v>
      </c>
      <c r="E671" t="str">
        <f t="shared" si="172"/>
        <v>094OMS</v>
      </c>
      <c r="F671" t="str">
        <f>""</f>
        <v/>
      </c>
      <c r="G671" t="str">
        <f>""</f>
        <v/>
      </c>
      <c r="H671" s="1">
        <v>42185</v>
      </c>
      <c r="I671" t="str">
        <f>"I0119225"</f>
        <v>I0119225</v>
      </c>
      <c r="J671" t="str">
        <f t="shared" si="173"/>
        <v>N218295A</v>
      </c>
      <c r="K671" t="str">
        <f t="shared" si="174"/>
        <v>INEI</v>
      </c>
      <c r="L671" t="s">
        <v>2303</v>
      </c>
      <c r="M671">
        <v>749.64</v>
      </c>
    </row>
    <row r="672" spans="1:13" x14ac:dyDescent="0.25">
      <c r="A672" t="str">
        <f t="shared" si="170"/>
        <v>E247</v>
      </c>
      <c r="B672">
        <v>1</v>
      </c>
      <c r="C672" t="str">
        <f t="shared" si="171"/>
        <v>10200</v>
      </c>
      <c r="D672" t="str">
        <f t="shared" si="168"/>
        <v>5620</v>
      </c>
      <c r="E672" t="str">
        <f t="shared" si="172"/>
        <v>094OMS</v>
      </c>
      <c r="F672" t="str">
        <f>""</f>
        <v/>
      </c>
      <c r="G672" t="str">
        <f>""</f>
        <v/>
      </c>
      <c r="H672" s="1">
        <v>42185</v>
      </c>
      <c r="I672" t="str">
        <f>"I0119730"</f>
        <v>I0119730</v>
      </c>
      <c r="J672" t="str">
        <f t="shared" si="173"/>
        <v>N218295A</v>
      </c>
      <c r="K672" t="str">
        <f t="shared" si="174"/>
        <v>INEI</v>
      </c>
      <c r="L672" t="s">
        <v>2303</v>
      </c>
      <c r="M672">
        <v>397.68</v>
      </c>
    </row>
    <row r="673" spans="1:13" x14ac:dyDescent="0.25">
      <c r="A673" t="str">
        <f t="shared" ref="A673:A687" si="175">"E257"</f>
        <v>E257</v>
      </c>
      <c r="B673">
        <v>1</v>
      </c>
      <c r="C673" t="str">
        <f t="shared" si="171"/>
        <v>10200</v>
      </c>
      <c r="D673" t="str">
        <f t="shared" si="168"/>
        <v>5620</v>
      </c>
      <c r="E673" t="str">
        <f t="shared" si="172"/>
        <v>094OMS</v>
      </c>
      <c r="F673" t="str">
        <f>""</f>
        <v/>
      </c>
      <c r="G673" t="str">
        <f>""</f>
        <v/>
      </c>
      <c r="H673" s="1">
        <v>41882</v>
      </c>
      <c r="I673" t="str">
        <f>"PCD00680"</f>
        <v>PCD00680</v>
      </c>
      <c r="J673" t="str">
        <f>""</f>
        <v/>
      </c>
      <c r="K673" t="str">
        <f>"AS89"</f>
        <v>AS89</v>
      </c>
      <c r="L673" t="s">
        <v>2561</v>
      </c>
      <c r="M673">
        <v>108.37</v>
      </c>
    </row>
    <row r="674" spans="1:13" x14ac:dyDescent="0.25">
      <c r="A674" t="str">
        <f t="shared" si="175"/>
        <v>E257</v>
      </c>
      <c r="B674">
        <v>1</v>
      </c>
      <c r="C674" t="str">
        <f t="shared" si="171"/>
        <v>10200</v>
      </c>
      <c r="D674" t="str">
        <f t="shared" si="168"/>
        <v>5620</v>
      </c>
      <c r="E674" t="str">
        <f t="shared" si="172"/>
        <v>094OMS</v>
      </c>
      <c r="F674" t="str">
        <f>""</f>
        <v/>
      </c>
      <c r="G674" t="str">
        <f>""</f>
        <v/>
      </c>
      <c r="H674" s="1">
        <v>41882</v>
      </c>
      <c r="I674" t="str">
        <f>"PCD00680"</f>
        <v>PCD00680</v>
      </c>
      <c r="J674" t="str">
        <f>""</f>
        <v/>
      </c>
      <c r="K674" t="str">
        <f>"AS89"</f>
        <v>AS89</v>
      </c>
      <c r="L674" t="s">
        <v>2560</v>
      </c>
      <c r="M674">
        <v>405.12</v>
      </c>
    </row>
    <row r="675" spans="1:13" x14ac:dyDescent="0.25">
      <c r="A675" t="str">
        <f t="shared" si="175"/>
        <v>E257</v>
      </c>
      <c r="B675">
        <v>1</v>
      </c>
      <c r="C675" t="str">
        <f t="shared" si="171"/>
        <v>10200</v>
      </c>
      <c r="D675" t="str">
        <f t="shared" si="168"/>
        <v>5620</v>
      </c>
      <c r="E675" t="str">
        <f t="shared" si="172"/>
        <v>094OMS</v>
      </c>
      <c r="F675" t="str">
        <f>""</f>
        <v/>
      </c>
      <c r="G675" t="str">
        <f>""</f>
        <v/>
      </c>
      <c r="H675" s="1">
        <v>41893</v>
      </c>
      <c r="I675" t="str">
        <f>"220962A"</f>
        <v>220962A</v>
      </c>
      <c r="J675" t="str">
        <f>""</f>
        <v/>
      </c>
      <c r="K675" t="str">
        <f>"INNI"</f>
        <v>INNI</v>
      </c>
      <c r="L675" t="s">
        <v>2559</v>
      </c>
      <c r="M675">
        <v>154.02000000000001</v>
      </c>
    </row>
    <row r="676" spans="1:13" x14ac:dyDescent="0.25">
      <c r="A676" t="str">
        <f t="shared" si="175"/>
        <v>E257</v>
      </c>
      <c r="B676">
        <v>1</v>
      </c>
      <c r="C676" t="str">
        <f t="shared" si="171"/>
        <v>10200</v>
      </c>
      <c r="D676" t="str">
        <f t="shared" si="168"/>
        <v>5620</v>
      </c>
      <c r="E676" t="str">
        <f t="shared" si="172"/>
        <v>094OMS</v>
      </c>
      <c r="F676" t="str">
        <f>""</f>
        <v/>
      </c>
      <c r="G676" t="str">
        <f>""</f>
        <v/>
      </c>
      <c r="H676" s="1">
        <v>41936</v>
      </c>
      <c r="I676" t="str">
        <f>"PCD00689"</f>
        <v>PCD00689</v>
      </c>
      <c r="J676" t="str">
        <f>""</f>
        <v/>
      </c>
      <c r="K676" t="str">
        <f t="shared" ref="K676:K684" si="176">"AS89"</f>
        <v>AS89</v>
      </c>
      <c r="L676" t="s">
        <v>2558</v>
      </c>
      <c r="M676">
        <v>130.07</v>
      </c>
    </row>
    <row r="677" spans="1:13" x14ac:dyDescent="0.25">
      <c r="A677" t="str">
        <f t="shared" si="175"/>
        <v>E257</v>
      </c>
      <c r="B677">
        <v>1</v>
      </c>
      <c r="C677" t="str">
        <f t="shared" si="171"/>
        <v>10200</v>
      </c>
      <c r="D677" t="str">
        <f t="shared" si="168"/>
        <v>5620</v>
      </c>
      <c r="E677" t="str">
        <f t="shared" si="172"/>
        <v>094OMS</v>
      </c>
      <c r="F677" t="str">
        <f>""</f>
        <v/>
      </c>
      <c r="G677" t="str">
        <f>""</f>
        <v/>
      </c>
      <c r="H677" s="1">
        <v>41973</v>
      </c>
      <c r="I677" t="str">
        <f>"PCD00694"</f>
        <v>PCD00694</v>
      </c>
      <c r="J677" t="str">
        <f>""</f>
        <v/>
      </c>
      <c r="K677" t="str">
        <f t="shared" si="176"/>
        <v>AS89</v>
      </c>
      <c r="L677" t="s">
        <v>2557</v>
      </c>
      <c r="M677">
        <v>486.42</v>
      </c>
    </row>
    <row r="678" spans="1:13" x14ac:dyDescent="0.25">
      <c r="A678" t="str">
        <f t="shared" si="175"/>
        <v>E257</v>
      </c>
      <c r="B678">
        <v>1</v>
      </c>
      <c r="C678" t="str">
        <f t="shared" si="171"/>
        <v>10200</v>
      </c>
      <c r="D678" t="str">
        <f t="shared" si="168"/>
        <v>5620</v>
      </c>
      <c r="E678" t="str">
        <f t="shared" si="172"/>
        <v>094OMS</v>
      </c>
      <c r="F678" t="str">
        <f>""</f>
        <v/>
      </c>
      <c r="G678" t="str">
        <f>""</f>
        <v/>
      </c>
      <c r="H678" s="1">
        <v>41973</v>
      </c>
      <c r="I678" t="str">
        <f>"PCD00694"</f>
        <v>PCD00694</v>
      </c>
      <c r="J678" t="str">
        <f>""</f>
        <v/>
      </c>
      <c r="K678" t="str">
        <f t="shared" si="176"/>
        <v>AS89</v>
      </c>
      <c r="L678" t="s">
        <v>2556</v>
      </c>
      <c r="M678">
        <v>604.54</v>
      </c>
    </row>
    <row r="679" spans="1:13" x14ac:dyDescent="0.25">
      <c r="A679" t="str">
        <f t="shared" si="175"/>
        <v>E257</v>
      </c>
      <c r="B679">
        <v>1</v>
      </c>
      <c r="C679" t="str">
        <f t="shared" si="171"/>
        <v>10200</v>
      </c>
      <c r="D679" t="str">
        <f t="shared" si="168"/>
        <v>5620</v>
      </c>
      <c r="E679" t="str">
        <f t="shared" si="172"/>
        <v>094OMS</v>
      </c>
      <c r="F679" t="str">
        <f>""</f>
        <v/>
      </c>
      <c r="G679" t="str">
        <f>""</f>
        <v/>
      </c>
      <c r="H679" s="1">
        <v>41973</v>
      </c>
      <c r="I679" t="str">
        <f>"PCD00694"</f>
        <v>PCD00694</v>
      </c>
      <c r="J679" t="str">
        <f>""</f>
        <v/>
      </c>
      <c r="K679" t="str">
        <f t="shared" si="176"/>
        <v>AS89</v>
      </c>
      <c r="L679" t="s">
        <v>2555</v>
      </c>
      <c r="M679" s="2">
        <v>1073.68</v>
      </c>
    </row>
    <row r="680" spans="1:13" x14ac:dyDescent="0.25">
      <c r="A680" t="str">
        <f t="shared" si="175"/>
        <v>E257</v>
      </c>
      <c r="B680">
        <v>1</v>
      </c>
      <c r="C680" t="str">
        <f t="shared" si="171"/>
        <v>10200</v>
      </c>
      <c r="D680" t="str">
        <f t="shared" si="168"/>
        <v>5620</v>
      </c>
      <c r="E680" t="str">
        <f t="shared" si="172"/>
        <v>094OMS</v>
      </c>
      <c r="F680" t="str">
        <f>""</f>
        <v/>
      </c>
      <c r="G680" t="str">
        <f>""</f>
        <v/>
      </c>
      <c r="H680" s="1">
        <v>41973</v>
      </c>
      <c r="I680" t="str">
        <f>"PCD00694"</f>
        <v>PCD00694</v>
      </c>
      <c r="J680" t="str">
        <f>""</f>
        <v/>
      </c>
      <c r="K680" t="str">
        <f t="shared" si="176"/>
        <v>AS89</v>
      </c>
      <c r="L680" t="s">
        <v>2554</v>
      </c>
      <c r="M680">
        <v>682.34</v>
      </c>
    </row>
    <row r="681" spans="1:13" x14ac:dyDescent="0.25">
      <c r="A681" t="str">
        <f t="shared" si="175"/>
        <v>E257</v>
      </c>
      <c r="B681">
        <v>1</v>
      </c>
      <c r="C681" t="str">
        <f t="shared" si="171"/>
        <v>10200</v>
      </c>
      <c r="D681" t="str">
        <f t="shared" si="168"/>
        <v>5620</v>
      </c>
      <c r="E681" t="str">
        <f t="shared" si="172"/>
        <v>094OMS</v>
      </c>
      <c r="F681" t="str">
        <f>""</f>
        <v/>
      </c>
      <c r="G681" t="str">
        <f>""</f>
        <v/>
      </c>
      <c r="H681" s="1">
        <v>41973</v>
      </c>
      <c r="I681" t="str">
        <f>"PCD00694"</f>
        <v>PCD00694</v>
      </c>
      <c r="J681" t="str">
        <f>""</f>
        <v/>
      </c>
      <c r="K681" t="str">
        <f t="shared" si="176"/>
        <v>AS89</v>
      </c>
      <c r="L681" t="s">
        <v>2553</v>
      </c>
      <c r="M681">
        <v>576.55999999999995</v>
      </c>
    </row>
    <row r="682" spans="1:13" x14ac:dyDescent="0.25">
      <c r="A682" t="str">
        <f t="shared" si="175"/>
        <v>E257</v>
      </c>
      <c r="B682">
        <v>1</v>
      </c>
      <c r="C682" t="str">
        <f t="shared" si="171"/>
        <v>10200</v>
      </c>
      <c r="D682" t="str">
        <f t="shared" si="168"/>
        <v>5620</v>
      </c>
      <c r="E682" t="str">
        <f t="shared" si="172"/>
        <v>094OMS</v>
      </c>
      <c r="F682" t="str">
        <f>""</f>
        <v/>
      </c>
      <c r="G682" t="str">
        <f>""</f>
        <v/>
      </c>
      <c r="H682" s="1">
        <v>42041</v>
      </c>
      <c r="I682" t="str">
        <f>"PCD00706"</f>
        <v>PCD00706</v>
      </c>
      <c r="J682" t="str">
        <f>""</f>
        <v/>
      </c>
      <c r="K682" t="str">
        <f t="shared" si="176"/>
        <v>AS89</v>
      </c>
      <c r="L682" t="s">
        <v>2552</v>
      </c>
      <c r="M682">
        <v>186.86</v>
      </c>
    </row>
    <row r="683" spans="1:13" x14ac:dyDescent="0.25">
      <c r="A683" t="str">
        <f t="shared" si="175"/>
        <v>E257</v>
      </c>
      <c r="B683">
        <v>1</v>
      </c>
      <c r="C683" t="str">
        <f t="shared" si="171"/>
        <v>10200</v>
      </c>
      <c r="D683" t="str">
        <f t="shared" si="168"/>
        <v>5620</v>
      </c>
      <c r="E683" t="str">
        <f t="shared" si="172"/>
        <v>094OMS</v>
      </c>
      <c r="F683" t="str">
        <f>""</f>
        <v/>
      </c>
      <c r="G683" t="str">
        <f>""</f>
        <v/>
      </c>
      <c r="H683" s="1">
        <v>42185</v>
      </c>
      <c r="I683" t="str">
        <f>"PCD00730"</f>
        <v>PCD00730</v>
      </c>
      <c r="J683" t="str">
        <f>""</f>
        <v/>
      </c>
      <c r="K683" t="str">
        <f t="shared" si="176"/>
        <v>AS89</v>
      </c>
      <c r="L683" t="s">
        <v>2551</v>
      </c>
      <c r="M683">
        <v>562.74</v>
      </c>
    </row>
    <row r="684" spans="1:13" x14ac:dyDescent="0.25">
      <c r="A684" t="str">
        <f t="shared" si="175"/>
        <v>E257</v>
      </c>
      <c r="B684">
        <v>1</v>
      </c>
      <c r="C684" t="str">
        <f>"43000"</f>
        <v>43000</v>
      </c>
      <c r="D684" t="str">
        <f t="shared" si="168"/>
        <v>5620</v>
      </c>
      <c r="E684" t="str">
        <f>"850LOS"</f>
        <v>850LOS</v>
      </c>
      <c r="F684" t="str">
        <f>"PKOLOT"</f>
        <v>PKOLOT</v>
      </c>
      <c r="G684" t="str">
        <f>""</f>
        <v/>
      </c>
      <c r="H684" s="1">
        <v>41973</v>
      </c>
      <c r="I684" t="str">
        <f>"PCD00694"</f>
        <v>PCD00694</v>
      </c>
      <c r="J684" t="str">
        <f>""</f>
        <v/>
      </c>
      <c r="K684" t="str">
        <f t="shared" si="176"/>
        <v>AS89</v>
      </c>
      <c r="L684" t="s">
        <v>2550</v>
      </c>
      <c r="M684">
        <v>116.39</v>
      </c>
    </row>
    <row r="685" spans="1:13" x14ac:dyDescent="0.25">
      <c r="A685" t="str">
        <f t="shared" si="175"/>
        <v>E257</v>
      </c>
      <c r="B685">
        <v>1</v>
      </c>
      <c r="C685" t="str">
        <f>"43000"</f>
        <v>43000</v>
      </c>
      <c r="D685" t="str">
        <f t="shared" si="168"/>
        <v>5620</v>
      </c>
      <c r="E685" t="str">
        <f>"850LOS"</f>
        <v>850LOS</v>
      </c>
      <c r="F685" t="str">
        <f>""</f>
        <v/>
      </c>
      <c r="G685" t="str">
        <f>""</f>
        <v/>
      </c>
      <c r="H685" s="1">
        <v>41869</v>
      </c>
      <c r="I685" t="str">
        <f>"J0010824"</f>
        <v>J0010824</v>
      </c>
      <c r="J685" t="str">
        <f>""</f>
        <v/>
      </c>
      <c r="K685" t="str">
        <f>"J096"</f>
        <v>J096</v>
      </c>
      <c r="L685" t="s">
        <v>2549</v>
      </c>
      <c r="M685">
        <v>140</v>
      </c>
    </row>
    <row r="686" spans="1:13" x14ac:dyDescent="0.25">
      <c r="A686" t="str">
        <f t="shared" si="175"/>
        <v>E257</v>
      </c>
      <c r="B686">
        <v>1</v>
      </c>
      <c r="C686" t="str">
        <f>"43000"</f>
        <v>43000</v>
      </c>
      <c r="D686" t="str">
        <f t="shared" si="168"/>
        <v>5620</v>
      </c>
      <c r="E686" t="str">
        <f>"850PKE"</f>
        <v>850PKE</v>
      </c>
      <c r="F686" t="str">
        <f>""</f>
        <v/>
      </c>
      <c r="G686" t="str">
        <f>""</f>
        <v/>
      </c>
      <c r="H686" s="1">
        <v>41973</v>
      </c>
      <c r="I686" t="str">
        <f>"PCD00694"</f>
        <v>PCD00694</v>
      </c>
      <c r="J686" t="str">
        <f>""</f>
        <v/>
      </c>
      <c r="K686" t="str">
        <f>"AS89"</f>
        <v>AS89</v>
      </c>
      <c r="L686" t="s">
        <v>2548</v>
      </c>
      <c r="M686">
        <v>132.59</v>
      </c>
    </row>
    <row r="687" spans="1:13" x14ac:dyDescent="0.25">
      <c r="A687" t="str">
        <f t="shared" si="175"/>
        <v>E257</v>
      </c>
      <c r="B687">
        <v>1</v>
      </c>
      <c r="C687" t="str">
        <f>"43000"</f>
        <v>43000</v>
      </c>
      <c r="D687" t="str">
        <f t="shared" si="168"/>
        <v>5620</v>
      </c>
      <c r="E687" t="str">
        <f>"850PKE"</f>
        <v>850PKE</v>
      </c>
      <c r="F687" t="str">
        <f>""</f>
        <v/>
      </c>
      <c r="G687" t="str">
        <f>""</f>
        <v/>
      </c>
      <c r="H687" s="1">
        <v>41973</v>
      </c>
      <c r="I687" t="str">
        <f>"PCD00694"</f>
        <v>PCD00694</v>
      </c>
      <c r="J687" t="str">
        <f>""</f>
        <v/>
      </c>
      <c r="K687" t="str">
        <f>"AS89"</f>
        <v>AS89</v>
      </c>
      <c r="L687" t="s">
        <v>2547</v>
      </c>
      <c r="M687">
        <v>126.07</v>
      </c>
    </row>
    <row r="688" spans="1:13" x14ac:dyDescent="0.25">
      <c r="A688" t="str">
        <f>"E260"</f>
        <v>E260</v>
      </c>
      <c r="B688">
        <v>1</v>
      </c>
      <c r="C688" t="str">
        <f>"43000"</f>
        <v>43000</v>
      </c>
      <c r="D688" t="str">
        <f>"5740"</f>
        <v>5740</v>
      </c>
      <c r="E688" t="str">
        <f>"850LOS"</f>
        <v>850LOS</v>
      </c>
      <c r="F688" t="str">
        <f>""</f>
        <v/>
      </c>
      <c r="G688" t="str">
        <f>""</f>
        <v/>
      </c>
      <c r="H688" s="1">
        <v>42124</v>
      </c>
      <c r="I688" t="str">
        <f>"ACG02556"</f>
        <v>ACG02556</v>
      </c>
      <c r="J688" t="str">
        <f>""</f>
        <v/>
      </c>
      <c r="K688" t="str">
        <f>"AS89"</f>
        <v>AS89</v>
      </c>
      <c r="L688" t="s">
        <v>2546</v>
      </c>
      <c r="M688" s="2">
        <v>2647.79</v>
      </c>
    </row>
    <row r="689" spans="1:13" x14ac:dyDescent="0.25">
      <c r="A689" t="str">
        <f>"E263"</f>
        <v>E263</v>
      </c>
      <c r="B689">
        <v>1</v>
      </c>
      <c r="C689" t="str">
        <f>"10200"</f>
        <v>10200</v>
      </c>
      <c r="D689" t="str">
        <f t="shared" ref="D689:D701" si="177">"5620"</f>
        <v>5620</v>
      </c>
      <c r="E689" t="str">
        <f>"094OMS"</f>
        <v>094OMS</v>
      </c>
      <c r="F689" t="str">
        <f>""</f>
        <v/>
      </c>
      <c r="G689" t="str">
        <f>""</f>
        <v/>
      </c>
      <c r="H689" s="1">
        <v>41880</v>
      </c>
      <c r="I689" t="str">
        <f>"PCD00679"</f>
        <v>PCD00679</v>
      </c>
      <c r="J689" t="str">
        <f>"222571"</f>
        <v>222571</v>
      </c>
      <c r="K689" t="str">
        <f>"AS89"</f>
        <v>AS89</v>
      </c>
      <c r="L689" t="s">
        <v>2545</v>
      </c>
      <c r="M689">
        <v>139.97999999999999</v>
      </c>
    </row>
    <row r="690" spans="1:13" x14ac:dyDescent="0.25">
      <c r="A690" t="str">
        <f>"E263"</f>
        <v>E263</v>
      </c>
      <c r="B690">
        <v>1</v>
      </c>
      <c r="C690" t="str">
        <f>"10200"</f>
        <v>10200</v>
      </c>
      <c r="D690" t="str">
        <f t="shared" si="177"/>
        <v>5620</v>
      </c>
      <c r="E690" t="str">
        <f>"094OMS"</f>
        <v>094OMS</v>
      </c>
      <c r="F690" t="str">
        <f>""</f>
        <v/>
      </c>
      <c r="G690" t="str">
        <f>""</f>
        <v/>
      </c>
      <c r="H690" s="1">
        <v>41985</v>
      </c>
      <c r="I690" t="str">
        <f>"PCD00697"</f>
        <v>PCD00697</v>
      </c>
      <c r="J690" t="str">
        <f>"222505"</f>
        <v>222505</v>
      </c>
      <c r="K690" t="str">
        <f>"AS89"</f>
        <v>AS89</v>
      </c>
      <c r="L690" t="s">
        <v>2544</v>
      </c>
      <c r="M690">
        <v>216.97</v>
      </c>
    </row>
    <row r="691" spans="1:13" x14ac:dyDescent="0.25">
      <c r="A691" t="str">
        <f>"E263"</f>
        <v>E263</v>
      </c>
      <c r="B691">
        <v>1</v>
      </c>
      <c r="C691" t="str">
        <f>"43000"</f>
        <v>43000</v>
      </c>
      <c r="D691" t="str">
        <f t="shared" si="177"/>
        <v>5620</v>
      </c>
      <c r="E691" t="str">
        <f t="shared" ref="E691:E700" si="178">"850LOS"</f>
        <v>850LOS</v>
      </c>
      <c r="F691" t="str">
        <f>""</f>
        <v/>
      </c>
      <c r="G691" t="str">
        <f>""</f>
        <v/>
      </c>
      <c r="H691" s="1">
        <v>41935</v>
      </c>
      <c r="I691" t="str">
        <f>"Q72169"</f>
        <v>Q72169</v>
      </c>
      <c r="J691" t="str">
        <f>""</f>
        <v/>
      </c>
      <c r="K691" t="str">
        <f>"INNI"</f>
        <v>INNI</v>
      </c>
      <c r="L691" t="s">
        <v>284</v>
      </c>
      <c r="M691">
        <v>349.03</v>
      </c>
    </row>
    <row r="692" spans="1:13" x14ac:dyDescent="0.25">
      <c r="A692" t="str">
        <f>"E263"</f>
        <v>E263</v>
      </c>
      <c r="B692">
        <v>1</v>
      </c>
      <c r="C692" t="str">
        <f>"43000"</f>
        <v>43000</v>
      </c>
      <c r="D692" t="str">
        <f t="shared" si="177"/>
        <v>5620</v>
      </c>
      <c r="E692" t="str">
        <f t="shared" si="178"/>
        <v>850LOS</v>
      </c>
      <c r="F692" t="str">
        <f>""</f>
        <v/>
      </c>
      <c r="G692" t="str">
        <f>""</f>
        <v/>
      </c>
      <c r="H692" s="1">
        <v>41985</v>
      </c>
      <c r="I692" t="str">
        <f>"PCD00697"</f>
        <v>PCD00697</v>
      </c>
      <c r="J692" t="str">
        <f>"222505"</f>
        <v>222505</v>
      </c>
      <c r="K692" t="str">
        <f>"AS89"</f>
        <v>AS89</v>
      </c>
      <c r="L692" t="s">
        <v>2544</v>
      </c>
      <c r="M692">
        <v>162.72</v>
      </c>
    </row>
    <row r="693" spans="1:13" x14ac:dyDescent="0.25">
      <c r="A693" t="str">
        <f t="shared" ref="A693:A700" si="179">"E267"</f>
        <v>E267</v>
      </c>
      <c r="B693">
        <v>1</v>
      </c>
      <c r="C693" t="str">
        <f>"32040"</f>
        <v>32040</v>
      </c>
      <c r="D693" t="str">
        <f t="shared" si="177"/>
        <v>5620</v>
      </c>
      <c r="E693" t="str">
        <f t="shared" si="178"/>
        <v>850LOS</v>
      </c>
      <c r="F693" t="str">
        <f>""</f>
        <v/>
      </c>
      <c r="G693" t="str">
        <f>""</f>
        <v/>
      </c>
      <c r="H693" s="1">
        <v>41927</v>
      </c>
      <c r="I693" t="str">
        <f>"BJV00373"</f>
        <v>BJV00373</v>
      </c>
      <c r="J693" t="str">
        <f>""</f>
        <v/>
      </c>
      <c r="K693" t="str">
        <f t="shared" ref="K693:K700" si="180">"AS96"</f>
        <v>AS96</v>
      </c>
      <c r="L693" t="s">
        <v>2543</v>
      </c>
      <c r="M693" s="2">
        <v>2710</v>
      </c>
    </row>
    <row r="694" spans="1:13" x14ac:dyDescent="0.25">
      <c r="A694" t="str">
        <f t="shared" si="179"/>
        <v>E267</v>
      </c>
      <c r="B694">
        <v>1</v>
      </c>
      <c r="C694" t="str">
        <f>"32040"</f>
        <v>32040</v>
      </c>
      <c r="D694" t="str">
        <f t="shared" si="177"/>
        <v>5620</v>
      </c>
      <c r="E694" t="str">
        <f t="shared" si="178"/>
        <v>850LOS</v>
      </c>
      <c r="F694" t="str">
        <f>""</f>
        <v/>
      </c>
      <c r="G694" t="str">
        <f>""</f>
        <v/>
      </c>
      <c r="H694" s="1">
        <v>42031</v>
      </c>
      <c r="I694" t="str">
        <f>"BJV00380"</f>
        <v>BJV00380</v>
      </c>
      <c r="J694" t="str">
        <f>""</f>
        <v/>
      </c>
      <c r="K694" t="str">
        <f t="shared" si="180"/>
        <v>AS96</v>
      </c>
      <c r="L694" t="s">
        <v>2542</v>
      </c>
      <c r="M694" s="2">
        <v>3844</v>
      </c>
    </row>
    <row r="695" spans="1:13" x14ac:dyDescent="0.25">
      <c r="A695" t="str">
        <f t="shared" si="179"/>
        <v>E267</v>
      </c>
      <c r="B695">
        <v>1</v>
      </c>
      <c r="C695" t="str">
        <f>"32040"</f>
        <v>32040</v>
      </c>
      <c r="D695" t="str">
        <f t="shared" si="177"/>
        <v>5620</v>
      </c>
      <c r="E695" t="str">
        <f t="shared" si="178"/>
        <v>850LOS</v>
      </c>
      <c r="F695" t="str">
        <f>""</f>
        <v/>
      </c>
      <c r="G695" t="str">
        <f>""</f>
        <v/>
      </c>
      <c r="H695" s="1">
        <v>42103</v>
      </c>
      <c r="I695" t="str">
        <f>"BJV00389"</f>
        <v>BJV00389</v>
      </c>
      <c r="J695" t="str">
        <f>""</f>
        <v/>
      </c>
      <c r="K695" t="str">
        <f t="shared" si="180"/>
        <v>AS96</v>
      </c>
      <c r="L695" t="s">
        <v>2541</v>
      </c>
      <c r="M695" s="2">
        <v>2945</v>
      </c>
    </row>
    <row r="696" spans="1:13" x14ac:dyDescent="0.25">
      <c r="A696" t="str">
        <f t="shared" si="179"/>
        <v>E267</v>
      </c>
      <c r="B696">
        <v>1</v>
      </c>
      <c r="C696" t="str">
        <f>"32040"</f>
        <v>32040</v>
      </c>
      <c r="D696" t="str">
        <f t="shared" si="177"/>
        <v>5620</v>
      </c>
      <c r="E696" t="str">
        <f t="shared" si="178"/>
        <v>850LOS</v>
      </c>
      <c r="F696" t="str">
        <f>""</f>
        <v/>
      </c>
      <c r="G696" t="str">
        <f>""</f>
        <v/>
      </c>
      <c r="H696" s="1">
        <v>42185</v>
      </c>
      <c r="I696" t="str">
        <f>"BJV00397"</f>
        <v>BJV00397</v>
      </c>
      <c r="J696" t="str">
        <f>""</f>
        <v/>
      </c>
      <c r="K696" t="str">
        <f t="shared" si="180"/>
        <v>AS96</v>
      </c>
      <c r="L696" t="s">
        <v>2540</v>
      </c>
      <c r="M696" s="2">
        <v>2163</v>
      </c>
    </row>
    <row r="697" spans="1:13" x14ac:dyDescent="0.25">
      <c r="A697" t="str">
        <f t="shared" si="179"/>
        <v>E267</v>
      </c>
      <c r="B697">
        <v>1</v>
      </c>
      <c r="C697" t="str">
        <f>"43000"</f>
        <v>43000</v>
      </c>
      <c r="D697" t="str">
        <f t="shared" si="177"/>
        <v>5620</v>
      </c>
      <c r="E697" t="str">
        <f t="shared" si="178"/>
        <v>850LOS</v>
      </c>
      <c r="F697" t="str">
        <f>""</f>
        <v/>
      </c>
      <c r="G697" t="str">
        <f>""</f>
        <v/>
      </c>
      <c r="H697" s="1">
        <v>41927</v>
      </c>
      <c r="I697" t="str">
        <f>"BJV00373"</f>
        <v>BJV00373</v>
      </c>
      <c r="J697" t="str">
        <f>""</f>
        <v/>
      </c>
      <c r="K697" t="str">
        <f t="shared" si="180"/>
        <v>AS96</v>
      </c>
      <c r="L697" t="s">
        <v>2543</v>
      </c>
      <c r="M697" s="2">
        <v>30828</v>
      </c>
    </row>
    <row r="698" spans="1:13" x14ac:dyDescent="0.25">
      <c r="A698" t="str">
        <f t="shared" si="179"/>
        <v>E267</v>
      </c>
      <c r="B698">
        <v>1</v>
      </c>
      <c r="C698" t="str">
        <f>"43000"</f>
        <v>43000</v>
      </c>
      <c r="D698" t="str">
        <f t="shared" si="177"/>
        <v>5620</v>
      </c>
      <c r="E698" t="str">
        <f t="shared" si="178"/>
        <v>850LOS</v>
      </c>
      <c r="F698" t="str">
        <f>""</f>
        <v/>
      </c>
      <c r="G698" t="str">
        <f>""</f>
        <v/>
      </c>
      <c r="H698" s="1">
        <v>42031</v>
      </c>
      <c r="I698" t="str">
        <f>"BJV00380"</f>
        <v>BJV00380</v>
      </c>
      <c r="J698" t="str">
        <f>""</f>
        <v/>
      </c>
      <c r="K698" t="str">
        <f t="shared" si="180"/>
        <v>AS96</v>
      </c>
      <c r="L698" t="s">
        <v>2542</v>
      </c>
      <c r="M698" s="2">
        <v>15548</v>
      </c>
    </row>
    <row r="699" spans="1:13" x14ac:dyDescent="0.25">
      <c r="A699" t="str">
        <f t="shared" si="179"/>
        <v>E267</v>
      </c>
      <c r="B699">
        <v>1</v>
      </c>
      <c r="C699" t="str">
        <f>"43000"</f>
        <v>43000</v>
      </c>
      <c r="D699" t="str">
        <f t="shared" si="177"/>
        <v>5620</v>
      </c>
      <c r="E699" t="str">
        <f t="shared" si="178"/>
        <v>850LOS</v>
      </c>
      <c r="F699" t="str">
        <f>""</f>
        <v/>
      </c>
      <c r="G699" t="str">
        <f>""</f>
        <v/>
      </c>
      <c r="H699" s="1">
        <v>42103</v>
      </c>
      <c r="I699" t="str">
        <f>"BJV00389"</f>
        <v>BJV00389</v>
      </c>
      <c r="J699" t="str">
        <f>""</f>
        <v/>
      </c>
      <c r="K699" t="str">
        <f t="shared" si="180"/>
        <v>AS96</v>
      </c>
      <c r="L699" t="s">
        <v>2541</v>
      </c>
      <c r="M699" s="2">
        <v>20531</v>
      </c>
    </row>
    <row r="700" spans="1:13" x14ac:dyDescent="0.25">
      <c r="A700" t="str">
        <f t="shared" si="179"/>
        <v>E267</v>
      </c>
      <c r="B700">
        <v>1</v>
      </c>
      <c r="C700" t="str">
        <f>"43000"</f>
        <v>43000</v>
      </c>
      <c r="D700" t="str">
        <f t="shared" si="177"/>
        <v>5620</v>
      </c>
      <c r="E700" t="str">
        <f t="shared" si="178"/>
        <v>850LOS</v>
      </c>
      <c r="F700" t="str">
        <f>""</f>
        <v/>
      </c>
      <c r="G700" t="str">
        <f>""</f>
        <v/>
      </c>
      <c r="H700" s="1">
        <v>42185</v>
      </c>
      <c r="I700" t="str">
        <f>"BJV00397"</f>
        <v>BJV00397</v>
      </c>
      <c r="J700" t="str">
        <f>""</f>
        <v/>
      </c>
      <c r="K700" t="str">
        <f t="shared" si="180"/>
        <v>AS96</v>
      </c>
      <c r="L700" t="s">
        <v>2540</v>
      </c>
      <c r="M700" s="2">
        <v>17153</v>
      </c>
    </row>
    <row r="701" spans="1:13" x14ac:dyDescent="0.25">
      <c r="A701" t="str">
        <f>"E276"</f>
        <v>E276</v>
      </c>
      <c r="B701">
        <v>1</v>
      </c>
      <c r="C701" t="str">
        <f>"10200"</f>
        <v>10200</v>
      </c>
      <c r="D701" t="str">
        <f t="shared" si="177"/>
        <v>5620</v>
      </c>
      <c r="E701" t="str">
        <f>"094OMS"</f>
        <v>094OMS</v>
      </c>
      <c r="F701" t="str">
        <f>""</f>
        <v/>
      </c>
      <c r="G701" t="str">
        <f>""</f>
        <v/>
      </c>
      <c r="H701" s="1">
        <v>42038</v>
      </c>
      <c r="I701" t="str">
        <f>"J0012973"</f>
        <v>J0012973</v>
      </c>
      <c r="J701" t="str">
        <f>""</f>
        <v/>
      </c>
      <c r="K701" t="str">
        <f>"J089"</f>
        <v>J089</v>
      </c>
      <c r="L701" t="s">
        <v>2539</v>
      </c>
      <c r="M701">
        <v>150</v>
      </c>
    </row>
    <row r="702" spans="1:13" x14ac:dyDescent="0.25">
      <c r="A702" t="str">
        <f>"E276"</f>
        <v>E276</v>
      </c>
      <c r="B702">
        <v>1</v>
      </c>
      <c r="C702" t="str">
        <f>"10200"</f>
        <v>10200</v>
      </c>
      <c r="D702" t="str">
        <f>"5741"</f>
        <v>5741</v>
      </c>
      <c r="E702" t="str">
        <f>"094ALT"</f>
        <v>094ALT</v>
      </c>
      <c r="F702" t="str">
        <f>""</f>
        <v/>
      </c>
      <c r="G702" t="str">
        <f>""</f>
        <v/>
      </c>
      <c r="H702" s="1">
        <v>42185</v>
      </c>
      <c r="I702" t="str">
        <f>"J0016714"</f>
        <v>J0016714</v>
      </c>
      <c r="J702" t="str">
        <f>""</f>
        <v/>
      </c>
      <c r="K702" t="str">
        <f>"J079"</f>
        <v>J079</v>
      </c>
      <c r="L702" t="s">
        <v>2535</v>
      </c>
      <c r="M702" s="2">
        <v>8395.7000000000007</v>
      </c>
    </row>
    <row r="703" spans="1:13" x14ac:dyDescent="0.25">
      <c r="A703" t="str">
        <f>"E276"</f>
        <v>E276</v>
      </c>
      <c r="B703">
        <v>1</v>
      </c>
      <c r="C703" t="str">
        <f>"32040"</f>
        <v>32040</v>
      </c>
      <c r="D703" t="str">
        <f t="shared" ref="D703:D710" si="181">"5620"</f>
        <v>5620</v>
      </c>
      <c r="E703" t="str">
        <f>"850LOS"</f>
        <v>850LOS</v>
      </c>
      <c r="F703" t="str">
        <f>""</f>
        <v/>
      </c>
      <c r="G703" t="str">
        <f>""</f>
        <v/>
      </c>
      <c r="H703" s="1">
        <v>42185</v>
      </c>
      <c r="I703" t="str">
        <f>"J0016389"</f>
        <v>J0016389</v>
      </c>
      <c r="J703" t="str">
        <f>""</f>
        <v/>
      </c>
      <c r="K703" t="str">
        <f>"J079"</f>
        <v>J079</v>
      </c>
      <c r="L703" t="s">
        <v>2508</v>
      </c>
      <c r="M703" s="2">
        <v>1557.17</v>
      </c>
    </row>
    <row r="704" spans="1:13" x14ac:dyDescent="0.25">
      <c r="A704" t="str">
        <f>"E276"</f>
        <v>E276</v>
      </c>
      <c r="B704">
        <v>1</v>
      </c>
      <c r="C704" t="str">
        <f>"43000"</f>
        <v>43000</v>
      </c>
      <c r="D704" t="str">
        <f t="shared" si="181"/>
        <v>5620</v>
      </c>
      <c r="E704" t="str">
        <f>"850LOS"</f>
        <v>850LOS</v>
      </c>
      <c r="F704" t="str">
        <f>""</f>
        <v/>
      </c>
      <c r="G704" t="str">
        <f>""</f>
        <v/>
      </c>
      <c r="H704" s="1">
        <v>42185</v>
      </c>
      <c r="I704" t="str">
        <f>"J0016407"</f>
        <v>J0016407</v>
      </c>
      <c r="J704" t="str">
        <f>""</f>
        <v/>
      </c>
      <c r="K704" t="str">
        <f>"J079"</f>
        <v>J079</v>
      </c>
      <c r="L704" t="s">
        <v>2510</v>
      </c>
      <c r="M704">
        <v>187.5</v>
      </c>
    </row>
    <row r="705" spans="1:13" x14ac:dyDescent="0.25">
      <c r="A705" t="str">
        <f>"E278"</f>
        <v>E278</v>
      </c>
      <c r="B705">
        <v>1</v>
      </c>
      <c r="C705" t="str">
        <f>"23275"</f>
        <v>23275</v>
      </c>
      <c r="D705" t="str">
        <f t="shared" si="181"/>
        <v>5620</v>
      </c>
      <c r="E705" t="str">
        <f>"063STF"</f>
        <v>063STF</v>
      </c>
      <c r="F705" t="str">
        <f>""</f>
        <v/>
      </c>
      <c r="G705" t="str">
        <f>""</f>
        <v/>
      </c>
      <c r="H705" s="1">
        <v>42185</v>
      </c>
      <c r="I705" t="str">
        <f>"HSG00526"</f>
        <v>HSG00526</v>
      </c>
      <c r="J705" t="str">
        <f>""</f>
        <v/>
      </c>
      <c r="K705" t="str">
        <f>"AS96"</f>
        <v>AS96</v>
      </c>
      <c r="L705" t="s">
        <v>2538</v>
      </c>
      <c r="M705" s="2">
        <v>9988.19</v>
      </c>
    </row>
    <row r="706" spans="1:13" x14ac:dyDescent="0.25">
      <c r="A706" t="str">
        <f>"E278"</f>
        <v>E278</v>
      </c>
      <c r="B706">
        <v>1</v>
      </c>
      <c r="C706" t="str">
        <f>"23275"</f>
        <v>23275</v>
      </c>
      <c r="D706" t="str">
        <f t="shared" si="181"/>
        <v>5620</v>
      </c>
      <c r="E706" t="str">
        <f>"063STF"</f>
        <v>063STF</v>
      </c>
      <c r="F706" t="str">
        <f>""</f>
        <v/>
      </c>
      <c r="G706" t="str">
        <f>""</f>
        <v/>
      </c>
      <c r="H706" s="1">
        <v>42185</v>
      </c>
      <c r="I706" t="str">
        <f>"J0016245"</f>
        <v>J0016245</v>
      </c>
      <c r="J706" t="str">
        <f>"HSG00525"</f>
        <v>HSG00525</v>
      </c>
      <c r="K706" t="str">
        <f>"J089"</f>
        <v>J089</v>
      </c>
      <c r="L706" t="s">
        <v>2537</v>
      </c>
      <c r="M706">
        <v>693.6</v>
      </c>
    </row>
    <row r="707" spans="1:13" x14ac:dyDescent="0.25">
      <c r="A707" t="str">
        <f t="shared" ref="A707:A724" si="182">"E279"</f>
        <v>E279</v>
      </c>
      <c r="B707">
        <v>1</v>
      </c>
      <c r="C707" t="str">
        <f>"10200"</f>
        <v>10200</v>
      </c>
      <c r="D707" t="str">
        <f t="shared" si="181"/>
        <v>5620</v>
      </c>
      <c r="E707" t="str">
        <f>"094ALT"</f>
        <v>094ALT</v>
      </c>
      <c r="F707" t="str">
        <f>"EMPBUS"</f>
        <v>EMPBUS</v>
      </c>
      <c r="G707" t="str">
        <f>""</f>
        <v/>
      </c>
      <c r="H707" s="1">
        <v>42016</v>
      </c>
      <c r="I707" t="str">
        <f>"J0012996"</f>
        <v>J0012996</v>
      </c>
      <c r="J707" t="str">
        <f>""</f>
        <v/>
      </c>
      <c r="K707" t="str">
        <f>"J079"</f>
        <v>J079</v>
      </c>
      <c r="L707" t="s">
        <v>2536</v>
      </c>
      <c r="M707" s="2">
        <v>70310</v>
      </c>
    </row>
    <row r="708" spans="1:13" x14ac:dyDescent="0.25">
      <c r="A708" t="str">
        <f t="shared" si="182"/>
        <v>E279</v>
      </c>
      <c r="B708">
        <v>1</v>
      </c>
      <c r="C708" t="str">
        <f>"10200"</f>
        <v>10200</v>
      </c>
      <c r="D708" t="str">
        <f t="shared" si="181"/>
        <v>5620</v>
      </c>
      <c r="E708" t="str">
        <f>"094ALT"</f>
        <v>094ALT</v>
      </c>
      <c r="F708" t="str">
        <f>"EMPBUS"</f>
        <v>EMPBUS</v>
      </c>
      <c r="G708" t="str">
        <f>""</f>
        <v/>
      </c>
      <c r="H708" s="1">
        <v>42096</v>
      </c>
      <c r="I708" t="str">
        <f>"I0116748"</f>
        <v>I0116748</v>
      </c>
      <c r="J708" t="str">
        <f>"N113803G"</f>
        <v>N113803G</v>
      </c>
      <c r="K708" t="str">
        <f>"INEI"</f>
        <v>INEI</v>
      </c>
      <c r="L708" t="s">
        <v>330</v>
      </c>
      <c r="M708" s="2">
        <v>1739</v>
      </c>
    </row>
    <row r="709" spans="1:13" x14ac:dyDescent="0.25">
      <c r="A709" t="str">
        <f t="shared" si="182"/>
        <v>E279</v>
      </c>
      <c r="B709">
        <v>1</v>
      </c>
      <c r="C709" t="str">
        <f>"10200"</f>
        <v>10200</v>
      </c>
      <c r="D709" t="str">
        <f t="shared" si="181"/>
        <v>5620</v>
      </c>
      <c r="E709" t="str">
        <f>"094ALT"</f>
        <v>094ALT</v>
      </c>
      <c r="F709" t="str">
        <f>"EMPBUS"</f>
        <v>EMPBUS</v>
      </c>
      <c r="G709" t="str">
        <f>""</f>
        <v/>
      </c>
      <c r="H709" s="1">
        <v>42181</v>
      </c>
      <c r="I709" t="str">
        <f>"I0119118"</f>
        <v>I0119118</v>
      </c>
      <c r="J709" t="str">
        <f>"N113803G"</f>
        <v>N113803G</v>
      </c>
      <c r="K709" t="str">
        <f>"INEI"</f>
        <v>INEI</v>
      </c>
      <c r="L709" t="s">
        <v>330</v>
      </c>
      <c r="M709" s="2">
        <v>1927</v>
      </c>
    </row>
    <row r="710" spans="1:13" x14ac:dyDescent="0.25">
      <c r="A710" t="str">
        <f t="shared" si="182"/>
        <v>E279</v>
      </c>
      <c r="B710">
        <v>1</v>
      </c>
      <c r="C710" t="str">
        <f>"10200"</f>
        <v>10200</v>
      </c>
      <c r="D710" t="str">
        <f t="shared" si="181"/>
        <v>5620</v>
      </c>
      <c r="E710" t="str">
        <f>"850LOS"</f>
        <v>850LOS</v>
      </c>
      <c r="F710" t="str">
        <f>""</f>
        <v/>
      </c>
      <c r="G710" t="str">
        <f>""</f>
        <v/>
      </c>
      <c r="H710" s="1">
        <v>42009</v>
      </c>
      <c r="I710" t="str">
        <f>"I0114351"</f>
        <v>I0114351</v>
      </c>
      <c r="J710" t="str">
        <f>"N113803G"</f>
        <v>N113803G</v>
      </c>
      <c r="K710" t="str">
        <f>"INEI"</f>
        <v>INEI</v>
      </c>
      <c r="L710" t="s">
        <v>330</v>
      </c>
      <c r="M710" s="2">
        <v>70310</v>
      </c>
    </row>
    <row r="711" spans="1:13" x14ac:dyDescent="0.25">
      <c r="A711" t="str">
        <f t="shared" si="182"/>
        <v>E279</v>
      </c>
      <c r="B711">
        <v>1</v>
      </c>
      <c r="C711" t="str">
        <f>"10200"</f>
        <v>10200</v>
      </c>
      <c r="D711" t="str">
        <f>"5741"</f>
        <v>5741</v>
      </c>
      <c r="E711" t="str">
        <f>"094ALT"</f>
        <v>094ALT</v>
      </c>
      <c r="F711" t="str">
        <f>""</f>
        <v/>
      </c>
      <c r="G711" t="str">
        <f>""</f>
        <v/>
      </c>
      <c r="H711" s="1">
        <v>42185</v>
      </c>
      <c r="I711" t="str">
        <f>"J0016714"</f>
        <v>J0016714</v>
      </c>
      <c r="J711" t="str">
        <f>""</f>
        <v/>
      </c>
      <c r="K711" t="str">
        <f>"J079"</f>
        <v>J079</v>
      </c>
      <c r="L711" t="s">
        <v>2535</v>
      </c>
      <c r="M711" s="2">
        <v>73976</v>
      </c>
    </row>
    <row r="712" spans="1:13" x14ac:dyDescent="0.25">
      <c r="A712" t="str">
        <f t="shared" si="182"/>
        <v>E279</v>
      </c>
      <c r="B712">
        <v>1</v>
      </c>
      <c r="C712" t="str">
        <f>"23275"</f>
        <v>23275</v>
      </c>
      <c r="D712" t="str">
        <f t="shared" ref="D712:D719" si="183">"5620"</f>
        <v>5620</v>
      </c>
      <c r="E712" t="str">
        <f>"063STF"</f>
        <v>063STF</v>
      </c>
      <c r="F712" t="str">
        <f>""</f>
        <v/>
      </c>
      <c r="G712" t="str">
        <f>""</f>
        <v/>
      </c>
      <c r="H712" s="1">
        <v>41827</v>
      </c>
      <c r="I712" t="str">
        <f>"J0010145"</f>
        <v>J0010145</v>
      </c>
      <c r="J712" t="str">
        <f>""</f>
        <v/>
      </c>
      <c r="K712" t="str">
        <f>"J079"</f>
        <v>J079</v>
      </c>
      <c r="L712" t="s">
        <v>2534</v>
      </c>
      <c r="M712" s="2">
        <v>131744.5</v>
      </c>
    </row>
    <row r="713" spans="1:13" x14ac:dyDescent="0.25">
      <c r="A713" t="str">
        <f t="shared" si="182"/>
        <v>E279</v>
      </c>
      <c r="B713">
        <v>1</v>
      </c>
      <c r="C713" t="str">
        <f>"23275"</f>
        <v>23275</v>
      </c>
      <c r="D713" t="str">
        <f t="shared" si="183"/>
        <v>5620</v>
      </c>
      <c r="E713" t="str">
        <f>"063STF"</f>
        <v>063STF</v>
      </c>
      <c r="F713" t="str">
        <f>""</f>
        <v/>
      </c>
      <c r="G713" t="str">
        <f>""</f>
        <v/>
      </c>
      <c r="H713" s="1">
        <v>42009</v>
      </c>
      <c r="I713" t="str">
        <f>"I0114350"</f>
        <v>I0114350</v>
      </c>
      <c r="J713" t="str">
        <f>"N188442B"</f>
        <v>N188442B</v>
      </c>
      <c r="K713" t="str">
        <f>"INEI"</f>
        <v>INEI</v>
      </c>
      <c r="L713" t="s">
        <v>330</v>
      </c>
      <c r="M713" s="2">
        <v>263193</v>
      </c>
    </row>
    <row r="714" spans="1:13" x14ac:dyDescent="0.25">
      <c r="A714" t="str">
        <f t="shared" si="182"/>
        <v>E279</v>
      </c>
      <c r="B714">
        <v>1</v>
      </c>
      <c r="C714" t="str">
        <f>"23275"</f>
        <v>23275</v>
      </c>
      <c r="D714" t="str">
        <f t="shared" si="183"/>
        <v>5620</v>
      </c>
      <c r="E714" t="str">
        <f>"063STF"</f>
        <v>063STF</v>
      </c>
      <c r="F714" t="str">
        <f>""</f>
        <v/>
      </c>
      <c r="G714" t="str">
        <f>""</f>
        <v/>
      </c>
      <c r="H714" s="1">
        <v>42031</v>
      </c>
      <c r="I714" t="str">
        <f>"I0114928"</f>
        <v>I0114928</v>
      </c>
      <c r="J714" t="str">
        <f>"N188442B"</f>
        <v>N188442B</v>
      </c>
      <c r="K714" t="str">
        <f>"INEI"</f>
        <v>INEI</v>
      </c>
      <c r="L714" t="s">
        <v>330</v>
      </c>
      <c r="M714" s="2">
        <v>263193</v>
      </c>
    </row>
    <row r="715" spans="1:13" x14ac:dyDescent="0.25">
      <c r="A715" t="str">
        <f t="shared" si="182"/>
        <v>E279</v>
      </c>
      <c r="B715">
        <v>1</v>
      </c>
      <c r="C715" t="str">
        <f>"23275"</f>
        <v>23275</v>
      </c>
      <c r="D715" t="str">
        <f t="shared" si="183"/>
        <v>5620</v>
      </c>
      <c r="E715" t="str">
        <f>"063STF"</f>
        <v>063STF</v>
      </c>
      <c r="F715" t="str">
        <f>""</f>
        <v/>
      </c>
      <c r="G715" t="str">
        <f>""</f>
        <v/>
      </c>
      <c r="H715" s="1">
        <v>42121</v>
      </c>
      <c r="I715" t="str">
        <f>"I0117467"</f>
        <v>I0117467</v>
      </c>
      <c r="J715" t="str">
        <f>"N188442B"</f>
        <v>N188442B</v>
      </c>
      <c r="K715" t="str">
        <f>"INEI"</f>
        <v>INEI</v>
      </c>
      <c r="L715" t="s">
        <v>330</v>
      </c>
      <c r="M715" s="2">
        <v>263194</v>
      </c>
    </row>
    <row r="716" spans="1:13" x14ac:dyDescent="0.25">
      <c r="A716" t="str">
        <f t="shared" si="182"/>
        <v>E279</v>
      </c>
      <c r="B716">
        <v>1</v>
      </c>
      <c r="C716" t="str">
        <f t="shared" ref="C716:C721" si="184">"43000"</f>
        <v>43000</v>
      </c>
      <c r="D716" t="str">
        <f t="shared" si="183"/>
        <v>5620</v>
      </c>
      <c r="E716" t="str">
        <f t="shared" ref="E716:E721" si="185">"850BUS"</f>
        <v>850BUS</v>
      </c>
      <c r="F716" t="str">
        <f>""</f>
        <v/>
      </c>
      <c r="G716" t="str">
        <f>""</f>
        <v/>
      </c>
      <c r="H716" s="1">
        <v>42009</v>
      </c>
      <c r="I716" t="str">
        <f>"I0114351"</f>
        <v>I0114351</v>
      </c>
      <c r="J716" t="str">
        <f>"N113803G"</f>
        <v>N113803G</v>
      </c>
      <c r="K716" t="str">
        <f>"INEI"</f>
        <v>INEI</v>
      </c>
      <c r="L716" t="s">
        <v>330</v>
      </c>
      <c r="M716" s="2">
        <v>23067</v>
      </c>
    </row>
    <row r="717" spans="1:13" x14ac:dyDescent="0.25">
      <c r="A717" t="str">
        <f t="shared" si="182"/>
        <v>E279</v>
      </c>
      <c r="B717">
        <v>1</v>
      </c>
      <c r="C717" t="str">
        <f t="shared" si="184"/>
        <v>43000</v>
      </c>
      <c r="D717" t="str">
        <f t="shared" si="183"/>
        <v>5620</v>
      </c>
      <c r="E717" t="str">
        <f t="shared" si="185"/>
        <v>850BUS</v>
      </c>
      <c r="F717" t="str">
        <f>""</f>
        <v/>
      </c>
      <c r="G717" t="str">
        <f>""</f>
        <v/>
      </c>
      <c r="H717" s="1">
        <v>42181</v>
      </c>
      <c r="I717" t="str">
        <f>"I0119118"</f>
        <v>I0119118</v>
      </c>
      <c r="J717" t="str">
        <f>"N113803G"</f>
        <v>N113803G</v>
      </c>
      <c r="K717" t="str">
        <f>"INEI"</f>
        <v>INEI</v>
      </c>
      <c r="L717" t="s">
        <v>330</v>
      </c>
      <c r="M717">
        <v>877.5</v>
      </c>
    </row>
    <row r="718" spans="1:13" x14ac:dyDescent="0.25">
      <c r="A718" t="str">
        <f t="shared" si="182"/>
        <v>E279</v>
      </c>
      <c r="B718">
        <v>1</v>
      </c>
      <c r="C718" t="str">
        <f t="shared" si="184"/>
        <v>43000</v>
      </c>
      <c r="D718" t="str">
        <f t="shared" si="183"/>
        <v>5620</v>
      </c>
      <c r="E718" t="str">
        <f t="shared" si="185"/>
        <v>850BUS</v>
      </c>
      <c r="F718" t="str">
        <f>""</f>
        <v/>
      </c>
      <c r="G718" t="str">
        <f>""</f>
        <v/>
      </c>
      <c r="H718" s="1">
        <v>42185</v>
      </c>
      <c r="I718" t="str">
        <f>"J0016508"</f>
        <v>J0016508</v>
      </c>
      <c r="J718" t="str">
        <f>""</f>
        <v/>
      </c>
      <c r="K718" t="str">
        <f>"J096"</f>
        <v>J096</v>
      </c>
      <c r="L718" t="s">
        <v>2533</v>
      </c>
      <c r="M718">
        <v>157.5</v>
      </c>
    </row>
    <row r="719" spans="1:13" x14ac:dyDescent="0.25">
      <c r="A719" t="str">
        <f t="shared" si="182"/>
        <v>E279</v>
      </c>
      <c r="B719">
        <v>1</v>
      </c>
      <c r="C719" t="str">
        <f t="shared" si="184"/>
        <v>43000</v>
      </c>
      <c r="D719" t="str">
        <f t="shared" si="183"/>
        <v>5620</v>
      </c>
      <c r="E719" t="str">
        <f t="shared" si="185"/>
        <v>850BUS</v>
      </c>
      <c r="F719" t="str">
        <f>""</f>
        <v/>
      </c>
      <c r="G719" t="str">
        <f>""</f>
        <v/>
      </c>
      <c r="H719" s="1">
        <v>42185</v>
      </c>
      <c r="I719" t="str">
        <f>"J0016508"</f>
        <v>J0016508</v>
      </c>
      <c r="J719" t="str">
        <f>""</f>
        <v/>
      </c>
      <c r="K719" t="str">
        <f>"J096"</f>
        <v>J096</v>
      </c>
      <c r="L719" t="s">
        <v>2532</v>
      </c>
      <c r="M719" s="2">
        <v>5082</v>
      </c>
    </row>
    <row r="720" spans="1:13" x14ac:dyDescent="0.25">
      <c r="A720" t="str">
        <f t="shared" si="182"/>
        <v>E279</v>
      </c>
      <c r="B720">
        <v>1</v>
      </c>
      <c r="C720" t="str">
        <f t="shared" si="184"/>
        <v>43000</v>
      </c>
      <c r="D720" t="str">
        <f>"5741"</f>
        <v>5741</v>
      </c>
      <c r="E720" t="str">
        <f t="shared" si="185"/>
        <v>850BUS</v>
      </c>
      <c r="F720" t="str">
        <f>""</f>
        <v/>
      </c>
      <c r="G720" t="str">
        <f>""</f>
        <v/>
      </c>
      <c r="H720" s="1">
        <v>42096</v>
      </c>
      <c r="I720" t="str">
        <f>"I0116748"</f>
        <v>I0116748</v>
      </c>
      <c r="J720" t="str">
        <f>"N113803G"</f>
        <v>N113803G</v>
      </c>
      <c r="K720" t="str">
        <f>"INEI"</f>
        <v>INEI</v>
      </c>
      <c r="L720" t="s">
        <v>330</v>
      </c>
      <c r="M720">
        <v>819</v>
      </c>
    </row>
    <row r="721" spans="1:13" x14ac:dyDescent="0.25">
      <c r="A721" t="str">
        <f t="shared" si="182"/>
        <v>E279</v>
      </c>
      <c r="B721">
        <v>1</v>
      </c>
      <c r="C721" t="str">
        <f t="shared" si="184"/>
        <v>43000</v>
      </c>
      <c r="D721" t="str">
        <f>"5741"</f>
        <v>5741</v>
      </c>
      <c r="E721" t="str">
        <f t="shared" si="185"/>
        <v>850BUS</v>
      </c>
      <c r="F721" t="str">
        <f>""</f>
        <v/>
      </c>
      <c r="G721" t="str">
        <f>""</f>
        <v/>
      </c>
      <c r="H721" s="1">
        <v>42185</v>
      </c>
      <c r="I721" t="str">
        <f>"J0016508"</f>
        <v>J0016508</v>
      </c>
      <c r="J721" t="str">
        <f>""</f>
        <v/>
      </c>
      <c r="K721" t="str">
        <f>"J096"</f>
        <v>J096</v>
      </c>
      <c r="L721" t="s">
        <v>2531</v>
      </c>
      <c r="M721">
        <v>147</v>
      </c>
    </row>
    <row r="722" spans="1:13" x14ac:dyDescent="0.25">
      <c r="A722" t="str">
        <f t="shared" si="182"/>
        <v>E279</v>
      </c>
      <c r="B722">
        <v>1</v>
      </c>
      <c r="C722" t="str">
        <f>"43004"</f>
        <v>43004</v>
      </c>
      <c r="D722" t="str">
        <f>"5620"</f>
        <v>5620</v>
      </c>
      <c r="E722" t="str">
        <f>"850LOS"</f>
        <v>850LOS</v>
      </c>
      <c r="F722" t="str">
        <f>""</f>
        <v/>
      </c>
      <c r="G722" t="str">
        <f>""</f>
        <v/>
      </c>
      <c r="H722" s="1">
        <v>41866</v>
      </c>
      <c r="I722" t="str">
        <f>"I0110908"</f>
        <v>I0110908</v>
      </c>
      <c r="J722" t="str">
        <f>"N113803G"</f>
        <v>N113803G</v>
      </c>
      <c r="K722" t="str">
        <f>"INEI"</f>
        <v>INEI</v>
      </c>
      <c r="L722" t="s">
        <v>330</v>
      </c>
      <c r="M722" s="2">
        <v>10545</v>
      </c>
    </row>
    <row r="723" spans="1:13" x14ac:dyDescent="0.25">
      <c r="A723" t="str">
        <f t="shared" si="182"/>
        <v>E279</v>
      </c>
      <c r="B723">
        <v>1</v>
      </c>
      <c r="C723" t="str">
        <f>"43004"</f>
        <v>43004</v>
      </c>
      <c r="D723" t="str">
        <f>"5620"</f>
        <v>5620</v>
      </c>
      <c r="E723" t="str">
        <f>"850LOS"</f>
        <v>850LOS</v>
      </c>
      <c r="F723" t="str">
        <f>""</f>
        <v/>
      </c>
      <c r="G723" t="str">
        <f>""</f>
        <v/>
      </c>
      <c r="H723" s="1">
        <v>42185</v>
      </c>
      <c r="I723" t="str">
        <f>"J0016508"</f>
        <v>J0016508</v>
      </c>
      <c r="J723" t="str">
        <f>""</f>
        <v/>
      </c>
      <c r="K723" t="str">
        <f>"J096"</f>
        <v>J096</v>
      </c>
      <c r="L723" t="s">
        <v>2530</v>
      </c>
      <c r="M723">
        <v>555</v>
      </c>
    </row>
    <row r="724" spans="1:13" x14ac:dyDescent="0.25">
      <c r="A724" t="str">
        <f t="shared" si="182"/>
        <v>E279</v>
      </c>
      <c r="B724">
        <v>1</v>
      </c>
      <c r="C724" t="str">
        <f>"43004"</f>
        <v>43004</v>
      </c>
      <c r="D724" t="str">
        <f>"5741"</f>
        <v>5741</v>
      </c>
      <c r="E724" t="str">
        <f>"850LOS"</f>
        <v>850LOS</v>
      </c>
      <c r="F724" t="str">
        <f>""</f>
        <v/>
      </c>
      <c r="G724" t="str">
        <f>""</f>
        <v/>
      </c>
      <c r="H724" s="1">
        <v>42185</v>
      </c>
      <c r="I724" t="str">
        <f>"ACG02581"</f>
        <v>ACG02581</v>
      </c>
      <c r="J724" t="str">
        <f>""</f>
        <v/>
      </c>
      <c r="K724" t="str">
        <f>"AS96"</f>
        <v>AS96</v>
      </c>
      <c r="L724" t="s">
        <v>2509</v>
      </c>
      <c r="M724" s="2">
        <v>1022.64</v>
      </c>
    </row>
    <row r="725" spans="1:13" x14ac:dyDescent="0.25">
      <c r="A725" t="str">
        <f>"E284"</f>
        <v>E284</v>
      </c>
      <c r="B725">
        <v>1</v>
      </c>
      <c r="C725" t="str">
        <f>"31040"</f>
        <v>31040</v>
      </c>
      <c r="D725" t="str">
        <f t="shared" ref="D725:D756" si="186">"5620"</f>
        <v>5620</v>
      </c>
      <c r="E725" t="str">
        <f>"850LOS"</f>
        <v>850LOS</v>
      </c>
      <c r="F725" t="str">
        <f>""</f>
        <v/>
      </c>
      <c r="G725" t="str">
        <f>""</f>
        <v/>
      </c>
      <c r="H725" s="1">
        <v>42185</v>
      </c>
      <c r="I725" t="str">
        <f>"J0016435"</f>
        <v>J0016435</v>
      </c>
      <c r="J725" t="str">
        <f>""</f>
        <v/>
      </c>
      <c r="K725" t="str">
        <f>"J096"</f>
        <v>J096</v>
      </c>
      <c r="L725" t="s">
        <v>2529</v>
      </c>
      <c r="M725" s="2">
        <v>3604.49</v>
      </c>
    </row>
    <row r="726" spans="1:13" x14ac:dyDescent="0.25">
      <c r="A726" t="str">
        <f>"E303"</f>
        <v>E303</v>
      </c>
      <c r="B726">
        <v>1</v>
      </c>
      <c r="C726" t="str">
        <f>"32040"</f>
        <v>32040</v>
      </c>
      <c r="D726" t="str">
        <f t="shared" si="186"/>
        <v>5620</v>
      </c>
      <c r="E726" t="str">
        <f>"850LCK"</f>
        <v>850LCK</v>
      </c>
      <c r="F726" t="str">
        <f>""</f>
        <v/>
      </c>
      <c r="G726" t="str">
        <f>""</f>
        <v/>
      </c>
      <c r="H726" s="1">
        <v>42185</v>
      </c>
      <c r="I726" t="str">
        <f>"ACG02581"</f>
        <v>ACG02581</v>
      </c>
      <c r="J726" t="str">
        <f>""</f>
        <v/>
      </c>
      <c r="K726" t="str">
        <f>"AS96"</f>
        <v>AS96</v>
      </c>
      <c r="L726" t="s">
        <v>2528</v>
      </c>
      <c r="M726" s="2">
        <v>2234.9699999999998</v>
      </c>
    </row>
    <row r="727" spans="1:13" x14ac:dyDescent="0.25">
      <c r="A727" t="str">
        <f>"E351"</f>
        <v>E351</v>
      </c>
      <c r="B727">
        <v>1</v>
      </c>
      <c r="C727" t="str">
        <f>"10200"</f>
        <v>10200</v>
      </c>
      <c r="D727" t="str">
        <f t="shared" si="186"/>
        <v>5620</v>
      </c>
      <c r="E727" t="str">
        <f>"094OMS"</f>
        <v>094OMS</v>
      </c>
      <c r="F727" t="str">
        <f>""</f>
        <v/>
      </c>
      <c r="G727" t="str">
        <f>""</f>
        <v/>
      </c>
      <c r="H727" s="1">
        <v>41852</v>
      </c>
      <c r="I727" t="str">
        <f>"TR003118"</f>
        <v>TR003118</v>
      </c>
      <c r="J727" t="str">
        <f>""</f>
        <v/>
      </c>
      <c r="K727" t="str">
        <f>"INNI"</f>
        <v>INNI</v>
      </c>
      <c r="L727" t="s">
        <v>1930</v>
      </c>
      <c r="M727">
        <v>980</v>
      </c>
    </row>
    <row r="728" spans="1:13" x14ac:dyDescent="0.25">
      <c r="A728" t="str">
        <f>"E351"</f>
        <v>E351</v>
      </c>
      <c r="B728">
        <v>1</v>
      </c>
      <c r="C728" t="str">
        <f>"43000"</f>
        <v>43000</v>
      </c>
      <c r="D728" t="str">
        <f t="shared" si="186"/>
        <v>5620</v>
      </c>
      <c r="E728" t="str">
        <f>"850LOS"</f>
        <v>850LOS</v>
      </c>
      <c r="F728" t="str">
        <f>""</f>
        <v/>
      </c>
      <c r="G728" t="str">
        <f>""</f>
        <v/>
      </c>
      <c r="H728" s="1">
        <v>41838</v>
      </c>
      <c r="I728" t="str">
        <f>"TR003441"</f>
        <v>TR003441</v>
      </c>
      <c r="J728" t="str">
        <f>"TA003471"</f>
        <v>TA003471</v>
      </c>
      <c r="K728" t="str">
        <f>"INEI"</f>
        <v>INEI</v>
      </c>
      <c r="L728" t="s">
        <v>284</v>
      </c>
      <c r="M728">
        <v>700.44</v>
      </c>
    </row>
    <row r="729" spans="1:13" x14ac:dyDescent="0.25">
      <c r="A729" t="str">
        <f>"E351"</f>
        <v>E351</v>
      </c>
      <c r="B729">
        <v>1</v>
      </c>
      <c r="C729" t="str">
        <f>"43000"</f>
        <v>43000</v>
      </c>
      <c r="D729" t="str">
        <f t="shared" si="186"/>
        <v>5620</v>
      </c>
      <c r="E729" t="str">
        <f>"850LOS"</f>
        <v>850LOS</v>
      </c>
      <c r="F729" t="str">
        <f>""</f>
        <v/>
      </c>
      <c r="G729" t="str">
        <f>""</f>
        <v/>
      </c>
      <c r="H729" s="1">
        <v>42053</v>
      </c>
      <c r="I729" t="str">
        <f>"TR005875"</f>
        <v>TR005875</v>
      </c>
      <c r="J729" t="str">
        <f>"TA005766"</f>
        <v>TA005766</v>
      </c>
      <c r="K729" t="str">
        <f>"INEI"</f>
        <v>INEI</v>
      </c>
      <c r="L729" t="s">
        <v>284</v>
      </c>
      <c r="M729">
        <v>210.59</v>
      </c>
    </row>
    <row r="730" spans="1:13" x14ac:dyDescent="0.25">
      <c r="A730" t="str">
        <f>"E353"</f>
        <v>E353</v>
      </c>
      <c r="B730">
        <v>1</v>
      </c>
      <c r="C730" t="str">
        <f>"43000"</f>
        <v>43000</v>
      </c>
      <c r="D730" t="str">
        <f t="shared" si="186"/>
        <v>5620</v>
      </c>
      <c r="E730" t="str">
        <f>"850LOS"</f>
        <v>850LOS</v>
      </c>
      <c r="F730" t="str">
        <f>""</f>
        <v/>
      </c>
      <c r="G730" t="str">
        <f>""</f>
        <v/>
      </c>
      <c r="H730" s="1">
        <v>42053</v>
      </c>
      <c r="I730" t="str">
        <f>"TR005875"</f>
        <v>TR005875</v>
      </c>
      <c r="J730" t="str">
        <f>"TA005766"</f>
        <v>TA005766</v>
      </c>
      <c r="K730" t="str">
        <f>"INEI"</f>
        <v>INEI</v>
      </c>
      <c r="L730" t="s">
        <v>284</v>
      </c>
      <c r="M730">
        <v>287.5</v>
      </c>
    </row>
    <row r="731" spans="1:13" x14ac:dyDescent="0.25">
      <c r="A731" t="str">
        <f>"E354"</f>
        <v>E354</v>
      </c>
      <c r="B731">
        <v>1</v>
      </c>
      <c r="C731" t="str">
        <f t="shared" ref="C731:C736" si="187">"10200"</f>
        <v>10200</v>
      </c>
      <c r="D731" t="str">
        <f t="shared" si="186"/>
        <v>5620</v>
      </c>
      <c r="E731" t="str">
        <f t="shared" ref="E731:E736" si="188">"094OMS"</f>
        <v>094OMS</v>
      </c>
      <c r="F731" t="str">
        <f>""</f>
        <v/>
      </c>
      <c r="G731" t="str">
        <f>""</f>
        <v/>
      </c>
      <c r="H731" s="1">
        <v>41893</v>
      </c>
      <c r="I731" t="str">
        <f>"222567"</f>
        <v>222567</v>
      </c>
      <c r="J731" t="str">
        <f>""</f>
        <v/>
      </c>
      <c r="K731" t="str">
        <f t="shared" ref="K731:K736" si="189">"INNI"</f>
        <v>INNI</v>
      </c>
      <c r="L731" t="s">
        <v>2245</v>
      </c>
      <c r="M731">
        <v>275.67</v>
      </c>
    </row>
    <row r="732" spans="1:13" x14ac:dyDescent="0.25">
      <c r="A732" t="str">
        <f>"E356"</f>
        <v>E356</v>
      </c>
      <c r="B732">
        <v>1</v>
      </c>
      <c r="C732" t="str">
        <f t="shared" si="187"/>
        <v>10200</v>
      </c>
      <c r="D732" t="str">
        <f t="shared" si="186"/>
        <v>5620</v>
      </c>
      <c r="E732" t="str">
        <f t="shared" si="188"/>
        <v>094OMS</v>
      </c>
      <c r="F732" t="str">
        <f>""</f>
        <v/>
      </c>
      <c r="G732" t="str">
        <f>""</f>
        <v/>
      </c>
      <c r="H732" s="1">
        <v>41876</v>
      </c>
      <c r="I732" t="str">
        <f>"V98144"</f>
        <v>V98144</v>
      </c>
      <c r="J732" t="str">
        <f>""</f>
        <v/>
      </c>
      <c r="K732" t="str">
        <f t="shared" si="189"/>
        <v>INNI</v>
      </c>
      <c r="L732" t="s">
        <v>2527</v>
      </c>
      <c r="M732">
        <v>382.2</v>
      </c>
    </row>
    <row r="733" spans="1:13" x14ac:dyDescent="0.25">
      <c r="A733" t="str">
        <f>"E356"</f>
        <v>E356</v>
      </c>
      <c r="B733">
        <v>1</v>
      </c>
      <c r="C733" t="str">
        <f t="shared" si="187"/>
        <v>10200</v>
      </c>
      <c r="D733" t="str">
        <f t="shared" si="186"/>
        <v>5620</v>
      </c>
      <c r="E733" t="str">
        <f t="shared" si="188"/>
        <v>094OMS</v>
      </c>
      <c r="F733" t="str">
        <f>""</f>
        <v/>
      </c>
      <c r="G733" t="str">
        <f>""</f>
        <v/>
      </c>
      <c r="H733" s="1">
        <v>41879</v>
      </c>
      <c r="I733" t="str">
        <f>"V98142"</f>
        <v>V98142</v>
      </c>
      <c r="J733" t="str">
        <f>""</f>
        <v/>
      </c>
      <c r="K733" t="str">
        <f t="shared" si="189"/>
        <v>INNI</v>
      </c>
      <c r="L733" t="s">
        <v>2526</v>
      </c>
      <c r="M733">
        <v>113</v>
      </c>
    </row>
    <row r="734" spans="1:13" x14ac:dyDescent="0.25">
      <c r="A734" t="str">
        <f>"E356"</f>
        <v>E356</v>
      </c>
      <c r="B734">
        <v>1</v>
      </c>
      <c r="C734" t="str">
        <f t="shared" si="187"/>
        <v>10200</v>
      </c>
      <c r="D734" t="str">
        <f t="shared" si="186"/>
        <v>5620</v>
      </c>
      <c r="E734" t="str">
        <f t="shared" si="188"/>
        <v>094OMS</v>
      </c>
      <c r="F734" t="str">
        <f>""</f>
        <v/>
      </c>
      <c r="G734" t="str">
        <f>""</f>
        <v/>
      </c>
      <c r="H734" s="1">
        <v>41894</v>
      </c>
      <c r="I734" t="str">
        <f>"222572"</f>
        <v>222572</v>
      </c>
      <c r="J734" t="str">
        <f>""</f>
        <v/>
      </c>
      <c r="K734" t="str">
        <f t="shared" si="189"/>
        <v>INNI</v>
      </c>
      <c r="L734" t="s">
        <v>2521</v>
      </c>
      <c r="M734">
        <v>216.62</v>
      </c>
    </row>
    <row r="735" spans="1:13" x14ac:dyDescent="0.25">
      <c r="A735" t="str">
        <f>"E357"</f>
        <v>E357</v>
      </c>
      <c r="B735">
        <v>1</v>
      </c>
      <c r="C735" t="str">
        <f t="shared" si="187"/>
        <v>10200</v>
      </c>
      <c r="D735" t="str">
        <f t="shared" si="186"/>
        <v>5620</v>
      </c>
      <c r="E735" t="str">
        <f t="shared" si="188"/>
        <v>094OMS</v>
      </c>
      <c r="F735" t="str">
        <f>""</f>
        <v/>
      </c>
      <c r="G735" t="str">
        <f>""</f>
        <v/>
      </c>
      <c r="H735" s="1">
        <v>41932</v>
      </c>
      <c r="I735" t="str">
        <f>"Q83740"</f>
        <v>Q83740</v>
      </c>
      <c r="J735" t="str">
        <f>""</f>
        <v/>
      </c>
      <c r="K735" t="str">
        <f t="shared" si="189"/>
        <v>INNI</v>
      </c>
      <c r="L735" t="s">
        <v>2526</v>
      </c>
      <c r="M735" s="2">
        <v>1732.62</v>
      </c>
    </row>
    <row r="736" spans="1:13" x14ac:dyDescent="0.25">
      <c r="A736" t="str">
        <f>"E357"</f>
        <v>E357</v>
      </c>
      <c r="B736">
        <v>1</v>
      </c>
      <c r="C736" t="str">
        <f t="shared" si="187"/>
        <v>10200</v>
      </c>
      <c r="D736" t="str">
        <f t="shared" si="186"/>
        <v>5620</v>
      </c>
      <c r="E736" t="str">
        <f t="shared" si="188"/>
        <v>094OMS</v>
      </c>
      <c r="F736" t="str">
        <f>""</f>
        <v/>
      </c>
      <c r="G736" t="str">
        <f>""</f>
        <v/>
      </c>
      <c r="H736" s="1">
        <v>41935</v>
      </c>
      <c r="I736" t="str">
        <f>"Q83740A"</f>
        <v>Q83740A</v>
      </c>
      <c r="J736" t="str">
        <f>""</f>
        <v/>
      </c>
      <c r="K736" t="str">
        <f t="shared" si="189"/>
        <v>INNI</v>
      </c>
      <c r="L736" t="s">
        <v>2526</v>
      </c>
      <c r="M736" s="2">
        <v>1702.02</v>
      </c>
    </row>
    <row r="737" spans="1:13" x14ac:dyDescent="0.25">
      <c r="A737" t="str">
        <f t="shared" ref="A737:A770" si="190">"E365"</f>
        <v>E365</v>
      </c>
      <c r="B737">
        <v>1</v>
      </c>
      <c r="C737" t="str">
        <f t="shared" ref="C737:C770" si="191">"23275"</f>
        <v>23275</v>
      </c>
      <c r="D737" t="str">
        <f t="shared" si="186"/>
        <v>5620</v>
      </c>
      <c r="E737" t="str">
        <f t="shared" ref="E737:E770" si="192">"063STF"</f>
        <v>063STF</v>
      </c>
      <c r="F737" t="str">
        <f>""</f>
        <v/>
      </c>
      <c r="G737" t="str">
        <f>""</f>
        <v/>
      </c>
      <c r="H737" s="1">
        <v>41935</v>
      </c>
      <c r="I737" t="str">
        <f>"I0112404"</f>
        <v>I0112404</v>
      </c>
      <c r="J737" t="str">
        <f t="shared" ref="J737:J770" si="193">"N132881F"</f>
        <v>N132881F</v>
      </c>
      <c r="K737" t="str">
        <f t="shared" ref="K737:K770" si="194">"INEI"</f>
        <v>INEI</v>
      </c>
      <c r="L737" t="s">
        <v>1994</v>
      </c>
      <c r="M737" s="2">
        <v>3674.24</v>
      </c>
    </row>
    <row r="738" spans="1:13" x14ac:dyDescent="0.25">
      <c r="A738" t="str">
        <f t="shared" si="190"/>
        <v>E365</v>
      </c>
      <c r="B738">
        <v>1</v>
      </c>
      <c r="C738" t="str">
        <f t="shared" si="191"/>
        <v>23275</v>
      </c>
      <c r="D738" t="str">
        <f t="shared" si="186"/>
        <v>5620</v>
      </c>
      <c r="E738" t="str">
        <f t="shared" si="192"/>
        <v>063STF</v>
      </c>
      <c r="F738" t="str">
        <f>""</f>
        <v/>
      </c>
      <c r="G738" t="str">
        <f>""</f>
        <v/>
      </c>
      <c r="H738" s="1">
        <v>41935</v>
      </c>
      <c r="I738" t="str">
        <f>"I0112405"</f>
        <v>I0112405</v>
      </c>
      <c r="J738" t="str">
        <f t="shared" si="193"/>
        <v>N132881F</v>
      </c>
      <c r="K738" t="str">
        <f t="shared" si="194"/>
        <v>INEI</v>
      </c>
      <c r="L738" t="s">
        <v>1994</v>
      </c>
      <c r="M738" s="2">
        <v>3540.89</v>
      </c>
    </row>
    <row r="739" spans="1:13" x14ac:dyDescent="0.25">
      <c r="A739" t="str">
        <f t="shared" si="190"/>
        <v>E365</v>
      </c>
      <c r="B739">
        <v>1</v>
      </c>
      <c r="C739" t="str">
        <f t="shared" si="191"/>
        <v>23275</v>
      </c>
      <c r="D739" t="str">
        <f t="shared" si="186"/>
        <v>5620</v>
      </c>
      <c r="E739" t="str">
        <f t="shared" si="192"/>
        <v>063STF</v>
      </c>
      <c r="F739" t="str">
        <f>""</f>
        <v/>
      </c>
      <c r="G739" t="str">
        <f>""</f>
        <v/>
      </c>
      <c r="H739" s="1">
        <v>41961</v>
      </c>
      <c r="I739" t="str">
        <f>"I0112987"</f>
        <v>I0112987</v>
      </c>
      <c r="J739" t="str">
        <f t="shared" si="193"/>
        <v>N132881F</v>
      </c>
      <c r="K739" t="str">
        <f t="shared" si="194"/>
        <v>INEI</v>
      </c>
      <c r="L739" t="s">
        <v>1994</v>
      </c>
      <c r="M739" s="2">
        <v>3540.89</v>
      </c>
    </row>
    <row r="740" spans="1:13" x14ac:dyDescent="0.25">
      <c r="A740" t="str">
        <f t="shared" si="190"/>
        <v>E365</v>
      </c>
      <c r="B740">
        <v>1</v>
      </c>
      <c r="C740" t="str">
        <f t="shared" si="191"/>
        <v>23275</v>
      </c>
      <c r="D740" t="str">
        <f t="shared" si="186"/>
        <v>5620</v>
      </c>
      <c r="E740" t="str">
        <f t="shared" si="192"/>
        <v>063STF</v>
      </c>
      <c r="F740" t="str">
        <f>""</f>
        <v/>
      </c>
      <c r="G740" t="str">
        <f>""</f>
        <v/>
      </c>
      <c r="H740" s="1">
        <v>41961</v>
      </c>
      <c r="I740" t="str">
        <f>"I0112988"</f>
        <v>I0112988</v>
      </c>
      <c r="J740" t="str">
        <f t="shared" si="193"/>
        <v>N132881F</v>
      </c>
      <c r="K740" t="str">
        <f t="shared" si="194"/>
        <v>INEI</v>
      </c>
      <c r="L740" t="s">
        <v>1994</v>
      </c>
      <c r="M740" s="2">
        <v>3721.18</v>
      </c>
    </row>
    <row r="741" spans="1:13" x14ac:dyDescent="0.25">
      <c r="A741" t="str">
        <f t="shared" si="190"/>
        <v>E365</v>
      </c>
      <c r="B741">
        <v>1</v>
      </c>
      <c r="C741" t="str">
        <f t="shared" si="191"/>
        <v>23275</v>
      </c>
      <c r="D741" t="str">
        <f t="shared" si="186"/>
        <v>5620</v>
      </c>
      <c r="E741" t="str">
        <f t="shared" si="192"/>
        <v>063STF</v>
      </c>
      <c r="F741" t="str">
        <f>""</f>
        <v/>
      </c>
      <c r="G741" t="str">
        <f>""</f>
        <v/>
      </c>
      <c r="H741" s="1">
        <v>41961</v>
      </c>
      <c r="I741" t="str">
        <f>"I0112989"</f>
        <v>I0112989</v>
      </c>
      <c r="J741" t="str">
        <f t="shared" si="193"/>
        <v>N132881F</v>
      </c>
      <c r="K741" t="str">
        <f t="shared" si="194"/>
        <v>INEI</v>
      </c>
      <c r="L741" t="s">
        <v>1994</v>
      </c>
      <c r="M741" s="2">
        <v>4526.26</v>
      </c>
    </row>
    <row r="742" spans="1:13" x14ac:dyDescent="0.25">
      <c r="A742" t="str">
        <f t="shared" si="190"/>
        <v>E365</v>
      </c>
      <c r="B742">
        <v>1</v>
      </c>
      <c r="C742" t="str">
        <f t="shared" si="191"/>
        <v>23275</v>
      </c>
      <c r="D742" t="str">
        <f t="shared" si="186"/>
        <v>5620</v>
      </c>
      <c r="E742" t="str">
        <f t="shared" si="192"/>
        <v>063STF</v>
      </c>
      <c r="F742" t="str">
        <f>""</f>
        <v/>
      </c>
      <c r="G742" t="str">
        <f>""</f>
        <v/>
      </c>
      <c r="H742" s="1">
        <v>41961</v>
      </c>
      <c r="I742" t="str">
        <f>"I0112990"</f>
        <v>I0112990</v>
      </c>
      <c r="J742" t="str">
        <f t="shared" si="193"/>
        <v>N132881F</v>
      </c>
      <c r="K742" t="str">
        <f t="shared" si="194"/>
        <v>INEI</v>
      </c>
      <c r="L742" t="s">
        <v>1994</v>
      </c>
      <c r="M742" s="2">
        <v>3721.18</v>
      </c>
    </row>
    <row r="743" spans="1:13" x14ac:dyDescent="0.25">
      <c r="A743" t="str">
        <f t="shared" si="190"/>
        <v>E365</v>
      </c>
      <c r="B743">
        <v>1</v>
      </c>
      <c r="C743" t="str">
        <f t="shared" si="191"/>
        <v>23275</v>
      </c>
      <c r="D743" t="str">
        <f t="shared" si="186"/>
        <v>5620</v>
      </c>
      <c r="E743" t="str">
        <f t="shared" si="192"/>
        <v>063STF</v>
      </c>
      <c r="F743" t="str">
        <f>""</f>
        <v/>
      </c>
      <c r="G743" t="str">
        <f>""</f>
        <v/>
      </c>
      <c r="H743" s="1">
        <v>41978</v>
      </c>
      <c r="I743" t="str">
        <f>"I0113494"</f>
        <v>I0113494</v>
      </c>
      <c r="J743" t="str">
        <f t="shared" si="193"/>
        <v>N132881F</v>
      </c>
      <c r="K743" t="str">
        <f t="shared" si="194"/>
        <v>INEI</v>
      </c>
      <c r="L743" t="s">
        <v>1994</v>
      </c>
      <c r="M743" s="2">
        <v>3540.89</v>
      </c>
    </row>
    <row r="744" spans="1:13" x14ac:dyDescent="0.25">
      <c r="A744" t="str">
        <f t="shared" si="190"/>
        <v>E365</v>
      </c>
      <c r="B744">
        <v>1</v>
      </c>
      <c r="C744" t="str">
        <f t="shared" si="191"/>
        <v>23275</v>
      </c>
      <c r="D744" t="str">
        <f t="shared" si="186"/>
        <v>5620</v>
      </c>
      <c r="E744" t="str">
        <f t="shared" si="192"/>
        <v>063STF</v>
      </c>
      <c r="F744" t="str">
        <f>""</f>
        <v/>
      </c>
      <c r="G744" t="str">
        <f>""</f>
        <v/>
      </c>
      <c r="H744" s="1">
        <v>41978</v>
      </c>
      <c r="I744" t="str">
        <f>"I0113495"</f>
        <v>I0113495</v>
      </c>
      <c r="J744" t="str">
        <f t="shared" si="193"/>
        <v>N132881F</v>
      </c>
      <c r="K744" t="str">
        <f t="shared" si="194"/>
        <v>INEI</v>
      </c>
      <c r="L744" t="s">
        <v>1994</v>
      </c>
      <c r="M744" s="2">
        <v>3540.89</v>
      </c>
    </row>
    <row r="745" spans="1:13" x14ac:dyDescent="0.25">
      <c r="A745" t="str">
        <f t="shared" si="190"/>
        <v>E365</v>
      </c>
      <c r="B745">
        <v>1</v>
      </c>
      <c r="C745" t="str">
        <f t="shared" si="191"/>
        <v>23275</v>
      </c>
      <c r="D745" t="str">
        <f t="shared" si="186"/>
        <v>5620</v>
      </c>
      <c r="E745" t="str">
        <f t="shared" si="192"/>
        <v>063STF</v>
      </c>
      <c r="F745" t="str">
        <f>""</f>
        <v/>
      </c>
      <c r="G745" t="str">
        <f>""</f>
        <v/>
      </c>
      <c r="H745" s="1">
        <v>41978</v>
      </c>
      <c r="I745" t="str">
        <f>"I0113496"</f>
        <v>I0113496</v>
      </c>
      <c r="J745" t="str">
        <f t="shared" si="193"/>
        <v>N132881F</v>
      </c>
      <c r="K745" t="str">
        <f t="shared" si="194"/>
        <v>INEI</v>
      </c>
      <c r="L745" t="s">
        <v>1994</v>
      </c>
      <c r="M745" s="2">
        <v>3540.89</v>
      </c>
    </row>
    <row r="746" spans="1:13" x14ac:dyDescent="0.25">
      <c r="A746" t="str">
        <f t="shared" si="190"/>
        <v>E365</v>
      </c>
      <c r="B746">
        <v>1</v>
      </c>
      <c r="C746" t="str">
        <f t="shared" si="191"/>
        <v>23275</v>
      </c>
      <c r="D746" t="str">
        <f t="shared" si="186"/>
        <v>5620</v>
      </c>
      <c r="E746" t="str">
        <f t="shared" si="192"/>
        <v>063STF</v>
      </c>
      <c r="F746" t="str">
        <f>""</f>
        <v/>
      </c>
      <c r="G746" t="str">
        <f>""</f>
        <v/>
      </c>
      <c r="H746" s="1">
        <v>41997</v>
      </c>
      <c r="I746" t="str">
        <f>"I0114172"</f>
        <v>I0114172</v>
      </c>
      <c r="J746" t="str">
        <f t="shared" si="193"/>
        <v>N132881F</v>
      </c>
      <c r="K746" t="str">
        <f t="shared" si="194"/>
        <v>INEI</v>
      </c>
      <c r="L746" t="s">
        <v>1994</v>
      </c>
      <c r="M746" s="2">
        <v>2207.39</v>
      </c>
    </row>
    <row r="747" spans="1:13" x14ac:dyDescent="0.25">
      <c r="A747" t="str">
        <f t="shared" si="190"/>
        <v>E365</v>
      </c>
      <c r="B747">
        <v>1</v>
      </c>
      <c r="C747" t="str">
        <f t="shared" si="191"/>
        <v>23275</v>
      </c>
      <c r="D747" t="str">
        <f t="shared" si="186"/>
        <v>5620</v>
      </c>
      <c r="E747" t="str">
        <f t="shared" si="192"/>
        <v>063STF</v>
      </c>
      <c r="F747" t="str">
        <f>""</f>
        <v/>
      </c>
      <c r="G747" t="str">
        <f>""</f>
        <v/>
      </c>
      <c r="H747" s="1">
        <v>41997</v>
      </c>
      <c r="I747" t="str">
        <f>"I0114173"</f>
        <v>I0114173</v>
      </c>
      <c r="J747" t="str">
        <f t="shared" si="193"/>
        <v>N132881F</v>
      </c>
      <c r="K747" t="str">
        <f t="shared" si="194"/>
        <v>INEI</v>
      </c>
      <c r="L747" t="s">
        <v>1994</v>
      </c>
      <c r="M747" s="2">
        <v>3721.18</v>
      </c>
    </row>
    <row r="748" spans="1:13" x14ac:dyDescent="0.25">
      <c r="A748" t="str">
        <f t="shared" si="190"/>
        <v>E365</v>
      </c>
      <c r="B748">
        <v>1</v>
      </c>
      <c r="C748" t="str">
        <f t="shared" si="191"/>
        <v>23275</v>
      </c>
      <c r="D748" t="str">
        <f t="shared" si="186"/>
        <v>5620</v>
      </c>
      <c r="E748" t="str">
        <f t="shared" si="192"/>
        <v>063STF</v>
      </c>
      <c r="F748" t="str">
        <f>""</f>
        <v/>
      </c>
      <c r="G748" t="str">
        <f>""</f>
        <v/>
      </c>
      <c r="H748" s="1">
        <v>42040</v>
      </c>
      <c r="I748" t="str">
        <f>"I0115049"</f>
        <v>I0115049</v>
      </c>
      <c r="J748" t="str">
        <f t="shared" si="193"/>
        <v>N132881F</v>
      </c>
      <c r="K748" t="str">
        <f t="shared" si="194"/>
        <v>INEI</v>
      </c>
      <c r="L748" t="s">
        <v>1994</v>
      </c>
      <c r="M748" s="2">
        <v>3540.89</v>
      </c>
    </row>
    <row r="749" spans="1:13" x14ac:dyDescent="0.25">
      <c r="A749" t="str">
        <f t="shared" si="190"/>
        <v>E365</v>
      </c>
      <c r="B749">
        <v>1</v>
      </c>
      <c r="C749" t="str">
        <f t="shared" si="191"/>
        <v>23275</v>
      </c>
      <c r="D749" t="str">
        <f t="shared" si="186"/>
        <v>5620</v>
      </c>
      <c r="E749" t="str">
        <f t="shared" si="192"/>
        <v>063STF</v>
      </c>
      <c r="F749" t="str">
        <f>""</f>
        <v/>
      </c>
      <c r="G749" t="str">
        <f>""</f>
        <v/>
      </c>
      <c r="H749" s="1">
        <v>42041</v>
      </c>
      <c r="I749" t="str">
        <f>"I0115226"</f>
        <v>I0115226</v>
      </c>
      <c r="J749" t="str">
        <f t="shared" si="193"/>
        <v>N132881F</v>
      </c>
      <c r="K749" t="str">
        <f t="shared" si="194"/>
        <v>INEI</v>
      </c>
      <c r="L749" t="s">
        <v>1994</v>
      </c>
      <c r="M749" s="2">
        <v>3540.89</v>
      </c>
    </row>
    <row r="750" spans="1:13" x14ac:dyDescent="0.25">
      <c r="A750" t="str">
        <f t="shared" si="190"/>
        <v>E365</v>
      </c>
      <c r="B750">
        <v>1</v>
      </c>
      <c r="C750" t="str">
        <f t="shared" si="191"/>
        <v>23275</v>
      </c>
      <c r="D750" t="str">
        <f t="shared" si="186"/>
        <v>5620</v>
      </c>
      <c r="E750" t="str">
        <f t="shared" si="192"/>
        <v>063STF</v>
      </c>
      <c r="F750" t="str">
        <f>""</f>
        <v/>
      </c>
      <c r="G750" t="str">
        <f>""</f>
        <v/>
      </c>
      <c r="H750" s="1">
        <v>42041</v>
      </c>
      <c r="I750" t="str">
        <f>"I0115227"</f>
        <v>I0115227</v>
      </c>
      <c r="J750" t="str">
        <f t="shared" si="193"/>
        <v>N132881F</v>
      </c>
      <c r="K750" t="str">
        <f t="shared" si="194"/>
        <v>INEI</v>
      </c>
      <c r="L750" t="s">
        <v>1994</v>
      </c>
      <c r="M750" s="2">
        <v>3540.89</v>
      </c>
    </row>
    <row r="751" spans="1:13" x14ac:dyDescent="0.25">
      <c r="A751" t="str">
        <f t="shared" si="190"/>
        <v>E365</v>
      </c>
      <c r="B751">
        <v>1</v>
      </c>
      <c r="C751" t="str">
        <f t="shared" si="191"/>
        <v>23275</v>
      </c>
      <c r="D751" t="str">
        <f t="shared" si="186"/>
        <v>5620</v>
      </c>
      <c r="E751" t="str">
        <f t="shared" si="192"/>
        <v>063STF</v>
      </c>
      <c r="F751" t="str">
        <f>""</f>
        <v/>
      </c>
      <c r="G751" t="str">
        <f>""</f>
        <v/>
      </c>
      <c r="H751" s="1">
        <v>42069</v>
      </c>
      <c r="I751" t="str">
        <f>"I0115857"</f>
        <v>I0115857</v>
      </c>
      <c r="J751" t="str">
        <f t="shared" si="193"/>
        <v>N132881F</v>
      </c>
      <c r="K751" t="str">
        <f t="shared" si="194"/>
        <v>INEI</v>
      </c>
      <c r="L751" t="s">
        <v>1994</v>
      </c>
      <c r="M751" s="2">
        <v>3540.89</v>
      </c>
    </row>
    <row r="752" spans="1:13" x14ac:dyDescent="0.25">
      <c r="A752" t="str">
        <f t="shared" si="190"/>
        <v>E365</v>
      </c>
      <c r="B752">
        <v>1</v>
      </c>
      <c r="C752" t="str">
        <f t="shared" si="191"/>
        <v>23275</v>
      </c>
      <c r="D752" t="str">
        <f t="shared" si="186"/>
        <v>5620</v>
      </c>
      <c r="E752" t="str">
        <f t="shared" si="192"/>
        <v>063STF</v>
      </c>
      <c r="F752" t="str">
        <f>""</f>
        <v/>
      </c>
      <c r="G752" t="str">
        <f>""</f>
        <v/>
      </c>
      <c r="H752" s="1">
        <v>42069</v>
      </c>
      <c r="I752" t="str">
        <f>"I0115858"</f>
        <v>I0115858</v>
      </c>
      <c r="J752" t="str">
        <f t="shared" si="193"/>
        <v>N132881F</v>
      </c>
      <c r="K752" t="str">
        <f t="shared" si="194"/>
        <v>INEI</v>
      </c>
      <c r="L752" t="s">
        <v>1994</v>
      </c>
      <c r="M752" s="2">
        <v>3540.89</v>
      </c>
    </row>
    <row r="753" spans="1:13" x14ac:dyDescent="0.25">
      <c r="A753" t="str">
        <f t="shared" si="190"/>
        <v>E365</v>
      </c>
      <c r="B753">
        <v>1</v>
      </c>
      <c r="C753" t="str">
        <f t="shared" si="191"/>
        <v>23275</v>
      </c>
      <c r="D753" t="str">
        <f t="shared" si="186"/>
        <v>5620</v>
      </c>
      <c r="E753" t="str">
        <f t="shared" si="192"/>
        <v>063STF</v>
      </c>
      <c r="F753" t="str">
        <f>""</f>
        <v/>
      </c>
      <c r="G753" t="str">
        <f>""</f>
        <v/>
      </c>
      <c r="H753" s="1">
        <v>42069</v>
      </c>
      <c r="I753" t="str">
        <f>"I0115859"</f>
        <v>I0115859</v>
      </c>
      <c r="J753" t="str">
        <f t="shared" si="193"/>
        <v>N132881F</v>
      </c>
      <c r="K753" t="str">
        <f t="shared" si="194"/>
        <v>INEI</v>
      </c>
      <c r="L753" t="s">
        <v>1994</v>
      </c>
      <c r="M753" s="2">
        <v>3540.89</v>
      </c>
    </row>
    <row r="754" spans="1:13" x14ac:dyDescent="0.25">
      <c r="A754" t="str">
        <f t="shared" si="190"/>
        <v>E365</v>
      </c>
      <c r="B754">
        <v>1</v>
      </c>
      <c r="C754" t="str">
        <f t="shared" si="191"/>
        <v>23275</v>
      </c>
      <c r="D754" t="str">
        <f t="shared" si="186"/>
        <v>5620</v>
      </c>
      <c r="E754" t="str">
        <f t="shared" si="192"/>
        <v>063STF</v>
      </c>
      <c r="F754" t="str">
        <f>""</f>
        <v/>
      </c>
      <c r="G754" t="str">
        <f>""</f>
        <v/>
      </c>
      <c r="H754" s="1">
        <v>42069</v>
      </c>
      <c r="I754" t="str">
        <f>"I0115860"</f>
        <v>I0115860</v>
      </c>
      <c r="J754" t="str">
        <f t="shared" si="193"/>
        <v>N132881F</v>
      </c>
      <c r="K754" t="str">
        <f t="shared" si="194"/>
        <v>INEI</v>
      </c>
      <c r="L754" t="s">
        <v>1994</v>
      </c>
      <c r="M754" s="2">
        <v>3540.89</v>
      </c>
    </row>
    <row r="755" spans="1:13" x14ac:dyDescent="0.25">
      <c r="A755" t="str">
        <f t="shared" si="190"/>
        <v>E365</v>
      </c>
      <c r="B755">
        <v>1</v>
      </c>
      <c r="C755" t="str">
        <f t="shared" si="191"/>
        <v>23275</v>
      </c>
      <c r="D755" t="str">
        <f t="shared" si="186"/>
        <v>5620</v>
      </c>
      <c r="E755" t="str">
        <f t="shared" si="192"/>
        <v>063STF</v>
      </c>
      <c r="F755" t="str">
        <f>""</f>
        <v/>
      </c>
      <c r="G755" t="str">
        <f>""</f>
        <v/>
      </c>
      <c r="H755" s="1">
        <v>42069</v>
      </c>
      <c r="I755" t="str">
        <f>"I0115861"</f>
        <v>I0115861</v>
      </c>
      <c r="J755" t="str">
        <f t="shared" si="193"/>
        <v>N132881F</v>
      </c>
      <c r="K755" t="str">
        <f t="shared" si="194"/>
        <v>INEI</v>
      </c>
      <c r="L755" t="s">
        <v>1994</v>
      </c>
      <c r="M755" s="2">
        <v>3540.89</v>
      </c>
    </row>
    <row r="756" spans="1:13" x14ac:dyDescent="0.25">
      <c r="A756" t="str">
        <f t="shared" si="190"/>
        <v>E365</v>
      </c>
      <c r="B756">
        <v>1</v>
      </c>
      <c r="C756" t="str">
        <f t="shared" si="191"/>
        <v>23275</v>
      </c>
      <c r="D756" t="str">
        <f t="shared" si="186"/>
        <v>5620</v>
      </c>
      <c r="E756" t="str">
        <f t="shared" si="192"/>
        <v>063STF</v>
      </c>
      <c r="F756" t="str">
        <f>""</f>
        <v/>
      </c>
      <c r="G756" t="str">
        <f>""</f>
        <v/>
      </c>
      <c r="H756" s="1">
        <v>42093</v>
      </c>
      <c r="I756" t="str">
        <f>"I0116665"</f>
        <v>I0116665</v>
      </c>
      <c r="J756" t="str">
        <f t="shared" si="193"/>
        <v>N132881F</v>
      </c>
      <c r="K756" t="str">
        <f t="shared" si="194"/>
        <v>INEI</v>
      </c>
      <c r="L756" t="s">
        <v>1994</v>
      </c>
      <c r="M756" s="2">
        <v>3540.89</v>
      </c>
    </row>
    <row r="757" spans="1:13" x14ac:dyDescent="0.25">
      <c r="A757" t="str">
        <f t="shared" si="190"/>
        <v>E365</v>
      </c>
      <c r="B757">
        <v>1</v>
      </c>
      <c r="C757" t="str">
        <f t="shared" si="191"/>
        <v>23275</v>
      </c>
      <c r="D757" t="str">
        <f t="shared" ref="D757:D783" si="195">"5620"</f>
        <v>5620</v>
      </c>
      <c r="E757" t="str">
        <f t="shared" si="192"/>
        <v>063STF</v>
      </c>
      <c r="F757" t="str">
        <f>""</f>
        <v/>
      </c>
      <c r="G757" t="str">
        <f>""</f>
        <v/>
      </c>
      <c r="H757" s="1">
        <v>42093</v>
      </c>
      <c r="I757" t="str">
        <f>"I0116666"</f>
        <v>I0116666</v>
      </c>
      <c r="J757" t="str">
        <f t="shared" si="193"/>
        <v>N132881F</v>
      </c>
      <c r="K757" t="str">
        <f t="shared" si="194"/>
        <v>INEI</v>
      </c>
      <c r="L757" t="s">
        <v>1994</v>
      </c>
      <c r="M757" s="2">
        <v>3540.89</v>
      </c>
    </row>
    <row r="758" spans="1:13" x14ac:dyDescent="0.25">
      <c r="A758" t="str">
        <f t="shared" si="190"/>
        <v>E365</v>
      </c>
      <c r="B758">
        <v>1</v>
      </c>
      <c r="C758" t="str">
        <f t="shared" si="191"/>
        <v>23275</v>
      </c>
      <c r="D758" t="str">
        <f t="shared" si="195"/>
        <v>5620</v>
      </c>
      <c r="E758" t="str">
        <f t="shared" si="192"/>
        <v>063STF</v>
      </c>
      <c r="F758" t="str">
        <f>""</f>
        <v/>
      </c>
      <c r="G758" t="str">
        <f>""</f>
        <v/>
      </c>
      <c r="H758" s="1">
        <v>42118</v>
      </c>
      <c r="I758" t="str">
        <f>"I0117391"</f>
        <v>I0117391</v>
      </c>
      <c r="J758" t="str">
        <f t="shared" si="193"/>
        <v>N132881F</v>
      </c>
      <c r="K758" t="str">
        <f t="shared" si="194"/>
        <v>INEI</v>
      </c>
      <c r="L758" t="s">
        <v>1994</v>
      </c>
      <c r="M758" s="2">
        <v>3540.89</v>
      </c>
    </row>
    <row r="759" spans="1:13" x14ac:dyDescent="0.25">
      <c r="A759" t="str">
        <f t="shared" si="190"/>
        <v>E365</v>
      </c>
      <c r="B759">
        <v>1</v>
      </c>
      <c r="C759" t="str">
        <f t="shared" si="191"/>
        <v>23275</v>
      </c>
      <c r="D759" t="str">
        <f t="shared" si="195"/>
        <v>5620</v>
      </c>
      <c r="E759" t="str">
        <f t="shared" si="192"/>
        <v>063STF</v>
      </c>
      <c r="F759" t="str">
        <f>""</f>
        <v/>
      </c>
      <c r="G759" t="str">
        <f>""</f>
        <v/>
      </c>
      <c r="H759" s="1">
        <v>42118</v>
      </c>
      <c r="I759" t="str">
        <f>"I0117393"</f>
        <v>I0117393</v>
      </c>
      <c r="J759" t="str">
        <f t="shared" si="193"/>
        <v>N132881F</v>
      </c>
      <c r="K759" t="str">
        <f t="shared" si="194"/>
        <v>INEI</v>
      </c>
      <c r="L759" t="s">
        <v>1994</v>
      </c>
      <c r="M759" s="2">
        <v>3540.89</v>
      </c>
    </row>
    <row r="760" spans="1:13" x14ac:dyDescent="0.25">
      <c r="A760" t="str">
        <f t="shared" si="190"/>
        <v>E365</v>
      </c>
      <c r="B760">
        <v>1</v>
      </c>
      <c r="C760" t="str">
        <f t="shared" si="191"/>
        <v>23275</v>
      </c>
      <c r="D760" t="str">
        <f t="shared" si="195"/>
        <v>5620</v>
      </c>
      <c r="E760" t="str">
        <f t="shared" si="192"/>
        <v>063STF</v>
      </c>
      <c r="F760" t="str">
        <f>""</f>
        <v/>
      </c>
      <c r="G760" t="str">
        <f>""</f>
        <v/>
      </c>
      <c r="H760" s="1">
        <v>42118</v>
      </c>
      <c r="I760" t="str">
        <f>"I0117394"</f>
        <v>I0117394</v>
      </c>
      <c r="J760" t="str">
        <f t="shared" si="193"/>
        <v>N132881F</v>
      </c>
      <c r="K760" t="str">
        <f t="shared" si="194"/>
        <v>INEI</v>
      </c>
      <c r="L760" t="s">
        <v>1994</v>
      </c>
      <c r="M760" s="2">
        <v>3540.89</v>
      </c>
    </row>
    <row r="761" spans="1:13" x14ac:dyDescent="0.25">
      <c r="A761" t="str">
        <f t="shared" si="190"/>
        <v>E365</v>
      </c>
      <c r="B761">
        <v>1</v>
      </c>
      <c r="C761" t="str">
        <f t="shared" si="191"/>
        <v>23275</v>
      </c>
      <c r="D761" t="str">
        <f t="shared" si="195"/>
        <v>5620</v>
      </c>
      <c r="E761" t="str">
        <f t="shared" si="192"/>
        <v>063STF</v>
      </c>
      <c r="F761" t="str">
        <f>""</f>
        <v/>
      </c>
      <c r="G761" t="str">
        <f>""</f>
        <v/>
      </c>
      <c r="H761" s="1">
        <v>42130</v>
      </c>
      <c r="I761" t="str">
        <f>"I0117751"</f>
        <v>I0117751</v>
      </c>
      <c r="J761" t="str">
        <f t="shared" si="193"/>
        <v>N132881F</v>
      </c>
      <c r="K761" t="str">
        <f t="shared" si="194"/>
        <v>INEI</v>
      </c>
      <c r="L761" t="s">
        <v>1994</v>
      </c>
      <c r="M761" s="2">
        <v>3540.89</v>
      </c>
    </row>
    <row r="762" spans="1:13" x14ac:dyDescent="0.25">
      <c r="A762" t="str">
        <f t="shared" si="190"/>
        <v>E365</v>
      </c>
      <c r="B762">
        <v>1</v>
      </c>
      <c r="C762" t="str">
        <f t="shared" si="191"/>
        <v>23275</v>
      </c>
      <c r="D762" t="str">
        <f t="shared" si="195"/>
        <v>5620</v>
      </c>
      <c r="E762" t="str">
        <f t="shared" si="192"/>
        <v>063STF</v>
      </c>
      <c r="F762" t="str">
        <f>""</f>
        <v/>
      </c>
      <c r="G762" t="str">
        <f>""</f>
        <v/>
      </c>
      <c r="H762" s="1">
        <v>42130</v>
      </c>
      <c r="I762" t="str">
        <f>"I0117752"</f>
        <v>I0117752</v>
      </c>
      <c r="J762" t="str">
        <f t="shared" si="193"/>
        <v>N132881F</v>
      </c>
      <c r="K762" t="str">
        <f t="shared" si="194"/>
        <v>INEI</v>
      </c>
      <c r="L762" t="s">
        <v>1994</v>
      </c>
      <c r="M762" s="2">
        <v>3540.89</v>
      </c>
    </row>
    <row r="763" spans="1:13" x14ac:dyDescent="0.25">
      <c r="A763" t="str">
        <f t="shared" si="190"/>
        <v>E365</v>
      </c>
      <c r="B763">
        <v>1</v>
      </c>
      <c r="C763" t="str">
        <f t="shared" si="191"/>
        <v>23275</v>
      </c>
      <c r="D763" t="str">
        <f t="shared" si="195"/>
        <v>5620</v>
      </c>
      <c r="E763" t="str">
        <f t="shared" si="192"/>
        <v>063STF</v>
      </c>
      <c r="F763" t="str">
        <f>""</f>
        <v/>
      </c>
      <c r="G763" t="str">
        <f>""</f>
        <v/>
      </c>
      <c r="H763" s="1">
        <v>42157</v>
      </c>
      <c r="I763" t="str">
        <f>"I0118372"</f>
        <v>I0118372</v>
      </c>
      <c r="J763" t="str">
        <f t="shared" si="193"/>
        <v>N132881F</v>
      </c>
      <c r="K763" t="str">
        <f t="shared" si="194"/>
        <v>INEI</v>
      </c>
      <c r="L763" t="s">
        <v>1994</v>
      </c>
      <c r="M763" s="2">
        <v>3540.89</v>
      </c>
    </row>
    <row r="764" spans="1:13" x14ac:dyDescent="0.25">
      <c r="A764" t="str">
        <f t="shared" si="190"/>
        <v>E365</v>
      </c>
      <c r="B764">
        <v>1</v>
      </c>
      <c r="C764" t="str">
        <f t="shared" si="191"/>
        <v>23275</v>
      </c>
      <c r="D764" t="str">
        <f t="shared" si="195"/>
        <v>5620</v>
      </c>
      <c r="E764" t="str">
        <f t="shared" si="192"/>
        <v>063STF</v>
      </c>
      <c r="F764" t="str">
        <f>""</f>
        <v/>
      </c>
      <c r="G764" t="str">
        <f>""</f>
        <v/>
      </c>
      <c r="H764" s="1">
        <v>42157</v>
      </c>
      <c r="I764" t="str">
        <f>"I0118373"</f>
        <v>I0118373</v>
      </c>
      <c r="J764" t="str">
        <f t="shared" si="193"/>
        <v>N132881F</v>
      </c>
      <c r="K764" t="str">
        <f t="shared" si="194"/>
        <v>INEI</v>
      </c>
      <c r="L764" t="s">
        <v>1994</v>
      </c>
      <c r="M764" s="2">
        <v>3540.89</v>
      </c>
    </row>
    <row r="765" spans="1:13" x14ac:dyDescent="0.25">
      <c r="A765" t="str">
        <f t="shared" si="190"/>
        <v>E365</v>
      </c>
      <c r="B765">
        <v>1</v>
      </c>
      <c r="C765" t="str">
        <f t="shared" si="191"/>
        <v>23275</v>
      </c>
      <c r="D765" t="str">
        <f t="shared" si="195"/>
        <v>5620</v>
      </c>
      <c r="E765" t="str">
        <f t="shared" si="192"/>
        <v>063STF</v>
      </c>
      <c r="F765" t="str">
        <f>""</f>
        <v/>
      </c>
      <c r="G765" t="str">
        <f>""</f>
        <v/>
      </c>
      <c r="H765" s="1">
        <v>42164</v>
      </c>
      <c r="I765" t="str">
        <f>"I0118534"</f>
        <v>I0118534</v>
      </c>
      <c r="J765" t="str">
        <f t="shared" si="193"/>
        <v>N132881F</v>
      </c>
      <c r="K765" t="str">
        <f t="shared" si="194"/>
        <v>INEI</v>
      </c>
      <c r="L765" t="s">
        <v>1994</v>
      </c>
      <c r="M765" s="2">
        <v>3540.89</v>
      </c>
    </row>
    <row r="766" spans="1:13" x14ac:dyDescent="0.25">
      <c r="A766" t="str">
        <f t="shared" si="190"/>
        <v>E365</v>
      </c>
      <c r="B766">
        <v>1</v>
      </c>
      <c r="C766" t="str">
        <f t="shared" si="191"/>
        <v>23275</v>
      </c>
      <c r="D766" t="str">
        <f t="shared" si="195"/>
        <v>5620</v>
      </c>
      <c r="E766" t="str">
        <f t="shared" si="192"/>
        <v>063STF</v>
      </c>
      <c r="F766" t="str">
        <f>""</f>
        <v/>
      </c>
      <c r="G766" t="str">
        <f>""</f>
        <v/>
      </c>
      <c r="H766" s="1">
        <v>42164</v>
      </c>
      <c r="I766" t="str">
        <f>"I0118535"</f>
        <v>I0118535</v>
      </c>
      <c r="J766" t="str">
        <f t="shared" si="193"/>
        <v>N132881F</v>
      </c>
      <c r="K766" t="str">
        <f t="shared" si="194"/>
        <v>INEI</v>
      </c>
      <c r="L766" t="s">
        <v>1994</v>
      </c>
      <c r="M766" s="2">
        <v>3540.89</v>
      </c>
    </row>
    <row r="767" spans="1:13" x14ac:dyDescent="0.25">
      <c r="A767" t="str">
        <f t="shared" si="190"/>
        <v>E365</v>
      </c>
      <c r="B767">
        <v>1</v>
      </c>
      <c r="C767" t="str">
        <f t="shared" si="191"/>
        <v>23275</v>
      </c>
      <c r="D767" t="str">
        <f t="shared" si="195"/>
        <v>5620</v>
      </c>
      <c r="E767" t="str">
        <f t="shared" si="192"/>
        <v>063STF</v>
      </c>
      <c r="F767" t="str">
        <f>""</f>
        <v/>
      </c>
      <c r="G767" t="str">
        <f>""</f>
        <v/>
      </c>
      <c r="H767" s="1">
        <v>42185</v>
      </c>
      <c r="I767" t="str">
        <f>"I0119644"</f>
        <v>I0119644</v>
      </c>
      <c r="J767" t="str">
        <f t="shared" si="193"/>
        <v>N132881F</v>
      </c>
      <c r="K767" t="str">
        <f t="shared" si="194"/>
        <v>INEI</v>
      </c>
      <c r="L767" t="s">
        <v>1994</v>
      </c>
      <c r="M767" s="2">
        <v>4607.6899999999996</v>
      </c>
    </row>
    <row r="768" spans="1:13" x14ac:dyDescent="0.25">
      <c r="A768" t="str">
        <f t="shared" si="190"/>
        <v>E365</v>
      </c>
      <c r="B768">
        <v>1</v>
      </c>
      <c r="C768" t="str">
        <f t="shared" si="191"/>
        <v>23275</v>
      </c>
      <c r="D768" t="str">
        <f t="shared" si="195"/>
        <v>5620</v>
      </c>
      <c r="E768" t="str">
        <f t="shared" si="192"/>
        <v>063STF</v>
      </c>
      <c r="F768" t="str">
        <f>""</f>
        <v/>
      </c>
      <c r="G768" t="str">
        <f>""</f>
        <v/>
      </c>
      <c r="H768" s="1">
        <v>42185</v>
      </c>
      <c r="I768" t="str">
        <f>"I0119645"</f>
        <v>I0119645</v>
      </c>
      <c r="J768" t="str">
        <f t="shared" si="193"/>
        <v>N132881F</v>
      </c>
      <c r="K768" t="str">
        <f t="shared" si="194"/>
        <v>INEI</v>
      </c>
      <c r="L768" t="s">
        <v>1994</v>
      </c>
      <c r="M768" s="2">
        <v>3540.89</v>
      </c>
    </row>
    <row r="769" spans="1:13" x14ac:dyDescent="0.25">
      <c r="A769" t="str">
        <f t="shared" si="190"/>
        <v>E365</v>
      </c>
      <c r="B769">
        <v>1</v>
      </c>
      <c r="C769" t="str">
        <f t="shared" si="191"/>
        <v>23275</v>
      </c>
      <c r="D769" t="str">
        <f t="shared" si="195"/>
        <v>5620</v>
      </c>
      <c r="E769" t="str">
        <f t="shared" si="192"/>
        <v>063STF</v>
      </c>
      <c r="F769" t="str">
        <f>""</f>
        <v/>
      </c>
      <c r="G769" t="str">
        <f>""</f>
        <v/>
      </c>
      <c r="H769" s="1">
        <v>42185</v>
      </c>
      <c r="I769" t="str">
        <f>"I0119646"</f>
        <v>I0119646</v>
      </c>
      <c r="J769" t="str">
        <f t="shared" si="193"/>
        <v>N132881F</v>
      </c>
      <c r="K769" t="str">
        <f t="shared" si="194"/>
        <v>INEI</v>
      </c>
      <c r="L769" t="s">
        <v>1994</v>
      </c>
      <c r="M769" s="2">
        <v>3540.89</v>
      </c>
    </row>
    <row r="770" spans="1:13" x14ac:dyDescent="0.25">
      <c r="A770" t="str">
        <f t="shared" si="190"/>
        <v>E365</v>
      </c>
      <c r="B770">
        <v>1</v>
      </c>
      <c r="C770" t="str">
        <f t="shared" si="191"/>
        <v>23275</v>
      </c>
      <c r="D770" t="str">
        <f t="shared" si="195"/>
        <v>5620</v>
      </c>
      <c r="E770" t="str">
        <f t="shared" si="192"/>
        <v>063STF</v>
      </c>
      <c r="F770" t="str">
        <f>""</f>
        <v/>
      </c>
      <c r="G770" t="str">
        <f>""</f>
        <v/>
      </c>
      <c r="H770" s="1">
        <v>42185</v>
      </c>
      <c r="I770" t="str">
        <f>"I0119647"</f>
        <v>I0119647</v>
      </c>
      <c r="J770" t="str">
        <f t="shared" si="193"/>
        <v>N132881F</v>
      </c>
      <c r="K770" t="str">
        <f t="shared" si="194"/>
        <v>INEI</v>
      </c>
      <c r="L770" t="s">
        <v>1994</v>
      </c>
      <c r="M770" s="2">
        <v>3540.89</v>
      </c>
    </row>
    <row r="771" spans="1:13" x14ac:dyDescent="0.25">
      <c r="A771" t="str">
        <f>"E367"</f>
        <v>E367</v>
      </c>
      <c r="B771">
        <v>1</v>
      </c>
      <c r="C771" t="str">
        <f>"43000"</f>
        <v>43000</v>
      </c>
      <c r="D771" t="str">
        <f t="shared" si="195"/>
        <v>5620</v>
      </c>
      <c r="E771" t="str">
        <f>"850LOS"</f>
        <v>850LOS</v>
      </c>
      <c r="F771" t="str">
        <f>""</f>
        <v/>
      </c>
      <c r="G771" t="str">
        <f>""</f>
        <v/>
      </c>
      <c r="H771" s="1">
        <v>41942</v>
      </c>
      <c r="I771" t="str">
        <f>"TRV10180"</f>
        <v>TRV10180</v>
      </c>
      <c r="J771" t="str">
        <f>"TA004041"</f>
        <v>TA004041</v>
      </c>
      <c r="K771" t="str">
        <f>"AS89"</f>
        <v>AS89</v>
      </c>
      <c r="L771" t="s">
        <v>2525</v>
      </c>
      <c r="M771">
        <v>633.20000000000005</v>
      </c>
    </row>
    <row r="772" spans="1:13" x14ac:dyDescent="0.25">
      <c r="A772" t="str">
        <f>"E367"</f>
        <v>E367</v>
      </c>
      <c r="B772">
        <v>1</v>
      </c>
      <c r="C772" t="str">
        <f>"43000"</f>
        <v>43000</v>
      </c>
      <c r="D772" t="str">
        <f t="shared" si="195"/>
        <v>5620</v>
      </c>
      <c r="E772" t="str">
        <f>"850LOS"</f>
        <v>850LOS</v>
      </c>
      <c r="F772" t="str">
        <f>""</f>
        <v/>
      </c>
      <c r="G772" t="str">
        <f>""</f>
        <v/>
      </c>
      <c r="H772" s="1">
        <v>41942</v>
      </c>
      <c r="I772" t="str">
        <f>"TRV10180"</f>
        <v>TRV10180</v>
      </c>
      <c r="J772" t="str">
        <f>"TA004081"</f>
        <v>TA004081</v>
      </c>
      <c r="K772" t="str">
        <f>"AS89"</f>
        <v>AS89</v>
      </c>
      <c r="L772" t="s">
        <v>2524</v>
      </c>
      <c r="M772">
        <v>633.20000000000005</v>
      </c>
    </row>
    <row r="773" spans="1:13" x14ac:dyDescent="0.25">
      <c r="A773" t="str">
        <f t="shared" ref="A773:A779" si="196">"E368"</f>
        <v>E368</v>
      </c>
      <c r="B773">
        <v>1</v>
      </c>
      <c r="C773" t="str">
        <f t="shared" ref="C773:C780" si="197">"10200"</f>
        <v>10200</v>
      </c>
      <c r="D773" t="str">
        <f t="shared" si="195"/>
        <v>5620</v>
      </c>
      <c r="E773" t="str">
        <f t="shared" ref="E773:E780" si="198">"094OMS"</f>
        <v>094OMS</v>
      </c>
      <c r="F773" t="str">
        <f>""</f>
        <v/>
      </c>
      <c r="G773" t="str">
        <f>""</f>
        <v/>
      </c>
      <c r="H773" s="1">
        <v>41880</v>
      </c>
      <c r="I773" t="str">
        <f>"TRV10178"</f>
        <v>TRV10178</v>
      </c>
      <c r="J773" t="str">
        <f>"TE864138"</f>
        <v>TE864138</v>
      </c>
      <c r="K773" t="str">
        <f>"AS89"</f>
        <v>AS89</v>
      </c>
      <c r="L773" t="s">
        <v>2523</v>
      </c>
      <c r="M773">
        <v>754.2</v>
      </c>
    </row>
    <row r="774" spans="1:13" x14ac:dyDescent="0.25">
      <c r="A774" t="str">
        <f t="shared" si="196"/>
        <v>E368</v>
      </c>
      <c r="B774">
        <v>1</v>
      </c>
      <c r="C774" t="str">
        <f t="shared" si="197"/>
        <v>10200</v>
      </c>
      <c r="D774" t="str">
        <f t="shared" si="195"/>
        <v>5620</v>
      </c>
      <c r="E774" t="str">
        <f t="shared" si="198"/>
        <v>094OMS</v>
      </c>
      <c r="F774" t="str">
        <f>""</f>
        <v/>
      </c>
      <c r="G774" t="str">
        <f>""</f>
        <v/>
      </c>
      <c r="H774" s="1">
        <v>41886</v>
      </c>
      <c r="I774" t="str">
        <f>"222565"</f>
        <v>222565</v>
      </c>
      <c r="J774" t="str">
        <f>""</f>
        <v/>
      </c>
      <c r="K774" t="str">
        <f>"INNI"</f>
        <v>INNI</v>
      </c>
      <c r="L774" t="s">
        <v>2521</v>
      </c>
      <c r="M774">
        <v>255.31</v>
      </c>
    </row>
    <row r="775" spans="1:13" x14ac:dyDescent="0.25">
      <c r="A775" t="str">
        <f t="shared" si="196"/>
        <v>E368</v>
      </c>
      <c r="B775">
        <v>1</v>
      </c>
      <c r="C775" t="str">
        <f t="shared" si="197"/>
        <v>10200</v>
      </c>
      <c r="D775" t="str">
        <f t="shared" si="195"/>
        <v>5620</v>
      </c>
      <c r="E775" t="str">
        <f t="shared" si="198"/>
        <v>094OMS</v>
      </c>
      <c r="F775" t="str">
        <f>""</f>
        <v/>
      </c>
      <c r="G775" t="str">
        <f>""</f>
        <v/>
      </c>
      <c r="H775" s="1">
        <v>41893</v>
      </c>
      <c r="I775" t="str">
        <f>"222566"</f>
        <v>222566</v>
      </c>
      <c r="J775" t="str">
        <f>""</f>
        <v/>
      </c>
      <c r="K775" t="str">
        <f>"INNI"</f>
        <v>INNI</v>
      </c>
      <c r="L775" t="s">
        <v>2245</v>
      </c>
      <c r="M775">
        <v>367.56</v>
      </c>
    </row>
    <row r="776" spans="1:13" x14ac:dyDescent="0.25">
      <c r="A776" t="str">
        <f t="shared" si="196"/>
        <v>E368</v>
      </c>
      <c r="B776">
        <v>1</v>
      </c>
      <c r="C776" t="str">
        <f t="shared" si="197"/>
        <v>10200</v>
      </c>
      <c r="D776" t="str">
        <f t="shared" si="195"/>
        <v>5620</v>
      </c>
      <c r="E776" t="str">
        <f t="shared" si="198"/>
        <v>094OMS</v>
      </c>
      <c r="F776" t="str">
        <f>""</f>
        <v/>
      </c>
      <c r="G776" t="str">
        <f>""</f>
        <v/>
      </c>
      <c r="H776" s="1">
        <v>41893</v>
      </c>
      <c r="I776" t="str">
        <f>"222567"</f>
        <v>222567</v>
      </c>
      <c r="J776" t="str">
        <f>""</f>
        <v/>
      </c>
      <c r="K776" t="str">
        <f>"INNI"</f>
        <v>INNI</v>
      </c>
      <c r="L776" t="s">
        <v>2245</v>
      </c>
      <c r="M776">
        <v>275.67</v>
      </c>
    </row>
    <row r="777" spans="1:13" x14ac:dyDescent="0.25">
      <c r="A777" t="str">
        <f t="shared" si="196"/>
        <v>E368</v>
      </c>
      <c r="B777">
        <v>1</v>
      </c>
      <c r="C777" t="str">
        <f t="shared" si="197"/>
        <v>10200</v>
      </c>
      <c r="D777" t="str">
        <f t="shared" si="195"/>
        <v>5620</v>
      </c>
      <c r="E777" t="str">
        <f t="shared" si="198"/>
        <v>094OMS</v>
      </c>
      <c r="F777" t="str">
        <f>""</f>
        <v/>
      </c>
      <c r="G777" t="str">
        <f>""</f>
        <v/>
      </c>
      <c r="H777" s="1">
        <v>41898</v>
      </c>
      <c r="I777" t="str">
        <f>"222587"</f>
        <v>222587</v>
      </c>
      <c r="J777" t="str">
        <f>""</f>
        <v/>
      </c>
      <c r="K777" t="str">
        <f>"INNI"</f>
        <v>INNI</v>
      </c>
      <c r="L777" t="s">
        <v>2245</v>
      </c>
      <c r="M777">
        <v>275.67</v>
      </c>
    </row>
    <row r="778" spans="1:13" x14ac:dyDescent="0.25">
      <c r="A778" t="str">
        <f t="shared" si="196"/>
        <v>E368</v>
      </c>
      <c r="B778">
        <v>1</v>
      </c>
      <c r="C778" t="str">
        <f t="shared" si="197"/>
        <v>10200</v>
      </c>
      <c r="D778" t="str">
        <f t="shared" si="195"/>
        <v>5620</v>
      </c>
      <c r="E778" t="str">
        <f t="shared" si="198"/>
        <v>094OMS</v>
      </c>
      <c r="F778" t="str">
        <f>""</f>
        <v/>
      </c>
      <c r="G778" t="str">
        <f>""</f>
        <v/>
      </c>
      <c r="H778" s="1">
        <v>41907</v>
      </c>
      <c r="I778" t="str">
        <f>"TRV10179"</f>
        <v>TRV10179</v>
      </c>
      <c r="J778" t="str">
        <f>"TE864138"</f>
        <v>TE864138</v>
      </c>
      <c r="K778" t="str">
        <f>"AS89"</f>
        <v>AS89</v>
      </c>
      <c r="L778" t="s">
        <v>2522</v>
      </c>
      <c r="M778">
        <v>567.20000000000005</v>
      </c>
    </row>
    <row r="779" spans="1:13" x14ac:dyDescent="0.25">
      <c r="A779" t="str">
        <f t="shared" si="196"/>
        <v>E368</v>
      </c>
      <c r="B779">
        <v>1</v>
      </c>
      <c r="C779" t="str">
        <f t="shared" si="197"/>
        <v>10200</v>
      </c>
      <c r="D779" t="str">
        <f t="shared" si="195"/>
        <v>5620</v>
      </c>
      <c r="E779" t="str">
        <f t="shared" si="198"/>
        <v>094OMS</v>
      </c>
      <c r="F779" t="str">
        <f>""</f>
        <v/>
      </c>
      <c r="G779" t="str">
        <f>""</f>
        <v/>
      </c>
      <c r="H779" s="1">
        <v>41928</v>
      </c>
      <c r="I779" t="str">
        <f>"222586B"</f>
        <v>222586B</v>
      </c>
      <c r="J779" t="str">
        <f>""</f>
        <v/>
      </c>
      <c r="K779" t="str">
        <f>"INNI"</f>
        <v>INNI</v>
      </c>
      <c r="L779" t="s">
        <v>2521</v>
      </c>
      <c r="M779">
        <v>220.18</v>
      </c>
    </row>
    <row r="780" spans="1:13" x14ac:dyDescent="0.25">
      <c r="A780" t="str">
        <f>"E369"</f>
        <v>E369</v>
      </c>
      <c r="B780">
        <v>1</v>
      </c>
      <c r="C780" t="str">
        <f t="shared" si="197"/>
        <v>10200</v>
      </c>
      <c r="D780" t="str">
        <f t="shared" si="195"/>
        <v>5620</v>
      </c>
      <c r="E780" t="str">
        <f t="shared" si="198"/>
        <v>094OMS</v>
      </c>
      <c r="F780" t="str">
        <f>""</f>
        <v/>
      </c>
      <c r="G780" t="str">
        <f>""</f>
        <v/>
      </c>
      <c r="H780" s="1">
        <v>41967</v>
      </c>
      <c r="I780" t="str">
        <f>"R442"</f>
        <v>R442</v>
      </c>
      <c r="J780" t="str">
        <f>""</f>
        <v/>
      </c>
      <c r="K780" t="str">
        <f>"INNI"</f>
        <v>INNI</v>
      </c>
      <c r="L780" t="s">
        <v>2520</v>
      </c>
      <c r="M780" s="2">
        <v>7174.4</v>
      </c>
    </row>
    <row r="781" spans="1:13" x14ac:dyDescent="0.25">
      <c r="A781" t="str">
        <f>"E370"</f>
        <v>E370</v>
      </c>
      <c r="B781">
        <v>1</v>
      </c>
      <c r="C781" t="str">
        <f>"43000"</f>
        <v>43000</v>
      </c>
      <c r="D781" t="str">
        <f t="shared" si="195"/>
        <v>5620</v>
      </c>
      <c r="E781" t="str">
        <f>"850LOS"</f>
        <v>850LOS</v>
      </c>
      <c r="F781" t="str">
        <f>""</f>
        <v/>
      </c>
      <c r="G781" t="str">
        <f>""</f>
        <v/>
      </c>
      <c r="H781" s="1">
        <v>41974</v>
      </c>
      <c r="I781" t="str">
        <f>"TR004932"</f>
        <v>TR004932</v>
      </c>
      <c r="J781" t="str">
        <f>"TA004041"</f>
        <v>TA004041</v>
      </c>
      <c r="K781" t="str">
        <f>"INEI"</f>
        <v>INEI</v>
      </c>
      <c r="L781" t="s">
        <v>284</v>
      </c>
      <c r="M781" s="2">
        <v>1778.64</v>
      </c>
    </row>
    <row r="782" spans="1:13" x14ac:dyDescent="0.25">
      <c r="A782" t="str">
        <f>"E370"</f>
        <v>E370</v>
      </c>
      <c r="B782">
        <v>1</v>
      </c>
      <c r="C782" t="str">
        <f>"43000"</f>
        <v>43000</v>
      </c>
      <c r="D782" t="str">
        <f t="shared" si="195"/>
        <v>5620</v>
      </c>
      <c r="E782" t="str">
        <f>"850LOS"</f>
        <v>850LOS</v>
      </c>
      <c r="F782" t="str">
        <f>""</f>
        <v/>
      </c>
      <c r="G782" t="str">
        <f>""</f>
        <v/>
      </c>
      <c r="H782" s="1">
        <v>42064</v>
      </c>
      <c r="I782" t="str">
        <f>"J0013490"</f>
        <v>J0013490</v>
      </c>
      <c r="J782" t="str">
        <f>""</f>
        <v/>
      </c>
      <c r="K782" t="str">
        <f>"J079"</f>
        <v>J079</v>
      </c>
      <c r="L782" t="s">
        <v>2513</v>
      </c>
      <c r="M782">
        <v>149.44999999999999</v>
      </c>
    </row>
    <row r="783" spans="1:13" x14ac:dyDescent="0.25">
      <c r="A783" t="str">
        <f>"E370"</f>
        <v>E370</v>
      </c>
      <c r="B783">
        <v>1</v>
      </c>
      <c r="C783" t="str">
        <f>"43000"</f>
        <v>43000</v>
      </c>
      <c r="D783" t="str">
        <f t="shared" si="195"/>
        <v>5620</v>
      </c>
      <c r="E783" t="str">
        <f>"850LOS"</f>
        <v>850LOS</v>
      </c>
      <c r="F783" t="str">
        <f>""</f>
        <v/>
      </c>
      <c r="G783" t="str">
        <f>""</f>
        <v/>
      </c>
      <c r="H783" s="1">
        <v>42185</v>
      </c>
      <c r="I783" t="str">
        <f>"TR008045"</f>
        <v>TR008045</v>
      </c>
      <c r="J783" t="str">
        <f>"TA007218"</f>
        <v>TA007218</v>
      </c>
      <c r="K783" t="str">
        <f>"INEI"</f>
        <v>INEI</v>
      </c>
      <c r="L783" t="s">
        <v>284</v>
      </c>
      <c r="M783">
        <v>244.21</v>
      </c>
    </row>
    <row r="784" spans="1:13" x14ac:dyDescent="0.25">
      <c r="A784" t="str">
        <f>"E370"</f>
        <v>E370</v>
      </c>
      <c r="B784">
        <v>1</v>
      </c>
      <c r="C784" t="str">
        <f>"43000"</f>
        <v>43000</v>
      </c>
      <c r="D784" t="str">
        <f>"5740"</f>
        <v>5740</v>
      </c>
      <c r="E784" t="str">
        <f>"850LOS"</f>
        <v>850LOS</v>
      </c>
      <c r="F784" t="str">
        <f>""</f>
        <v/>
      </c>
      <c r="G784" t="str">
        <f>""</f>
        <v/>
      </c>
      <c r="H784" s="1">
        <v>41974</v>
      </c>
      <c r="I784" t="str">
        <f>"TR004948"</f>
        <v>TR004948</v>
      </c>
      <c r="J784" t="str">
        <f>"TA004081"</f>
        <v>TA004081</v>
      </c>
      <c r="K784" t="str">
        <f>"INEI"</f>
        <v>INEI</v>
      </c>
      <c r="L784" t="s">
        <v>1697</v>
      </c>
      <c r="M784">
        <v>149.44999999999999</v>
      </c>
    </row>
    <row r="785" spans="1:13" x14ac:dyDescent="0.25">
      <c r="A785" t="str">
        <f>"E376"</f>
        <v>E376</v>
      </c>
      <c r="B785">
        <v>1</v>
      </c>
      <c r="C785" t="str">
        <f>"10200"</f>
        <v>10200</v>
      </c>
      <c r="D785" t="str">
        <f t="shared" ref="D785:D798" si="199">"5620"</f>
        <v>5620</v>
      </c>
      <c r="E785" t="str">
        <f>"094OMS"</f>
        <v>094OMS</v>
      </c>
      <c r="F785" t="str">
        <f>""</f>
        <v/>
      </c>
      <c r="G785" t="str">
        <f>""</f>
        <v/>
      </c>
      <c r="H785" s="1">
        <v>42064</v>
      </c>
      <c r="I785" t="str">
        <f>"TR005918"</f>
        <v>TR005918</v>
      </c>
      <c r="J785" t="str">
        <f>""</f>
        <v/>
      </c>
      <c r="K785" t="str">
        <f>"INNI"</f>
        <v>INNI</v>
      </c>
      <c r="L785" t="s">
        <v>478</v>
      </c>
      <c r="M785">
        <v>186.48</v>
      </c>
    </row>
    <row r="786" spans="1:13" x14ac:dyDescent="0.25">
      <c r="A786" t="str">
        <f>"E402"</f>
        <v>E402</v>
      </c>
      <c r="B786">
        <v>1</v>
      </c>
      <c r="C786" t="str">
        <f>"10200"</f>
        <v>10200</v>
      </c>
      <c r="D786" t="str">
        <f t="shared" si="199"/>
        <v>5620</v>
      </c>
      <c r="E786" t="str">
        <f>"094OMS"</f>
        <v>094OMS</v>
      </c>
      <c r="F786" t="str">
        <f>""</f>
        <v/>
      </c>
      <c r="G786" t="str">
        <f>""</f>
        <v/>
      </c>
      <c r="H786" s="1">
        <v>42124</v>
      </c>
      <c r="I786" t="str">
        <f>"PCD00720"</f>
        <v>PCD00720</v>
      </c>
      <c r="J786" t="str">
        <f>"220977"</f>
        <v>220977</v>
      </c>
      <c r="K786" t="str">
        <f>"AS89"</f>
        <v>AS89</v>
      </c>
      <c r="L786" t="s">
        <v>2519</v>
      </c>
      <c r="M786">
        <v>223.79</v>
      </c>
    </row>
    <row r="787" spans="1:13" x14ac:dyDescent="0.25">
      <c r="A787" t="str">
        <f>"E402"</f>
        <v>E402</v>
      </c>
      <c r="B787">
        <v>1</v>
      </c>
      <c r="C787" t="str">
        <f>"43000"</f>
        <v>43000</v>
      </c>
      <c r="D787" t="str">
        <f t="shared" si="199"/>
        <v>5620</v>
      </c>
      <c r="E787" t="str">
        <f>"850LOS"</f>
        <v>850LOS</v>
      </c>
      <c r="F787" t="str">
        <f>""</f>
        <v/>
      </c>
      <c r="G787" t="str">
        <f>""</f>
        <v/>
      </c>
      <c r="H787" s="1">
        <v>42124</v>
      </c>
      <c r="I787" t="str">
        <f>"PCD00720"</f>
        <v>PCD00720</v>
      </c>
      <c r="J787" t="str">
        <f>"220978"</f>
        <v>220978</v>
      </c>
      <c r="K787" t="str">
        <f>"AS89"</f>
        <v>AS89</v>
      </c>
      <c r="L787" t="s">
        <v>2518</v>
      </c>
      <c r="M787">
        <v>111.9</v>
      </c>
    </row>
    <row r="788" spans="1:13" x14ac:dyDescent="0.25">
      <c r="A788" t="str">
        <f>"E407"</f>
        <v>E407</v>
      </c>
      <c r="B788">
        <v>1</v>
      </c>
      <c r="C788" t="str">
        <f>"43000"</f>
        <v>43000</v>
      </c>
      <c r="D788" t="str">
        <f t="shared" si="199"/>
        <v>5620</v>
      </c>
      <c r="E788" t="str">
        <f>"850ALT"</f>
        <v>850ALT</v>
      </c>
      <c r="F788" t="str">
        <f>""</f>
        <v/>
      </c>
      <c r="G788" t="str">
        <f>""</f>
        <v/>
      </c>
      <c r="H788" s="1">
        <v>41982</v>
      </c>
      <c r="I788" t="str">
        <f>"I0113625"</f>
        <v>I0113625</v>
      </c>
      <c r="J788" t="str">
        <f>"F188454"</f>
        <v>F188454</v>
      </c>
      <c r="K788" t="str">
        <f>"INEI"</f>
        <v>INEI</v>
      </c>
      <c r="L788" t="s">
        <v>349</v>
      </c>
      <c r="M788" s="2">
        <v>1163.76</v>
      </c>
    </row>
    <row r="789" spans="1:13" x14ac:dyDescent="0.25">
      <c r="A789" t="str">
        <f>"E408"</f>
        <v>E408</v>
      </c>
      <c r="B789">
        <v>1</v>
      </c>
      <c r="C789" t="str">
        <f>"10200"</f>
        <v>10200</v>
      </c>
      <c r="D789" t="str">
        <f t="shared" si="199"/>
        <v>5620</v>
      </c>
      <c r="E789" t="str">
        <f>"094OMS"</f>
        <v>094OMS</v>
      </c>
      <c r="F789" t="str">
        <f>""</f>
        <v/>
      </c>
      <c r="G789" t="str">
        <f>""</f>
        <v/>
      </c>
      <c r="H789" s="1">
        <v>41963</v>
      </c>
      <c r="I789" t="str">
        <f>"I0112779"</f>
        <v>I0112779</v>
      </c>
      <c r="J789" t="str">
        <f>"F220966"</f>
        <v>F220966</v>
      </c>
      <c r="K789" t="str">
        <f>"INEI"</f>
        <v>INEI</v>
      </c>
      <c r="L789" t="s">
        <v>2517</v>
      </c>
      <c r="M789" s="2">
        <v>1973.99</v>
      </c>
    </row>
    <row r="790" spans="1:13" x14ac:dyDescent="0.25">
      <c r="A790" t="str">
        <f>"E408"</f>
        <v>E408</v>
      </c>
      <c r="B790">
        <v>1</v>
      </c>
      <c r="C790" t="str">
        <f>"10200"</f>
        <v>10200</v>
      </c>
      <c r="D790" t="str">
        <f t="shared" si="199"/>
        <v>5620</v>
      </c>
      <c r="E790" t="str">
        <f>"094OMS"</f>
        <v>094OMS</v>
      </c>
      <c r="F790" t="str">
        <f>""</f>
        <v/>
      </c>
      <c r="G790" t="str">
        <f>""</f>
        <v/>
      </c>
      <c r="H790" s="1">
        <v>41996</v>
      </c>
      <c r="I790" t="str">
        <f>"I0114029"</f>
        <v>I0114029</v>
      </c>
      <c r="J790" t="str">
        <f>"F220967"</f>
        <v>F220967</v>
      </c>
      <c r="K790" t="str">
        <f>"INEI"</f>
        <v>INEI</v>
      </c>
      <c r="L790" t="s">
        <v>366</v>
      </c>
      <c r="M790">
        <v>743.72</v>
      </c>
    </row>
    <row r="791" spans="1:13" x14ac:dyDescent="0.25">
      <c r="A791" t="str">
        <f>"E408"</f>
        <v>E408</v>
      </c>
      <c r="B791">
        <v>1</v>
      </c>
      <c r="C791" t="str">
        <f>"10200"</f>
        <v>10200</v>
      </c>
      <c r="D791" t="str">
        <f t="shared" si="199"/>
        <v>5620</v>
      </c>
      <c r="E791" t="str">
        <f>"094OMS"</f>
        <v>094OMS</v>
      </c>
      <c r="F791" t="str">
        <f>""</f>
        <v/>
      </c>
      <c r="G791" t="str">
        <f>""</f>
        <v/>
      </c>
      <c r="H791" s="1">
        <v>42005</v>
      </c>
      <c r="I791" t="str">
        <f>"I0114032"</f>
        <v>I0114032</v>
      </c>
      <c r="J791" t="str">
        <f>"F220968"</f>
        <v>F220968</v>
      </c>
      <c r="K791" t="str">
        <f>"INEI"</f>
        <v>INEI</v>
      </c>
      <c r="L791" t="s">
        <v>366</v>
      </c>
      <c r="M791" s="2">
        <v>1232.6600000000001</v>
      </c>
    </row>
    <row r="792" spans="1:13" x14ac:dyDescent="0.25">
      <c r="A792" t="str">
        <f>"E408"</f>
        <v>E408</v>
      </c>
      <c r="B792">
        <v>1</v>
      </c>
      <c r="C792" t="str">
        <f>"10200"</f>
        <v>10200</v>
      </c>
      <c r="D792" t="str">
        <f t="shared" si="199"/>
        <v>5620</v>
      </c>
      <c r="E792" t="str">
        <f>"094OMS"</f>
        <v>094OMS</v>
      </c>
      <c r="F792" t="str">
        <f>""</f>
        <v/>
      </c>
      <c r="G792" t="str">
        <f>""</f>
        <v/>
      </c>
      <c r="H792" s="1">
        <v>42013</v>
      </c>
      <c r="I792" t="str">
        <f>"I0114503"</f>
        <v>I0114503</v>
      </c>
      <c r="J792" t="str">
        <f>"F220967"</f>
        <v>F220967</v>
      </c>
      <c r="K792" t="str">
        <f>"INEI"</f>
        <v>INEI</v>
      </c>
      <c r="L792" t="s">
        <v>366</v>
      </c>
      <c r="M792" s="2">
        <v>2054.9499999999998</v>
      </c>
    </row>
    <row r="793" spans="1:13" x14ac:dyDescent="0.25">
      <c r="A793" t="str">
        <f>"E409"</f>
        <v>E409</v>
      </c>
      <c r="B793">
        <v>1</v>
      </c>
      <c r="C793" t="str">
        <f>"10200"</f>
        <v>10200</v>
      </c>
      <c r="D793" t="str">
        <f t="shared" si="199"/>
        <v>5620</v>
      </c>
      <c r="E793" t="str">
        <f>"094OMS"</f>
        <v>094OMS</v>
      </c>
      <c r="F793" t="str">
        <f>""</f>
        <v/>
      </c>
      <c r="G793" t="str">
        <f>""</f>
        <v/>
      </c>
      <c r="H793" s="1">
        <v>42124</v>
      </c>
      <c r="I793" t="str">
        <f>"PCD00720"</f>
        <v>PCD00720</v>
      </c>
      <c r="J793" t="str">
        <f>"220977"</f>
        <v>220977</v>
      </c>
      <c r="K793" t="str">
        <f>"AS89"</f>
        <v>AS89</v>
      </c>
      <c r="L793" t="s">
        <v>2516</v>
      </c>
      <c r="M793" s="2">
        <v>2530.54</v>
      </c>
    </row>
    <row r="794" spans="1:13" x14ac:dyDescent="0.25">
      <c r="A794" t="str">
        <f>"E409"</f>
        <v>E409</v>
      </c>
      <c r="B794">
        <v>1</v>
      </c>
      <c r="C794" t="str">
        <f>"43000"</f>
        <v>43000</v>
      </c>
      <c r="D794" t="str">
        <f t="shared" si="199"/>
        <v>5620</v>
      </c>
      <c r="E794" t="str">
        <f>"850LOS"</f>
        <v>850LOS</v>
      </c>
      <c r="F794" t="str">
        <f>""</f>
        <v/>
      </c>
      <c r="G794" t="str">
        <f>""</f>
        <v/>
      </c>
      <c r="H794" s="1">
        <v>42124</v>
      </c>
      <c r="I794" t="str">
        <f>"PCD00720"</f>
        <v>PCD00720</v>
      </c>
      <c r="J794" t="str">
        <f>"220978"</f>
        <v>220978</v>
      </c>
      <c r="K794" t="str">
        <f>"AS89"</f>
        <v>AS89</v>
      </c>
      <c r="L794" t="s">
        <v>2515</v>
      </c>
      <c r="M794" s="2">
        <v>1265.27</v>
      </c>
    </row>
    <row r="795" spans="1:13" x14ac:dyDescent="0.25">
      <c r="A795" t="str">
        <f>"E414"</f>
        <v>E414</v>
      </c>
      <c r="B795">
        <v>1</v>
      </c>
      <c r="C795" t="str">
        <f>"24081"</f>
        <v>24081</v>
      </c>
      <c r="D795" t="str">
        <f t="shared" si="199"/>
        <v>5620</v>
      </c>
      <c r="E795" t="str">
        <f>"094OMS"</f>
        <v>094OMS</v>
      </c>
      <c r="F795" t="str">
        <f>""</f>
        <v/>
      </c>
      <c r="G795" t="str">
        <f>""</f>
        <v/>
      </c>
      <c r="H795" s="1">
        <v>42064</v>
      </c>
      <c r="I795" t="str">
        <f>"J0011403"</f>
        <v>J0011403</v>
      </c>
      <c r="J795" t="str">
        <f>""</f>
        <v/>
      </c>
      <c r="K795" t="str">
        <f>"J096"</f>
        <v>J096</v>
      </c>
      <c r="L795" t="s">
        <v>2512</v>
      </c>
      <c r="M795" s="2">
        <v>9655.2800000000007</v>
      </c>
    </row>
    <row r="796" spans="1:13" x14ac:dyDescent="0.25">
      <c r="A796" t="str">
        <f>"E414"</f>
        <v>E414</v>
      </c>
      <c r="B796">
        <v>1</v>
      </c>
      <c r="C796" t="str">
        <f>"31040"</f>
        <v>31040</v>
      </c>
      <c r="D796" t="str">
        <f t="shared" si="199"/>
        <v>5620</v>
      </c>
      <c r="E796" t="str">
        <f>"094OMS"</f>
        <v>094OMS</v>
      </c>
      <c r="F796" t="str">
        <f>""</f>
        <v/>
      </c>
      <c r="G796" t="str">
        <f>""</f>
        <v/>
      </c>
      <c r="H796" s="1">
        <v>41908</v>
      </c>
      <c r="I796" t="str">
        <f>"257872"</f>
        <v>257872</v>
      </c>
      <c r="J796" t="str">
        <f>""</f>
        <v/>
      </c>
      <c r="K796" t="str">
        <f>"INNI"</f>
        <v>INNI</v>
      </c>
      <c r="L796" t="s">
        <v>33</v>
      </c>
      <c r="M796" s="2">
        <v>9655.2800000000007</v>
      </c>
    </row>
    <row r="797" spans="1:13" x14ac:dyDescent="0.25">
      <c r="A797" t="str">
        <f t="shared" ref="A797:A802" si="200">"E494"</f>
        <v>E494</v>
      </c>
      <c r="B797">
        <v>1</v>
      </c>
      <c r="C797" t="str">
        <f t="shared" ref="C797:C802" si="201">"43000"</f>
        <v>43000</v>
      </c>
      <c r="D797" t="str">
        <f t="shared" si="199"/>
        <v>5620</v>
      </c>
      <c r="E797" t="str">
        <f t="shared" ref="E797:E802" si="202">"850LOS"</f>
        <v>850LOS</v>
      </c>
      <c r="F797" t="str">
        <f>""</f>
        <v/>
      </c>
      <c r="G797" t="str">
        <f>""</f>
        <v/>
      </c>
      <c r="H797" s="1">
        <v>42064</v>
      </c>
      <c r="I797" t="str">
        <f>"J0013490"</f>
        <v>J0013490</v>
      </c>
      <c r="J797" t="str">
        <f>""</f>
        <v/>
      </c>
      <c r="K797" t="str">
        <f>"J079"</f>
        <v>J079</v>
      </c>
      <c r="L797" t="s">
        <v>2513</v>
      </c>
      <c r="M797" s="2">
        <v>4792</v>
      </c>
    </row>
    <row r="798" spans="1:13" x14ac:dyDescent="0.25">
      <c r="A798" t="str">
        <f t="shared" si="200"/>
        <v>E494</v>
      </c>
      <c r="B798">
        <v>1</v>
      </c>
      <c r="C798" t="str">
        <f t="shared" si="201"/>
        <v>43000</v>
      </c>
      <c r="D798" t="str">
        <f t="shared" si="199"/>
        <v>5620</v>
      </c>
      <c r="E798" t="str">
        <f t="shared" si="202"/>
        <v>850LOS</v>
      </c>
      <c r="F798" t="str">
        <f>""</f>
        <v/>
      </c>
      <c r="G798" t="str">
        <f>""</f>
        <v/>
      </c>
      <c r="H798" s="1">
        <v>42185</v>
      </c>
      <c r="I798" t="str">
        <f>"J0016407"</f>
        <v>J0016407</v>
      </c>
      <c r="J798" t="str">
        <f>""</f>
        <v/>
      </c>
      <c r="K798" t="str">
        <f>"J079"</f>
        <v>J079</v>
      </c>
      <c r="L798" t="s">
        <v>2510</v>
      </c>
      <c r="M798">
        <v>480</v>
      </c>
    </row>
    <row r="799" spans="1:13" x14ac:dyDescent="0.25">
      <c r="A799" t="str">
        <f t="shared" si="200"/>
        <v>E494</v>
      </c>
      <c r="B799">
        <v>1</v>
      </c>
      <c r="C799" t="str">
        <f t="shared" si="201"/>
        <v>43000</v>
      </c>
      <c r="D799" t="str">
        <f>"5740"</f>
        <v>5740</v>
      </c>
      <c r="E799" t="str">
        <f t="shared" si="202"/>
        <v>850LOS</v>
      </c>
      <c r="F799" t="str">
        <f>""</f>
        <v/>
      </c>
      <c r="G799" t="str">
        <f>""</f>
        <v/>
      </c>
      <c r="H799" s="1">
        <v>41989</v>
      </c>
      <c r="I799" t="str">
        <f>"I0113426"</f>
        <v>I0113426</v>
      </c>
      <c r="J799" t="str">
        <f>"B211912"</f>
        <v>B211912</v>
      </c>
      <c r="K799" t="str">
        <f>"INNI"</f>
        <v>INNI</v>
      </c>
      <c r="L799" t="s">
        <v>1683</v>
      </c>
      <c r="M799" s="2">
        <v>1225</v>
      </c>
    </row>
    <row r="800" spans="1:13" x14ac:dyDescent="0.25">
      <c r="A800" t="str">
        <f t="shared" si="200"/>
        <v>E494</v>
      </c>
      <c r="B800">
        <v>1</v>
      </c>
      <c r="C800" t="str">
        <f t="shared" si="201"/>
        <v>43000</v>
      </c>
      <c r="D800" t="str">
        <f>"5740"</f>
        <v>5740</v>
      </c>
      <c r="E800" t="str">
        <f t="shared" si="202"/>
        <v>850LOS</v>
      </c>
      <c r="F800" t="str">
        <f>""</f>
        <v/>
      </c>
      <c r="G800" t="str">
        <f>""</f>
        <v/>
      </c>
      <c r="H800" s="1">
        <v>41992</v>
      </c>
      <c r="I800" t="str">
        <f>"I0113899"</f>
        <v>I0113899</v>
      </c>
      <c r="J800" t="str">
        <f>"B211912"</f>
        <v>B211912</v>
      </c>
      <c r="K800" t="str">
        <f>"INNI"</f>
        <v>INNI</v>
      </c>
      <c r="L800" t="s">
        <v>1683</v>
      </c>
      <c r="M800" s="2">
        <v>1800</v>
      </c>
    </row>
    <row r="801" spans="1:13" x14ac:dyDescent="0.25">
      <c r="A801" t="str">
        <f t="shared" si="200"/>
        <v>E494</v>
      </c>
      <c r="B801">
        <v>1</v>
      </c>
      <c r="C801" t="str">
        <f t="shared" si="201"/>
        <v>43000</v>
      </c>
      <c r="D801" t="str">
        <f>"5740"</f>
        <v>5740</v>
      </c>
      <c r="E801" t="str">
        <f t="shared" si="202"/>
        <v>850LOS</v>
      </c>
      <c r="F801" t="str">
        <f>""</f>
        <v/>
      </c>
      <c r="G801" t="str">
        <f>""</f>
        <v/>
      </c>
      <c r="H801" s="1">
        <v>42026</v>
      </c>
      <c r="I801" t="str">
        <f>"I0114806"</f>
        <v>I0114806</v>
      </c>
      <c r="J801" t="str">
        <f>"B211912"</f>
        <v>B211912</v>
      </c>
      <c r="K801" t="str">
        <f>"INNI"</f>
        <v>INNI</v>
      </c>
      <c r="L801" t="s">
        <v>1683</v>
      </c>
      <c r="M801" s="2">
        <v>1767</v>
      </c>
    </row>
    <row r="802" spans="1:13" x14ac:dyDescent="0.25">
      <c r="A802" t="str">
        <f t="shared" si="200"/>
        <v>E494</v>
      </c>
      <c r="B802">
        <v>1</v>
      </c>
      <c r="C802" t="str">
        <f t="shared" si="201"/>
        <v>43000</v>
      </c>
      <c r="D802" t="str">
        <f>"5740"</f>
        <v>5740</v>
      </c>
      <c r="E802" t="str">
        <f t="shared" si="202"/>
        <v>850LOS</v>
      </c>
      <c r="F802" t="str">
        <f>""</f>
        <v/>
      </c>
      <c r="G802" t="str">
        <f>""</f>
        <v/>
      </c>
      <c r="H802" s="1">
        <v>42079</v>
      </c>
      <c r="I802" t="str">
        <f>"I0116117"</f>
        <v>I0116117</v>
      </c>
      <c r="J802" t="str">
        <f>"B211912"</f>
        <v>B211912</v>
      </c>
      <c r="K802" t="str">
        <f>"INNI"</f>
        <v>INNI</v>
      </c>
      <c r="L802" t="s">
        <v>1683</v>
      </c>
      <c r="M802">
        <v>480</v>
      </c>
    </row>
  </sheetData>
  <autoFilter ref="A1:M80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7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1.140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>"5740"</f>
        <v>5740</v>
      </c>
      <c r="E2" t="str">
        <f>"850LOS"</f>
        <v>850LOS</v>
      </c>
      <c r="F2" t="str">
        <f>""</f>
        <v/>
      </c>
      <c r="G2" t="str">
        <f>""</f>
        <v/>
      </c>
      <c r="H2" s="1">
        <v>42433</v>
      </c>
      <c r="I2" t="str">
        <f>"J0019950"</f>
        <v>J0019950</v>
      </c>
      <c r="J2" t="str">
        <f>""</f>
        <v/>
      </c>
      <c r="K2" t="str">
        <f>"J089"</f>
        <v>J089</v>
      </c>
      <c r="L2" t="s">
        <v>3093</v>
      </c>
      <c r="M2">
        <v>462.8</v>
      </c>
    </row>
    <row r="3" spans="1:13" x14ac:dyDescent="0.25">
      <c r="A3" t="str">
        <f>"E051"</f>
        <v>E051</v>
      </c>
      <c r="B3">
        <v>1</v>
      </c>
      <c r="C3" t="str">
        <f>"43000"</f>
        <v>43000</v>
      </c>
      <c r="D3" t="str">
        <f>"5740"</f>
        <v>5740</v>
      </c>
      <c r="E3" t="str">
        <f>"850LOS"</f>
        <v>850LOS</v>
      </c>
      <c r="F3" t="str">
        <f>""</f>
        <v/>
      </c>
      <c r="G3" t="str">
        <f>""</f>
        <v/>
      </c>
      <c r="H3" s="1">
        <v>42433</v>
      </c>
      <c r="I3" t="str">
        <f>"J0019950"</f>
        <v>J0019950</v>
      </c>
      <c r="J3" t="str">
        <f>""</f>
        <v/>
      </c>
      <c r="K3" t="str">
        <f>"J089"</f>
        <v>J089</v>
      </c>
      <c r="L3" t="s">
        <v>3093</v>
      </c>
      <c r="M3" s="2">
        <v>4783.75</v>
      </c>
    </row>
    <row r="4" spans="1:13" x14ac:dyDescent="0.25">
      <c r="A4" t="str">
        <f>"E051"</f>
        <v>E051</v>
      </c>
      <c r="B4">
        <v>1</v>
      </c>
      <c r="C4" t="str">
        <f>"43000"</f>
        <v>43000</v>
      </c>
      <c r="D4" t="str">
        <f>"5740"</f>
        <v>5740</v>
      </c>
      <c r="E4" t="str">
        <f>"850LOS"</f>
        <v>850LOS</v>
      </c>
      <c r="F4" t="str">
        <f>""</f>
        <v/>
      </c>
      <c r="G4" t="str">
        <f>""</f>
        <v/>
      </c>
      <c r="H4" s="1">
        <v>42433</v>
      </c>
      <c r="I4" t="str">
        <f>"J0019950"</f>
        <v>J0019950</v>
      </c>
      <c r="J4" t="str">
        <f>""</f>
        <v/>
      </c>
      <c r="K4" t="str">
        <f>"J089"</f>
        <v>J089</v>
      </c>
      <c r="L4" t="s">
        <v>3093</v>
      </c>
      <c r="M4" s="2">
        <v>1788.9</v>
      </c>
    </row>
    <row r="5" spans="1:13" x14ac:dyDescent="0.25">
      <c r="A5" t="str">
        <f>"E053"</f>
        <v>E053</v>
      </c>
      <c r="B5">
        <v>1</v>
      </c>
      <c r="C5" t="str">
        <f t="shared" ref="C5:C11" si="0">"10200"</f>
        <v>10200</v>
      </c>
      <c r="D5" t="str">
        <f t="shared" ref="D5:D11" si="1">"5620"</f>
        <v>5620</v>
      </c>
      <c r="E5" t="str">
        <f t="shared" ref="E5:E11" si="2">"094OMS"</f>
        <v>094OMS</v>
      </c>
      <c r="F5" t="str">
        <f>""</f>
        <v/>
      </c>
      <c r="G5" t="str">
        <f>""</f>
        <v/>
      </c>
      <c r="H5" s="1">
        <v>42398</v>
      </c>
      <c r="I5" t="str">
        <f>"PCD00764"</f>
        <v>PCD00764</v>
      </c>
      <c r="J5" t="str">
        <f>""</f>
        <v/>
      </c>
      <c r="K5" t="str">
        <f>"AS89"</f>
        <v>AS89</v>
      </c>
      <c r="L5" t="s">
        <v>3092</v>
      </c>
      <c r="M5">
        <v>340</v>
      </c>
    </row>
    <row r="6" spans="1:13" x14ac:dyDescent="0.25">
      <c r="A6" t="str">
        <f>"E053"</f>
        <v>E053</v>
      </c>
      <c r="B6">
        <v>1</v>
      </c>
      <c r="C6" t="str">
        <f t="shared" si="0"/>
        <v>10200</v>
      </c>
      <c r="D6" t="str">
        <f t="shared" si="1"/>
        <v>5620</v>
      </c>
      <c r="E6" t="str">
        <f t="shared" si="2"/>
        <v>094OMS</v>
      </c>
      <c r="F6" t="str">
        <f>""</f>
        <v/>
      </c>
      <c r="G6" t="str">
        <f>""</f>
        <v/>
      </c>
      <c r="H6" s="1">
        <v>42460</v>
      </c>
      <c r="I6" t="str">
        <f>"PCD00775"</f>
        <v>PCD00775</v>
      </c>
      <c r="J6" t="str">
        <f>""</f>
        <v/>
      </c>
      <c r="K6" t="str">
        <f>"AS89"</f>
        <v>AS89</v>
      </c>
      <c r="L6" t="s">
        <v>3091</v>
      </c>
      <c r="M6">
        <v>415</v>
      </c>
    </row>
    <row r="7" spans="1:13" x14ac:dyDescent="0.25">
      <c r="A7" t="str">
        <f>"E053"</f>
        <v>E053</v>
      </c>
      <c r="B7">
        <v>1</v>
      </c>
      <c r="C7" t="str">
        <f t="shared" si="0"/>
        <v>10200</v>
      </c>
      <c r="D7" t="str">
        <f t="shared" si="1"/>
        <v>5620</v>
      </c>
      <c r="E7" t="str">
        <f t="shared" si="2"/>
        <v>094OMS</v>
      </c>
      <c r="F7" t="str">
        <f>""</f>
        <v/>
      </c>
      <c r="G7" t="str">
        <f>""</f>
        <v/>
      </c>
      <c r="H7" s="1">
        <v>42551</v>
      </c>
      <c r="I7" t="str">
        <f>"I0134647"</f>
        <v>I0134647</v>
      </c>
      <c r="J7" t="str">
        <f>""</f>
        <v/>
      </c>
      <c r="K7" t="str">
        <f>"INNI"</f>
        <v>INNI</v>
      </c>
      <c r="L7" t="s">
        <v>3090</v>
      </c>
      <c r="M7">
        <v>375</v>
      </c>
    </row>
    <row r="8" spans="1:13" x14ac:dyDescent="0.25">
      <c r="A8" t="str">
        <f>"E053"</f>
        <v>E053</v>
      </c>
      <c r="B8">
        <v>1</v>
      </c>
      <c r="C8" t="str">
        <f t="shared" si="0"/>
        <v>10200</v>
      </c>
      <c r="D8" t="str">
        <f t="shared" si="1"/>
        <v>5620</v>
      </c>
      <c r="E8" t="str">
        <f t="shared" si="2"/>
        <v>094OMS</v>
      </c>
      <c r="F8" t="str">
        <f>""</f>
        <v/>
      </c>
      <c r="G8" t="str">
        <f>""</f>
        <v/>
      </c>
      <c r="H8" s="1">
        <v>42551</v>
      </c>
      <c r="I8" t="str">
        <f>"I0134683"</f>
        <v>I0134683</v>
      </c>
      <c r="J8" t="str">
        <f>""</f>
        <v/>
      </c>
      <c r="K8" t="str">
        <f>"INNI"</f>
        <v>INNI</v>
      </c>
      <c r="L8" t="s">
        <v>1</v>
      </c>
      <c r="M8">
        <v>400</v>
      </c>
    </row>
    <row r="9" spans="1:13" x14ac:dyDescent="0.25">
      <c r="A9" t="str">
        <f>"E055"</f>
        <v>E055</v>
      </c>
      <c r="B9">
        <v>1</v>
      </c>
      <c r="C9" t="str">
        <f t="shared" si="0"/>
        <v>10200</v>
      </c>
      <c r="D9" t="str">
        <f t="shared" si="1"/>
        <v>5620</v>
      </c>
      <c r="E9" t="str">
        <f t="shared" si="2"/>
        <v>094OMS</v>
      </c>
      <c r="F9" t="str">
        <f>""</f>
        <v/>
      </c>
      <c r="G9" t="str">
        <f>""</f>
        <v/>
      </c>
      <c r="H9" s="1">
        <v>42376</v>
      </c>
      <c r="I9" t="str">
        <f>"228651"</f>
        <v>228651</v>
      </c>
      <c r="J9" t="str">
        <f>""</f>
        <v/>
      </c>
      <c r="K9" t="str">
        <f>"INNI"</f>
        <v>INNI</v>
      </c>
      <c r="L9" t="s">
        <v>4</v>
      </c>
      <c r="M9">
        <v>175</v>
      </c>
    </row>
    <row r="10" spans="1:13" x14ac:dyDescent="0.25">
      <c r="A10" t="str">
        <f>"E056"</f>
        <v>E056</v>
      </c>
      <c r="B10">
        <v>1</v>
      </c>
      <c r="C10" t="str">
        <f t="shared" si="0"/>
        <v>10200</v>
      </c>
      <c r="D10" t="str">
        <f t="shared" si="1"/>
        <v>5620</v>
      </c>
      <c r="E10" t="str">
        <f t="shared" si="2"/>
        <v>094OMS</v>
      </c>
      <c r="F10" t="str">
        <f>""</f>
        <v/>
      </c>
      <c r="G10" t="str">
        <f>""</f>
        <v/>
      </c>
      <c r="H10" s="1">
        <v>42485</v>
      </c>
      <c r="I10" t="str">
        <f>"I0128387"</f>
        <v>I0128387</v>
      </c>
      <c r="J10" t="str">
        <f>""</f>
        <v/>
      </c>
      <c r="K10" t="str">
        <f>"INNI"</f>
        <v>INNI</v>
      </c>
      <c r="L10" t="s">
        <v>864</v>
      </c>
      <c r="M10">
        <v>357.01</v>
      </c>
    </row>
    <row r="11" spans="1:13" x14ac:dyDescent="0.25">
      <c r="A11" t="str">
        <f>"E056"</f>
        <v>E056</v>
      </c>
      <c r="B11">
        <v>1</v>
      </c>
      <c r="C11" t="str">
        <f t="shared" si="0"/>
        <v>10200</v>
      </c>
      <c r="D11" t="str">
        <f t="shared" si="1"/>
        <v>5620</v>
      </c>
      <c r="E11" t="str">
        <f t="shared" si="2"/>
        <v>094OMS</v>
      </c>
      <c r="F11" t="str">
        <f>""</f>
        <v/>
      </c>
      <c r="G11" t="str">
        <f>""</f>
        <v/>
      </c>
      <c r="H11" s="1">
        <v>42551</v>
      </c>
      <c r="I11" t="str">
        <f>"I0133993"</f>
        <v>I0133993</v>
      </c>
      <c r="J11" t="str">
        <f>""</f>
        <v/>
      </c>
      <c r="K11" t="str">
        <f>"INNI"</f>
        <v>INNI</v>
      </c>
      <c r="L11" t="s">
        <v>4</v>
      </c>
      <c r="M11">
        <v>175</v>
      </c>
    </row>
    <row r="12" spans="1:13" x14ac:dyDescent="0.25">
      <c r="A12" t="str">
        <f>"E056"</f>
        <v>E056</v>
      </c>
      <c r="B12">
        <v>1</v>
      </c>
      <c r="C12" t="str">
        <f>"43004"</f>
        <v>43004</v>
      </c>
      <c r="D12" t="str">
        <f>"5741"</f>
        <v>5741</v>
      </c>
      <c r="E12" t="str">
        <f>"850ALT"</f>
        <v>850ALT</v>
      </c>
      <c r="F12" t="str">
        <f>""</f>
        <v/>
      </c>
      <c r="G12" t="str">
        <f>""</f>
        <v/>
      </c>
      <c r="H12" s="1">
        <v>42460</v>
      </c>
      <c r="I12" t="str">
        <f>"PCD00775"</f>
        <v>PCD00775</v>
      </c>
      <c r="J12" t="str">
        <f>""</f>
        <v/>
      </c>
      <c r="K12" t="str">
        <f>"AS89"</f>
        <v>AS89</v>
      </c>
      <c r="L12" t="s">
        <v>3089</v>
      </c>
      <c r="M12">
        <v>101</v>
      </c>
    </row>
    <row r="13" spans="1:13" x14ac:dyDescent="0.25">
      <c r="A13" t="str">
        <f>"E063"</f>
        <v>E063</v>
      </c>
      <c r="B13">
        <v>1</v>
      </c>
      <c r="C13" t="str">
        <f t="shared" ref="C13:C35" si="3">"10200"</f>
        <v>10200</v>
      </c>
      <c r="D13" t="str">
        <f t="shared" ref="D13:D51" si="4">"5620"</f>
        <v>5620</v>
      </c>
      <c r="E13" t="str">
        <f t="shared" ref="E13:E35" si="5">"094OMS"</f>
        <v>094OMS</v>
      </c>
      <c r="F13" t="str">
        <f>""</f>
        <v/>
      </c>
      <c r="G13" t="str">
        <f>""</f>
        <v/>
      </c>
      <c r="H13" s="1">
        <v>42424</v>
      </c>
      <c r="I13" t="str">
        <f>"229078"</f>
        <v>229078</v>
      </c>
      <c r="J13" t="str">
        <f>""</f>
        <v/>
      </c>
      <c r="K13" t="str">
        <f>"INNI"</f>
        <v>INNI</v>
      </c>
      <c r="L13" t="s">
        <v>323</v>
      </c>
      <c r="M13">
        <v>774</v>
      </c>
    </row>
    <row r="14" spans="1:13" x14ac:dyDescent="0.25">
      <c r="A14" t="str">
        <f t="shared" ref="A14:A45" si="6">"E111"</f>
        <v>E111</v>
      </c>
      <c r="B14">
        <v>1</v>
      </c>
      <c r="C14" t="str">
        <f t="shared" si="3"/>
        <v>10200</v>
      </c>
      <c r="D14" t="str">
        <f t="shared" si="4"/>
        <v>5620</v>
      </c>
      <c r="E14" t="str">
        <f t="shared" si="5"/>
        <v>094OMS</v>
      </c>
      <c r="F14" t="str">
        <f>""</f>
        <v/>
      </c>
      <c r="G14" t="str">
        <f>""</f>
        <v/>
      </c>
      <c r="H14" s="1">
        <v>42216</v>
      </c>
      <c r="I14" t="str">
        <f>"PCD00735"</f>
        <v>PCD00735</v>
      </c>
      <c r="J14" t="str">
        <f>""</f>
        <v/>
      </c>
      <c r="K14" t="str">
        <f t="shared" ref="K14:K34" si="7">"AS89"</f>
        <v>AS89</v>
      </c>
      <c r="L14" t="s">
        <v>3088</v>
      </c>
      <c r="M14" s="2">
        <v>1559.64</v>
      </c>
    </row>
    <row r="15" spans="1:13" x14ac:dyDescent="0.25">
      <c r="A15" t="str">
        <f t="shared" si="6"/>
        <v>E111</v>
      </c>
      <c r="B15">
        <v>1</v>
      </c>
      <c r="C15" t="str">
        <f t="shared" si="3"/>
        <v>10200</v>
      </c>
      <c r="D15" t="str">
        <f t="shared" si="4"/>
        <v>5620</v>
      </c>
      <c r="E15" t="str">
        <f t="shared" si="5"/>
        <v>094OMS</v>
      </c>
      <c r="F15" t="str">
        <f>""</f>
        <v/>
      </c>
      <c r="G15" t="str">
        <f>""</f>
        <v/>
      </c>
      <c r="H15" s="1">
        <v>42247</v>
      </c>
      <c r="I15" t="str">
        <f t="shared" ref="I15:I24" si="8">"PCD00740"</f>
        <v>PCD00740</v>
      </c>
      <c r="J15" t="str">
        <f>""</f>
        <v/>
      </c>
      <c r="K15" t="str">
        <f t="shared" si="7"/>
        <v>AS89</v>
      </c>
      <c r="L15" t="s">
        <v>3087</v>
      </c>
      <c r="M15">
        <v>431.74</v>
      </c>
    </row>
    <row r="16" spans="1:13" x14ac:dyDescent="0.25">
      <c r="A16" t="str">
        <f t="shared" si="6"/>
        <v>E111</v>
      </c>
      <c r="B16">
        <v>1</v>
      </c>
      <c r="C16" t="str">
        <f t="shared" si="3"/>
        <v>10200</v>
      </c>
      <c r="D16" t="str">
        <f t="shared" si="4"/>
        <v>5620</v>
      </c>
      <c r="E16" t="str">
        <f t="shared" si="5"/>
        <v>094OMS</v>
      </c>
      <c r="F16" t="str">
        <f>""</f>
        <v/>
      </c>
      <c r="G16" t="str">
        <f>""</f>
        <v/>
      </c>
      <c r="H16" s="1">
        <v>42247</v>
      </c>
      <c r="I16" t="str">
        <f t="shared" si="8"/>
        <v>PCD00740</v>
      </c>
      <c r="J16" t="str">
        <f>""</f>
        <v/>
      </c>
      <c r="K16" t="str">
        <f t="shared" si="7"/>
        <v>AS89</v>
      </c>
      <c r="L16" t="s">
        <v>3086</v>
      </c>
      <c r="M16" s="2">
        <v>1569.39</v>
      </c>
    </row>
    <row r="17" spans="1:13" x14ac:dyDescent="0.25">
      <c r="A17" t="str">
        <f t="shared" si="6"/>
        <v>E111</v>
      </c>
      <c r="B17">
        <v>1</v>
      </c>
      <c r="C17" t="str">
        <f t="shared" si="3"/>
        <v>10200</v>
      </c>
      <c r="D17" t="str">
        <f t="shared" si="4"/>
        <v>5620</v>
      </c>
      <c r="E17" t="str">
        <f t="shared" si="5"/>
        <v>094OMS</v>
      </c>
      <c r="F17" t="str">
        <f>""</f>
        <v/>
      </c>
      <c r="G17" t="str">
        <f>""</f>
        <v/>
      </c>
      <c r="H17" s="1">
        <v>42247</v>
      </c>
      <c r="I17" t="str">
        <f t="shared" si="8"/>
        <v>PCD00740</v>
      </c>
      <c r="J17" t="str">
        <f>""</f>
        <v/>
      </c>
      <c r="K17" t="str">
        <f t="shared" si="7"/>
        <v>AS89</v>
      </c>
      <c r="L17" t="s">
        <v>3085</v>
      </c>
      <c r="M17">
        <v>136.54</v>
      </c>
    </row>
    <row r="18" spans="1:13" x14ac:dyDescent="0.25">
      <c r="A18" t="str">
        <f t="shared" si="6"/>
        <v>E111</v>
      </c>
      <c r="B18">
        <v>1</v>
      </c>
      <c r="C18" t="str">
        <f t="shared" si="3"/>
        <v>10200</v>
      </c>
      <c r="D18" t="str">
        <f t="shared" si="4"/>
        <v>5620</v>
      </c>
      <c r="E18" t="str">
        <f t="shared" si="5"/>
        <v>094OMS</v>
      </c>
      <c r="F18" t="str">
        <f>""</f>
        <v/>
      </c>
      <c r="G18" t="str">
        <f>""</f>
        <v/>
      </c>
      <c r="H18" s="1">
        <v>42247</v>
      </c>
      <c r="I18" t="str">
        <f t="shared" si="8"/>
        <v>PCD00740</v>
      </c>
      <c r="J18" t="str">
        <f>""</f>
        <v/>
      </c>
      <c r="K18" t="str">
        <f t="shared" si="7"/>
        <v>AS89</v>
      </c>
      <c r="L18" t="s">
        <v>3084</v>
      </c>
      <c r="M18">
        <v>147</v>
      </c>
    </row>
    <row r="19" spans="1:13" x14ac:dyDescent="0.25">
      <c r="A19" t="str">
        <f t="shared" si="6"/>
        <v>E111</v>
      </c>
      <c r="B19">
        <v>1</v>
      </c>
      <c r="C19" t="str">
        <f t="shared" si="3"/>
        <v>10200</v>
      </c>
      <c r="D19" t="str">
        <f t="shared" si="4"/>
        <v>5620</v>
      </c>
      <c r="E19" t="str">
        <f t="shared" si="5"/>
        <v>094OMS</v>
      </c>
      <c r="F19" t="str">
        <f>""</f>
        <v/>
      </c>
      <c r="G19" t="str">
        <f>""</f>
        <v/>
      </c>
      <c r="H19" s="1">
        <v>42247</v>
      </c>
      <c r="I19" t="str">
        <f t="shared" si="8"/>
        <v>PCD00740</v>
      </c>
      <c r="J19" t="str">
        <f>""</f>
        <v/>
      </c>
      <c r="K19" t="str">
        <f t="shared" si="7"/>
        <v>AS89</v>
      </c>
      <c r="L19" t="s">
        <v>3083</v>
      </c>
      <c r="M19">
        <v>191.79</v>
      </c>
    </row>
    <row r="20" spans="1:13" x14ac:dyDescent="0.25">
      <c r="A20" t="str">
        <f t="shared" si="6"/>
        <v>E111</v>
      </c>
      <c r="B20">
        <v>1</v>
      </c>
      <c r="C20" t="str">
        <f t="shared" si="3"/>
        <v>10200</v>
      </c>
      <c r="D20" t="str">
        <f t="shared" si="4"/>
        <v>5620</v>
      </c>
      <c r="E20" t="str">
        <f t="shared" si="5"/>
        <v>094OMS</v>
      </c>
      <c r="F20" t="str">
        <f>""</f>
        <v/>
      </c>
      <c r="G20" t="str">
        <f>""</f>
        <v/>
      </c>
      <c r="H20" s="1">
        <v>42247</v>
      </c>
      <c r="I20" t="str">
        <f t="shared" si="8"/>
        <v>PCD00740</v>
      </c>
      <c r="J20" t="str">
        <f>""</f>
        <v/>
      </c>
      <c r="K20" t="str">
        <f t="shared" si="7"/>
        <v>AS89</v>
      </c>
      <c r="L20" t="s">
        <v>3082</v>
      </c>
      <c r="M20">
        <v>224.6</v>
      </c>
    </row>
    <row r="21" spans="1:13" x14ac:dyDescent="0.25">
      <c r="A21" t="str">
        <f t="shared" si="6"/>
        <v>E111</v>
      </c>
      <c r="B21">
        <v>1</v>
      </c>
      <c r="C21" t="str">
        <f t="shared" si="3"/>
        <v>10200</v>
      </c>
      <c r="D21" t="str">
        <f t="shared" si="4"/>
        <v>5620</v>
      </c>
      <c r="E21" t="str">
        <f t="shared" si="5"/>
        <v>094OMS</v>
      </c>
      <c r="F21" t="str">
        <f>""</f>
        <v/>
      </c>
      <c r="G21" t="str">
        <f>""</f>
        <v/>
      </c>
      <c r="H21" s="1">
        <v>42247</v>
      </c>
      <c r="I21" t="str">
        <f t="shared" si="8"/>
        <v>PCD00740</v>
      </c>
      <c r="J21" t="str">
        <f>""</f>
        <v/>
      </c>
      <c r="K21" t="str">
        <f t="shared" si="7"/>
        <v>AS89</v>
      </c>
      <c r="L21" t="s">
        <v>3081</v>
      </c>
      <c r="M21">
        <v>303.67</v>
      </c>
    </row>
    <row r="22" spans="1:13" x14ac:dyDescent="0.25">
      <c r="A22" t="str">
        <f t="shared" si="6"/>
        <v>E111</v>
      </c>
      <c r="B22">
        <v>1</v>
      </c>
      <c r="C22" t="str">
        <f t="shared" si="3"/>
        <v>10200</v>
      </c>
      <c r="D22" t="str">
        <f t="shared" si="4"/>
        <v>5620</v>
      </c>
      <c r="E22" t="str">
        <f t="shared" si="5"/>
        <v>094OMS</v>
      </c>
      <c r="F22" t="str">
        <f>""</f>
        <v/>
      </c>
      <c r="G22" t="str">
        <f>""</f>
        <v/>
      </c>
      <c r="H22" s="1">
        <v>42247</v>
      </c>
      <c r="I22" t="str">
        <f t="shared" si="8"/>
        <v>PCD00740</v>
      </c>
      <c r="J22" t="str">
        <f>""</f>
        <v/>
      </c>
      <c r="K22" t="str">
        <f t="shared" si="7"/>
        <v>AS89</v>
      </c>
      <c r="L22" t="s">
        <v>3080</v>
      </c>
      <c r="M22">
        <v>161.75</v>
      </c>
    </row>
    <row r="23" spans="1:13" x14ac:dyDescent="0.25">
      <c r="A23" t="str">
        <f t="shared" si="6"/>
        <v>E111</v>
      </c>
      <c r="B23">
        <v>1</v>
      </c>
      <c r="C23" t="str">
        <f t="shared" si="3"/>
        <v>10200</v>
      </c>
      <c r="D23" t="str">
        <f t="shared" si="4"/>
        <v>5620</v>
      </c>
      <c r="E23" t="str">
        <f t="shared" si="5"/>
        <v>094OMS</v>
      </c>
      <c r="F23" t="str">
        <f>""</f>
        <v/>
      </c>
      <c r="G23" t="str">
        <f>""</f>
        <v/>
      </c>
      <c r="H23" s="1">
        <v>42247</v>
      </c>
      <c r="I23" t="str">
        <f t="shared" si="8"/>
        <v>PCD00740</v>
      </c>
      <c r="J23" t="str">
        <f>""</f>
        <v/>
      </c>
      <c r="K23" t="str">
        <f t="shared" si="7"/>
        <v>AS89</v>
      </c>
      <c r="L23" t="s">
        <v>3079</v>
      </c>
      <c r="M23">
        <v>107</v>
      </c>
    </row>
    <row r="24" spans="1:13" x14ac:dyDescent="0.25">
      <c r="A24" t="str">
        <f t="shared" si="6"/>
        <v>E111</v>
      </c>
      <c r="B24">
        <v>1</v>
      </c>
      <c r="C24" t="str">
        <f t="shared" si="3"/>
        <v>10200</v>
      </c>
      <c r="D24" t="str">
        <f t="shared" si="4"/>
        <v>5620</v>
      </c>
      <c r="E24" t="str">
        <f t="shared" si="5"/>
        <v>094OMS</v>
      </c>
      <c r="F24" t="str">
        <f>""</f>
        <v/>
      </c>
      <c r="G24" t="str">
        <f>""</f>
        <v/>
      </c>
      <c r="H24" s="1">
        <v>42247</v>
      </c>
      <c r="I24" t="str">
        <f t="shared" si="8"/>
        <v>PCD00740</v>
      </c>
      <c r="J24" t="str">
        <f>""</f>
        <v/>
      </c>
      <c r="K24" t="str">
        <f t="shared" si="7"/>
        <v>AS89</v>
      </c>
      <c r="L24" t="s">
        <v>3078</v>
      </c>
      <c r="M24" s="2">
        <v>2581.58</v>
      </c>
    </row>
    <row r="25" spans="1:13" x14ac:dyDescent="0.25">
      <c r="A25" t="str">
        <f t="shared" si="6"/>
        <v>E111</v>
      </c>
      <c r="B25">
        <v>1</v>
      </c>
      <c r="C25" t="str">
        <f t="shared" si="3"/>
        <v>10200</v>
      </c>
      <c r="D25" t="str">
        <f t="shared" si="4"/>
        <v>5620</v>
      </c>
      <c r="E25" t="str">
        <f t="shared" si="5"/>
        <v>094OMS</v>
      </c>
      <c r="F25" t="str">
        <f>""</f>
        <v/>
      </c>
      <c r="G25" t="str">
        <f>""</f>
        <v/>
      </c>
      <c r="H25" s="1">
        <v>42277</v>
      </c>
      <c r="I25" t="str">
        <f>"PCD00745"</f>
        <v>PCD00745</v>
      </c>
      <c r="J25" t="str">
        <f>""</f>
        <v/>
      </c>
      <c r="K25" t="str">
        <f t="shared" si="7"/>
        <v>AS89</v>
      </c>
      <c r="L25" t="s">
        <v>3077</v>
      </c>
      <c r="M25">
        <v>156.80000000000001</v>
      </c>
    </row>
    <row r="26" spans="1:13" x14ac:dyDescent="0.25">
      <c r="A26" t="str">
        <f t="shared" si="6"/>
        <v>E111</v>
      </c>
      <c r="B26">
        <v>1</v>
      </c>
      <c r="C26" t="str">
        <f t="shared" si="3"/>
        <v>10200</v>
      </c>
      <c r="D26" t="str">
        <f t="shared" si="4"/>
        <v>5620</v>
      </c>
      <c r="E26" t="str">
        <f t="shared" si="5"/>
        <v>094OMS</v>
      </c>
      <c r="F26" t="str">
        <f>""</f>
        <v/>
      </c>
      <c r="G26" t="str">
        <f>""</f>
        <v/>
      </c>
      <c r="H26" s="1">
        <v>42277</v>
      </c>
      <c r="I26" t="str">
        <f>"PCD00745"</f>
        <v>PCD00745</v>
      </c>
      <c r="J26" t="str">
        <f>""</f>
        <v/>
      </c>
      <c r="K26" t="str">
        <f t="shared" si="7"/>
        <v>AS89</v>
      </c>
      <c r="L26" t="s">
        <v>3076</v>
      </c>
      <c r="M26">
        <v>121.06</v>
      </c>
    </row>
    <row r="27" spans="1:13" x14ac:dyDescent="0.25">
      <c r="A27" t="str">
        <f t="shared" si="6"/>
        <v>E111</v>
      </c>
      <c r="B27">
        <v>1</v>
      </c>
      <c r="C27" t="str">
        <f t="shared" si="3"/>
        <v>10200</v>
      </c>
      <c r="D27" t="str">
        <f t="shared" si="4"/>
        <v>5620</v>
      </c>
      <c r="E27" t="str">
        <f t="shared" si="5"/>
        <v>094OMS</v>
      </c>
      <c r="F27" t="str">
        <f>""</f>
        <v/>
      </c>
      <c r="G27" t="str">
        <f>""</f>
        <v/>
      </c>
      <c r="H27" s="1">
        <v>42277</v>
      </c>
      <c r="I27" t="str">
        <f>"PCD00745"</f>
        <v>PCD00745</v>
      </c>
      <c r="J27" t="str">
        <f>""</f>
        <v/>
      </c>
      <c r="K27" t="str">
        <f t="shared" si="7"/>
        <v>AS89</v>
      </c>
      <c r="L27" t="s">
        <v>3075</v>
      </c>
      <c r="M27">
        <v>398.49</v>
      </c>
    </row>
    <row r="28" spans="1:13" x14ac:dyDescent="0.25">
      <c r="A28" t="str">
        <f t="shared" si="6"/>
        <v>E111</v>
      </c>
      <c r="B28">
        <v>1</v>
      </c>
      <c r="C28" t="str">
        <f t="shared" si="3"/>
        <v>10200</v>
      </c>
      <c r="D28" t="str">
        <f t="shared" si="4"/>
        <v>5620</v>
      </c>
      <c r="E28" t="str">
        <f t="shared" si="5"/>
        <v>094OMS</v>
      </c>
      <c r="F28" t="str">
        <f>""</f>
        <v/>
      </c>
      <c r="G28" t="str">
        <f>""</f>
        <v/>
      </c>
      <c r="H28" s="1">
        <v>42307</v>
      </c>
      <c r="I28" t="str">
        <f>"PCD00749"</f>
        <v>PCD00749</v>
      </c>
      <c r="J28" t="str">
        <f>""</f>
        <v/>
      </c>
      <c r="K28" t="str">
        <f t="shared" si="7"/>
        <v>AS89</v>
      </c>
      <c r="L28" t="s">
        <v>3074</v>
      </c>
      <c r="M28" s="2">
        <v>2197.91</v>
      </c>
    </row>
    <row r="29" spans="1:13" x14ac:dyDescent="0.25">
      <c r="A29" t="str">
        <f t="shared" si="6"/>
        <v>E111</v>
      </c>
      <c r="B29">
        <v>1</v>
      </c>
      <c r="C29" t="str">
        <f t="shared" si="3"/>
        <v>10200</v>
      </c>
      <c r="D29" t="str">
        <f t="shared" si="4"/>
        <v>5620</v>
      </c>
      <c r="E29" t="str">
        <f t="shared" si="5"/>
        <v>094OMS</v>
      </c>
      <c r="F29" t="str">
        <f>""</f>
        <v/>
      </c>
      <c r="G29" t="str">
        <f>""</f>
        <v/>
      </c>
      <c r="H29" s="1">
        <v>42307</v>
      </c>
      <c r="I29" t="str">
        <f>"PCD00749"</f>
        <v>PCD00749</v>
      </c>
      <c r="J29" t="str">
        <f>""</f>
        <v/>
      </c>
      <c r="K29" t="str">
        <f t="shared" si="7"/>
        <v>AS89</v>
      </c>
      <c r="L29" t="s">
        <v>3073</v>
      </c>
      <c r="M29">
        <v>342.38</v>
      </c>
    </row>
    <row r="30" spans="1:13" x14ac:dyDescent="0.25">
      <c r="A30" t="str">
        <f t="shared" si="6"/>
        <v>E111</v>
      </c>
      <c r="B30">
        <v>1</v>
      </c>
      <c r="C30" t="str">
        <f t="shared" si="3"/>
        <v>10200</v>
      </c>
      <c r="D30" t="str">
        <f t="shared" si="4"/>
        <v>5620</v>
      </c>
      <c r="E30" t="str">
        <f t="shared" si="5"/>
        <v>094OMS</v>
      </c>
      <c r="F30" t="str">
        <f>""</f>
        <v/>
      </c>
      <c r="G30" t="str">
        <f>""</f>
        <v/>
      </c>
      <c r="H30" s="1">
        <v>42307</v>
      </c>
      <c r="I30" t="str">
        <f>"PCD00749"</f>
        <v>PCD00749</v>
      </c>
      <c r="J30" t="str">
        <f>""</f>
        <v/>
      </c>
      <c r="K30" t="str">
        <f t="shared" si="7"/>
        <v>AS89</v>
      </c>
      <c r="L30" t="s">
        <v>3072</v>
      </c>
      <c r="M30" s="2">
        <v>1683.64</v>
      </c>
    </row>
    <row r="31" spans="1:13" x14ac:dyDescent="0.25">
      <c r="A31" t="str">
        <f t="shared" si="6"/>
        <v>E111</v>
      </c>
      <c r="B31">
        <v>1</v>
      </c>
      <c r="C31" t="str">
        <f t="shared" si="3"/>
        <v>10200</v>
      </c>
      <c r="D31" t="str">
        <f t="shared" si="4"/>
        <v>5620</v>
      </c>
      <c r="E31" t="str">
        <f t="shared" si="5"/>
        <v>094OMS</v>
      </c>
      <c r="F31" t="str">
        <f>""</f>
        <v/>
      </c>
      <c r="G31" t="str">
        <f>""</f>
        <v/>
      </c>
      <c r="H31" s="1">
        <v>42307</v>
      </c>
      <c r="I31" t="str">
        <f>"PCD00749"</f>
        <v>PCD00749</v>
      </c>
      <c r="J31" t="str">
        <f>""</f>
        <v/>
      </c>
      <c r="K31" t="str">
        <f t="shared" si="7"/>
        <v>AS89</v>
      </c>
      <c r="L31" t="s">
        <v>3071</v>
      </c>
      <c r="M31">
        <v>224.99</v>
      </c>
    </row>
    <row r="32" spans="1:13" x14ac:dyDescent="0.25">
      <c r="A32" t="str">
        <f t="shared" si="6"/>
        <v>E111</v>
      </c>
      <c r="B32">
        <v>1</v>
      </c>
      <c r="C32" t="str">
        <f t="shared" si="3"/>
        <v>10200</v>
      </c>
      <c r="D32" t="str">
        <f t="shared" si="4"/>
        <v>5620</v>
      </c>
      <c r="E32" t="str">
        <f t="shared" si="5"/>
        <v>094OMS</v>
      </c>
      <c r="F32" t="str">
        <f>""</f>
        <v/>
      </c>
      <c r="G32" t="str">
        <f>""</f>
        <v/>
      </c>
      <c r="H32" s="1">
        <v>42338</v>
      </c>
      <c r="I32" t="str">
        <f>"PCD00755"</f>
        <v>PCD00755</v>
      </c>
      <c r="J32" t="str">
        <f>""</f>
        <v/>
      </c>
      <c r="K32" t="str">
        <f t="shared" si="7"/>
        <v>AS89</v>
      </c>
      <c r="L32" t="s">
        <v>3070</v>
      </c>
      <c r="M32">
        <v>141.57</v>
      </c>
    </row>
    <row r="33" spans="1:13" x14ac:dyDescent="0.25">
      <c r="A33" t="str">
        <f t="shared" si="6"/>
        <v>E111</v>
      </c>
      <c r="B33">
        <v>1</v>
      </c>
      <c r="C33" t="str">
        <f t="shared" si="3"/>
        <v>10200</v>
      </c>
      <c r="D33" t="str">
        <f t="shared" si="4"/>
        <v>5620</v>
      </c>
      <c r="E33" t="str">
        <f t="shared" si="5"/>
        <v>094OMS</v>
      </c>
      <c r="F33" t="str">
        <f>""</f>
        <v/>
      </c>
      <c r="G33" t="str">
        <f>""</f>
        <v/>
      </c>
      <c r="H33" s="1">
        <v>42369</v>
      </c>
      <c r="I33" t="str">
        <f>"PCD00760"</f>
        <v>PCD00760</v>
      </c>
      <c r="J33" t="str">
        <f>""</f>
        <v/>
      </c>
      <c r="K33" t="str">
        <f t="shared" si="7"/>
        <v>AS89</v>
      </c>
      <c r="L33" t="s">
        <v>3057</v>
      </c>
      <c r="M33">
        <v>121.28</v>
      </c>
    </row>
    <row r="34" spans="1:13" x14ac:dyDescent="0.25">
      <c r="A34" t="str">
        <f t="shared" si="6"/>
        <v>E111</v>
      </c>
      <c r="B34">
        <v>1</v>
      </c>
      <c r="C34" t="str">
        <f t="shared" si="3"/>
        <v>10200</v>
      </c>
      <c r="D34" t="str">
        <f t="shared" si="4"/>
        <v>5620</v>
      </c>
      <c r="E34" t="str">
        <f t="shared" si="5"/>
        <v>094OMS</v>
      </c>
      <c r="F34" t="str">
        <f>""</f>
        <v/>
      </c>
      <c r="G34" t="str">
        <f>""</f>
        <v/>
      </c>
      <c r="H34" s="1">
        <v>42430</v>
      </c>
      <c r="I34" t="str">
        <f>"PHY00664"</f>
        <v>PHY00664</v>
      </c>
      <c r="J34" t="str">
        <f>"W0163750"</f>
        <v>W0163750</v>
      </c>
      <c r="K34" t="str">
        <f t="shared" si="7"/>
        <v>AS89</v>
      </c>
      <c r="L34" t="s">
        <v>3069</v>
      </c>
      <c r="M34">
        <v>103.9</v>
      </c>
    </row>
    <row r="35" spans="1:13" x14ac:dyDescent="0.25">
      <c r="A35" t="str">
        <f t="shared" si="6"/>
        <v>E111</v>
      </c>
      <c r="B35">
        <v>1</v>
      </c>
      <c r="C35" t="str">
        <f t="shared" si="3"/>
        <v>10200</v>
      </c>
      <c r="D35" t="str">
        <f t="shared" si="4"/>
        <v>5620</v>
      </c>
      <c r="E35" t="str">
        <f t="shared" si="5"/>
        <v>094OMS</v>
      </c>
      <c r="F35" t="str">
        <f>""</f>
        <v/>
      </c>
      <c r="G35" t="str">
        <f>""</f>
        <v/>
      </c>
      <c r="H35" s="1">
        <v>42468</v>
      </c>
      <c r="I35" t="str">
        <f>"C0023928"</f>
        <v>C0023928</v>
      </c>
      <c r="J35" t="str">
        <f>""</f>
        <v/>
      </c>
      <c r="K35" t="str">
        <f>"ISSU"</f>
        <v>ISSU</v>
      </c>
      <c r="L35" t="s">
        <v>3062</v>
      </c>
      <c r="M35">
        <v>106.97</v>
      </c>
    </row>
    <row r="36" spans="1:13" x14ac:dyDescent="0.25">
      <c r="A36" t="str">
        <f t="shared" si="6"/>
        <v>E111</v>
      </c>
      <c r="B36">
        <v>1</v>
      </c>
      <c r="C36" t="str">
        <f t="shared" ref="C36:C80" si="9">"43000"</f>
        <v>43000</v>
      </c>
      <c r="D36" t="str">
        <f t="shared" si="4"/>
        <v>5620</v>
      </c>
      <c r="E36" t="str">
        <f t="shared" ref="E36:E45" si="10">"850LOS"</f>
        <v>850LOS</v>
      </c>
      <c r="F36" t="str">
        <f>"PKOLOT"</f>
        <v>PKOLOT</v>
      </c>
      <c r="G36" t="str">
        <f>""</f>
        <v/>
      </c>
      <c r="H36" s="1">
        <v>42247</v>
      </c>
      <c r="I36" t="str">
        <f>"PCD00740"</f>
        <v>PCD00740</v>
      </c>
      <c r="J36" t="str">
        <f>""</f>
        <v/>
      </c>
      <c r="K36" t="str">
        <f>"AS89"</f>
        <v>AS89</v>
      </c>
      <c r="L36" t="s">
        <v>3068</v>
      </c>
      <c r="M36">
        <v>152.38</v>
      </c>
    </row>
    <row r="37" spans="1:13" x14ac:dyDescent="0.25">
      <c r="A37" t="str">
        <f t="shared" si="6"/>
        <v>E111</v>
      </c>
      <c r="B37">
        <v>1</v>
      </c>
      <c r="C37" t="str">
        <f t="shared" si="9"/>
        <v>43000</v>
      </c>
      <c r="D37" t="str">
        <f t="shared" si="4"/>
        <v>5620</v>
      </c>
      <c r="E37" t="str">
        <f t="shared" si="10"/>
        <v>850LOS</v>
      </c>
      <c r="F37" t="str">
        <f>""</f>
        <v/>
      </c>
      <c r="G37" t="str">
        <f>""</f>
        <v/>
      </c>
      <c r="H37" s="1">
        <v>42216</v>
      </c>
      <c r="I37" t="str">
        <f>"PCD00735"</f>
        <v>PCD00735</v>
      </c>
      <c r="J37" t="str">
        <f>""</f>
        <v/>
      </c>
      <c r="K37" t="str">
        <f>"AS89"</f>
        <v>AS89</v>
      </c>
      <c r="L37" t="s">
        <v>3061</v>
      </c>
      <c r="M37">
        <v>893.76</v>
      </c>
    </row>
    <row r="38" spans="1:13" x14ac:dyDescent="0.25">
      <c r="A38" t="str">
        <f t="shared" si="6"/>
        <v>E111</v>
      </c>
      <c r="B38">
        <v>1</v>
      </c>
      <c r="C38" t="str">
        <f t="shared" si="9"/>
        <v>43000</v>
      </c>
      <c r="D38" t="str">
        <f t="shared" si="4"/>
        <v>5620</v>
      </c>
      <c r="E38" t="str">
        <f t="shared" si="10"/>
        <v>850LOS</v>
      </c>
      <c r="F38" t="str">
        <f>""</f>
        <v/>
      </c>
      <c r="G38" t="str">
        <f>""</f>
        <v/>
      </c>
      <c r="H38" s="1">
        <v>42277</v>
      </c>
      <c r="I38" t="str">
        <f>"BKS01527"</f>
        <v>BKS01527</v>
      </c>
      <c r="J38" t="str">
        <f>"770867"</f>
        <v>770867</v>
      </c>
      <c r="K38" t="str">
        <f>"AS89"</f>
        <v>AS89</v>
      </c>
      <c r="L38" t="s">
        <v>746</v>
      </c>
      <c r="M38">
        <v>199.76</v>
      </c>
    </row>
    <row r="39" spans="1:13" x14ac:dyDescent="0.25">
      <c r="A39" t="str">
        <f t="shared" si="6"/>
        <v>E111</v>
      </c>
      <c r="B39">
        <v>1</v>
      </c>
      <c r="C39" t="str">
        <f t="shared" si="9"/>
        <v>43000</v>
      </c>
      <c r="D39" t="str">
        <f t="shared" si="4"/>
        <v>5620</v>
      </c>
      <c r="E39" t="str">
        <f t="shared" si="10"/>
        <v>850LOS</v>
      </c>
      <c r="F39" t="str">
        <f>""</f>
        <v/>
      </c>
      <c r="G39" t="str">
        <f>""</f>
        <v/>
      </c>
      <c r="H39" s="1">
        <v>42277</v>
      </c>
      <c r="I39" t="str">
        <f>"PCD00745"</f>
        <v>PCD00745</v>
      </c>
      <c r="J39" t="str">
        <f>""</f>
        <v/>
      </c>
      <c r="K39" t="str">
        <f>"AS89"</f>
        <v>AS89</v>
      </c>
      <c r="L39" t="s">
        <v>3060</v>
      </c>
      <c r="M39" s="2">
        <v>1151.52</v>
      </c>
    </row>
    <row r="40" spans="1:13" x14ac:dyDescent="0.25">
      <c r="A40" t="str">
        <f t="shared" si="6"/>
        <v>E111</v>
      </c>
      <c r="B40">
        <v>1</v>
      </c>
      <c r="C40" t="str">
        <f t="shared" si="9"/>
        <v>43000</v>
      </c>
      <c r="D40" t="str">
        <f t="shared" si="4"/>
        <v>5620</v>
      </c>
      <c r="E40" t="str">
        <f t="shared" si="10"/>
        <v>850LOS</v>
      </c>
      <c r="F40" t="str">
        <f>""</f>
        <v/>
      </c>
      <c r="G40" t="str">
        <f>""</f>
        <v/>
      </c>
      <c r="H40" s="1">
        <v>42277</v>
      </c>
      <c r="I40" t="str">
        <f>"PCD00745"</f>
        <v>PCD00745</v>
      </c>
      <c r="J40" t="str">
        <f>""</f>
        <v/>
      </c>
      <c r="K40" t="str">
        <f>"AS89"</f>
        <v>AS89</v>
      </c>
      <c r="L40" t="s">
        <v>3059</v>
      </c>
      <c r="M40">
        <v>100.18</v>
      </c>
    </row>
    <row r="41" spans="1:13" x14ac:dyDescent="0.25">
      <c r="A41" t="str">
        <f t="shared" si="6"/>
        <v>E111</v>
      </c>
      <c r="B41">
        <v>1</v>
      </c>
      <c r="C41" t="str">
        <f t="shared" si="9"/>
        <v>43000</v>
      </c>
      <c r="D41" t="str">
        <f t="shared" si="4"/>
        <v>5620</v>
      </c>
      <c r="E41" t="str">
        <f t="shared" si="10"/>
        <v>850LOS</v>
      </c>
      <c r="F41" t="str">
        <f>""</f>
        <v/>
      </c>
      <c r="G41" t="str">
        <f>""</f>
        <v/>
      </c>
      <c r="H41" s="1">
        <v>42289</v>
      </c>
      <c r="I41" t="str">
        <f>"C0023251"</f>
        <v>C0023251</v>
      </c>
      <c r="J41" t="str">
        <f>""</f>
        <v/>
      </c>
      <c r="K41" t="str">
        <f>"ISSU"</f>
        <v>ISSU</v>
      </c>
      <c r="L41" t="s">
        <v>2745</v>
      </c>
      <c r="M41">
        <v>213.99</v>
      </c>
    </row>
    <row r="42" spans="1:13" x14ac:dyDescent="0.25">
      <c r="A42" t="str">
        <f t="shared" si="6"/>
        <v>E111</v>
      </c>
      <c r="B42">
        <v>1</v>
      </c>
      <c r="C42" t="str">
        <f t="shared" si="9"/>
        <v>43000</v>
      </c>
      <c r="D42" t="str">
        <f t="shared" si="4"/>
        <v>5620</v>
      </c>
      <c r="E42" t="str">
        <f t="shared" si="10"/>
        <v>850LOS</v>
      </c>
      <c r="F42" t="str">
        <f>""</f>
        <v/>
      </c>
      <c r="G42" t="str">
        <f>""</f>
        <v/>
      </c>
      <c r="H42" s="1">
        <v>42338</v>
      </c>
      <c r="I42" t="str">
        <f>"PCD00755"</f>
        <v>PCD00755</v>
      </c>
      <c r="J42" t="str">
        <f>""</f>
        <v/>
      </c>
      <c r="K42" t="str">
        <f>"AS89"</f>
        <v>AS89</v>
      </c>
      <c r="L42" t="s">
        <v>3058</v>
      </c>
      <c r="M42">
        <v>543.17999999999995</v>
      </c>
    </row>
    <row r="43" spans="1:13" x14ac:dyDescent="0.25">
      <c r="A43" t="str">
        <f t="shared" si="6"/>
        <v>E111</v>
      </c>
      <c r="B43">
        <v>1</v>
      </c>
      <c r="C43" t="str">
        <f t="shared" si="9"/>
        <v>43000</v>
      </c>
      <c r="D43" t="str">
        <f t="shared" si="4"/>
        <v>5620</v>
      </c>
      <c r="E43" t="str">
        <f t="shared" si="10"/>
        <v>850LOS</v>
      </c>
      <c r="F43" t="str">
        <f>""</f>
        <v/>
      </c>
      <c r="G43" t="str">
        <f>""</f>
        <v/>
      </c>
      <c r="H43" s="1">
        <v>42340</v>
      </c>
      <c r="I43" t="str">
        <f>"C0023443"</f>
        <v>C0023443</v>
      </c>
      <c r="J43" t="str">
        <f>""</f>
        <v/>
      </c>
      <c r="K43" t="str">
        <f>"ISSU"</f>
        <v>ISSU</v>
      </c>
      <c r="L43" t="s">
        <v>2745</v>
      </c>
      <c r="M43">
        <v>427.97</v>
      </c>
    </row>
    <row r="44" spans="1:13" x14ac:dyDescent="0.25">
      <c r="A44" t="str">
        <f t="shared" si="6"/>
        <v>E111</v>
      </c>
      <c r="B44">
        <v>1</v>
      </c>
      <c r="C44" t="str">
        <f t="shared" si="9"/>
        <v>43000</v>
      </c>
      <c r="D44" t="str">
        <f t="shared" si="4"/>
        <v>5620</v>
      </c>
      <c r="E44" t="str">
        <f t="shared" si="10"/>
        <v>850LOS</v>
      </c>
      <c r="F44" t="str">
        <f>""</f>
        <v/>
      </c>
      <c r="G44" t="str">
        <f>""</f>
        <v/>
      </c>
      <c r="H44" s="1">
        <v>42369</v>
      </c>
      <c r="I44" t="str">
        <f>"PCD00760"</f>
        <v>PCD00760</v>
      </c>
      <c r="J44" t="str">
        <f>""</f>
        <v/>
      </c>
      <c r="K44" t="str">
        <f>"AS89"</f>
        <v>AS89</v>
      </c>
      <c r="L44" t="s">
        <v>3057</v>
      </c>
      <c r="M44">
        <v>363.85</v>
      </c>
    </row>
    <row r="45" spans="1:13" x14ac:dyDescent="0.25">
      <c r="A45" t="str">
        <f t="shared" si="6"/>
        <v>E111</v>
      </c>
      <c r="B45">
        <v>1</v>
      </c>
      <c r="C45" t="str">
        <f t="shared" si="9"/>
        <v>43000</v>
      </c>
      <c r="D45" t="str">
        <f t="shared" si="4"/>
        <v>5620</v>
      </c>
      <c r="E45" t="str">
        <f t="shared" si="10"/>
        <v>850LOS</v>
      </c>
      <c r="F45" t="str">
        <f>""</f>
        <v/>
      </c>
      <c r="G45" t="str">
        <f>""</f>
        <v/>
      </c>
      <c r="H45" s="1">
        <v>42468</v>
      </c>
      <c r="I45" t="str">
        <f>"C0023928"</f>
        <v>C0023928</v>
      </c>
      <c r="J45" t="str">
        <f>""</f>
        <v/>
      </c>
      <c r="K45" t="str">
        <f>"ISSU"</f>
        <v>ISSU</v>
      </c>
      <c r="L45" t="s">
        <v>3062</v>
      </c>
      <c r="M45">
        <v>106.96</v>
      </c>
    </row>
    <row r="46" spans="1:13" x14ac:dyDescent="0.25">
      <c r="A46" t="str">
        <f t="shared" ref="A46:A81" si="11">"E111"</f>
        <v>E111</v>
      </c>
      <c r="B46">
        <v>1</v>
      </c>
      <c r="C46" t="str">
        <f t="shared" si="9"/>
        <v>43000</v>
      </c>
      <c r="D46" t="str">
        <f t="shared" si="4"/>
        <v>5620</v>
      </c>
      <c r="E46" t="str">
        <f>"850PAY"</f>
        <v>850PAY</v>
      </c>
      <c r="F46" t="str">
        <f>""</f>
        <v/>
      </c>
      <c r="G46" t="str">
        <f>""</f>
        <v/>
      </c>
      <c r="H46" s="1">
        <v>42216</v>
      </c>
      <c r="I46" t="str">
        <f>"PCD00735"</f>
        <v>PCD00735</v>
      </c>
      <c r="J46" t="str">
        <f>""</f>
        <v/>
      </c>
      <c r="K46" t="str">
        <f t="shared" ref="K46:K51" si="12">"AS89"</f>
        <v>AS89</v>
      </c>
      <c r="L46" t="s">
        <v>3056</v>
      </c>
      <c r="M46">
        <v>499.92</v>
      </c>
    </row>
    <row r="47" spans="1:13" x14ac:dyDescent="0.25">
      <c r="A47" t="str">
        <f t="shared" si="11"/>
        <v>E111</v>
      </c>
      <c r="B47">
        <v>1</v>
      </c>
      <c r="C47" t="str">
        <f t="shared" si="9"/>
        <v>43000</v>
      </c>
      <c r="D47" t="str">
        <f t="shared" si="4"/>
        <v>5620</v>
      </c>
      <c r="E47" t="str">
        <f>"850PKE"</f>
        <v>850PKE</v>
      </c>
      <c r="F47" t="str">
        <f>""</f>
        <v/>
      </c>
      <c r="G47" t="str">
        <f>""</f>
        <v/>
      </c>
      <c r="H47" s="1">
        <v>42247</v>
      </c>
      <c r="I47" t="str">
        <f>"PCD00740"</f>
        <v>PCD00740</v>
      </c>
      <c r="J47" t="str">
        <f>""</f>
        <v/>
      </c>
      <c r="K47" t="str">
        <f t="shared" si="12"/>
        <v>AS89</v>
      </c>
      <c r="L47" t="s">
        <v>3052</v>
      </c>
      <c r="M47">
        <v>108</v>
      </c>
    </row>
    <row r="48" spans="1:13" x14ac:dyDescent="0.25">
      <c r="A48" t="str">
        <f t="shared" si="11"/>
        <v>E111</v>
      </c>
      <c r="B48">
        <v>1</v>
      </c>
      <c r="C48" t="str">
        <f t="shared" si="9"/>
        <v>43000</v>
      </c>
      <c r="D48" t="str">
        <f t="shared" si="4"/>
        <v>5620</v>
      </c>
      <c r="E48" t="str">
        <f>"850PKE"</f>
        <v>850PKE</v>
      </c>
      <c r="F48" t="str">
        <f>""</f>
        <v/>
      </c>
      <c r="G48" t="str">
        <f>""</f>
        <v/>
      </c>
      <c r="H48" s="1">
        <v>42338</v>
      </c>
      <c r="I48" t="str">
        <f>"PCD00755"</f>
        <v>PCD00755</v>
      </c>
      <c r="J48" t="str">
        <f>""</f>
        <v/>
      </c>
      <c r="K48" t="str">
        <f t="shared" si="12"/>
        <v>AS89</v>
      </c>
      <c r="L48" t="s">
        <v>3051</v>
      </c>
      <c r="M48">
        <v>112.56</v>
      </c>
    </row>
    <row r="49" spans="1:13" x14ac:dyDescent="0.25">
      <c r="A49" t="str">
        <f t="shared" si="11"/>
        <v>E111</v>
      </c>
      <c r="B49">
        <v>1</v>
      </c>
      <c r="C49" t="str">
        <f t="shared" si="9"/>
        <v>43000</v>
      </c>
      <c r="D49" t="str">
        <f t="shared" si="4"/>
        <v>5620</v>
      </c>
      <c r="E49" t="str">
        <f>"850PKE"</f>
        <v>850PKE</v>
      </c>
      <c r="F49" t="str">
        <f>""</f>
        <v/>
      </c>
      <c r="G49" t="str">
        <f>""</f>
        <v/>
      </c>
      <c r="H49" s="1">
        <v>42338</v>
      </c>
      <c r="I49" t="str">
        <f>"PCD00755"</f>
        <v>PCD00755</v>
      </c>
      <c r="J49" t="str">
        <f>""</f>
        <v/>
      </c>
      <c r="K49" t="str">
        <f t="shared" si="12"/>
        <v>AS89</v>
      </c>
      <c r="L49" t="s">
        <v>3050</v>
      </c>
      <c r="M49" s="2">
        <v>1107.03</v>
      </c>
    </row>
    <row r="50" spans="1:13" x14ac:dyDescent="0.25">
      <c r="A50" t="str">
        <f t="shared" si="11"/>
        <v>E111</v>
      </c>
      <c r="B50">
        <v>1</v>
      </c>
      <c r="C50" t="str">
        <f t="shared" si="9"/>
        <v>43000</v>
      </c>
      <c r="D50" t="str">
        <f t="shared" si="4"/>
        <v>5620</v>
      </c>
      <c r="E50" t="str">
        <f>"850PKE"</f>
        <v>850PKE</v>
      </c>
      <c r="F50" t="str">
        <f>""</f>
        <v/>
      </c>
      <c r="G50" t="str">
        <f>""</f>
        <v/>
      </c>
      <c r="H50" s="1">
        <v>42369</v>
      </c>
      <c r="I50" t="str">
        <f>"PCD00760"</f>
        <v>PCD00760</v>
      </c>
      <c r="J50" t="str">
        <f>""</f>
        <v/>
      </c>
      <c r="K50" t="str">
        <f t="shared" si="12"/>
        <v>AS89</v>
      </c>
      <c r="L50" t="s">
        <v>3049</v>
      </c>
      <c r="M50">
        <v>644.35</v>
      </c>
    </row>
    <row r="51" spans="1:13" x14ac:dyDescent="0.25">
      <c r="A51" t="str">
        <f t="shared" si="11"/>
        <v>E111</v>
      </c>
      <c r="B51">
        <v>1</v>
      </c>
      <c r="C51" t="str">
        <f t="shared" si="9"/>
        <v>43000</v>
      </c>
      <c r="D51" t="str">
        <f t="shared" si="4"/>
        <v>5620</v>
      </c>
      <c r="E51" t="str">
        <f>"850PKE"</f>
        <v>850PKE</v>
      </c>
      <c r="F51" t="str">
        <f>""</f>
        <v/>
      </c>
      <c r="G51" t="str">
        <f>""</f>
        <v/>
      </c>
      <c r="H51" s="1">
        <v>42460</v>
      </c>
      <c r="I51" t="str">
        <f>"PCD00775"</f>
        <v>PCD00775</v>
      </c>
      <c r="J51" t="str">
        <f>""</f>
        <v/>
      </c>
      <c r="K51" t="str">
        <f t="shared" si="12"/>
        <v>AS89</v>
      </c>
      <c r="L51" t="s">
        <v>3048</v>
      </c>
      <c r="M51">
        <v>130.15</v>
      </c>
    </row>
    <row r="52" spans="1:13" x14ac:dyDescent="0.25">
      <c r="A52" t="str">
        <f t="shared" si="11"/>
        <v>E111</v>
      </c>
      <c r="B52">
        <v>1</v>
      </c>
      <c r="C52" t="str">
        <f t="shared" si="9"/>
        <v>43000</v>
      </c>
      <c r="D52" t="str">
        <f t="shared" ref="D52:D80" si="13">"5740"</f>
        <v>5740</v>
      </c>
      <c r="E52" t="str">
        <f>"850ALT"</f>
        <v>850ALT</v>
      </c>
      <c r="F52" t="str">
        <f>""</f>
        <v/>
      </c>
      <c r="G52" t="str">
        <f>""</f>
        <v/>
      </c>
      <c r="H52" s="1">
        <v>42535</v>
      </c>
      <c r="I52" t="str">
        <f>"ACG02686"</f>
        <v>ACG02686</v>
      </c>
      <c r="J52" t="str">
        <f>"PCD00740"</f>
        <v>PCD00740</v>
      </c>
      <c r="K52" t="str">
        <f>"AS96"</f>
        <v>AS96</v>
      </c>
      <c r="L52" t="s">
        <v>3047</v>
      </c>
      <c r="M52">
        <v>203.74</v>
      </c>
    </row>
    <row r="53" spans="1:13" x14ac:dyDescent="0.25">
      <c r="A53" t="str">
        <f t="shared" si="11"/>
        <v>E111</v>
      </c>
      <c r="B53">
        <v>1</v>
      </c>
      <c r="C53" t="str">
        <f t="shared" si="9"/>
        <v>43000</v>
      </c>
      <c r="D53" t="str">
        <f t="shared" si="13"/>
        <v>5740</v>
      </c>
      <c r="E53" t="str">
        <f t="shared" ref="E53:E71" si="14">"850LOS"</f>
        <v>850LOS</v>
      </c>
      <c r="F53" t="str">
        <f>"PKOLOT"</f>
        <v>PKOLOT</v>
      </c>
      <c r="G53" t="str">
        <f>""</f>
        <v/>
      </c>
      <c r="H53" s="1">
        <v>42535</v>
      </c>
      <c r="I53" t="str">
        <f>"ACG02686"</f>
        <v>ACG02686</v>
      </c>
      <c r="J53" t="str">
        <f>"PCD00740"</f>
        <v>PCD00740</v>
      </c>
      <c r="K53" t="str">
        <f>"AS96"</f>
        <v>AS96</v>
      </c>
      <c r="L53" t="s">
        <v>3068</v>
      </c>
      <c r="M53">
        <v>152.38</v>
      </c>
    </row>
    <row r="54" spans="1:13" x14ac:dyDescent="0.25">
      <c r="A54" t="str">
        <f t="shared" si="11"/>
        <v>E111</v>
      </c>
      <c r="B54">
        <v>1</v>
      </c>
      <c r="C54" t="str">
        <f t="shared" si="9"/>
        <v>43000</v>
      </c>
      <c r="D54" t="str">
        <f t="shared" si="13"/>
        <v>5740</v>
      </c>
      <c r="E54" t="str">
        <f t="shared" si="14"/>
        <v>850LOS</v>
      </c>
      <c r="F54" t="str">
        <f>""</f>
        <v/>
      </c>
      <c r="G54" t="str">
        <f>""</f>
        <v/>
      </c>
      <c r="H54" s="1">
        <v>42308</v>
      </c>
      <c r="I54" t="str">
        <f>"PCD00750"</f>
        <v>PCD00750</v>
      </c>
      <c r="J54" t="str">
        <f>""</f>
        <v/>
      </c>
      <c r="K54" t="str">
        <f>"AS89"</f>
        <v>AS89</v>
      </c>
      <c r="L54" t="s">
        <v>3067</v>
      </c>
      <c r="M54" s="2">
        <v>1425.97</v>
      </c>
    </row>
    <row r="55" spans="1:13" x14ac:dyDescent="0.25">
      <c r="A55" t="str">
        <f t="shared" si="11"/>
        <v>E111</v>
      </c>
      <c r="B55">
        <v>1</v>
      </c>
      <c r="C55" t="str">
        <f t="shared" si="9"/>
        <v>43000</v>
      </c>
      <c r="D55" t="str">
        <f t="shared" si="13"/>
        <v>5740</v>
      </c>
      <c r="E55" t="str">
        <f t="shared" si="14"/>
        <v>850LOS</v>
      </c>
      <c r="F55" t="str">
        <f>""</f>
        <v/>
      </c>
      <c r="G55" t="str">
        <f>""</f>
        <v/>
      </c>
      <c r="H55" s="1">
        <v>42308</v>
      </c>
      <c r="I55" t="str">
        <f>"PCD00750"</f>
        <v>PCD00750</v>
      </c>
      <c r="J55" t="str">
        <f>""</f>
        <v/>
      </c>
      <c r="K55" t="str">
        <f>"AS89"</f>
        <v>AS89</v>
      </c>
      <c r="L55" t="s">
        <v>3066</v>
      </c>
      <c r="M55">
        <v>124.06</v>
      </c>
    </row>
    <row r="56" spans="1:13" x14ac:dyDescent="0.25">
      <c r="A56" t="str">
        <f t="shared" si="11"/>
        <v>E111</v>
      </c>
      <c r="B56">
        <v>1</v>
      </c>
      <c r="C56" t="str">
        <f t="shared" si="9"/>
        <v>43000</v>
      </c>
      <c r="D56" t="str">
        <f t="shared" si="13"/>
        <v>5740</v>
      </c>
      <c r="E56" t="str">
        <f t="shared" si="14"/>
        <v>850LOS</v>
      </c>
      <c r="F56" t="str">
        <f>""</f>
        <v/>
      </c>
      <c r="G56" t="str">
        <f>""</f>
        <v/>
      </c>
      <c r="H56" s="1">
        <v>42400</v>
      </c>
      <c r="I56" t="str">
        <f>"PCD00765"</f>
        <v>PCD00765</v>
      </c>
      <c r="J56" t="str">
        <f>""</f>
        <v/>
      </c>
      <c r="K56" t="str">
        <f>"AS89"</f>
        <v>AS89</v>
      </c>
      <c r="L56" t="s">
        <v>3065</v>
      </c>
      <c r="M56">
        <v>220.3</v>
      </c>
    </row>
    <row r="57" spans="1:13" x14ac:dyDescent="0.25">
      <c r="A57" t="str">
        <f t="shared" si="11"/>
        <v>E111</v>
      </c>
      <c r="B57">
        <v>1</v>
      </c>
      <c r="C57" t="str">
        <f t="shared" si="9"/>
        <v>43000</v>
      </c>
      <c r="D57" t="str">
        <f t="shared" si="13"/>
        <v>5740</v>
      </c>
      <c r="E57" t="str">
        <f t="shared" si="14"/>
        <v>850LOS</v>
      </c>
      <c r="F57" t="str">
        <f>""</f>
        <v/>
      </c>
      <c r="G57" t="str">
        <f>""</f>
        <v/>
      </c>
      <c r="H57" s="1">
        <v>42400</v>
      </c>
      <c r="I57" t="str">
        <f>"PCD00765"</f>
        <v>PCD00765</v>
      </c>
      <c r="J57" t="str">
        <f>""</f>
        <v/>
      </c>
      <c r="K57" t="str">
        <f>"AS89"</f>
        <v>AS89</v>
      </c>
      <c r="L57" t="s">
        <v>3064</v>
      </c>
      <c r="M57">
        <v>324.33</v>
      </c>
    </row>
    <row r="58" spans="1:13" x14ac:dyDescent="0.25">
      <c r="A58" t="str">
        <f t="shared" si="11"/>
        <v>E111</v>
      </c>
      <c r="B58">
        <v>1</v>
      </c>
      <c r="C58" t="str">
        <f t="shared" si="9"/>
        <v>43000</v>
      </c>
      <c r="D58" t="str">
        <f t="shared" si="13"/>
        <v>5740</v>
      </c>
      <c r="E58" t="str">
        <f t="shared" si="14"/>
        <v>850LOS</v>
      </c>
      <c r="F58" t="str">
        <f>""</f>
        <v/>
      </c>
      <c r="G58" t="str">
        <f>""</f>
        <v/>
      </c>
      <c r="H58" s="1">
        <v>42405</v>
      </c>
      <c r="I58" t="str">
        <f>"PCD00766"</f>
        <v>PCD00766</v>
      </c>
      <c r="J58" t="str">
        <f>""</f>
        <v/>
      </c>
      <c r="K58" t="str">
        <f>"AS89"</f>
        <v>AS89</v>
      </c>
      <c r="L58" t="s">
        <v>3063</v>
      </c>
      <c r="M58">
        <v>119.92</v>
      </c>
    </row>
    <row r="59" spans="1:13" x14ac:dyDescent="0.25">
      <c r="A59" t="str">
        <f t="shared" si="11"/>
        <v>E111</v>
      </c>
      <c r="B59">
        <v>1</v>
      </c>
      <c r="C59" t="str">
        <f t="shared" si="9"/>
        <v>43000</v>
      </c>
      <c r="D59" t="str">
        <f t="shared" si="13"/>
        <v>5740</v>
      </c>
      <c r="E59" t="str">
        <f t="shared" si="14"/>
        <v>850LOS</v>
      </c>
      <c r="F59" t="str">
        <f>""</f>
        <v/>
      </c>
      <c r="G59" t="str">
        <f>""</f>
        <v/>
      </c>
      <c r="H59" s="1">
        <v>42508</v>
      </c>
      <c r="I59" t="str">
        <f>"I0130097"</f>
        <v>I0130097</v>
      </c>
      <c r="J59" t="str">
        <f>"P1002782"</f>
        <v>P1002782</v>
      </c>
      <c r="K59" t="str">
        <f>"INEI"</f>
        <v>INEI</v>
      </c>
      <c r="L59" t="s">
        <v>1638</v>
      </c>
      <c r="M59">
        <v>119.9</v>
      </c>
    </row>
    <row r="60" spans="1:13" x14ac:dyDescent="0.25">
      <c r="A60" t="str">
        <f t="shared" si="11"/>
        <v>E111</v>
      </c>
      <c r="B60">
        <v>1</v>
      </c>
      <c r="C60" t="str">
        <f t="shared" si="9"/>
        <v>43000</v>
      </c>
      <c r="D60" t="str">
        <f t="shared" si="13"/>
        <v>5740</v>
      </c>
      <c r="E60" t="str">
        <f t="shared" si="14"/>
        <v>850LOS</v>
      </c>
      <c r="F60" t="str">
        <f>""</f>
        <v/>
      </c>
      <c r="G60" t="str">
        <f>""</f>
        <v/>
      </c>
      <c r="H60" s="1">
        <v>42529</v>
      </c>
      <c r="I60" t="str">
        <f>"I0131443"</f>
        <v>I0131443</v>
      </c>
      <c r="J60" t="str">
        <f>""</f>
        <v/>
      </c>
      <c r="K60" t="str">
        <f>"INNI"</f>
        <v>INNI</v>
      </c>
      <c r="L60" t="s">
        <v>2133</v>
      </c>
      <c r="M60" s="2">
        <v>1939.64</v>
      </c>
    </row>
    <row r="61" spans="1:13" x14ac:dyDescent="0.25">
      <c r="A61" t="str">
        <f t="shared" si="11"/>
        <v>E111</v>
      </c>
      <c r="B61">
        <v>1</v>
      </c>
      <c r="C61" t="str">
        <f t="shared" si="9"/>
        <v>43000</v>
      </c>
      <c r="D61" t="str">
        <f t="shared" si="13"/>
        <v>5740</v>
      </c>
      <c r="E61" t="str">
        <f t="shared" si="14"/>
        <v>850LOS</v>
      </c>
      <c r="F61" t="str">
        <f>""</f>
        <v/>
      </c>
      <c r="G61" t="str">
        <f>""</f>
        <v/>
      </c>
      <c r="H61" s="1">
        <v>42535</v>
      </c>
      <c r="I61" t="str">
        <f t="shared" ref="I61:I72" si="15">"ACG02686"</f>
        <v>ACG02686</v>
      </c>
      <c r="J61" t="str">
        <f>"770867"</f>
        <v>770867</v>
      </c>
      <c r="K61" t="str">
        <f t="shared" ref="K61:K72" si="16">"AS96"</f>
        <v>AS96</v>
      </c>
      <c r="L61" t="s">
        <v>746</v>
      </c>
      <c r="M61">
        <v>199.76</v>
      </c>
    </row>
    <row r="62" spans="1:13" x14ac:dyDescent="0.25">
      <c r="A62" t="str">
        <f t="shared" si="11"/>
        <v>E111</v>
      </c>
      <c r="B62">
        <v>1</v>
      </c>
      <c r="C62" t="str">
        <f t="shared" si="9"/>
        <v>43000</v>
      </c>
      <c r="D62" t="str">
        <f t="shared" si="13"/>
        <v>5740</v>
      </c>
      <c r="E62" t="str">
        <f t="shared" si="14"/>
        <v>850LOS</v>
      </c>
      <c r="F62" t="str">
        <f>""</f>
        <v/>
      </c>
      <c r="G62" t="str">
        <f>""</f>
        <v/>
      </c>
      <c r="H62" s="1">
        <v>42535</v>
      </c>
      <c r="I62" t="str">
        <f t="shared" si="15"/>
        <v>ACG02686</v>
      </c>
      <c r="J62" t="str">
        <f>"C0023251"</f>
        <v>C0023251</v>
      </c>
      <c r="K62" t="str">
        <f t="shared" si="16"/>
        <v>AS96</v>
      </c>
      <c r="L62" t="s">
        <v>2745</v>
      </c>
      <c r="M62">
        <v>213.99</v>
      </c>
    </row>
    <row r="63" spans="1:13" x14ac:dyDescent="0.25">
      <c r="A63" t="str">
        <f t="shared" si="11"/>
        <v>E111</v>
      </c>
      <c r="B63">
        <v>1</v>
      </c>
      <c r="C63" t="str">
        <f t="shared" si="9"/>
        <v>43000</v>
      </c>
      <c r="D63" t="str">
        <f t="shared" si="13"/>
        <v>5740</v>
      </c>
      <c r="E63" t="str">
        <f t="shared" si="14"/>
        <v>850LOS</v>
      </c>
      <c r="F63" t="str">
        <f>""</f>
        <v/>
      </c>
      <c r="G63" t="str">
        <f>""</f>
        <v/>
      </c>
      <c r="H63" s="1">
        <v>42535</v>
      </c>
      <c r="I63" t="str">
        <f t="shared" si="15"/>
        <v>ACG02686</v>
      </c>
      <c r="J63" t="str">
        <f>"C0023443"</f>
        <v>C0023443</v>
      </c>
      <c r="K63" t="str">
        <f t="shared" si="16"/>
        <v>AS96</v>
      </c>
      <c r="L63" t="s">
        <v>2745</v>
      </c>
      <c r="M63">
        <v>427.97</v>
      </c>
    </row>
    <row r="64" spans="1:13" x14ac:dyDescent="0.25">
      <c r="A64" t="str">
        <f t="shared" si="11"/>
        <v>E111</v>
      </c>
      <c r="B64">
        <v>1</v>
      </c>
      <c r="C64" t="str">
        <f t="shared" si="9"/>
        <v>43000</v>
      </c>
      <c r="D64" t="str">
        <f t="shared" si="13"/>
        <v>5740</v>
      </c>
      <c r="E64" t="str">
        <f t="shared" si="14"/>
        <v>850LOS</v>
      </c>
      <c r="F64" t="str">
        <f>""</f>
        <v/>
      </c>
      <c r="G64" t="str">
        <f>""</f>
        <v/>
      </c>
      <c r="H64" s="1">
        <v>42535</v>
      </c>
      <c r="I64" t="str">
        <f t="shared" si="15"/>
        <v>ACG02686</v>
      </c>
      <c r="J64" t="str">
        <f>"C0023928"</f>
        <v>C0023928</v>
      </c>
      <c r="K64" t="str">
        <f t="shared" si="16"/>
        <v>AS96</v>
      </c>
      <c r="L64" t="s">
        <v>3062</v>
      </c>
      <c r="M64">
        <v>106.96</v>
      </c>
    </row>
    <row r="65" spans="1:13" x14ac:dyDescent="0.25">
      <c r="A65" t="str">
        <f t="shared" si="11"/>
        <v>E111</v>
      </c>
      <c r="B65">
        <v>1</v>
      </c>
      <c r="C65" t="str">
        <f t="shared" si="9"/>
        <v>43000</v>
      </c>
      <c r="D65" t="str">
        <f t="shared" si="13"/>
        <v>5740</v>
      </c>
      <c r="E65" t="str">
        <f t="shared" si="14"/>
        <v>850LOS</v>
      </c>
      <c r="F65" t="str">
        <f>""</f>
        <v/>
      </c>
      <c r="G65" t="str">
        <f>""</f>
        <v/>
      </c>
      <c r="H65" s="1">
        <v>42535</v>
      </c>
      <c r="I65" t="str">
        <f t="shared" si="15"/>
        <v>ACG02686</v>
      </c>
      <c r="J65" t="str">
        <f>"PCD00735"</f>
        <v>PCD00735</v>
      </c>
      <c r="K65" t="str">
        <f t="shared" si="16"/>
        <v>AS96</v>
      </c>
      <c r="L65" t="s">
        <v>3061</v>
      </c>
      <c r="M65">
        <v>893.76</v>
      </c>
    </row>
    <row r="66" spans="1:13" x14ac:dyDescent="0.25">
      <c r="A66" t="str">
        <f t="shared" si="11"/>
        <v>E111</v>
      </c>
      <c r="B66">
        <v>1</v>
      </c>
      <c r="C66" t="str">
        <f t="shared" si="9"/>
        <v>43000</v>
      </c>
      <c r="D66" t="str">
        <f t="shared" si="13"/>
        <v>5740</v>
      </c>
      <c r="E66" t="str">
        <f t="shared" si="14"/>
        <v>850LOS</v>
      </c>
      <c r="F66" t="str">
        <f>""</f>
        <v/>
      </c>
      <c r="G66" t="str">
        <f>""</f>
        <v/>
      </c>
      <c r="H66" s="1">
        <v>42535</v>
      </c>
      <c r="I66" t="str">
        <f t="shared" si="15"/>
        <v>ACG02686</v>
      </c>
      <c r="J66" t="str">
        <f>"PCD00745"</f>
        <v>PCD00745</v>
      </c>
      <c r="K66" t="str">
        <f t="shared" si="16"/>
        <v>AS96</v>
      </c>
      <c r="L66" t="s">
        <v>3060</v>
      </c>
      <c r="M66" s="2">
        <v>1151.52</v>
      </c>
    </row>
    <row r="67" spans="1:13" x14ac:dyDescent="0.25">
      <c r="A67" t="str">
        <f t="shared" si="11"/>
        <v>E111</v>
      </c>
      <c r="B67">
        <v>1</v>
      </c>
      <c r="C67" t="str">
        <f t="shared" si="9"/>
        <v>43000</v>
      </c>
      <c r="D67" t="str">
        <f t="shared" si="13"/>
        <v>5740</v>
      </c>
      <c r="E67" t="str">
        <f t="shared" si="14"/>
        <v>850LOS</v>
      </c>
      <c r="F67" t="str">
        <f>""</f>
        <v/>
      </c>
      <c r="G67" t="str">
        <f>""</f>
        <v/>
      </c>
      <c r="H67" s="1">
        <v>42535</v>
      </c>
      <c r="I67" t="str">
        <f t="shared" si="15"/>
        <v>ACG02686</v>
      </c>
      <c r="J67" t="str">
        <f>"PCD00745"</f>
        <v>PCD00745</v>
      </c>
      <c r="K67" t="str">
        <f t="shared" si="16"/>
        <v>AS96</v>
      </c>
      <c r="L67" t="s">
        <v>3059</v>
      </c>
      <c r="M67">
        <v>100.18</v>
      </c>
    </row>
    <row r="68" spans="1:13" x14ac:dyDescent="0.25">
      <c r="A68" t="str">
        <f t="shared" si="11"/>
        <v>E111</v>
      </c>
      <c r="B68">
        <v>1</v>
      </c>
      <c r="C68" t="str">
        <f t="shared" si="9"/>
        <v>43000</v>
      </c>
      <c r="D68" t="str">
        <f t="shared" si="13"/>
        <v>5740</v>
      </c>
      <c r="E68" t="str">
        <f t="shared" si="14"/>
        <v>850LOS</v>
      </c>
      <c r="F68" t="str">
        <f>""</f>
        <v/>
      </c>
      <c r="G68" t="str">
        <f>""</f>
        <v/>
      </c>
      <c r="H68" s="1">
        <v>42535</v>
      </c>
      <c r="I68" t="str">
        <f t="shared" si="15"/>
        <v>ACG02686</v>
      </c>
      <c r="J68" t="str">
        <f>"PCD00749"</f>
        <v>PCD00749</v>
      </c>
      <c r="K68" t="str">
        <f t="shared" si="16"/>
        <v>AS96</v>
      </c>
      <c r="L68" t="s">
        <v>3044</v>
      </c>
      <c r="M68" s="2">
        <v>1582</v>
      </c>
    </row>
    <row r="69" spans="1:13" x14ac:dyDescent="0.25">
      <c r="A69" t="str">
        <f t="shared" si="11"/>
        <v>E111</v>
      </c>
      <c r="B69">
        <v>1</v>
      </c>
      <c r="C69" t="str">
        <f t="shared" si="9"/>
        <v>43000</v>
      </c>
      <c r="D69" t="str">
        <f t="shared" si="13"/>
        <v>5740</v>
      </c>
      <c r="E69" t="str">
        <f t="shared" si="14"/>
        <v>850LOS</v>
      </c>
      <c r="F69" t="str">
        <f>""</f>
        <v/>
      </c>
      <c r="G69" t="str">
        <f>""</f>
        <v/>
      </c>
      <c r="H69" s="1">
        <v>42535</v>
      </c>
      <c r="I69" t="str">
        <f t="shared" si="15"/>
        <v>ACG02686</v>
      </c>
      <c r="J69" t="str">
        <f>"PCD00749"</f>
        <v>PCD00749</v>
      </c>
      <c r="K69" t="str">
        <f t="shared" si="16"/>
        <v>AS96</v>
      </c>
      <c r="L69" t="s">
        <v>3045</v>
      </c>
      <c r="M69">
        <v>137.63</v>
      </c>
    </row>
    <row r="70" spans="1:13" x14ac:dyDescent="0.25">
      <c r="A70" t="str">
        <f t="shared" si="11"/>
        <v>E111</v>
      </c>
      <c r="B70">
        <v>1</v>
      </c>
      <c r="C70" t="str">
        <f t="shared" si="9"/>
        <v>43000</v>
      </c>
      <c r="D70" t="str">
        <f t="shared" si="13"/>
        <v>5740</v>
      </c>
      <c r="E70" t="str">
        <f t="shared" si="14"/>
        <v>850LOS</v>
      </c>
      <c r="F70" t="str">
        <f>""</f>
        <v/>
      </c>
      <c r="G70" t="str">
        <f>""</f>
        <v/>
      </c>
      <c r="H70" s="1">
        <v>42535</v>
      </c>
      <c r="I70" t="str">
        <f t="shared" si="15"/>
        <v>ACG02686</v>
      </c>
      <c r="J70" t="str">
        <f>"PCD00755"</f>
        <v>PCD00755</v>
      </c>
      <c r="K70" t="str">
        <f t="shared" si="16"/>
        <v>AS96</v>
      </c>
      <c r="L70" t="s">
        <v>3058</v>
      </c>
      <c r="M70">
        <v>543.17999999999995</v>
      </c>
    </row>
    <row r="71" spans="1:13" x14ac:dyDescent="0.25">
      <c r="A71" t="str">
        <f t="shared" si="11"/>
        <v>E111</v>
      </c>
      <c r="B71">
        <v>1</v>
      </c>
      <c r="C71" t="str">
        <f t="shared" si="9"/>
        <v>43000</v>
      </c>
      <c r="D71" t="str">
        <f t="shared" si="13"/>
        <v>5740</v>
      </c>
      <c r="E71" t="str">
        <f t="shared" si="14"/>
        <v>850LOS</v>
      </c>
      <c r="F71" t="str">
        <f>""</f>
        <v/>
      </c>
      <c r="G71" t="str">
        <f>""</f>
        <v/>
      </c>
      <c r="H71" s="1">
        <v>42535</v>
      </c>
      <c r="I71" t="str">
        <f t="shared" si="15"/>
        <v>ACG02686</v>
      </c>
      <c r="J71" t="str">
        <f>"PCD00760"</f>
        <v>PCD00760</v>
      </c>
      <c r="K71" t="str">
        <f t="shared" si="16"/>
        <v>AS96</v>
      </c>
      <c r="L71" t="s">
        <v>3057</v>
      </c>
      <c r="M71">
        <v>363.85</v>
      </c>
    </row>
    <row r="72" spans="1:13" x14ac:dyDescent="0.25">
      <c r="A72" t="str">
        <f t="shared" si="11"/>
        <v>E111</v>
      </c>
      <c r="B72">
        <v>1</v>
      </c>
      <c r="C72" t="str">
        <f t="shared" si="9"/>
        <v>43000</v>
      </c>
      <c r="D72" t="str">
        <f t="shared" si="13"/>
        <v>5740</v>
      </c>
      <c r="E72" t="str">
        <f>"850PAY"</f>
        <v>850PAY</v>
      </c>
      <c r="F72" t="str">
        <f>""</f>
        <v/>
      </c>
      <c r="G72" t="str">
        <f>""</f>
        <v/>
      </c>
      <c r="H72" s="1">
        <v>42535</v>
      </c>
      <c r="I72" t="str">
        <f t="shared" si="15"/>
        <v>ACG02686</v>
      </c>
      <c r="J72" t="str">
        <f>"PCD00735"</f>
        <v>PCD00735</v>
      </c>
      <c r="K72" t="str">
        <f t="shared" si="16"/>
        <v>AS96</v>
      </c>
      <c r="L72" t="s">
        <v>3056</v>
      </c>
      <c r="M72">
        <v>499.92</v>
      </c>
    </row>
    <row r="73" spans="1:13" x14ac:dyDescent="0.25">
      <c r="A73" t="str">
        <f t="shared" si="11"/>
        <v>E111</v>
      </c>
      <c r="B73">
        <v>1</v>
      </c>
      <c r="C73" t="str">
        <f t="shared" si="9"/>
        <v>43000</v>
      </c>
      <c r="D73" t="str">
        <f t="shared" si="13"/>
        <v>5740</v>
      </c>
      <c r="E73" t="str">
        <f t="shared" ref="E73:E80" si="17">"850PKE"</f>
        <v>850PKE</v>
      </c>
      <c r="F73" t="str">
        <f>"PKOLOT"</f>
        <v>PKOLOT</v>
      </c>
      <c r="G73" t="str">
        <f>""</f>
        <v/>
      </c>
      <c r="H73" s="1">
        <v>42400</v>
      </c>
      <c r="I73" t="str">
        <f>"PCD00765"</f>
        <v>PCD00765</v>
      </c>
      <c r="J73" t="str">
        <f>""</f>
        <v/>
      </c>
      <c r="K73" t="str">
        <f>"AS89"</f>
        <v>AS89</v>
      </c>
      <c r="L73" t="s">
        <v>3055</v>
      </c>
      <c r="M73">
        <v>375.02</v>
      </c>
    </row>
    <row r="74" spans="1:13" x14ac:dyDescent="0.25">
      <c r="A74" t="str">
        <f t="shared" si="11"/>
        <v>E111</v>
      </c>
      <c r="B74">
        <v>1</v>
      </c>
      <c r="C74" t="str">
        <f t="shared" si="9"/>
        <v>43000</v>
      </c>
      <c r="D74" t="str">
        <f t="shared" si="13"/>
        <v>5740</v>
      </c>
      <c r="E74" t="str">
        <f t="shared" si="17"/>
        <v>850PKE</v>
      </c>
      <c r="F74" t="str">
        <f>""</f>
        <v/>
      </c>
      <c r="G74" t="str">
        <f>""</f>
        <v/>
      </c>
      <c r="H74" s="1">
        <v>42400</v>
      </c>
      <c r="I74" t="str">
        <f>"PCD00765"</f>
        <v>PCD00765</v>
      </c>
      <c r="J74" t="str">
        <f>""</f>
        <v/>
      </c>
      <c r="K74" t="str">
        <f>"AS89"</f>
        <v>AS89</v>
      </c>
      <c r="L74" t="s">
        <v>3054</v>
      </c>
      <c r="M74" s="2">
        <v>1212.0999999999999</v>
      </c>
    </row>
    <row r="75" spans="1:13" x14ac:dyDescent="0.25">
      <c r="A75" t="str">
        <f t="shared" si="11"/>
        <v>E111</v>
      </c>
      <c r="B75">
        <v>1</v>
      </c>
      <c r="C75" t="str">
        <f t="shared" si="9"/>
        <v>43000</v>
      </c>
      <c r="D75" t="str">
        <f t="shared" si="13"/>
        <v>5740</v>
      </c>
      <c r="E75" t="str">
        <f t="shared" si="17"/>
        <v>850PKE</v>
      </c>
      <c r="F75" t="str">
        <f>""</f>
        <v/>
      </c>
      <c r="G75" t="str">
        <f>""</f>
        <v/>
      </c>
      <c r="H75" s="1">
        <v>42400</v>
      </c>
      <c r="I75" t="str">
        <f>"PCD00765"</f>
        <v>PCD00765</v>
      </c>
      <c r="J75" t="str">
        <f>""</f>
        <v/>
      </c>
      <c r="K75" t="str">
        <f>"AS89"</f>
        <v>AS89</v>
      </c>
      <c r="L75" t="s">
        <v>3053</v>
      </c>
      <c r="M75">
        <v>105.45</v>
      </c>
    </row>
    <row r="76" spans="1:13" x14ac:dyDescent="0.25">
      <c r="A76" t="str">
        <f t="shared" si="11"/>
        <v>E111</v>
      </c>
      <c r="B76">
        <v>1</v>
      </c>
      <c r="C76" t="str">
        <f t="shared" si="9"/>
        <v>43000</v>
      </c>
      <c r="D76" t="str">
        <f t="shared" si="13"/>
        <v>5740</v>
      </c>
      <c r="E76" t="str">
        <f t="shared" si="17"/>
        <v>850PKE</v>
      </c>
      <c r="F76" t="str">
        <f>""</f>
        <v/>
      </c>
      <c r="G76" t="str">
        <f>""</f>
        <v/>
      </c>
      <c r="H76" s="1">
        <v>42535</v>
      </c>
      <c r="I76" t="str">
        <f>"ACG02686"</f>
        <v>ACG02686</v>
      </c>
      <c r="J76" t="str">
        <f>"PCD00740"</f>
        <v>PCD00740</v>
      </c>
      <c r="K76" t="str">
        <f>"AS96"</f>
        <v>AS96</v>
      </c>
      <c r="L76" t="s">
        <v>3052</v>
      </c>
      <c r="M76">
        <v>108</v>
      </c>
    </row>
    <row r="77" spans="1:13" x14ac:dyDescent="0.25">
      <c r="A77" t="str">
        <f t="shared" si="11"/>
        <v>E111</v>
      </c>
      <c r="B77">
        <v>1</v>
      </c>
      <c r="C77" t="str">
        <f t="shared" si="9"/>
        <v>43000</v>
      </c>
      <c r="D77" t="str">
        <f t="shared" si="13"/>
        <v>5740</v>
      </c>
      <c r="E77" t="str">
        <f t="shared" si="17"/>
        <v>850PKE</v>
      </c>
      <c r="F77" t="str">
        <f>""</f>
        <v/>
      </c>
      <c r="G77" t="str">
        <f>""</f>
        <v/>
      </c>
      <c r="H77" s="1">
        <v>42535</v>
      </c>
      <c r="I77" t="str">
        <f>"ACG02686"</f>
        <v>ACG02686</v>
      </c>
      <c r="J77" t="str">
        <f>"PCD00755"</f>
        <v>PCD00755</v>
      </c>
      <c r="K77" t="str">
        <f>"AS96"</f>
        <v>AS96</v>
      </c>
      <c r="L77" t="s">
        <v>3051</v>
      </c>
      <c r="M77">
        <v>112.56</v>
      </c>
    </row>
    <row r="78" spans="1:13" x14ac:dyDescent="0.25">
      <c r="A78" t="str">
        <f t="shared" si="11"/>
        <v>E111</v>
      </c>
      <c r="B78">
        <v>1</v>
      </c>
      <c r="C78" t="str">
        <f t="shared" si="9"/>
        <v>43000</v>
      </c>
      <c r="D78" t="str">
        <f t="shared" si="13"/>
        <v>5740</v>
      </c>
      <c r="E78" t="str">
        <f t="shared" si="17"/>
        <v>850PKE</v>
      </c>
      <c r="F78" t="str">
        <f>""</f>
        <v/>
      </c>
      <c r="G78" t="str">
        <f>""</f>
        <v/>
      </c>
      <c r="H78" s="1">
        <v>42535</v>
      </c>
      <c r="I78" t="str">
        <f>"ACG02686"</f>
        <v>ACG02686</v>
      </c>
      <c r="J78" t="str">
        <f>"PCD00755"</f>
        <v>PCD00755</v>
      </c>
      <c r="K78" t="str">
        <f>"AS96"</f>
        <v>AS96</v>
      </c>
      <c r="L78" t="s">
        <v>3050</v>
      </c>
      <c r="M78" s="2">
        <v>1107.03</v>
      </c>
    </row>
    <row r="79" spans="1:13" x14ac:dyDescent="0.25">
      <c r="A79" t="str">
        <f t="shared" si="11"/>
        <v>E111</v>
      </c>
      <c r="B79">
        <v>1</v>
      </c>
      <c r="C79" t="str">
        <f t="shared" si="9"/>
        <v>43000</v>
      </c>
      <c r="D79" t="str">
        <f t="shared" si="13"/>
        <v>5740</v>
      </c>
      <c r="E79" t="str">
        <f t="shared" si="17"/>
        <v>850PKE</v>
      </c>
      <c r="F79" t="str">
        <f>""</f>
        <v/>
      </c>
      <c r="G79" t="str">
        <f>""</f>
        <v/>
      </c>
      <c r="H79" s="1">
        <v>42535</v>
      </c>
      <c r="I79" t="str">
        <f>"ACG02686"</f>
        <v>ACG02686</v>
      </c>
      <c r="J79" t="str">
        <f>"PCD00760"</f>
        <v>PCD00760</v>
      </c>
      <c r="K79" t="str">
        <f>"AS96"</f>
        <v>AS96</v>
      </c>
      <c r="L79" t="s">
        <v>3049</v>
      </c>
      <c r="M79">
        <v>644.35</v>
      </c>
    </row>
    <row r="80" spans="1:13" x14ac:dyDescent="0.25">
      <c r="A80" t="str">
        <f t="shared" si="11"/>
        <v>E111</v>
      </c>
      <c r="B80">
        <v>1</v>
      </c>
      <c r="C80" t="str">
        <f t="shared" si="9"/>
        <v>43000</v>
      </c>
      <c r="D80" t="str">
        <f t="shared" si="13"/>
        <v>5740</v>
      </c>
      <c r="E80" t="str">
        <f t="shared" si="17"/>
        <v>850PKE</v>
      </c>
      <c r="F80" t="str">
        <f>""</f>
        <v/>
      </c>
      <c r="G80" t="str">
        <f>""</f>
        <v/>
      </c>
      <c r="H80" s="1">
        <v>42535</v>
      </c>
      <c r="I80" t="str">
        <f>"ACG02686"</f>
        <v>ACG02686</v>
      </c>
      <c r="J80" t="str">
        <f>"PCD00775"</f>
        <v>PCD00775</v>
      </c>
      <c r="K80" t="str">
        <f>"AS96"</f>
        <v>AS96</v>
      </c>
      <c r="L80" t="s">
        <v>3048</v>
      </c>
      <c r="M80">
        <v>130.15</v>
      </c>
    </row>
    <row r="81" spans="1:13" x14ac:dyDescent="0.25">
      <c r="A81" t="str">
        <f t="shared" si="11"/>
        <v>E111</v>
      </c>
      <c r="B81">
        <v>1</v>
      </c>
      <c r="C81" t="str">
        <f>"43004"</f>
        <v>43004</v>
      </c>
      <c r="D81" t="str">
        <f>"5741"</f>
        <v>5741</v>
      </c>
      <c r="E81" t="str">
        <f>"850ALT"</f>
        <v>850ALT</v>
      </c>
      <c r="F81" t="str">
        <f>""</f>
        <v/>
      </c>
      <c r="G81" t="str">
        <f>""</f>
        <v/>
      </c>
      <c r="H81" s="1">
        <v>42277</v>
      </c>
      <c r="I81" t="str">
        <f>"BKS01527"</f>
        <v>BKS01527</v>
      </c>
      <c r="J81" t="str">
        <f>"758455"</f>
        <v>758455</v>
      </c>
      <c r="K81" t="str">
        <f>"AS89"</f>
        <v>AS89</v>
      </c>
      <c r="L81" t="s">
        <v>746</v>
      </c>
      <c r="M81">
        <v>200</v>
      </c>
    </row>
    <row r="82" spans="1:13" x14ac:dyDescent="0.25">
      <c r="A82" t="str">
        <f>"E114"</f>
        <v>E114</v>
      </c>
      <c r="B82">
        <v>1</v>
      </c>
      <c r="C82" t="str">
        <f>"43000"</f>
        <v>43000</v>
      </c>
      <c r="D82" t="str">
        <f t="shared" ref="D82:D87" si="18">"5620"</f>
        <v>5620</v>
      </c>
      <c r="E82" t="str">
        <f>"850ALT"</f>
        <v>850ALT</v>
      </c>
      <c r="F82" t="str">
        <f>""</f>
        <v/>
      </c>
      <c r="G82" t="str">
        <f>""</f>
        <v/>
      </c>
      <c r="H82" s="1">
        <v>42247</v>
      </c>
      <c r="I82" t="str">
        <f>"PCD00740"</f>
        <v>PCD00740</v>
      </c>
      <c r="J82" t="str">
        <f>""</f>
        <v/>
      </c>
      <c r="K82" t="str">
        <f>"AS89"</f>
        <v>AS89</v>
      </c>
      <c r="L82" t="s">
        <v>3047</v>
      </c>
      <c r="M82">
        <v>203.74</v>
      </c>
    </row>
    <row r="83" spans="1:13" x14ac:dyDescent="0.25">
      <c r="A83" t="str">
        <f t="shared" ref="A83:A90" si="19">"E117"</f>
        <v>E117</v>
      </c>
      <c r="B83">
        <v>1</v>
      </c>
      <c r="C83" t="str">
        <f>"10200"</f>
        <v>10200</v>
      </c>
      <c r="D83" t="str">
        <f t="shared" si="18"/>
        <v>5620</v>
      </c>
      <c r="E83" t="str">
        <f>"094OMS"</f>
        <v>094OMS</v>
      </c>
      <c r="F83" t="str">
        <f>""</f>
        <v/>
      </c>
      <c r="G83" t="str">
        <f>""</f>
        <v/>
      </c>
      <c r="H83" s="1">
        <v>42495</v>
      </c>
      <c r="I83" t="str">
        <f>"I0129334"</f>
        <v>I0129334</v>
      </c>
      <c r="J83" t="str">
        <f>"P1002691"</f>
        <v>P1002691</v>
      </c>
      <c r="K83" t="str">
        <f>"INEI"</f>
        <v>INEI</v>
      </c>
      <c r="L83" t="s">
        <v>1638</v>
      </c>
      <c r="M83">
        <v>232.18</v>
      </c>
    </row>
    <row r="84" spans="1:13" x14ac:dyDescent="0.25">
      <c r="A84" t="str">
        <f t="shared" si="19"/>
        <v>E117</v>
      </c>
      <c r="B84">
        <v>1</v>
      </c>
      <c r="C84" t="str">
        <f>"10200"</f>
        <v>10200</v>
      </c>
      <c r="D84" t="str">
        <f t="shared" si="18"/>
        <v>5620</v>
      </c>
      <c r="E84" t="str">
        <f>"094OMS"</f>
        <v>094OMS</v>
      </c>
      <c r="F84" t="str">
        <f>""</f>
        <v/>
      </c>
      <c r="G84" t="str">
        <f>""</f>
        <v/>
      </c>
      <c r="H84" s="1">
        <v>42548</v>
      </c>
      <c r="I84" t="str">
        <f>"I0133280"</f>
        <v>I0133280</v>
      </c>
      <c r="J84" t="str">
        <f>"P1003235"</f>
        <v>P1003235</v>
      </c>
      <c r="K84" t="str">
        <f>"INEI"</f>
        <v>INEI</v>
      </c>
      <c r="L84" t="s">
        <v>2851</v>
      </c>
      <c r="M84">
        <v>146.75</v>
      </c>
    </row>
    <row r="85" spans="1:13" x14ac:dyDescent="0.25">
      <c r="A85" t="str">
        <f t="shared" si="19"/>
        <v>E117</v>
      </c>
      <c r="B85">
        <v>1</v>
      </c>
      <c r="C85" t="str">
        <f>"10200"</f>
        <v>10200</v>
      </c>
      <c r="D85" t="str">
        <f t="shared" si="18"/>
        <v>5620</v>
      </c>
      <c r="E85" t="str">
        <f>"094OMS"</f>
        <v>094OMS</v>
      </c>
      <c r="F85" t="str">
        <f>""</f>
        <v/>
      </c>
      <c r="G85" t="str">
        <f>""</f>
        <v/>
      </c>
      <c r="H85" s="1">
        <v>42548</v>
      </c>
      <c r="I85" t="str">
        <f>"I0133280"</f>
        <v>I0133280</v>
      </c>
      <c r="J85" t="str">
        <f>"P1003235"</f>
        <v>P1003235</v>
      </c>
      <c r="K85" t="str">
        <f>"INEI"</f>
        <v>INEI</v>
      </c>
      <c r="L85" t="s">
        <v>2851</v>
      </c>
      <c r="M85">
        <v>648.94000000000005</v>
      </c>
    </row>
    <row r="86" spans="1:13" x14ac:dyDescent="0.25">
      <c r="A86" t="str">
        <f t="shared" si="19"/>
        <v>E117</v>
      </c>
      <c r="B86">
        <v>1</v>
      </c>
      <c r="C86" t="str">
        <f t="shared" ref="C86:C92" si="20">"43000"</f>
        <v>43000</v>
      </c>
      <c r="D86" t="str">
        <f t="shared" si="18"/>
        <v>5620</v>
      </c>
      <c r="E86" t="str">
        <f>"850LOS"</f>
        <v>850LOS</v>
      </c>
      <c r="F86" t="str">
        <f>""</f>
        <v/>
      </c>
      <c r="G86" t="str">
        <f>""</f>
        <v/>
      </c>
      <c r="H86" s="1">
        <v>42486</v>
      </c>
      <c r="I86" t="str">
        <f>"I0128591"</f>
        <v>I0128591</v>
      </c>
      <c r="J86" t="str">
        <f>"P1002600"</f>
        <v>P1002600</v>
      </c>
      <c r="K86" t="str">
        <f>"INEI"</f>
        <v>INEI</v>
      </c>
      <c r="L86" t="s">
        <v>1638</v>
      </c>
      <c r="M86">
        <v>126.19</v>
      </c>
    </row>
    <row r="87" spans="1:13" x14ac:dyDescent="0.25">
      <c r="A87" t="str">
        <f t="shared" si="19"/>
        <v>E117</v>
      </c>
      <c r="B87">
        <v>1</v>
      </c>
      <c r="C87" t="str">
        <f t="shared" si="20"/>
        <v>43000</v>
      </c>
      <c r="D87" t="str">
        <f t="shared" si="18"/>
        <v>5620</v>
      </c>
      <c r="E87" t="str">
        <f>"850PAY"</f>
        <v>850PAY</v>
      </c>
      <c r="F87" t="str">
        <f>""</f>
        <v/>
      </c>
      <c r="G87" t="str">
        <f>""</f>
        <v/>
      </c>
      <c r="H87" s="1">
        <v>42429</v>
      </c>
      <c r="I87" t="str">
        <f>"PCD00770"</f>
        <v>PCD00770</v>
      </c>
      <c r="J87" t="str">
        <f>""</f>
        <v/>
      </c>
      <c r="K87" t="str">
        <f>"AS89"</f>
        <v>AS89</v>
      </c>
      <c r="L87" t="s">
        <v>3046</v>
      </c>
      <c r="M87">
        <v>132.24</v>
      </c>
    </row>
    <row r="88" spans="1:13" x14ac:dyDescent="0.25">
      <c r="A88" t="str">
        <f t="shared" si="19"/>
        <v>E117</v>
      </c>
      <c r="B88">
        <v>1</v>
      </c>
      <c r="C88" t="str">
        <f t="shared" si="20"/>
        <v>43000</v>
      </c>
      <c r="D88" t="str">
        <f>"5740"</f>
        <v>5740</v>
      </c>
      <c r="E88" t="str">
        <f>"850LOS"</f>
        <v>850LOS</v>
      </c>
      <c r="F88" t="str">
        <f>""</f>
        <v/>
      </c>
      <c r="G88" t="str">
        <f>""</f>
        <v/>
      </c>
      <c r="H88" s="1">
        <v>42535</v>
      </c>
      <c r="I88" t="str">
        <f>"ACG02686"</f>
        <v>ACG02686</v>
      </c>
      <c r="J88" t="str">
        <f>"P1002600"</f>
        <v>P1002600</v>
      </c>
      <c r="K88" t="str">
        <f>"AS96"</f>
        <v>AS96</v>
      </c>
      <c r="L88" t="s">
        <v>1638</v>
      </c>
      <c r="M88">
        <v>126.19</v>
      </c>
    </row>
    <row r="89" spans="1:13" x14ac:dyDescent="0.25">
      <c r="A89" t="str">
        <f t="shared" si="19"/>
        <v>E117</v>
      </c>
      <c r="B89">
        <v>1</v>
      </c>
      <c r="C89" t="str">
        <f t="shared" si="20"/>
        <v>43000</v>
      </c>
      <c r="D89" t="str">
        <f>"5740"</f>
        <v>5740</v>
      </c>
      <c r="E89" t="str">
        <f>"850PAY"</f>
        <v>850PAY</v>
      </c>
      <c r="F89" t="str">
        <f>""</f>
        <v/>
      </c>
      <c r="G89" t="str">
        <f>""</f>
        <v/>
      </c>
      <c r="H89" s="1">
        <v>42535</v>
      </c>
      <c r="I89" t="str">
        <f>"ACG02686"</f>
        <v>ACG02686</v>
      </c>
      <c r="J89" t="str">
        <f>"PCD00770"</f>
        <v>PCD00770</v>
      </c>
      <c r="K89" t="str">
        <f>"AS96"</f>
        <v>AS96</v>
      </c>
      <c r="L89" t="s">
        <v>3046</v>
      </c>
      <c r="M89">
        <v>132.24</v>
      </c>
    </row>
    <row r="90" spans="1:13" x14ac:dyDescent="0.25">
      <c r="A90" t="str">
        <f t="shared" si="19"/>
        <v>E117</v>
      </c>
      <c r="B90">
        <v>1</v>
      </c>
      <c r="C90" t="str">
        <f t="shared" si="20"/>
        <v>43000</v>
      </c>
      <c r="D90" t="str">
        <f>"5740"</f>
        <v>5740</v>
      </c>
      <c r="E90" t="str">
        <f>"850PKE"</f>
        <v>850PKE</v>
      </c>
      <c r="F90" t="str">
        <f>""</f>
        <v/>
      </c>
      <c r="G90" t="str">
        <f>""</f>
        <v/>
      </c>
      <c r="H90" s="1">
        <v>42508</v>
      </c>
      <c r="I90" t="str">
        <f>"I0130080"</f>
        <v>I0130080</v>
      </c>
      <c r="J90" t="str">
        <f>"P1002726"</f>
        <v>P1002726</v>
      </c>
      <c r="K90" t="str">
        <f>"INEI"</f>
        <v>INEI</v>
      </c>
      <c r="L90" t="s">
        <v>1638</v>
      </c>
      <c r="M90">
        <v>126.19</v>
      </c>
    </row>
    <row r="91" spans="1:13" x14ac:dyDescent="0.25">
      <c r="A91" t="str">
        <f>"E121"</f>
        <v>E121</v>
      </c>
      <c r="B91">
        <v>1</v>
      </c>
      <c r="C91" t="str">
        <f t="shared" si="20"/>
        <v>43000</v>
      </c>
      <c r="D91" t="str">
        <f t="shared" ref="D91:D122" si="21">"5620"</f>
        <v>5620</v>
      </c>
      <c r="E91" t="str">
        <f>"850LOS"</f>
        <v>850LOS</v>
      </c>
      <c r="F91" t="str">
        <f>""</f>
        <v/>
      </c>
      <c r="G91" t="str">
        <f>""</f>
        <v/>
      </c>
      <c r="H91" s="1">
        <v>42307</v>
      </c>
      <c r="I91" t="str">
        <f>"PCD00749"</f>
        <v>PCD00749</v>
      </c>
      <c r="J91" t="str">
        <f>""</f>
        <v/>
      </c>
      <c r="K91" t="str">
        <f>"AS89"</f>
        <v>AS89</v>
      </c>
      <c r="L91" t="s">
        <v>3045</v>
      </c>
      <c r="M91">
        <v>137.63</v>
      </c>
    </row>
    <row r="92" spans="1:13" x14ac:dyDescent="0.25">
      <c r="A92" t="str">
        <f>"E121"</f>
        <v>E121</v>
      </c>
      <c r="B92">
        <v>1</v>
      </c>
      <c r="C92" t="str">
        <f t="shared" si="20"/>
        <v>43000</v>
      </c>
      <c r="D92" t="str">
        <f t="shared" si="21"/>
        <v>5620</v>
      </c>
      <c r="E92" t="str">
        <f>"850LOS"</f>
        <v>850LOS</v>
      </c>
      <c r="F92" t="str">
        <f>""</f>
        <v/>
      </c>
      <c r="G92" t="str">
        <f>""</f>
        <v/>
      </c>
      <c r="H92" s="1">
        <v>42307</v>
      </c>
      <c r="I92" t="str">
        <f>"PCD00749"</f>
        <v>PCD00749</v>
      </c>
      <c r="J92" t="str">
        <f>""</f>
        <v/>
      </c>
      <c r="K92" t="str">
        <f>"AS89"</f>
        <v>AS89</v>
      </c>
      <c r="L92" t="s">
        <v>3044</v>
      </c>
      <c r="M92" s="2">
        <v>1582</v>
      </c>
    </row>
    <row r="93" spans="1:13" x14ac:dyDescent="0.25">
      <c r="A93" t="str">
        <f t="shared" ref="A93:A124" si="22">"E131"</f>
        <v>E131</v>
      </c>
      <c r="B93">
        <v>1</v>
      </c>
      <c r="C93" t="str">
        <f t="shared" ref="C93:C118" si="23">"10200"</f>
        <v>10200</v>
      </c>
      <c r="D93" t="str">
        <f t="shared" si="21"/>
        <v>5620</v>
      </c>
      <c r="E93" t="str">
        <f t="shared" ref="E93:E118" si="24">"094OMS"</f>
        <v>094OMS</v>
      </c>
      <c r="F93" t="str">
        <f>""</f>
        <v/>
      </c>
      <c r="G93" t="str">
        <f>""</f>
        <v/>
      </c>
      <c r="H93" s="1">
        <v>42216</v>
      </c>
      <c r="I93" t="str">
        <f>"TEL00652"</f>
        <v>TEL00652</v>
      </c>
      <c r="J93" t="str">
        <f>""</f>
        <v/>
      </c>
      <c r="K93" t="str">
        <f>"AS89"</f>
        <v>AS89</v>
      </c>
      <c r="L93" t="s">
        <v>3041</v>
      </c>
      <c r="M93">
        <v>138.84</v>
      </c>
    </row>
    <row r="94" spans="1:13" x14ac:dyDescent="0.25">
      <c r="A94" t="str">
        <f t="shared" si="22"/>
        <v>E131</v>
      </c>
      <c r="B94">
        <v>1</v>
      </c>
      <c r="C94" t="str">
        <f t="shared" si="23"/>
        <v>10200</v>
      </c>
      <c r="D94" t="str">
        <f t="shared" si="21"/>
        <v>5620</v>
      </c>
      <c r="E94" t="str">
        <f t="shared" si="24"/>
        <v>094OMS</v>
      </c>
      <c r="F94" t="str">
        <f>""</f>
        <v/>
      </c>
      <c r="G94" t="str">
        <f>""</f>
        <v/>
      </c>
      <c r="H94" s="1">
        <v>42228</v>
      </c>
      <c r="I94" t="str">
        <f>"I0120400"</f>
        <v>I0120400</v>
      </c>
      <c r="J94" t="str">
        <f>"N138254F"</f>
        <v>N138254F</v>
      </c>
      <c r="K94" t="str">
        <f>"INEI"</f>
        <v>INEI</v>
      </c>
      <c r="L94" t="s">
        <v>1382</v>
      </c>
      <c r="M94">
        <v>115.89</v>
      </c>
    </row>
    <row r="95" spans="1:13" x14ac:dyDescent="0.25">
      <c r="A95" t="str">
        <f t="shared" si="22"/>
        <v>E131</v>
      </c>
      <c r="B95">
        <v>1</v>
      </c>
      <c r="C95" t="str">
        <f t="shared" si="23"/>
        <v>10200</v>
      </c>
      <c r="D95" t="str">
        <f t="shared" si="21"/>
        <v>5620</v>
      </c>
      <c r="E95" t="str">
        <f t="shared" si="24"/>
        <v>094OMS</v>
      </c>
      <c r="F95" t="str">
        <f>""</f>
        <v/>
      </c>
      <c r="G95" t="str">
        <f>""</f>
        <v/>
      </c>
      <c r="H95" s="1">
        <v>42247</v>
      </c>
      <c r="I95" t="str">
        <f>"TEL00653"</f>
        <v>TEL00653</v>
      </c>
      <c r="J95" t="str">
        <f>""</f>
        <v/>
      </c>
      <c r="K95" t="str">
        <f>"AS89"</f>
        <v>AS89</v>
      </c>
      <c r="L95" t="s">
        <v>3040</v>
      </c>
      <c r="M95">
        <v>180.79</v>
      </c>
    </row>
    <row r="96" spans="1:13" x14ac:dyDescent="0.25">
      <c r="A96" t="str">
        <f t="shared" si="22"/>
        <v>E131</v>
      </c>
      <c r="B96">
        <v>1</v>
      </c>
      <c r="C96" t="str">
        <f t="shared" si="23"/>
        <v>10200</v>
      </c>
      <c r="D96" t="str">
        <f t="shared" si="21"/>
        <v>5620</v>
      </c>
      <c r="E96" t="str">
        <f t="shared" si="24"/>
        <v>094OMS</v>
      </c>
      <c r="F96" t="str">
        <f>""</f>
        <v/>
      </c>
      <c r="G96" t="str">
        <f>""</f>
        <v/>
      </c>
      <c r="H96" s="1">
        <v>42255</v>
      </c>
      <c r="I96" t="str">
        <f>"I0121051"</f>
        <v>I0121051</v>
      </c>
      <c r="J96" t="str">
        <f>"N138254F"</f>
        <v>N138254F</v>
      </c>
      <c r="K96" t="str">
        <f>"INEI"</f>
        <v>INEI</v>
      </c>
      <c r="L96" t="s">
        <v>1382</v>
      </c>
      <c r="M96">
        <v>115.98</v>
      </c>
    </row>
    <row r="97" spans="1:13" x14ac:dyDescent="0.25">
      <c r="A97" t="str">
        <f t="shared" si="22"/>
        <v>E131</v>
      </c>
      <c r="B97">
        <v>1</v>
      </c>
      <c r="C97" t="str">
        <f t="shared" si="23"/>
        <v>10200</v>
      </c>
      <c r="D97" t="str">
        <f t="shared" si="21"/>
        <v>5620</v>
      </c>
      <c r="E97" t="str">
        <f t="shared" si="24"/>
        <v>094OMS</v>
      </c>
      <c r="F97" t="str">
        <f>""</f>
        <v/>
      </c>
      <c r="G97" t="str">
        <f>""</f>
        <v/>
      </c>
      <c r="H97" s="1">
        <v>42277</v>
      </c>
      <c r="I97" t="str">
        <f>"TEL00654"</f>
        <v>TEL00654</v>
      </c>
      <c r="J97" t="str">
        <f>""</f>
        <v/>
      </c>
      <c r="K97" t="str">
        <f>"AS89"</f>
        <v>AS89</v>
      </c>
      <c r="L97" t="s">
        <v>3039</v>
      </c>
      <c r="M97">
        <v>110.3</v>
      </c>
    </row>
    <row r="98" spans="1:13" x14ac:dyDescent="0.25">
      <c r="A98" t="str">
        <f t="shared" si="22"/>
        <v>E131</v>
      </c>
      <c r="B98">
        <v>1</v>
      </c>
      <c r="C98" t="str">
        <f t="shared" si="23"/>
        <v>10200</v>
      </c>
      <c r="D98" t="str">
        <f t="shared" si="21"/>
        <v>5620</v>
      </c>
      <c r="E98" t="str">
        <f t="shared" si="24"/>
        <v>094OMS</v>
      </c>
      <c r="F98" t="str">
        <f>""</f>
        <v/>
      </c>
      <c r="G98" t="str">
        <f>""</f>
        <v/>
      </c>
      <c r="H98" s="1">
        <v>42284</v>
      </c>
      <c r="I98" t="str">
        <f>"I0121980"</f>
        <v>I0121980</v>
      </c>
      <c r="J98" t="str">
        <f>"N138254F"</f>
        <v>N138254F</v>
      </c>
      <c r="K98" t="str">
        <f>"INEI"</f>
        <v>INEI</v>
      </c>
      <c r="L98" t="s">
        <v>1382</v>
      </c>
      <c r="M98">
        <v>115.98</v>
      </c>
    </row>
    <row r="99" spans="1:13" x14ac:dyDescent="0.25">
      <c r="A99" t="str">
        <f t="shared" si="22"/>
        <v>E131</v>
      </c>
      <c r="B99">
        <v>1</v>
      </c>
      <c r="C99" t="str">
        <f t="shared" si="23"/>
        <v>10200</v>
      </c>
      <c r="D99" t="str">
        <f t="shared" si="21"/>
        <v>5620</v>
      </c>
      <c r="E99" t="str">
        <f t="shared" si="24"/>
        <v>094OMS</v>
      </c>
      <c r="F99" t="str">
        <f>""</f>
        <v/>
      </c>
      <c r="G99" t="str">
        <f>""</f>
        <v/>
      </c>
      <c r="H99" s="1">
        <v>42308</v>
      </c>
      <c r="I99" t="str">
        <f>"TEL00655"</f>
        <v>TEL00655</v>
      </c>
      <c r="J99" t="str">
        <f>""</f>
        <v/>
      </c>
      <c r="K99" t="str">
        <f>"AS89"</f>
        <v>AS89</v>
      </c>
      <c r="L99" t="s">
        <v>3038</v>
      </c>
      <c r="M99">
        <v>132.44999999999999</v>
      </c>
    </row>
    <row r="100" spans="1:13" x14ac:dyDescent="0.25">
      <c r="A100" t="str">
        <f t="shared" si="22"/>
        <v>E131</v>
      </c>
      <c r="B100">
        <v>1</v>
      </c>
      <c r="C100" t="str">
        <f t="shared" si="23"/>
        <v>10200</v>
      </c>
      <c r="D100" t="str">
        <f t="shared" si="21"/>
        <v>5620</v>
      </c>
      <c r="E100" t="str">
        <f t="shared" si="24"/>
        <v>094OMS</v>
      </c>
      <c r="F100" t="str">
        <f>""</f>
        <v/>
      </c>
      <c r="G100" t="str">
        <f>""</f>
        <v/>
      </c>
      <c r="H100" s="1">
        <v>42312</v>
      </c>
      <c r="I100" t="str">
        <f>"I0122803"</f>
        <v>I0122803</v>
      </c>
      <c r="J100" t="str">
        <f>"N138254F"</f>
        <v>N138254F</v>
      </c>
      <c r="K100" t="str">
        <f>"INEI"</f>
        <v>INEI</v>
      </c>
      <c r="L100" t="s">
        <v>1382</v>
      </c>
      <c r="M100">
        <v>115.86</v>
      </c>
    </row>
    <row r="101" spans="1:13" x14ac:dyDescent="0.25">
      <c r="A101" t="str">
        <f t="shared" si="22"/>
        <v>E131</v>
      </c>
      <c r="B101">
        <v>1</v>
      </c>
      <c r="C101" t="str">
        <f t="shared" si="23"/>
        <v>10200</v>
      </c>
      <c r="D101" t="str">
        <f t="shared" si="21"/>
        <v>5620</v>
      </c>
      <c r="E101" t="str">
        <f t="shared" si="24"/>
        <v>094OMS</v>
      </c>
      <c r="F101" t="str">
        <f>""</f>
        <v/>
      </c>
      <c r="G101" t="str">
        <f>""</f>
        <v/>
      </c>
      <c r="H101" s="1">
        <v>42338</v>
      </c>
      <c r="I101" t="str">
        <f>"TEL00656"</f>
        <v>TEL00656</v>
      </c>
      <c r="J101" t="str">
        <f>""</f>
        <v/>
      </c>
      <c r="K101" t="str">
        <f>"AS89"</f>
        <v>AS89</v>
      </c>
      <c r="L101" t="s">
        <v>3037</v>
      </c>
      <c r="M101">
        <v>123.34</v>
      </c>
    </row>
    <row r="102" spans="1:13" x14ac:dyDescent="0.25">
      <c r="A102" t="str">
        <f t="shared" si="22"/>
        <v>E131</v>
      </c>
      <c r="B102">
        <v>1</v>
      </c>
      <c r="C102" t="str">
        <f t="shared" si="23"/>
        <v>10200</v>
      </c>
      <c r="D102" t="str">
        <f t="shared" si="21"/>
        <v>5620</v>
      </c>
      <c r="E102" t="str">
        <f t="shared" si="24"/>
        <v>094OMS</v>
      </c>
      <c r="F102" t="str">
        <f>""</f>
        <v/>
      </c>
      <c r="G102" t="str">
        <f>""</f>
        <v/>
      </c>
      <c r="H102" s="1">
        <v>42348</v>
      </c>
      <c r="I102" t="str">
        <f>"I0123830"</f>
        <v>I0123830</v>
      </c>
      <c r="J102" t="str">
        <f>"N138254F"</f>
        <v>N138254F</v>
      </c>
      <c r="K102" t="str">
        <f>"INEI"</f>
        <v>INEI</v>
      </c>
      <c r="L102" t="s">
        <v>1382</v>
      </c>
      <c r="M102">
        <v>115.86</v>
      </c>
    </row>
    <row r="103" spans="1:13" x14ac:dyDescent="0.25">
      <c r="A103" t="str">
        <f t="shared" si="22"/>
        <v>E131</v>
      </c>
      <c r="B103">
        <v>1</v>
      </c>
      <c r="C103" t="str">
        <f t="shared" si="23"/>
        <v>10200</v>
      </c>
      <c r="D103" t="str">
        <f t="shared" si="21"/>
        <v>5620</v>
      </c>
      <c r="E103" t="str">
        <f t="shared" si="24"/>
        <v>094OMS</v>
      </c>
      <c r="F103" t="str">
        <f>""</f>
        <v/>
      </c>
      <c r="G103" t="str">
        <f>""</f>
        <v/>
      </c>
      <c r="H103" s="1">
        <v>42369</v>
      </c>
      <c r="I103" t="str">
        <f>"TEL00657"</f>
        <v>TEL00657</v>
      </c>
      <c r="J103" t="str">
        <f>""</f>
        <v/>
      </c>
      <c r="K103" t="str">
        <f>"AS89"</f>
        <v>AS89</v>
      </c>
      <c r="L103" t="s">
        <v>3036</v>
      </c>
      <c r="M103">
        <v>105</v>
      </c>
    </row>
    <row r="104" spans="1:13" x14ac:dyDescent="0.25">
      <c r="A104" t="str">
        <f t="shared" si="22"/>
        <v>E131</v>
      </c>
      <c r="B104">
        <v>1</v>
      </c>
      <c r="C104" t="str">
        <f t="shared" si="23"/>
        <v>10200</v>
      </c>
      <c r="D104" t="str">
        <f t="shared" si="21"/>
        <v>5620</v>
      </c>
      <c r="E104" t="str">
        <f t="shared" si="24"/>
        <v>094OMS</v>
      </c>
      <c r="F104" t="str">
        <f>""</f>
        <v/>
      </c>
      <c r="G104" t="str">
        <f>""</f>
        <v/>
      </c>
      <c r="H104" s="1">
        <v>42376</v>
      </c>
      <c r="I104" t="str">
        <f>"I0124785"</f>
        <v>I0124785</v>
      </c>
      <c r="J104" t="str">
        <f>"N138254F"</f>
        <v>N138254F</v>
      </c>
      <c r="K104" t="str">
        <f>"INEI"</f>
        <v>INEI</v>
      </c>
      <c r="L104" t="s">
        <v>1382</v>
      </c>
      <c r="M104">
        <v>115.88</v>
      </c>
    </row>
    <row r="105" spans="1:13" x14ac:dyDescent="0.25">
      <c r="A105" t="str">
        <f t="shared" si="22"/>
        <v>E131</v>
      </c>
      <c r="B105">
        <v>1</v>
      </c>
      <c r="C105" t="str">
        <f t="shared" si="23"/>
        <v>10200</v>
      </c>
      <c r="D105" t="str">
        <f t="shared" si="21"/>
        <v>5620</v>
      </c>
      <c r="E105" t="str">
        <f t="shared" si="24"/>
        <v>094OMS</v>
      </c>
      <c r="F105" t="str">
        <f>""</f>
        <v/>
      </c>
      <c r="G105" t="str">
        <f>""</f>
        <v/>
      </c>
      <c r="H105" s="1">
        <v>42400</v>
      </c>
      <c r="I105" t="str">
        <f>"TEL00658"</f>
        <v>TEL00658</v>
      </c>
      <c r="J105" t="str">
        <f>""</f>
        <v/>
      </c>
      <c r="K105" t="str">
        <f>"AS89"</f>
        <v>AS89</v>
      </c>
      <c r="L105" t="s">
        <v>2992</v>
      </c>
      <c r="M105">
        <v>121.3</v>
      </c>
    </row>
    <row r="106" spans="1:13" x14ac:dyDescent="0.25">
      <c r="A106" t="str">
        <f t="shared" si="22"/>
        <v>E131</v>
      </c>
      <c r="B106">
        <v>1</v>
      </c>
      <c r="C106" t="str">
        <f t="shared" si="23"/>
        <v>10200</v>
      </c>
      <c r="D106" t="str">
        <f t="shared" si="21"/>
        <v>5620</v>
      </c>
      <c r="E106" t="str">
        <f t="shared" si="24"/>
        <v>094OMS</v>
      </c>
      <c r="F106" t="str">
        <f>""</f>
        <v/>
      </c>
      <c r="G106" t="str">
        <f>""</f>
        <v/>
      </c>
      <c r="H106" s="1">
        <v>42404</v>
      </c>
      <c r="I106" t="str">
        <f>"I0125640"</f>
        <v>I0125640</v>
      </c>
      <c r="J106" t="str">
        <f>"N138254F"</f>
        <v>N138254F</v>
      </c>
      <c r="K106" t="str">
        <f>"INEI"</f>
        <v>INEI</v>
      </c>
      <c r="L106" t="s">
        <v>1382</v>
      </c>
      <c r="M106">
        <v>116.28</v>
      </c>
    </row>
    <row r="107" spans="1:13" x14ac:dyDescent="0.25">
      <c r="A107" t="str">
        <f t="shared" si="22"/>
        <v>E131</v>
      </c>
      <c r="B107">
        <v>1</v>
      </c>
      <c r="C107" t="str">
        <f t="shared" si="23"/>
        <v>10200</v>
      </c>
      <c r="D107" t="str">
        <f t="shared" si="21"/>
        <v>5620</v>
      </c>
      <c r="E107" t="str">
        <f t="shared" si="24"/>
        <v>094OMS</v>
      </c>
      <c r="F107" t="str">
        <f>""</f>
        <v/>
      </c>
      <c r="G107" t="str">
        <f>""</f>
        <v/>
      </c>
      <c r="H107" s="1">
        <v>42429</v>
      </c>
      <c r="I107" t="str">
        <f>"TEL00659"</f>
        <v>TEL00659</v>
      </c>
      <c r="J107" t="str">
        <f>""</f>
        <v/>
      </c>
      <c r="K107" t="str">
        <f>"AS89"</f>
        <v>AS89</v>
      </c>
      <c r="L107" t="s">
        <v>3035</v>
      </c>
      <c r="M107">
        <v>281.38</v>
      </c>
    </row>
    <row r="108" spans="1:13" x14ac:dyDescent="0.25">
      <c r="A108" t="str">
        <f t="shared" si="22"/>
        <v>E131</v>
      </c>
      <c r="B108">
        <v>1</v>
      </c>
      <c r="C108" t="str">
        <f t="shared" si="23"/>
        <v>10200</v>
      </c>
      <c r="D108" t="str">
        <f t="shared" si="21"/>
        <v>5620</v>
      </c>
      <c r="E108" t="str">
        <f t="shared" si="24"/>
        <v>094OMS</v>
      </c>
      <c r="F108" t="str">
        <f>""</f>
        <v/>
      </c>
      <c r="G108" t="str">
        <f>""</f>
        <v/>
      </c>
      <c r="H108" s="1">
        <v>42433</v>
      </c>
      <c r="I108" t="str">
        <f>"I0126651"</f>
        <v>I0126651</v>
      </c>
      <c r="J108" t="str">
        <f>"N138254F"</f>
        <v>N138254F</v>
      </c>
      <c r="K108" t="str">
        <f>"INEI"</f>
        <v>INEI</v>
      </c>
      <c r="L108" t="s">
        <v>1382</v>
      </c>
      <c r="M108">
        <v>116.28</v>
      </c>
    </row>
    <row r="109" spans="1:13" x14ac:dyDescent="0.25">
      <c r="A109" t="str">
        <f t="shared" si="22"/>
        <v>E131</v>
      </c>
      <c r="B109">
        <v>1</v>
      </c>
      <c r="C109" t="str">
        <f t="shared" si="23"/>
        <v>10200</v>
      </c>
      <c r="D109" t="str">
        <f t="shared" si="21"/>
        <v>5620</v>
      </c>
      <c r="E109" t="str">
        <f t="shared" si="24"/>
        <v>094OMS</v>
      </c>
      <c r="F109" t="str">
        <f>""</f>
        <v/>
      </c>
      <c r="G109" t="str">
        <f>""</f>
        <v/>
      </c>
      <c r="H109" s="1">
        <v>42460</v>
      </c>
      <c r="I109" t="str">
        <f>"TEL00660"</f>
        <v>TEL00660</v>
      </c>
      <c r="J109" t="str">
        <f>""</f>
        <v/>
      </c>
      <c r="K109" t="str">
        <f>"AS89"</f>
        <v>AS89</v>
      </c>
      <c r="L109" t="s">
        <v>3034</v>
      </c>
      <c r="M109">
        <v>156.31</v>
      </c>
    </row>
    <row r="110" spans="1:13" x14ac:dyDescent="0.25">
      <c r="A110" t="str">
        <f t="shared" si="22"/>
        <v>E131</v>
      </c>
      <c r="B110">
        <v>1</v>
      </c>
      <c r="C110" t="str">
        <f t="shared" si="23"/>
        <v>10200</v>
      </c>
      <c r="D110" t="str">
        <f t="shared" si="21"/>
        <v>5620</v>
      </c>
      <c r="E110" t="str">
        <f t="shared" si="24"/>
        <v>094OMS</v>
      </c>
      <c r="F110" t="str">
        <f>""</f>
        <v/>
      </c>
      <c r="G110" t="str">
        <f>""</f>
        <v/>
      </c>
      <c r="H110" s="1">
        <v>42467</v>
      </c>
      <c r="I110" t="str">
        <f>"I0127863"</f>
        <v>I0127863</v>
      </c>
      <c r="J110" t="str">
        <f>"N138254F"</f>
        <v>N138254F</v>
      </c>
      <c r="K110" t="str">
        <f>"INEI"</f>
        <v>INEI</v>
      </c>
      <c r="L110" t="s">
        <v>1382</v>
      </c>
      <c r="M110">
        <v>116.28</v>
      </c>
    </row>
    <row r="111" spans="1:13" x14ac:dyDescent="0.25">
      <c r="A111" t="str">
        <f t="shared" si="22"/>
        <v>E131</v>
      </c>
      <c r="B111">
        <v>1</v>
      </c>
      <c r="C111" t="str">
        <f t="shared" si="23"/>
        <v>10200</v>
      </c>
      <c r="D111" t="str">
        <f t="shared" si="21"/>
        <v>5620</v>
      </c>
      <c r="E111" t="str">
        <f t="shared" si="24"/>
        <v>094OMS</v>
      </c>
      <c r="F111" t="str">
        <f>""</f>
        <v/>
      </c>
      <c r="G111" t="str">
        <f>""</f>
        <v/>
      </c>
      <c r="H111" s="1">
        <v>42467</v>
      </c>
      <c r="I111" t="str">
        <f>"I0127863"</f>
        <v>I0127863</v>
      </c>
      <c r="J111" t="str">
        <f>"N138254F"</f>
        <v>N138254F</v>
      </c>
      <c r="K111" t="str">
        <f>"INEI"</f>
        <v>INEI</v>
      </c>
      <c r="L111" t="s">
        <v>1382</v>
      </c>
      <c r="M111">
        <v>116.28</v>
      </c>
    </row>
    <row r="112" spans="1:13" x14ac:dyDescent="0.25">
      <c r="A112" t="str">
        <f t="shared" si="22"/>
        <v>E131</v>
      </c>
      <c r="B112">
        <v>1</v>
      </c>
      <c r="C112" t="str">
        <f t="shared" si="23"/>
        <v>10200</v>
      </c>
      <c r="D112" t="str">
        <f t="shared" si="21"/>
        <v>5620</v>
      </c>
      <c r="E112" t="str">
        <f t="shared" si="24"/>
        <v>094OMS</v>
      </c>
      <c r="F112" t="str">
        <f>""</f>
        <v/>
      </c>
      <c r="G112" t="str">
        <f>""</f>
        <v/>
      </c>
      <c r="H112" s="1">
        <v>42490</v>
      </c>
      <c r="I112" t="str">
        <f>"TEL00661"</f>
        <v>TEL00661</v>
      </c>
      <c r="J112" t="str">
        <f>""</f>
        <v/>
      </c>
      <c r="K112" t="str">
        <f>"AS89"</f>
        <v>AS89</v>
      </c>
      <c r="L112" t="s">
        <v>3033</v>
      </c>
      <c r="M112">
        <v>137.35</v>
      </c>
    </row>
    <row r="113" spans="1:13" x14ac:dyDescent="0.25">
      <c r="A113" t="str">
        <f t="shared" si="22"/>
        <v>E131</v>
      </c>
      <c r="B113">
        <v>1</v>
      </c>
      <c r="C113" t="str">
        <f t="shared" si="23"/>
        <v>10200</v>
      </c>
      <c r="D113" t="str">
        <f t="shared" si="21"/>
        <v>5620</v>
      </c>
      <c r="E113" t="str">
        <f t="shared" si="24"/>
        <v>094OMS</v>
      </c>
      <c r="F113" t="str">
        <f>""</f>
        <v/>
      </c>
      <c r="G113" t="str">
        <f>""</f>
        <v/>
      </c>
      <c r="H113" s="1">
        <v>42499</v>
      </c>
      <c r="I113" t="str">
        <f>"I0129489"</f>
        <v>I0129489</v>
      </c>
      <c r="J113" t="str">
        <f>"N138254F"</f>
        <v>N138254F</v>
      </c>
      <c r="K113" t="str">
        <f>"INEI"</f>
        <v>INEI</v>
      </c>
      <c r="L113" t="s">
        <v>1382</v>
      </c>
      <c r="M113">
        <v>116.22</v>
      </c>
    </row>
    <row r="114" spans="1:13" x14ac:dyDescent="0.25">
      <c r="A114" t="str">
        <f t="shared" si="22"/>
        <v>E131</v>
      </c>
      <c r="B114">
        <v>1</v>
      </c>
      <c r="C114" t="str">
        <f t="shared" si="23"/>
        <v>10200</v>
      </c>
      <c r="D114" t="str">
        <f t="shared" si="21"/>
        <v>5620</v>
      </c>
      <c r="E114" t="str">
        <f t="shared" si="24"/>
        <v>094OMS</v>
      </c>
      <c r="F114" t="str">
        <f>""</f>
        <v/>
      </c>
      <c r="G114" t="str">
        <f>""</f>
        <v/>
      </c>
      <c r="H114" s="1">
        <v>42521</v>
      </c>
      <c r="I114" t="str">
        <f>"TEL00662"</f>
        <v>TEL00662</v>
      </c>
      <c r="J114" t="str">
        <f>""</f>
        <v/>
      </c>
      <c r="K114" t="str">
        <f>"AS89"</f>
        <v>AS89</v>
      </c>
      <c r="L114" t="s">
        <v>2991</v>
      </c>
      <c r="M114">
        <v>170.36</v>
      </c>
    </row>
    <row r="115" spans="1:13" x14ac:dyDescent="0.25">
      <c r="A115" t="str">
        <f t="shared" si="22"/>
        <v>E131</v>
      </c>
      <c r="B115">
        <v>1</v>
      </c>
      <c r="C115" t="str">
        <f t="shared" si="23"/>
        <v>10200</v>
      </c>
      <c r="D115" t="str">
        <f t="shared" si="21"/>
        <v>5620</v>
      </c>
      <c r="E115" t="str">
        <f t="shared" si="24"/>
        <v>094OMS</v>
      </c>
      <c r="F115" t="str">
        <f>""</f>
        <v/>
      </c>
      <c r="G115" t="str">
        <f>""</f>
        <v/>
      </c>
      <c r="H115" s="1">
        <v>42530</v>
      </c>
      <c r="I115" t="str">
        <f>"I0131544"</f>
        <v>I0131544</v>
      </c>
      <c r="J115" t="str">
        <f>"N138254F"</f>
        <v>N138254F</v>
      </c>
      <c r="K115" t="str">
        <f>"INEI"</f>
        <v>INEI</v>
      </c>
      <c r="L115" t="s">
        <v>1382</v>
      </c>
      <c r="M115">
        <v>116.24</v>
      </c>
    </row>
    <row r="116" spans="1:13" x14ac:dyDescent="0.25">
      <c r="A116" t="str">
        <f t="shared" si="22"/>
        <v>E131</v>
      </c>
      <c r="B116">
        <v>1</v>
      </c>
      <c r="C116" t="str">
        <f t="shared" si="23"/>
        <v>10200</v>
      </c>
      <c r="D116" t="str">
        <f t="shared" si="21"/>
        <v>5620</v>
      </c>
      <c r="E116" t="str">
        <f t="shared" si="24"/>
        <v>094OMS</v>
      </c>
      <c r="F116" t="str">
        <f>""</f>
        <v/>
      </c>
      <c r="G116" t="str">
        <f>""</f>
        <v/>
      </c>
      <c r="H116" s="1">
        <v>42551</v>
      </c>
      <c r="I116" t="str">
        <f>"I0134443"</f>
        <v>I0134443</v>
      </c>
      <c r="J116" t="str">
        <f>"N138254F"</f>
        <v>N138254F</v>
      </c>
      <c r="K116" t="str">
        <f>"INEI"</f>
        <v>INEI</v>
      </c>
      <c r="L116" t="s">
        <v>1382</v>
      </c>
      <c r="M116">
        <v>116.22</v>
      </c>
    </row>
    <row r="117" spans="1:13" x14ac:dyDescent="0.25">
      <c r="A117" t="str">
        <f t="shared" si="22"/>
        <v>E131</v>
      </c>
      <c r="B117">
        <v>1</v>
      </c>
      <c r="C117" t="str">
        <f t="shared" si="23"/>
        <v>10200</v>
      </c>
      <c r="D117" t="str">
        <f t="shared" si="21"/>
        <v>5620</v>
      </c>
      <c r="E117" t="str">
        <f t="shared" si="24"/>
        <v>094OMS</v>
      </c>
      <c r="F117" t="str">
        <f>""</f>
        <v/>
      </c>
      <c r="G117" t="str">
        <f>""</f>
        <v/>
      </c>
      <c r="H117" s="1">
        <v>42551</v>
      </c>
      <c r="I117" t="str">
        <f>"PCD00791"</f>
        <v>PCD00791</v>
      </c>
      <c r="J117" t="str">
        <f>""</f>
        <v/>
      </c>
      <c r="K117" t="str">
        <f t="shared" ref="K117:K147" si="25">"AS89"</f>
        <v>AS89</v>
      </c>
      <c r="L117" t="s">
        <v>3043</v>
      </c>
      <c r="M117">
        <v>116.24</v>
      </c>
    </row>
    <row r="118" spans="1:13" x14ac:dyDescent="0.25">
      <c r="A118" t="str">
        <f t="shared" si="22"/>
        <v>E131</v>
      </c>
      <c r="B118">
        <v>1</v>
      </c>
      <c r="C118" t="str">
        <f t="shared" si="23"/>
        <v>10200</v>
      </c>
      <c r="D118" t="str">
        <f t="shared" si="21"/>
        <v>5620</v>
      </c>
      <c r="E118" t="str">
        <f t="shared" si="24"/>
        <v>094OMS</v>
      </c>
      <c r="F118" t="str">
        <f>""</f>
        <v/>
      </c>
      <c r="G118" t="str">
        <f>""</f>
        <v/>
      </c>
      <c r="H118" s="1">
        <v>42551</v>
      </c>
      <c r="I118" t="str">
        <f>"TEL00663"</f>
        <v>TEL00663</v>
      </c>
      <c r="J118" t="str">
        <f>""</f>
        <v/>
      </c>
      <c r="K118" t="str">
        <f t="shared" si="25"/>
        <v>AS89</v>
      </c>
      <c r="L118" t="s">
        <v>2990</v>
      </c>
      <c r="M118">
        <v>187.56</v>
      </c>
    </row>
    <row r="119" spans="1:13" x14ac:dyDescent="0.25">
      <c r="A119" t="str">
        <f t="shared" si="22"/>
        <v>E131</v>
      </c>
      <c r="B119">
        <v>1</v>
      </c>
      <c r="C119" t="str">
        <f t="shared" ref="C119:C130" si="26">"23275"</f>
        <v>23275</v>
      </c>
      <c r="D119" t="str">
        <f t="shared" si="21"/>
        <v>5620</v>
      </c>
      <c r="E119" t="str">
        <f t="shared" ref="E119:E130" si="27">"063STF"</f>
        <v>063STF</v>
      </c>
      <c r="F119" t="str">
        <f>""</f>
        <v/>
      </c>
      <c r="G119" t="str">
        <f>""</f>
        <v/>
      </c>
      <c r="H119" s="1">
        <v>42216</v>
      </c>
      <c r="I119" t="str">
        <f>"TEL00652"</f>
        <v>TEL00652</v>
      </c>
      <c r="J119" t="str">
        <f>""</f>
        <v/>
      </c>
      <c r="K119" t="str">
        <f t="shared" si="25"/>
        <v>AS89</v>
      </c>
      <c r="L119" t="s">
        <v>3041</v>
      </c>
      <c r="M119">
        <v>144.56</v>
      </c>
    </row>
    <row r="120" spans="1:13" x14ac:dyDescent="0.25">
      <c r="A120" t="str">
        <f t="shared" si="22"/>
        <v>E131</v>
      </c>
      <c r="B120">
        <v>1</v>
      </c>
      <c r="C120" t="str">
        <f t="shared" si="26"/>
        <v>23275</v>
      </c>
      <c r="D120" t="str">
        <f t="shared" si="21"/>
        <v>5620</v>
      </c>
      <c r="E120" t="str">
        <f t="shared" si="27"/>
        <v>063STF</v>
      </c>
      <c r="F120" t="str">
        <f>""</f>
        <v/>
      </c>
      <c r="G120" t="str">
        <f>""</f>
        <v/>
      </c>
      <c r="H120" s="1">
        <v>42247</v>
      </c>
      <c r="I120" t="str">
        <f>"TEL00653"</f>
        <v>TEL00653</v>
      </c>
      <c r="J120" t="str">
        <f>""</f>
        <v/>
      </c>
      <c r="K120" t="str">
        <f t="shared" si="25"/>
        <v>AS89</v>
      </c>
      <c r="L120" t="s">
        <v>3040</v>
      </c>
      <c r="M120">
        <v>141.29</v>
      </c>
    </row>
    <row r="121" spans="1:13" x14ac:dyDescent="0.25">
      <c r="A121" t="str">
        <f t="shared" si="22"/>
        <v>E131</v>
      </c>
      <c r="B121">
        <v>1</v>
      </c>
      <c r="C121" t="str">
        <f t="shared" si="26"/>
        <v>23275</v>
      </c>
      <c r="D121" t="str">
        <f t="shared" si="21"/>
        <v>5620</v>
      </c>
      <c r="E121" t="str">
        <f t="shared" si="27"/>
        <v>063STF</v>
      </c>
      <c r="F121" t="str">
        <f>""</f>
        <v/>
      </c>
      <c r="G121" t="str">
        <f>""</f>
        <v/>
      </c>
      <c r="H121" s="1">
        <v>42277</v>
      </c>
      <c r="I121" t="str">
        <f>"TEL00654"</f>
        <v>TEL00654</v>
      </c>
      <c r="J121" t="str">
        <f>""</f>
        <v/>
      </c>
      <c r="K121" t="str">
        <f t="shared" si="25"/>
        <v>AS89</v>
      </c>
      <c r="L121" t="s">
        <v>3039</v>
      </c>
      <c r="M121">
        <v>141.28</v>
      </c>
    </row>
    <row r="122" spans="1:13" x14ac:dyDescent="0.25">
      <c r="A122" t="str">
        <f t="shared" si="22"/>
        <v>E131</v>
      </c>
      <c r="B122">
        <v>1</v>
      </c>
      <c r="C122" t="str">
        <f t="shared" si="26"/>
        <v>23275</v>
      </c>
      <c r="D122" t="str">
        <f t="shared" si="21"/>
        <v>5620</v>
      </c>
      <c r="E122" t="str">
        <f t="shared" si="27"/>
        <v>063STF</v>
      </c>
      <c r="F122" t="str">
        <f>""</f>
        <v/>
      </c>
      <c r="G122" t="str">
        <f>""</f>
        <v/>
      </c>
      <c r="H122" s="1">
        <v>42308</v>
      </c>
      <c r="I122" t="str">
        <f>"TEL00655"</f>
        <v>TEL00655</v>
      </c>
      <c r="J122" t="str">
        <f>""</f>
        <v/>
      </c>
      <c r="K122" t="str">
        <f t="shared" si="25"/>
        <v>AS89</v>
      </c>
      <c r="L122" t="s">
        <v>3038</v>
      </c>
      <c r="M122">
        <v>145.63</v>
      </c>
    </row>
    <row r="123" spans="1:13" x14ac:dyDescent="0.25">
      <c r="A123" t="str">
        <f t="shared" si="22"/>
        <v>E131</v>
      </c>
      <c r="B123">
        <v>1</v>
      </c>
      <c r="C123" t="str">
        <f t="shared" si="26"/>
        <v>23275</v>
      </c>
      <c r="D123" t="str">
        <f t="shared" ref="D123:D154" si="28">"5620"</f>
        <v>5620</v>
      </c>
      <c r="E123" t="str">
        <f t="shared" si="27"/>
        <v>063STF</v>
      </c>
      <c r="F123" t="str">
        <f>""</f>
        <v/>
      </c>
      <c r="G123" t="str">
        <f>""</f>
        <v/>
      </c>
      <c r="H123" s="1">
        <v>42338</v>
      </c>
      <c r="I123" t="str">
        <f>"TEL00656"</f>
        <v>TEL00656</v>
      </c>
      <c r="J123" t="str">
        <f>""</f>
        <v/>
      </c>
      <c r="K123" t="str">
        <f t="shared" si="25"/>
        <v>AS89</v>
      </c>
      <c r="L123" t="s">
        <v>3037</v>
      </c>
      <c r="M123">
        <v>144.08000000000001</v>
      </c>
    </row>
    <row r="124" spans="1:13" x14ac:dyDescent="0.25">
      <c r="A124" t="str">
        <f t="shared" si="22"/>
        <v>E131</v>
      </c>
      <c r="B124">
        <v>1</v>
      </c>
      <c r="C124" t="str">
        <f t="shared" si="26"/>
        <v>23275</v>
      </c>
      <c r="D124" t="str">
        <f t="shared" si="28"/>
        <v>5620</v>
      </c>
      <c r="E124" t="str">
        <f t="shared" si="27"/>
        <v>063STF</v>
      </c>
      <c r="F124" t="str">
        <f>""</f>
        <v/>
      </c>
      <c r="G124" t="str">
        <f>""</f>
        <v/>
      </c>
      <c r="H124" s="1">
        <v>42369</v>
      </c>
      <c r="I124" t="str">
        <f>"TEL00657"</f>
        <v>TEL00657</v>
      </c>
      <c r="J124" t="str">
        <f>""</f>
        <v/>
      </c>
      <c r="K124" t="str">
        <f t="shared" si="25"/>
        <v>AS89</v>
      </c>
      <c r="L124" t="s">
        <v>3036</v>
      </c>
      <c r="M124">
        <v>141.87</v>
      </c>
    </row>
    <row r="125" spans="1:13" x14ac:dyDescent="0.25">
      <c r="A125" t="str">
        <f t="shared" ref="A125:A156" si="29">"E131"</f>
        <v>E131</v>
      </c>
      <c r="B125">
        <v>1</v>
      </c>
      <c r="C125" t="str">
        <f t="shared" si="26"/>
        <v>23275</v>
      </c>
      <c r="D125" t="str">
        <f t="shared" si="28"/>
        <v>5620</v>
      </c>
      <c r="E125" t="str">
        <f t="shared" si="27"/>
        <v>063STF</v>
      </c>
      <c r="F125" t="str">
        <f>""</f>
        <v/>
      </c>
      <c r="G125" t="str">
        <f>""</f>
        <v/>
      </c>
      <c r="H125" s="1">
        <v>42400</v>
      </c>
      <c r="I125" t="str">
        <f>"TEL00658"</f>
        <v>TEL00658</v>
      </c>
      <c r="J125" t="str">
        <f>""</f>
        <v/>
      </c>
      <c r="K125" t="str">
        <f t="shared" si="25"/>
        <v>AS89</v>
      </c>
      <c r="L125" t="s">
        <v>2992</v>
      </c>
      <c r="M125">
        <v>146.88</v>
      </c>
    </row>
    <row r="126" spans="1:13" x14ac:dyDescent="0.25">
      <c r="A126" t="str">
        <f t="shared" si="29"/>
        <v>E131</v>
      </c>
      <c r="B126">
        <v>1</v>
      </c>
      <c r="C126" t="str">
        <f t="shared" si="26"/>
        <v>23275</v>
      </c>
      <c r="D126" t="str">
        <f t="shared" si="28"/>
        <v>5620</v>
      </c>
      <c r="E126" t="str">
        <f t="shared" si="27"/>
        <v>063STF</v>
      </c>
      <c r="F126" t="str">
        <f>""</f>
        <v/>
      </c>
      <c r="G126" t="str">
        <f>""</f>
        <v/>
      </c>
      <c r="H126" s="1">
        <v>42429</v>
      </c>
      <c r="I126" t="str">
        <f>"TEL00659"</f>
        <v>TEL00659</v>
      </c>
      <c r="J126" t="str">
        <f>""</f>
        <v/>
      </c>
      <c r="K126" t="str">
        <f t="shared" si="25"/>
        <v>AS89</v>
      </c>
      <c r="L126" t="s">
        <v>3035</v>
      </c>
      <c r="M126">
        <v>148.81</v>
      </c>
    </row>
    <row r="127" spans="1:13" x14ac:dyDescent="0.25">
      <c r="A127" t="str">
        <f t="shared" si="29"/>
        <v>E131</v>
      </c>
      <c r="B127">
        <v>1</v>
      </c>
      <c r="C127" t="str">
        <f t="shared" si="26"/>
        <v>23275</v>
      </c>
      <c r="D127" t="str">
        <f t="shared" si="28"/>
        <v>5620</v>
      </c>
      <c r="E127" t="str">
        <f t="shared" si="27"/>
        <v>063STF</v>
      </c>
      <c r="F127" t="str">
        <f>""</f>
        <v/>
      </c>
      <c r="G127" t="str">
        <f>""</f>
        <v/>
      </c>
      <c r="H127" s="1">
        <v>42460</v>
      </c>
      <c r="I127" t="str">
        <f>"TEL00660"</f>
        <v>TEL00660</v>
      </c>
      <c r="J127" t="str">
        <f>""</f>
        <v/>
      </c>
      <c r="K127" t="str">
        <f t="shared" si="25"/>
        <v>AS89</v>
      </c>
      <c r="L127" t="s">
        <v>3034</v>
      </c>
      <c r="M127">
        <v>160.47</v>
      </c>
    </row>
    <row r="128" spans="1:13" x14ac:dyDescent="0.25">
      <c r="A128" t="str">
        <f t="shared" si="29"/>
        <v>E131</v>
      </c>
      <c r="B128">
        <v>1</v>
      </c>
      <c r="C128" t="str">
        <f t="shared" si="26"/>
        <v>23275</v>
      </c>
      <c r="D128" t="str">
        <f t="shared" si="28"/>
        <v>5620</v>
      </c>
      <c r="E128" t="str">
        <f t="shared" si="27"/>
        <v>063STF</v>
      </c>
      <c r="F128" t="str">
        <f>""</f>
        <v/>
      </c>
      <c r="G128" t="str">
        <f>""</f>
        <v/>
      </c>
      <c r="H128" s="1">
        <v>42490</v>
      </c>
      <c r="I128" t="str">
        <f>"TEL00661"</f>
        <v>TEL00661</v>
      </c>
      <c r="J128" t="str">
        <f>""</f>
        <v/>
      </c>
      <c r="K128" t="str">
        <f t="shared" si="25"/>
        <v>AS89</v>
      </c>
      <c r="L128" t="s">
        <v>3033</v>
      </c>
      <c r="M128">
        <v>146.63</v>
      </c>
    </row>
    <row r="129" spans="1:13" x14ac:dyDescent="0.25">
      <c r="A129" t="str">
        <f t="shared" si="29"/>
        <v>E131</v>
      </c>
      <c r="B129">
        <v>1</v>
      </c>
      <c r="C129" t="str">
        <f t="shared" si="26"/>
        <v>23275</v>
      </c>
      <c r="D129" t="str">
        <f t="shared" si="28"/>
        <v>5620</v>
      </c>
      <c r="E129" t="str">
        <f t="shared" si="27"/>
        <v>063STF</v>
      </c>
      <c r="F129" t="str">
        <f>""</f>
        <v/>
      </c>
      <c r="G129" t="str">
        <f>""</f>
        <v/>
      </c>
      <c r="H129" s="1">
        <v>42521</v>
      </c>
      <c r="I129" t="str">
        <f>"TEL00662"</f>
        <v>TEL00662</v>
      </c>
      <c r="J129" t="str">
        <f>""</f>
        <v/>
      </c>
      <c r="K129" t="str">
        <f t="shared" si="25"/>
        <v>AS89</v>
      </c>
      <c r="L129" t="s">
        <v>2991</v>
      </c>
      <c r="M129">
        <v>141.09</v>
      </c>
    </row>
    <row r="130" spans="1:13" x14ac:dyDescent="0.25">
      <c r="A130" t="str">
        <f t="shared" si="29"/>
        <v>E131</v>
      </c>
      <c r="B130">
        <v>1</v>
      </c>
      <c r="C130" t="str">
        <f t="shared" si="26"/>
        <v>23275</v>
      </c>
      <c r="D130" t="str">
        <f t="shared" si="28"/>
        <v>5620</v>
      </c>
      <c r="E130" t="str">
        <f t="shared" si="27"/>
        <v>063STF</v>
      </c>
      <c r="F130" t="str">
        <f>""</f>
        <v/>
      </c>
      <c r="G130" t="str">
        <f>""</f>
        <v/>
      </c>
      <c r="H130" s="1">
        <v>42551</v>
      </c>
      <c r="I130" t="str">
        <f>"TEL00663"</f>
        <v>TEL00663</v>
      </c>
      <c r="J130" t="str">
        <f>""</f>
        <v/>
      </c>
      <c r="K130" t="str">
        <f t="shared" si="25"/>
        <v>AS89</v>
      </c>
      <c r="L130" t="s">
        <v>2990</v>
      </c>
      <c r="M130">
        <v>327.44</v>
      </c>
    </row>
    <row r="131" spans="1:13" x14ac:dyDescent="0.25">
      <c r="A131" t="str">
        <f t="shared" si="29"/>
        <v>E131</v>
      </c>
      <c r="B131">
        <v>1</v>
      </c>
      <c r="C131" t="str">
        <f>"32040"</f>
        <v>32040</v>
      </c>
      <c r="D131" t="str">
        <f t="shared" si="28"/>
        <v>5620</v>
      </c>
      <c r="E131" t="str">
        <f>"850LCK"</f>
        <v>850LCK</v>
      </c>
      <c r="F131" t="str">
        <f>""</f>
        <v/>
      </c>
      <c r="G131" t="str">
        <f>""</f>
        <v/>
      </c>
      <c r="H131" s="1">
        <v>42216</v>
      </c>
      <c r="I131" t="str">
        <f>"TEL00652"</f>
        <v>TEL00652</v>
      </c>
      <c r="J131" t="str">
        <f>""</f>
        <v/>
      </c>
      <c r="K131" t="str">
        <f t="shared" si="25"/>
        <v>AS89</v>
      </c>
      <c r="L131" t="s">
        <v>3041</v>
      </c>
      <c r="M131">
        <v>186.76</v>
      </c>
    </row>
    <row r="132" spans="1:13" x14ac:dyDescent="0.25">
      <c r="A132" t="str">
        <f t="shared" si="29"/>
        <v>E131</v>
      </c>
      <c r="B132">
        <v>1</v>
      </c>
      <c r="C132" t="str">
        <f>"32040"</f>
        <v>32040</v>
      </c>
      <c r="D132" t="str">
        <f t="shared" si="28"/>
        <v>5620</v>
      </c>
      <c r="E132" t="str">
        <f>"850LCK"</f>
        <v>850LCK</v>
      </c>
      <c r="F132" t="str">
        <f>""</f>
        <v/>
      </c>
      <c r="G132" t="str">
        <f>""</f>
        <v/>
      </c>
      <c r="H132" s="1">
        <v>42247</v>
      </c>
      <c r="I132" t="str">
        <f>"TEL00653"</f>
        <v>TEL00653</v>
      </c>
      <c r="J132" t="str">
        <f>""</f>
        <v/>
      </c>
      <c r="K132" t="str">
        <f t="shared" si="25"/>
        <v>AS89</v>
      </c>
      <c r="L132" t="s">
        <v>3040</v>
      </c>
      <c r="M132">
        <v>186.5</v>
      </c>
    </row>
    <row r="133" spans="1:13" x14ac:dyDescent="0.25">
      <c r="A133" t="str">
        <f t="shared" si="29"/>
        <v>E131</v>
      </c>
      <c r="B133">
        <v>1</v>
      </c>
      <c r="C133" t="str">
        <f>"32040"</f>
        <v>32040</v>
      </c>
      <c r="D133" t="str">
        <f t="shared" si="28"/>
        <v>5620</v>
      </c>
      <c r="E133" t="str">
        <f>"850LCK"</f>
        <v>850LCK</v>
      </c>
      <c r="F133" t="str">
        <f>""</f>
        <v/>
      </c>
      <c r="G133" t="str">
        <f>""</f>
        <v/>
      </c>
      <c r="H133" s="1">
        <v>42277</v>
      </c>
      <c r="I133" t="str">
        <f>"TEL00654"</f>
        <v>TEL00654</v>
      </c>
      <c r="J133" t="str">
        <f>""</f>
        <v/>
      </c>
      <c r="K133" t="str">
        <f t="shared" si="25"/>
        <v>AS89</v>
      </c>
      <c r="L133" t="s">
        <v>3039</v>
      </c>
      <c r="M133">
        <v>184.35</v>
      </c>
    </row>
    <row r="134" spans="1:13" x14ac:dyDescent="0.25">
      <c r="A134" t="str">
        <f t="shared" si="29"/>
        <v>E131</v>
      </c>
      <c r="B134">
        <v>1</v>
      </c>
      <c r="C134" t="str">
        <f>"32040"</f>
        <v>32040</v>
      </c>
      <c r="D134" t="str">
        <f t="shared" si="28"/>
        <v>5620</v>
      </c>
      <c r="E134" t="str">
        <f>"850LCK"</f>
        <v>850LCK</v>
      </c>
      <c r="F134" t="str">
        <f>""</f>
        <v/>
      </c>
      <c r="G134" t="str">
        <f>""</f>
        <v/>
      </c>
      <c r="H134" s="1">
        <v>42308</v>
      </c>
      <c r="I134" t="str">
        <f>"TEL00655"</f>
        <v>TEL00655</v>
      </c>
      <c r="J134" t="str">
        <f>""</f>
        <v/>
      </c>
      <c r="K134" t="str">
        <f t="shared" si="25"/>
        <v>AS89</v>
      </c>
      <c r="L134" t="s">
        <v>3038</v>
      </c>
      <c r="M134">
        <v>190.69</v>
      </c>
    </row>
    <row r="135" spans="1:13" x14ac:dyDescent="0.25">
      <c r="A135" t="str">
        <f t="shared" si="29"/>
        <v>E131</v>
      </c>
      <c r="B135">
        <v>1</v>
      </c>
      <c r="C135" t="str">
        <f>"32040"</f>
        <v>32040</v>
      </c>
      <c r="D135" t="str">
        <f t="shared" si="28"/>
        <v>5620</v>
      </c>
      <c r="E135" t="str">
        <f>"850LCK"</f>
        <v>850LCK</v>
      </c>
      <c r="F135" t="str">
        <f>""</f>
        <v/>
      </c>
      <c r="G135" t="str">
        <f>""</f>
        <v/>
      </c>
      <c r="H135" s="1">
        <v>42338</v>
      </c>
      <c r="I135" t="str">
        <f>"TEL00656"</f>
        <v>TEL00656</v>
      </c>
      <c r="J135" t="str">
        <f>""</f>
        <v/>
      </c>
      <c r="K135" t="str">
        <f t="shared" si="25"/>
        <v>AS89</v>
      </c>
      <c r="L135" t="s">
        <v>3037</v>
      </c>
      <c r="M135">
        <v>183.14</v>
      </c>
    </row>
    <row r="136" spans="1:13" x14ac:dyDescent="0.25">
      <c r="A136" t="str">
        <f t="shared" si="29"/>
        <v>E131</v>
      </c>
      <c r="B136">
        <v>1</v>
      </c>
      <c r="C136" t="str">
        <f t="shared" ref="C136:C167" si="30">"43000"</f>
        <v>43000</v>
      </c>
      <c r="D136" t="str">
        <f t="shared" si="28"/>
        <v>5620</v>
      </c>
      <c r="E136" t="str">
        <f t="shared" ref="E136:E147" si="31">"850ALT"</f>
        <v>850ALT</v>
      </c>
      <c r="F136" t="str">
        <f>""</f>
        <v/>
      </c>
      <c r="G136" t="str">
        <f>""</f>
        <v/>
      </c>
      <c r="H136" s="1">
        <v>42216</v>
      </c>
      <c r="I136" t="str">
        <f>"TEL00652"</f>
        <v>TEL00652</v>
      </c>
      <c r="J136" t="str">
        <f>""</f>
        <v/>
      </c>
      <c r="K136" t="str">
        <f t="shared" si="25"/>
        <v>AS89</v>
      </c>
      <c r="L136" t="s">
        <v>3041</v>
      </c>
      <c r="M136">
        <v>125.46</v>
      </c>
    </row>
    <row r="137" spans="1:13" x14ac:dyDescent="0.25">
      <c r="A137" t="str">
        <f t="shared" si="29"/>
        <v>E131</v>
      </c>
      <c r="B137">
        <v>1</v>
      </c>
      <c r="C137" t="str">
        <f t="shared" si="30"/>
        <v>43000</v>
      </c>
      <c r="D137" t="str">
        <f t="shared" si="28"/>
        <v>5620</v>
      </c>
      <c r="E137" t="str">
        <f t="shared" si="31"/>
        <v>850ALT</v>
      </c>
      <c r="F137" t="str">
        <f>""</f>
        <v/>
      </c>
      <c r="G137" t="str">
        <f>""</f>
        <v/>
      </c>
      <c r="H137" s="1">
        <v>42247</v>
      </c>
      <c r="I137" t="str">
        <f>"TEL00653"</f>
        <v>TEL00653</v>
      </c>
      <c r="J137" t="str">
        <f>""</f>
        <v/>
      </c>
      <c r="K137" t="str">
        <f t="shared" si="25"/>
        <v>AS89</v>
      </c>
      <c r="L137" t="s">
        <v>3040</v>
      </c>
      <c r="M137">
        <v>126.49</v>
      </c>
    </row>
    <row r="138" spans="1:13" x14ac:dyDescent="0.25">
      <c r="A138" t="str">
        <f t="shared" si="29"/>
        <v>E131</v>
      </c>
      <c r="B138">
        <v>1</v>
      </c>
      <c r="C138" t="str">
        <f t="shared" si="30"/>
        <v>43000</v>
      </c>
      <c r="D138" t="str">
        <f t="shared" si="28"/>
        <v>5620</v>
      </c>
      <c r="E138" t="str">
        <f t="shared" si="31"/>
        <v>850ALT</v>
      </c>
      <c r="F138" t="str">
        <f>""</f>
        <v/>
      </c>
      <c r="G138" t="str">
        <f>""</f>
        <v/>
      </c>
      <c r="H138" s="1">
        <v>42277</v>
      </c>
      <c r="I138" t="str">
        <f>"TEL00654"</f>
        <v>TEL00654</v>
      </c>
      <c r="J138" t="str">
        <f>""</f>
        <v/>
      </c>
      <c r="K138" t="str">
        <f t="shared" si="25"/>
        <v>AS89</v>
      </c>
      <c r="L138" t="s">
        <v>3039</v>
      </c>
      <c r="M138">
        <v>126.49</v>
      </c>
    </row>
    <row r="139" spans="1:13" x14ac:dyDescent="0.25">
      <c r="A139" t="str">
        <f t="shared" si="29"/>
        <v>E131</v>
      </c>
      <c r="B139">
        <v>1</v>
      </c>
      <c r="C139" t="str">
        <f t="shared" si="30"/>
        <v>43000</v>
      </c>
      <c r="D139" t="str">
        <f t="shared" si="28"/>
        <v>5620</v>
      </c>
      <c r="E139" t="str">
        <f t="shared" si="31"/>
        <v>850ALT</v>
      </c>
      <c r="F139" t="str">
        <f>""</f>
        <v/>
      </c>
      <c r="G139" t="str">
        <f>""</f>
        <v/>
      </c>
      <c r="H139" s="1">
        <v>42308</v>
      </c>
      <c r="I139" t="str">
        <f>"TEL00655"</f>
        <v>TEL00655</v>
      </c>
      <c r="J139" t="str">
        <f>""</f>
        <v/>
      </c>
      <c r="K139" t="str">
        <f t="shared" si="25"/>
        <v>AS89</v>
      </c>
      <c r="L139" t="s">
        <v>3038</v>
      </c>
      <c r="M139">
        <v>138.52000000000001</v>
      </c>
    </row>
    <row r="140" spans="1:13" x14ac:dyDescent="0.25">
      <c r="A140" t="str">
        <f t="shared" si="29"/>
        <v>E131</v>
      </c>
      <c r="B140">
        <v>1</v>
      </c>
      <c r="C140" t="str">
        <f t="shared" si="30"/>
        <v>43000</v>
      </c>
      <c r="D140" t="str">
        <f t="shared" si="28"/>
        <v>5620</v>
      </c>
      <c r="E140" t="str">
        <f t="shared" si="31"/>
        <v>850ALT</v>
      </c>
      <c r="F140" t="str">
        <f>""</f>
        <v/>
      </c>
      <c r="G140" t="str">
        <f>""</f>
        <v/>
      </c>
      <c r="H140" s="1">
        <v>42338</v>
      </c>
      <c r="I140" t="str">
        <f>"TEL00656"</f>
        <v>TEL00656</v>
      </c>
      <c r="J140" t="str">
        <f>""</f>
        <v/>
      </c>
      <c r="K140" t="str">
        <f t="shared" si="25"/>
        <v>AS89</v>
      </c>
      <c r="L140" t="s">
        <v>3037</v>
      </c>
      <c r="M140">
        <v>125.51</v>
      </c>
    </row>
    <row r="141" spans="1:13" x14ac:dyDescent="0.25">
      <c r="A141" t="str">
        <f t="shared" si="29"/>
        <v>E131</v>
      </c>
      <c r="B141">
        <v>1</v>
      </c>
      <c r="C141" t="str">
        <f t="shared" si="30"/>
        <v>43000</v>
      </c>
      <c r="D141" t="str">
        <f t="shared" si="28"/>
        <v>5620</v>
      </c>
      <c r="E141" t="str">
        <f t="shared" si="31"/>
        <v>850ALT</v>
      </c>
      <c r="F141" t="str">
        <f>""</f>
        <v/>
      </c>
      <c r="G141" t="str">
        <f>""</f>
        <v/>
      </c>
      <c r="H141" s="1">
        <v>42369</v>
      </c>
      <c r="I141" t="str">
        <f>"TEL00657"</f>
        <v>TEL00657</v>
      </c>
      <c r="J141" t="str">
        <f>""</f>
        <v/>
      </c>
      <c r="K141" t="str">
        <f t="shared" si="25"/>
        <v>AS89</v>
      </c>
      <c r="L141" t="s">
        <v>3036</v>
      </c>
      <c r="M141">
        <v>124.27</v>
      </c>
    </row>
    <row r="142" spans="1:13" x14ac:dyDescent="0.25">
      <c r="A142" t="str">
        <f t="shared" si="29"/>
        <v>E131</v>
      </c>
      <c r="B142">
        <v>1</v>
      </c>
      <c r="C142" t="str">
        <f t="shared" si="30"/>
        <v>43000</v>
      </c>
      <c r="D142" t="str">
        <f t="shared" si="28"/>
        <v>5620</v>
      </c>
      <c r="E142" t="str">
        <f t="shared" si="31"/>
        <v>850ALT</v>
      </c>
      <c r="F142" t="str">
        <f>""</f>
        <v/>
      </c>
      <c r="G142" t="str">
        <f>""</f>
        <v/>
      </c>
      <c r="H142" s="1">
        <v>42400</v>
      </c>
      <c r="I142" t="str">
        <f>"TEL00658"</f>
        <v>TEL00658</v>
      </c>
      <c r="J142" t="str">
        <f>""</f>
        <v/>
      </c>
      <c r="K142" t="str">
        <f t="shared" si="25"/>
        <v>AS89</v>
      </c>
      <c r="L142" t="s">
        <v>2992</v>
      </c>
      <c r="M142">
        <v>125.39</v>
      </c>
    </row>
    <row r="143" spans="1:13" x14ac:dyDescent="0.25">
      <c r="A143" t="str">
        <f t="shared" si="29"/>
        <v>E131</v>
      </c>
      <c r="B143">
        <v>1</v>
      </c>
      <c r="C143" t="str">
        <f t="shared" si="30"/>
        <v>43000</v>
      </c>
      <c r="D143" t="str">
        <f t="shared" si="28"/>
        <v>5620</v>
      </c>
      <c r="E143" t="str">
        <f t="shared" si="31"/>
        <v>850ALT</v>
      </c>
      <c r="F143" t="str">
        <f>""</f>
        <v/>
      </c>
      <c r="G143" t="str">
        <f>""</f>
        <v/>
      </c>
      <c r="H143" s="1">
        <v>42429</v>
      </c>
      <c r="I143" t="str">
        <f>"TEL00659"</f>
        <v>TEL00659</v>
      </c>
      <c r="J143" t="str">
        <f>""</f>
        <v/>
      </c>
      <c r="K143" t="str">
        <f t="shared" si="25"/>
        <v>AS89</v>
      </c>
      <c r="L143" t="s">
        <v>3035</v>
      </c>
      <c r="M143">
        <v>128.76</v>
      </c>
    </row>
    <row r="144" spans="1:13" x14ac:dyDescent="0.25">
      <c r="A144" t="str">
        <f t="shared" si="29"/>
        <v>E131</v>
      </c>
      <c r="B144">
        <v>1</v>
      </c>
      <c r="C144" t="str">
        <f t="shared" si="30"/>
        <v>43000</v>
      </c>
      <c r="D144" t="str">
        <f t="shared" si="28"/>
        <v>5620</v>
      </c>
      <c r="E144" t="str">
        <f t="shared" si="31"/>
        <v>850ALT</v>
      </c>
      <c r="F144" t="str">
        <f>""</f>
        <v/>
      </c>
      <c r="G144" t="str">
        <f>""</f>
        <v/>
      </c>
      <c r="H144" s="1">
        <v>42460</v>
      </c>
      <c r="I144" t="str">
        <f>"TEL00660"</f>
        <v>TEL00660</v>
      </c>
      <c r="J144" t="str">
        <f>""</f>
        <v/>
      </c>
      <c r="K144" t="str">
        <f t="shared" si="25"/>
        <v>AS89</v>
      </c>
      <c r="L144" t="s">
        <v>3034</v>
      </c>
      <c r="M144">
        <v>123.31</v>
      </c>
    </row>
    <row r="145" spans="1:13" x14ac:dyDescent="0.25">
      <c r="A145" t="str">
        <f t="shared" si="29"/>
        <v>E131</v>
      </c>
      <c r="B145">
        <v>1</v>
      </c>
      <c r="C145" t="str">
        <f t="shared" si="30"/>
        <v>43000</v>
      </c>
      <c r="D145" t="str">
        <f t="shared" si="28"/>
        <v>5620</v>
      </c>
      <c r="E145" t="str">
        <f t="shared" si="31"/>
        <v>850ALT</v>
      </c>
      <c r="F145" t="str">
        <f>""</f>
        <v/>
      </c>
      <c r="G145" t="str">
        <f>""</f>
        <v/>
      </c>
      <c r="H145" s="1">
        <v>42490</v>
      </c>
      <c r="I145" t="str">
        <f>"TEL00661"</f>
        <v>TEL00661</v>
      </c>
      <c r="J145" t="str">
        <f>""</f>
        <v/>
      </c>
      <c r="K145" t="str">
        <f t="shared" si="25"/>
        <v>AS89</v>
      </c>
      <c r="L145" t="s">
        <v>3033</v>
      </c>
      <c r="M145">
        <v>133.66999999999999</v>
      </c>
    </row>
    <row r="146" spans="1:13" x14ac:dyDescent="0.25">
      <c r="A146" t="str">
        <f t="shared" si="29"/>
        <v>E131</v>
      </c>
      <c r="B146">
        <v>1</v>
      </c>
      <c r="C146" t="str">
        <f t="shared" si="30"/>
        <v>43000</v>
      </c>
      <c r="D146" t="str">
        <f t="shared" si="28"/>
        <v>5620</v>
      </c>
      <c r="E146" t="str">
        <f t="shared" si="31"/>
        <v>850ALT</v>
      </c>
      <c r="F146" t="str">
        <f>""</f>
        <v/>
      </c>
      <c r="G146" t="str">
        <f>""</f>
        <v/>
      </c>
      <c r="H146" s="1">
        <v>42521</v>
      </c>
      <c r="I146" t="str">
        <f>"TEL00662"</f>
        <v>TEL00662</v>
      </c>
      <c r="J146" t="str">
        <f>""</f>
        <v/>
      </c>
      <c r="K146" t="str">
        <f t="shared" si="25"/>
        <v>AS89</v>
      </c>
      <c r="L146" t="s">
        <v>2991</v>
      </c>
      <c r="M146">
        <v>127.28</v>
      </c>
    </row>
    <row r="147" spans="1:13" x14ac:dyDescent="0.25">
      <c r="A147" t="str">
        <f t="shared" si="29"/>
        <v>E131</v>
      </c>
      <c r="B147">
        <v>1</v>
      </c>
      <c r="C147" t="str">
        <f t="shared" si="30"/>
        <v>43000</v>
      </c>
      <c r="D147" t="str">
        <f t="shared" si="28"/>
        <v>5620</v>
      </c>
      <c r="E147" t="str">
        <f t="shared" si="31"/>
        <v>850ALT</v>
      </c>
      <c r="F147" t="str">
        <f>""</f>
        <v/>
      </c>
      <c r="G147" t="str">
        <f>""</f>
        <v/>
      </c>
      <c r="H147" s="1">
        <v>42551</v>
      </c>
      <c r="I147" t="str">
        <f>"TEL00663"</f>
        <v>TEL00663</v>
      </c>
      <c r="J147" t="str">
        <f>""</f>
        <v/>
      </c>
      <c r="K147" t="str">
        <f t="shared" si="25"/>
        <v>AS89</v>
      </c>
      <c r="L147" t="s">
        <v>2990</v>
      </c>
      <c r="M147">
        <v>126.61</v>
      </c>
    </row>
    <row r="148" spans="1:13" x14ac:dyDescent="0.25">
      <c r="A148" t="str">
        <f t="shared" si="29"/>
        <v>E131</v>
      </c>
      <c r="B148">
        <v>1</v>
      </c>
      <c r="C148" t="str">
        <f t="shared" si="30"/>
        <v>43000</v>
      </c>
      <c r="D148" t="str">
        <f t="shared" si="28"/>
        <v>5620</v>
      </c>
      <c r="E148" t="str">
        <f t="shared" ref="E148:E157" si="32">"850LOS"</f>
        <v>850LOS</v>
      </c>
      <c r="F148" t="str">
        <f>""</f>
        <v/>
      </c>
      <c r="G148" t="str">
        <f>""</f>
        <v/>
      </c>
      <c r="H148" s="1">
        <v>42186</v>
      </c>
      <c r="I148" t="str">
        <f>"ACG02594"</f>
        <v>ACG02594</v>
      </c>
      <c r="J148" t="str">
        <f>"I0119522"</f>
        <v>I0119522</v>
      </c>
      <c r="K148" t="str">
        <f>"AS96"</f>
        <v>AS96</v>
      </c>
      <c r="L148" t="s">
        <v>3032</v>
      </c>
      <c r="M148">
        <v>240.94</v>
      </c>
    </row>
    <row r="149" spans="1:13" x14ac:dyDescent="0.25">
      <c r="A149" t="str">
        <f t="shared" si="29"/>
        <v>E131</v>
      </c>
      <c r="B149">
        <v>1</v>
      </c>
      <c r="C149" t="str">
        <f t="shared" si="30"/>
        <v>43000</v>
      </c>
      <c r="D149" t="str">
        <f t="shared" si="28"/>
        <v>5620</v>
      </c>
      <c r="E149" t="str">
        <f t="shared" si="32"/>
        <v>850LOS</v>
      </c>
      <c r="F149" t="str">
        <f>""</f>
        <v/>
      </c>
      <c r="G149" t="str">
        <f>""</f>
        <v/>
      </c>
      <c r="H149" s="1">
        <v>42216</v>
      </c>
      <c r="I149" t="str">
        <f>"TEL00652"</f>
        <v>TEL00652</v>
      </c>
      <c r="J149" t="str">
        <f>""</f>
        <v/>
      </c>
      <c r="K149" t="str">
        <f t="shared" ref="K149:K157" si="33">"AS89"</f>
        <v>AS89</v>
      </c>
      <c r="L149" t="s">
        <v>3041</v>
      </c>
      <c r="M149">
        <v>550.82000000000005</v>
      </c>
    </row>
    <row r="150" spans="1:13" x14ac:dyDescent="0.25">
      <c r="A150" t="str">
        <f t="shared" si="29"/>
        <v>E131</v>
      </c>
      <c r="B150">
        <v>1</v>
      </c>
      <c r="C150" t="str">
        <f t="shared" si="30"/>
        <v>43000</v>
      </c>
      <c r="D150" t="str">
        <f t="shared" si="28"/>
        <v>5620</v>
      </c>
      <c r="E150" t="str">
        <f t="shared" si="32"/>
        <v>850LOS</v>
      </c>
      <c r="F150" t="str">
        <f>""</f>
        <v/>
      </c>
      <c r="G150" t="str">
        <f>""</f>
        <v/>
      </c>
      <c r="H150" s="1">
        <v>42247</v>
      </c>
      <c r="I150" t="str">
        <f>"TEL00653"</f>
        <v>TEL00653</v>
      </c>
      <c r="J150" t="str">
        <f>""</f>
        <v/>
      </c>
      <c r="K150" t="str">
        <f t="shared" si="33"/>
        <v>AS89</v>
      </c>
      <c r="L150" t="s">
        <v>3040</v>
      </c>
      <c r="M150">
        <v>553.77</v>
      </c>
    </row>
    <row r="151" spans="1:13" x14ac:dyDescent="0.25">
      <c r="A151" t="str">
        <f t="shared" si="29"/>
        <v>E131</v>
      </c>
      <c r="B151">
        <v>1</v>
      </c>
      <c r="C151" t="str">
        <f t="shared" si="30"/>
        <v>43000</v>
      </c>
      <c r="D151" t="str">
        <f t="shared" si="28"/>
        <v>5620</v>
      </c>
      <c r="E151" t="str">
        <f t="shared" si="32"/>
        <v>850LOS</v>
      </c>
      <c r="F151" t="str">
        <f>""</f>
        <v/>
      </c>
      <c r="G151" t="str">
        <f>""</f>
        <v/>
      </c>
      <c r="H151" s="1">
        <v>42277</v>
      </c>
      <c r="I151" t="str">
        <f>"TEL00654"</f>
        <v>TEL00654</v>
      </c>
      <c r="J151" t="str">
        <f>""</f>
        <v/>
      </c>
      <c r="K151" t="str">
        <f t="shared" si="33"/>
        <v>AS89</v>
      </c>
      <c r="L151" t="s">
        <v>3039</v>
      </c>
      <c r="M151">
        <v>559.46</v>
      </c>
    </row>
    <row r="152" spans="1:13" x14ac:dyDescent="0.25">
      <c r="A152" t="str">
        <f t="shared" si="29"/>
        <v>E131</v>
      </c>
      <c r="B152">
        <v>1</v>
      </c>
      <c r="C152" t="str">
        <f t="shared" si="30"/>
        <v>43000</v>
      </c>
      <c r="D152" t="str">
        <f t="shared" si="28"/>
        <v>5620</v>
      </c>
      <c r="E152" t="str">
        <f t="shared" si="32"/>
        <v>850LOS</v>
      </c>
      <c r="F152" t="str">
        <f>""</f>
        <v/>
      </c>
      <c r="G152" t="str">
        <f>""</f>
        <v/>
      </c>
      <c r="H152" s="1">
        <v>42308</v>
      </c>
      <c r="I152" t="str">
        <f>"TEL00655"</f>
        <v>TEL00655</v>
      </c>
      <c r="J152" t="str">
        <f>""</f>
        <v/>
      </c>
      <c r="K152" t="str">
        <f t="shared" si="33"/>
        <v>AS89</v>
      </c>
      <c r="L152" t="s">
        <v>3038</v>
      </c>
      <c r="M152">
        <v>543.23</v>
      </c>
    </row>
    <row r="153" spans="1:13" x14ac:dyDescent="0.25">
      <c r="A153" t="str">
        <f t="shared" si="29"/>
        <v>E131</v>
      </c>
      <c r="B153">
        <v>1</v>
      </c>
      <c r="C153" t="str">
        <f t="shared" si="30"/>
        <v>43000</v>
      </c>
      <c r="D153" t="str">
        <f t="shared" si="28"/>
        <v>5620</v>
      </c>
      <c r="E153" t="str">
        <f t="shared" si="32"/>
        <v>850LOS</v>
      </c>
      <c r="F153" t="str">
        <f>""</f>
        <v/>
      </c>
      <c r="G153" t="str">
        <f>""</f>
        <v/>
      </c>
      <c r="H153" s="1">
        <v>42338</v>
      </c>
      <c r="I153" t="str">
        <f>"TEL00656"</f>
        <v>TEL00656</v>
      </c>
      <c r="J153" t="str">
        <f>""</f>
        <v/>
      </c>
      <c r="K153" t="str">
        <f t="shared" si="33"/>
        <v>AS89</v>
      </c>
      <c r="L153" t="s">
        <v>3037</v>
      </c>
      <c r="M153">
        <v>535.07000000000005</v>
      </c>
    </row>
    <row r="154" spans="1:13" x14ac:dyDescent="0.25">
      <c r="A154" t="str">
        <f t="shared" si="29"/>
        <v>E131</v>
      </c>
      <c r="B154">
        <v>1</v>
      </c>
      <c r="C154" t="str">
        <f t="shared" si="30"/>
        <v>43000</v>
      </c>
      <c r="D154" t="str">
        <f t="shared" si="28"/>
        <v>5620</v>
      </c>
      <c r="E154" t="str">
        <f t="shared" si="32"/>
        <v>850LOS</v>
      </c>
      <c r="F154" t="str">
        <f>""</f>
        <v/>
      </c>
      <c r="G154" t="str">
        <f>""</f>
        <v/>
      </c>
      <c r="H154" s="1">
        <v>42369</v>
      </c>
      <c r="I154" t="str">
        <f>"TEL00657"</f>
        <v>TEL00657</v>
      </c>
      <c r="J154" t="str">
        <f>""</f>
        <v/>
      </c>
      <c r="K154" t="str">
        <f t="shared" si="33"/>
        <v>AS89</v>
      </c>
      <c r="L154" t="s">
        <v>3036</v>
      </c>
      <c r="M154">
        <v>569.59</v>
      </c>
    </row>
    <row r="155" spans="1:13" x14ac:dyDescent="0.25">
      <c r="A155" t="str">
        <f t="shared" si="29"/>
        <v>E131</v>
      </c>
      <c r="B155">
        <v>1</v>
      </c>
      <c r="C155" t="str">
        <f t="shared" si="30"/>
        <v>43000</v>
      </c>
      <c r="D155" t="str">
        <f t="shared" ref="D155:D163" si="34">"5620"</f>
        <v>5620</v>
      </c>
      <c r="E155" t="str">
        <f t="shared" si="32"/>
        <v>850LOS</v>
      </c>
      <c r="F155" t="str">
        <f>""</f>
        <v/>
      </c>
      <c r="G155" t="str">
        <f>""</f>
        <v/>
      </c>
      <c r="H155" s="1">
        <v>42400</v>
      </c>
      <c r="I155" t="str">
        <f>"TEL00658"</f>
        <v>TEL00658</v>
      </c>
      <c r="J155" t="str">
        <f>""</f>
        <v/>
      </c>
      <c r="K155" t="str">
        <f t="shared" si="33"/>
        <v>AS89</v>
      </c>
      <c r="L155" t="s">
        <v>2992</v>
      </c>
      <c r="M155">
        <v>552.53</v>
      </c>
    </row>
    <row r="156" spans="1:13" x14ac:dyDescent="0.25">
      <c r="A156" t="str">
        <f t="shared" si="29"/>
        <v>E131</v>
      </c>
      <c r="B156">
        <v>1</v>
      </c>
      <c r="C156" t="str">
        <f t="shared" si="30"/>
        <v>43000</v>
      </c>
      <c r="D156" t="str">
        <f t="shared" si="34"/>
        <v>5620</v>
      </c>
      <c r="E156" t="str">
        <f t="shared" si="32"/>
        <v>850LOS</v>
      </c>
      <c r="F156" t="str">
        <f>""</f>
        <v/>
      </c>
      <c r="G156" t="str">
        <f>""</f>
        <v/>
      </c>
      <c r="H156" s="1">
        <v>42429</v>
      </c>
      <c r="I156" t="str">
        <f>"TEL00659"</f>
        <v>TEL00659</v>
      </c>
      <c r="J156" t="str">
        <f>""</f>
        <v/>
      </c>
      <c r="K156" t="str">
        <f t="shared" si="33"/>
        <v>AS89</v>
      </c>
      <c r="L156" t="s">
        <v>3035</v>
      </c>
      <c r="M156">
        <v>668.31</v>
      </c>
    </row>
    <row r="157" spans="1:13" x14ac:dyDescent="0.25">
      <c r="A157" t="str">
        <f t="shared" ref="A157:A188" si="35">"E131"</f>
        <v>E131</v>
      </c>
      <c r="B157">
        <v>1</v>
      </c>
      <c r="C157" t="str">
        <f t="shared" si="30"/>
        <v>43000</v>
      </c>
      <c r="D157" t="str">
        <f t="shared" si="34"/>
        <v>5620</v>
      </c>
      <c r="E157" t="str">
        <f t="shared" si="32"/>
        <v>850LOS</v>
      </c>
      <c r="F157" t="str">
        <f>""</f>
        <v/>
      </c>
      <c r="G157" t="str">
        <f>""</f>
        <v/>
      </c>
      <c r="H157" s="1">
        <v>42460</v>
      </c>
      <c r="I157" t="str">
        <f>"TEL00660"</f>
        <v>TEL00660</v>
      </c>
      <c r="J157" t="str">
        <f>""</f>
        <v/>
      </c>
      <c r="K157" t="str">
        <f t="shared" si="33"/>
        <v>AS89</v>
      </c>
      <c r="L157" t="s">
        <v>3034</v>
      </c>
      <c r="M157">
        <v>625.59</v>
      </c>
    </row>
    <row r="158" spans="1:13" x14ac:dyDescent="0.25">
      <c r="A158" t="str">
        <f t="shared" si="35"/>
        <v>E131</v>
      </c>
      <c r="B158">
        <v>1</v>
      </c>
      <c r="C158" t="str">
        <f t="shared" si="30"/>
        <v>43000</v>
      </c>
      <c r="D158" t="str">
        <f t="shared" si="34"/>
        <v>5620</v>
      </c>
      <c r="E158" t="str">
        <f t="shared" ref="E158:E163" si="36">"850PKE"</f>
        <v>850PKE</v>
      </c>
      <c r="F158" t="str">
        <f>""</f>
        <v/>
      </c>
      <c r="G158" t="str">
        <f>""</f>
        <v/>
      </c>
      <c r="H158" s="1">
        <v>42214</v>
      </c>
      <c r="I158" t="str">
        <f>"I0120074"</f>
        <v>I0120074</v>
      </c>
      <c r="J158" t="str">
        <f>"N218284B"</f>
        <v>N218284B</v>
      </c>
      <c r="K158" t="str">
        <f>"INEI"</f>
        <v>INEI</v>
      </c>
      <c r="L158" t="s">
        <v>2702</v>
      </c>
      <c r="M158">
        <v>257.49</v>
      </c>
    </row>
    <row r="159" spans="1:13" x14ac:dyDescent="0.25">
      <c r="A159" t="str">
        <f t="shared" si="35"/>
        <v>E131</v>
      </c>
      <c r="B159">
        <v>1</v>
      </c>
      <c r="C159" t="str">
        <f t="shared" si="30"/>
        <v>43000</v>
      </c>
      <c r="D159" t="str">
        <f t="shared" si="34"/>
        <v>5620</v>
      </c>
      <c r="E159" t="str">
        <f t="shared" si="36"/>
        <v>850PKE</v>
      </c>
      <c r="F159" t="str">
        <f>""</f>
        <v/>
      </c>
      <c r="G159" t="str">
        <f>""</f>
        <v/>
      </c>
      <c r="H159" s="1">
        <v>42255</v>
      </c>
      <c r="I159" t="str">
        <f>"I0121054"</f>
        <v>I0121054</v>
      </c>
      <c r="J159" t="str">
        <f>"N210974B"</f>
        <v>N210974B</v>
      </c>
      <c r="K159" t="str">
        <f>"INEI"</f>
        <v>INEI</v>
      </c>
      <c r="L159" t="s">
        <v>1382</v>
      </c>
      <c r="M159">
        <v>303.8</v>
      </c>
    </row>
    <row r="160" spans="1:13" x14ac:dyDescent="0.25">
      <c r="A160" t="str">
        <f t="shared" si="35"/>
        <v>E131</v>
      </c>
      <c r="B160">
        <v>1</v>
      </c>
      <c r="C160" t="str">
        <f t="shared" si="30"/>
        <v>43000</v>
      </c>
      <c r="D160" t="str">
        <f t="shared" si="34"/>
        <v>5620</v>
      </c>
      <c r="E160" t="str">
        <f t="shared" si="36"/>
        <v>850PKE</v>
      </c>
      <c r="F160" t="str">
        <f>""</f>
        <v/>
      </c>
      <c r="G160" t="str">
        <f>""</f>
        <v/>
      </c>
      <c r="H160" s="1">
        <v>42255</v>
      </c>
      <c r="I160" t="str">
        <f>"I0121055"</f>
        <v>I0121055</v>
      </c>
      <c r="J160" t="str">
        <f>"N210974B"</f>
        <v>N210974B</v>
      </c>
      <c r="K160" t="str">
        <f>"INEI"</f>
        <v>INEI</v>
      </c>
      <c r="L160" t="s">
        <v>1382</v>
      </c>
      <c r="M160">
        <v>303.95</v>
      </c>
    </row>
    <row r="161" spans="1:13" x14ac:dyDescent="0.25">
      <c r="A161" t="str">
        <f t="shared" si="35"/>
        <v>E131</v>
      </c>
      <c r="B161">
        <v>1</v>
      </c>
      <c r="C161" t="str">
        <f t="shared" si="30"/>
        <v>43000</v>
      </c>
      <c r="D161" t="str">
        <f t="shared" si="34"/>
        <v>5620</v>
      </c>
      <c r="E161" t="str">
        <f t="shared" si="36"/>
        <v>850PKE</v>
      </c>
      <c r="F161" t="str">
        <f>""</f>
        <v/>
      </c>
      <c r="G161" t="str">
        <f>""</f>
        <v/>
      </c>
      <c r="H161" s="1">
        <v>42284</v>
      </c>
      <c r="I161" t="str">
        <f>"I0121994"</f>
        <v>I0121994</v>
      </c>
      <c r="J161" t="str">
        <f>"N210974B"</f>
        <v>N210974B</v>
      </c>
      <c r="K161" t="str">
        <f>"INEI"</f>
        <v>INEI</v>
      </c>
      <c r="L161" t="s">
        <v>1382</v>
      </c>
      <c r="M161">
        <v>303.95</v>
      </c>
    </row>
    <row r="162" spans="1:13" x14ac:dyDescent="0.25">
      <c r="A162" t="str">
        <f t="shared" si="35"/>
        <v>E131</v>
      </c>
      <c r="B162">
        <v>1</v>
      </c>
      <c r="C162" t="str">
        <f t="shared" si="30"/>
        <v>43000</v>
      </c>
      <c r="D162" t="str">
        <f t="shared" si="34"/>
        <v>5620</v>
      </c>
      <c r="E162" t="str">
        <f t="shared" si="36"/>
        <v>850PKE</v>
      </c>
      <c r="F162" t="str">
        <f>""</f>
        <v/>
      </c>
      <c r="G162" t="str">
        <f>""</f>
        <v/>
      </c>
      <c r="H162" s="1">
        <v>42312</v>
      </c>
      <c r="I162" t="str">
        <f>"I0122799"</f>
        <v>I0122799</v>
      </c>
      <c r="J162" t="str">
        <f>"N210974B"</f>
        <v>N210974B</v>
      </c>
      <c r="K162" t="str">
        <f>"INEI"</f>
        <v>INEI</v>
      </c>
      <c r="L162" t="s">
        <v>1382</v>
      </c>
      <c r="M162">
        <v>303.60000000000002</v>
      </c>
    </row>
    <row r="163" spans="1:13" x14ac:dyDescent="0.25">
      <c r="A163" t="str">
        <f t="shared" si="35"/>
        <v>E131</v>
      </c>
      <c r="B163">
        <v>1</v>
      </c>
      <c r="C163" t="str">
        <f t="shared" si="30"/>
        <v>43000</v>
      </c>
      <c r="D163" t="str">
        <f t="shared" si="34"/>
        <v>5620</v>
      </c>
      <c r="E163" t="str">
        <f t="shared" si="36"/>
        <v>850PKE</v>
      </c>
      <c r="F163" t="str">
        <f>""</f>
        <v/>
      </c>
      <c r="G163" t="str">
        <f>""</f>
        <v/>
      </c>
      <c r="H163" s="1">
        <v>42535</v>
      </c>
      <c r="I163" t="str">
        <f t="shared" ref="I163:I174" si="37">"ACG02686"</f>
        <v>ACG02686</v>
      </c>
      <c r="J163" t="str">
        <f>"N210974B"</f>
        <v>N210974B</v>
      </c>
      <c r="K163" t="str">
        <f t="shared" ref="K163:K174" si="38">"AS96"</f>
        <v>AS96</v>
      </c>
      <c r="L163" t="s">
        <v>3042</v>
      </c>
      <c r="M163">
        <v>134.35</v>
      </c>
    </row>
    <row r="164" spans="1:13" x14ac:dyDescent="0.25">
      <c r="A164" t="str">
        <f t="shared" si="35"/>
        <v>E131</v>
      </c>
      <c r="B164">
        <v>1</v>
      </c>
      <c r="C164" t="str">
        <f t="shared" si="30"/>
        <v>43000</v>
      </c>
      <c r="D164" t="str">
        <f t="shared" ref="D164:D194" si="39">"5740"</f>
        <v>5740</v>
      </c>
      <c r="E164" t="str">
        <f t="shared" ref="E164:E175" si="40">"850ALT"</f>
        <v>850ALT</v>
      </c>
      <c r="F164" t="str">
        <f>""</f>
        <v/>
      </c>
      <c r="G164" t="str">
        <f>""</f>
        <v/>
      </c>
      <c r="H164" s="1">
        <v>42535</v>
      </c>
      <c r="I164" t="str">
        <f t="shared" si="37"/>
        <v>ACG02686</v>
      </c>
      <c r="J164" t="str">
        <f>"TEL00652"</f>
        <v>TEL00652</v>
      </c>
      <c r="K164" t="str">
        <f t="shared" si="38"/>
        <v>AS96</v>
      </c>
      <c r="L164" t="s">
        <v>3041</v>
      </c>
      <c r="M164">
        <v>125.46</v>
      </c>
    </row>
    <row r="165" spans="1:13" x14ac:dyDescent="0.25">
      <c r="A165" t="str">
        <f t="shared" si="35"/>
        <v>E131</v>
      </c>
      <c r="B165">
        <v>1</v>
      </c>
      <c r="C165" t="str">
        <f t="shared" si="30"/>
        <v>43000</v>
      </c>
      <c r="D165" t="str">
        <f t="shared" si="39"/>
        <v>5740</v>
      </c>
      <c r="E165" t="str">
        <f t="shared" si="40"/>
        <v>850ALT</v>
      </c>
      <c r="F165" t="str">
        <f>""</f>
        <v/>
      </c>
      <c r="G165" t="str">
        <f>""</f>
        <v/>
      </c>
      <c r="H165" s="1">
        <v>42535</v>
      </c>
      <c r="I165" t="str">
        <f t="shared" si="37"/>
        <v>ACG02686</v>
      </c>
      <c r="J165" t="str">
        <f>"TEL00653"</f>
        <v>TEL00653</v>
      </c>
      <c r="K165" t="str">
        <f t="shared" si="38"/>
        <v>AS96</v>
      </c>
      <c r="L165" t="s">
        <v>3040</v>
      </c>
      <c r="M165">
        <v>126.49</v>
      </c>
    </row>
    <row r="166" spans="1:13" x14ac:dyDescent="0.25">
      <c r="A166" t="str">
        <f t="shared" si="35"/>
        <v>E131</v>
      </c>
      <c r="B166">
        <v>1</v>
      </c>
      <c r="C166" t="str">
        <f t="shared" si="30"/>
        <v>43000</v>
      </c>
      <c r="D166" t="str">
        <f t="shared" si="39"/>
        <v>5740</v>
      </c>
      <c r="E166" t="str">
        <f t="shared" si="40"/>
        <v>850ALT</v>
      </c>
      <c r="F166" t="str">
        <f>""</f>
        <v/>
      </c>
      <c r="G166" t="str">
        <f>""</f>
        <v/>
      </c>
      <c r="H166" s="1">
        <v>42535</v>
      </c>
      <c r="I166" t="str">
        <f t="shared" si="37"/>
        <v>ACG02686</v>
      </c>
      <c r="J166" t="str">
        <f>"TEL00654"</f>
        <v>TEL00654</v>
      </c>
      <c r="K166" t="str">
        <f t="shared" si="38"/>
        <v>AS96</v>
      </c>
      <c r="L166" t="s">
        <v>3039</v>
      </c>
      <c r="M166">
        <v>126.49</v>
      </c>
    </row>
    <row r="167" spans="1:13" x14ac:dyDescent="0.25">
      <c r="A167" t="str">
        <f t="shared" si="35"/>
        <v>E131</v>
      </c>
      <c r="B167">
        <v>1</v>
      </c>
      <c r="C167" t="str">
        <f t="shared" si="30"/>
        <v>43000</v>
      </c>
      <c r="D167" t="str">
        <f t="shared" si="39"/>
        <v>5740</v>
      </c>
      <c r="E167" t="str">
        <f t="shared" si="40"/>
        <v>850ALT</v>
      </c>
      <c r="F167" t="str">
        <f>""</f>
        <v/>
      </c>
      <c r="G167" t="str">
        <f>""</f>
        <v/>
      </c>
      <c r="H167" s="1">
        <v>42535</v>
      </c>
      <c r="I167" t="str">
        <f t="shared" si="37"/>
        <v>ACG02686</v>
      </c>
      <c r="J167" t="str">
        <f>"TEL00655"</f>
        <v>TEL00655</v>
      </c>
      <c r="K167" t="str">
        <f t="shared" si="38"/>
        <v>AS96</v>
      </c>
      <c r="L167" t="s">
        <v>3038</v>
      </c>
      <c r="M167">
        <v>138.52000000000001</v>
      </c>
    </row>
    <row r="168" spans="1:13" x14ac:dyDescent="0.25">
      <c r="A168" t="str">
        <f t="shared" si="35"/>
        <v>E131</v>
      </c>
      <c r="B168">
        <v>1</v>
      </c>
      <c r="C168" t="str">
        <f t="shared" ref="C168:C194" si="41">"43000"</f>
        <v>43000</v>
      </c>
      <c r="D168" t="str">
        <f t="shared" si="39"/>
        <v>5740</v>
      </c>
      <c r="E168" t="str">
        <f t="shared" si="40"/>
        <v>850ALT</v>
      </c>
      <c r="F168" t="str">
        <f>""</f>
        <v/>
      </c>
      <c r="G168" t="str">
        <f>""</f>
        <v/>
      </c>
      <c r="H168" s="1">
        <v>42535</v>
      </c>
      <c r="I168" t="str">
        <f t="shared" si="37"/>
        <v>ACG02686</v>
      </c>
      <c r="J168" t="str">
        <f>"TEL00656"</f>
        <v>TEL00656</v>
      </c>
      <c r="K168" t="str">
        <f t="shared" si="38"/>
        <v>AS96</v>
      </c>
      <c r="L168" t="s">
        <v>3037</v>
      </c>
      <c r="M168">
        <v>125.51</v>
      </c>
    </row>
    <row r="169" spans="1:13" x14ac:dyDescent="0.25">
      <c r="A169" t="str">
        <f t="shared" si="35"/>
        <v>E131</v>
      </c>
      <c r="B169">
        <v>1</v>
      </c>
      <c r="C169" t="str">
        <f t="shared" si="41"/>
        <v>43000</v>
      </c>
      <c r="D169" t="str">
        <f t="shared" si="39"/>
        <v>5740</v>
      </c>
      <c r="E169" t="str">
        <f t="shared" si="40"/>
        <v>850ALT</v>
      </c>
      <c r="F169" t="str">
        <f>""</f>
        <v/>
      </c>
      <c r="G169" t="str">
        <f>""</f>
        <v/>
      </c>
      <c r="H169" s="1">
        <v>42535</v>
      </c>
      <c r="I169" t="str">
        <f t="shared" si="37"/>
        <v>ACG02686</v>
      </c>
      <c r="J169" t="str">
        <f>"TEL00657"</f>
        <v>TEL00657</v>
      </c>
      <c r="K169" t="str">
        <f t="shared" si="38"/>
        <v>AS96</v>
      </c>
      <c r="L169" t="s">
        <v>3036</v>
      </c>
      <c r="M169">
        <v>124.27</v>
      </c>
    </row>
    <row r="170" spans="1:13" x14ac:dyDescent="0.25">
      <c r="A170" t="str">
        <f t="shared" si="35"/>
        <v>E131</v>
      </c>
      <c r="B170">
        <v>1</v>
      </c>
      <c r="C170" t="str">
        <f t="shared" si="41"/>
        <v>43000</v>
      </c>
      <c r="D170" t="str">
        <f t="shared" si="39"/>
        <v>5740</v>
      </c>
      <c r="E170" t="str">
        <f t="shared" si="40"/>
        <v>850ALT</v>
      </c>
      <c r="F170" t="str">
        <f>""</f>
        <v/>
      </c>
      <c r="G170" t="str">
        <f>""</f>
        <v/>
      </c>
      <c r="H170" s="1">
        <v>42535</v>
      </c>
      <c r="I170" t="str">
        <f t="shared" si="37"/>
        <v>ACG02686</v>
      </c>
      <c r="J170" t="str">
        <f>"TEL00658"</f>
        <v>TEL00658</v>
      </c>
      <c r="K170" t="str">
        <f t="shared" si="38"/>
        <v>AS96</v>
      </c>
      <c r="L170" t="s">
        <v>2992</v>
      </c>
      <c r="M170">
        <v>125.39</v>
      </c>
    </row>
    <row r="171" spans="1:13" x14ac:dyDescent="0.25">
      <c r="A171" t="str">
        <f t="shared" si="35"/>
        <v>E131</v>
      </c>
      <c r="B171">
        <v>1</v>
      </c>
      <c r="C171" t="str">
        <f t="shared" si="41"/>
        <v>43000</v>
      </c>
      <c r="D171" t="str">
        <f t="shared" si="39"/>
        <v>5740</v>
      </c>
      <c r="E171" t="str">
        <f t="shared" si="40"/>
        <v>850ALT</v>
      </c>
      <c r="F171" t="str">
        <f>""</f>
        <v/>
      </c>
      <c r="G171" t="str">
        <f>""</f>
        <v/>
      </c>
      <c r="H171" s="1">
        <v>42535</v>
      </c>
      <c r="I171" t="str">
        <f t="shared" si="37"/>
        <v>ACG02686</v>
      </c>
      <c r="J171" t="str">
        <f>"TEL00659"</f>
        <v>TEL00659</v>
      </c>
      <c r="K171" t="str">
        <f t="shared" si="38"/>
        <v>AS96</v>
      </c>
      <c r="L171" t="s">
        <v>3035</v>
      </c>
      <c r="M171">
        <v>128.76</v>
      </c>
    </row>
    <row r="172" spans="1:13" x14ac:dyDescent="0.25">
      <c r="A172" t="str">
        <f t="shared" si="35"/>
        <v>E131</v>
      </c>
      <c r="B172">
        <v>1</v>
      </c>
      <c r="C172" t="str">
        <f t="shared" si="41"/>
        <v>43000</v>
      </c>
      <c r="D172" t="str">
        <f t="shared" si="39"/>
        <v>5740</v>
      </c>
      <c r="E172" t="str">
        <f t="shared" si="40"/>
        <v>850ALT</v>
      </c>
      <c r="F172" t="str">
        <f>""</f>
        <v/>
      </c>
      <c r="G172" t="str">
        <f>""</f>
        <v/>
      </c>
      <c r="H172" s="1">
        <v>42535</v>
      </c>
      <c r="I172" t="str">
        <f t="shared" si="37"/>
        <v>ACG02686</v>
      </c>
      <c r="J172" t="str">
        <f>"TEL00660"</f>
        <v>TEL00660</v>
      </c>
      <c r="K172" t="str">
        <f t="shared" si="38"/>
        <v>AS96</v>
      </c>
      <c r="L172" t="s">
        <v>3034</v>
      </c>
      <c r="M172">
        <v>123.31</v>
      </c>
    </row>
    <row r="173" spans="1:13" x14ac:dyDescent="0.25">
      <c r="A173" t="str">
        <f t="shared" si="35"/>
        <v>E131</v>
      </c>
      <c r="B173">
        <v>1</v>
      </c>
      <c r="C173" t="str">
        <f t="shared" si="41"/>
        <v>43000</v>
      </c>
      <c r="D173" t="str">
        <f t="shared" si="39"/>
        <v>5740</v>
      </c>
      <c r="E173" t="str">
        <f t="shared" si="40"/>
        <v>850ALT</v>
      </c>
      <c r="F173" t="str">
        <f>""</f>
        <v/>
      </c>
      <c r="G173" t="str">
        <f>""</f>
        <v/>
      </c>
      <c r="H173" s="1">
        <v>42535</v>
      </c>
      <c r="I173" t="str">
        <f t="shared" si="37"/>
        <v>ACG02686</v>
      </c>
      <c r="J173" t="str">
        <f>"TEL00661"</f>
        <v>TEL00661</v>
      </c>
      <c r="K173" t="str">
        <f t="shared" si="38"/>
        <v>AS96</v>
      </c>
      <c r="L173" t="s">
        <v>3033</v>
      </c>
      <c r="M173">
        <v>133.66999999999999</v>
      </c>
    </row>
    <row r="174" spans="1:13" x14ac:dyDescent="0.25">
      <c r="A174" t="str">
        <f t="shared" si="35"/>
        <v>E131</v>
      </c>
      <c r="B174">
        <v>1</v>
      </c>
      <c r="C174" t="str">
        <f t="shared" si="41"/>
        <v>43000</v>
      </c>
      <c r="D174" t="str">
        <f t="shared" si="39"/>
        <v>5740</v>
      </c>
      <c r="E174" t="str">
        <f t="shared" si="40"/>
        <v>850ALT</v>
      </c>
      <c r="F174" t="str">
        <f>""</f>
        <v/>
      </c>
      <c r="G174" t="str">
        <f>""</f>
        <v/>
      </c>
      <c r="H174" s="1">
        <v>42535</v>
      </c>
      <c r="I174" t="str">
        <f t="shared" si="37"/>
        <v>ACG02686</v>
      </c>
      <c r="J174" t="str">
        <f>"TEL00662"</f>
        <v>TEL00662</v>
      </c>
      <c r="K174" t="str">
        <f t="shared" si="38"/>
        <v>AS96</v>
      </c>
      <c r="L174" t="s">
        <v>2991</v>
      </c>
      <c r="M174">
        <v>127.28</v>
      </c>
    </row>
    <row r="175" spans="1:13" x14ac:dyDescent="0.25">
      <c r="A175" t="str">
        <f t="shared" si="35"/>
        <v>E131</v>
      </c>
      <c r="B175">
        <v>1</v>
      </c>
      <c r="C175" t="str">
        <f t="shared" si="41"/>
        <v>43000</v>
      </c>
      <c r="D175" t="str">
        <f t="shared" si="39"/>
        <v>5740</v>
      </c>
      <c r="E175" t="str">
        <f t="shared" si="40"/>
        <v>850ALT</v>
      </c>
      <c r="F175" t="str">
        <f>""</f>
        <v/>
      </c>
      <c r="G175" t="str">
        <f>""</f>
        <v/>
      </c>
      <c r="H175" s="1">
        <v>42551</v>
      </c>
      <c r="I175" t="str">
        <f>"J0022960"</f>
        <v>J0022960</v>
      </c>
      <c r="J175" t="str">
        <f>""</f>
        <v/>
      </c>
      <c r="K175" t="str">
        <f>"J079"</f>
        <v>J079</v>
      </c>
      <c r="L175" t="s">
        <v>2822</v>
      </c>
      <c r="M175">
        <v>126.61</v>
      </c>
    </row>
    <row r="176" spans="1:13" x14ac:dyDescent="0.25">
      <c r="A176" t="str">
        <f t="shared" si="35"/>
        <v>E131</v>
      </c>
      <c r="B176">
        <v>1</v>
      </c>
      <c r="C176" t="str">
        <f t="shared" si="41"/>
        <v>43000</v>
      </c>
      <c r="D176" t="str">
        <f t="shared" si="39"/>
        <v>5740</v>
      </c>
      <c r="E176" t="str">
        <f t="shared" ref="E176:E189" si="42">"850LOS"</f>
        <v>850LOS</v>
      </c>
      <c r="F176" t="str">
        <f>""</f>
        <v/>
      </c>
      <c r="G176" t="str">
        <f>""</f>
        <v/>
      </c>
      <c r="H176" s="1">
        <v>42490</v>
      </c>
      <c r="I176" t="str">
        <f>"TEL00661"</f>
        <v>TEL00661</v>
      </c>
      <c r="J176" t="str">
        <f>""</f>
        <v/>
      </c>
      <c r="K176" t="str">
        <f>"AS89"</f>
        <v>AS89</v>
      </c>
      <c r="L176" t="s">
        <v>3033</v>
      </c>
      <c r="M176">
        <v>554.65</v>
      </c>
    </row>
    <row r="177" spans="1:13" x14ac:dyDescent="0.25">
      <c r="A177" t="str">
        <f t="shared" si="35"/>
        <v>E131</v>
      </c>
      <c r="B177">
        <v>1</v>
      </c>
      <c r="C177" t="str">
        <f t="shared" si="41"/>
        <v>43000</v>
      </c>
      <c r="D177" t="str">
        <f t="shared" si="39"/>
        <v>5740</v>
      </c>
      <c r="E177" t="str">
        <f t="shared" si="42"/>
        <v>850LOS</v>
      </c>
      <c r="F177" t="str">
        <f>""</f>
        <v/>
      </c>
      <c r="G177" t="str">
        <f>""</f>
        <v/>
      </c>
      <c r="H177" s="1">
        <v>42521</v>
      </c>
      <c r="I177" t="str">
        <f>"TEL00662"</f>
        <v>TEL00662</v>
      </c>
      <c r="J177" t="str">
        <f>""</f>
        <v/>
      </c>
      <c r="K177" t="str">
        <f>"AS89"</f>
        <v>AS89</v>
      </c>
      <c r="L177" t="s">
        <v>2991</v>
      </c>
      <c r="M177">
        <v>531.09</v>
      </c>
    </row>
    <row r="178" spans="1:13" x14ac:dyDescent="0.25">
      <c r="A178" t="str">
        <f t="shared" si="35"/>
        <v>E131</v>
      </c>
      <c r="B178">
        <v>1</v>
      </c>
      <c r="C178" t="str">
        <f t="shared" si="41"/>
        <v>43000</v>
      </c>
      <c r="D178" t="str">
        <f t="shared" si="39"/>
        <v>5740</v>
      </c>
      <c r="E178" t="str">
        <f t="shared" si="42"/>
        <v>850LOS</v>
      </c>
      <c r="F178" t="str">
        <f>""</f>
        <v/>
      </c>
      <c r="G178" t="str">
        <f>""</f>
        <v/>
      </c>
      <c r="H178" s="1">
        <v>42535</v>
      </c>
      <c r="I178" t="str">
        <f t="shared" ref="I178:I187" si="43">"ACG02686"</f>
        <v>ACG02686</v>
      </c>
      <c r="J178" t="str">
        <f>"I0119522"</f>
        <v>I0119522</v>
      </c>
      <c r="K178" t="str">
        <f t="shared" ref="K178:K187" si="44">"AS96"</f>
        <v>AS96</v>
      </c>
      <c r="L178" t="s">
        <v>3032</v>
      </c>
      <c r="M178">
        <v>240.94</v>
      </c>
    </row>
    <row r="179" spans="1:13" x14ac:dyDescent="0.25">
      <c r="A179" t="str">
        <f t="shared" si="35"/>
        <v>E131</v>
      </c>
      <c r="B179">
        <v>1</v>
      </c>
      <c r="C179" t="str">
        <f t="shared" si="41"/>
        <v>43000</v>
      </c>
      <c r="D179" t="str">
        <f t="shared" si="39"/>
        <v>5740</v>
      </c>
      <c r="E179" t="str">
        <f t="shared" si="42"/>
        <v>850LOS</v>
      </c>
      <c r="F179" t="str">
        <f>""</f>
        <v/>
      </c>
      <c r="G179" t="str">
        <f>""</f>
        <v/>
      </c>
      <c r="H179" s="1">
        <v>42535</v>
      </c>
      <c r="I179" t="str">
        <f t="shared" si="43"/>
        <v>ACG02686</v>
      </c>
      <c r="J179" t="str">
        <f>"TEL00652"</f>
        <v>TEL00652</v>
      </c>
      <c r="K179" t="str">
        <f t="shared" si="44"/>
        <v>AS96</v>
      </c>
      <c r="L179" t="s">
        <v>3041</v>
      </c>
      <c r="M179">
        <v>550.82000000000005</v>
      </c>
    </row>
    <row r="180" spans="1:13" x14ac:dyDescent="0.25">
      <c r="A180" t="str">
        <f t="shared" si="35"/>
        <v>E131</v>
      </c>
      <c r="B180">
        <v>1</v>
      </c>
      <c r="C180" t="str">
        <f t="shared" si="41"/>
        <v>43000</v>
      </c>
      <c r="D180" t="str">
        <f t="shared" si="39"/>
        <v>5740</v>
      </c>
      <c r="E180" t="str">
        <f t="shared" si="42"/>
        <v>850LOS</v>
      </c>
      <c r="F180" t="str">
        <f>""</f>
        <v/>
      </c>
      <c r="G180" t="str">
        <f>""</f>
        <v/>
      </c>
      <c r="H180" s="1">
        <v>42535</v>
      </c>
      <c r="I180" t="str">
        <f t="shared" si="43"/>
        <v>ACG02686</v>
      </c>
      <c r="J180" t="str">
        <f>"TEL00653"</f>
        <v>TEL00653</v>
      </c>
      <c r="K180" t="str">
        <f t="shared" si="44"/>
        <v>AS96</v>
      </c>
      <c r="L180" t="s">
        <v>3040</v>
      </c>
      <c r="M180">
        <v>553.77</v>
      </c>
    </row>
    <row r="181" spans="1:13" x14ac:dyDescent="0.25">
      <c r="A181" t="str">
        <f t="shared" si="35"/>
        <v>E131</v>
      </c>
      <c r="B181">
        <v>1</v>
      </c>
      <c r="C181" t="str">
        <f t="shared" si="41"/>
        <v>43000</v>
      </c>
      <c r="D181" t="str">
        <f t="shared" si="39"/>
        <v>5740</v>
      </c>
      <c r="E181" t="str">
        <f t="shared" si="42"/>
        <v>850LOS</v>
      </c>
      <c r="F181" t="str">
        <f>""</f>
        <v/>
      </c>
      <c r="G181" t="str">
        <f>""</f>
        <v/>
      </c>
      <c r="H181" s="1">
        <v>42535</v>
      </c>
      <c r="I181" t="str">
        <f t="shared" si="43"/>
        <v>ACG02686</v>
      </c>
      <c r="J181" t="str">
        <f>"TEL00654"</f>
        <v>TEL00654</v>
      </c>
      <c r="K181" t="str">
        <f t="shared" si="44"/>
        <v>AS96</v>
      </c>
      <c r="L181" t="s">
        <v>3039</v>
      </c>
      <c r="M181">
        <v>559.46</v>
      </c>
    </row>
    <row r="182" spans="1:13" x14ac:dyDescent="0.25">
      <c r="A182" t="str">
        <f t="shared" si="35"/>
        <v>E131</v>
      </c>
      <c r="B182">
        <v>1</v>
      </c>
      <c r="C182" t="str">
        <f t="shared" si="41"/>
        <v>43000</v>
      </c>
      <c r="D182" t="str">
        <f t="shared" si="39"/>
        <v>5740</v>
      </c>
      <c r="E182" t="str">
        <f t="shared" si="42"/>
        <v>850LOS</v>
      </c>
      <c r="F182" t="str">
        <f>""</f>
        <v/>
      </c>
      <c r="G182" t="str">
        <f>""</f>
        <v/>
      </c>
      <c r="H182" s="1">
        <v>42535</v>
      </c>
      <c r="I182" t="str">
        <f t="shared" si="43"/>
        <v>ACG02686</v>
      </c>
      <c r="J182" t="str">
        <f>"TEL00655"</f>
        <v>TEL00655</v>
      </c>
      <c r="K182" t="str">
        <f t="shared" si="44"/>
        <v>AS96</v>
      </c>
      <c r="L182" t="s">
        <v>3038</v>
      </c>
      <c r="M182">
        <v>543.23</v>
      </c>
    </row>
    <row r="183" spans="1:13" x14ac:dyDescent="0.25">
      <c r="A183" t="str">
        <f t="shared" si="35"/>
        <v>E131</v>
      </c>
      <c r="B183">
        <v>1</v>
      </c>
      <c r="C183" t="str">
        <f t="shared" si="41"/>
        <v>43000</v>
      </c>
      <c r="D183" t="str">
        <f t="shared" si="39"/>
        <v>5740</v>
      </c>
      <c r="E183" t="str">
        <f t="shared" si="42"/>
        <v>850LOS</v>
      </c>
      <c r="F183" t="str">
        <f>""</f>
        <v/>
      </c>
      <c r="G183" t="str">
        <f>""</f>
        <v/>
      </c>
      <c r="H183" s="1">
        <v>42535</v>
      </c>
      <c r="I183" t="str">
        <f t="shared" si="43"/>
        <v>ACG02686</v>
      </c>
      <c r="J183" t="str">
        <f>"TEL00656"</f>
        <v>TEL00656</v>
      </c>
      <c r="K183" t="str">
        <f t="shared" si="44"/>
        <v>AS96</v>
      </c>
      <c r="L183" t="s">
        <v>3037</v>
      </c>
      <c r="M183">
        <v>535.07000000000005</v>
      </c>
    </row>
    <row r="184" spans="1:13" x14ac:dyDescent="0.25">
      <c r="A184" t="str">
        <f t="shared" si="35"/>
        <v>E131</v>
      </c>
      <c r="B184">
        <v>1</v>
      </c>
      <c r="C184" t="str">
        <f t="shared" si="41"/>
        <v>43000</v>
      </c>
      <c r="D184" t="str">
        <f t="shared" si="39"/>
        <v>5740</v>
      </c>
      <c r="E184" t="str">
        <f t="shared" si="42"/>
        <v>850LOS</v>
      </c>
      <c r="F184" t="str">
        <f>""</f>
        <v/>
      </c>
      <c r="G184" t="str">
        <f>""</f>
        <v/>
      </c>
      <c r="H184" s="1">
        <v>42535</v>
      </c>
      <c r="I184" t="str">
        <f t="shared" si="43"/>
        <v>ACG02686</v>
      </c>
      <c r="J184" t="str">
        <f>"TEL00657"</f>
        <v>TEL00657</v>
      </c>
      <c r="K184" t="str">
        <f t="shared" si="44"/>
        <v>AS96</v>
      </c>
      <c r="L184" t="s">
        <v>3036</v>
      </c>
      <c r="M184">
        <v>569.59</v>
      </c>
    </row>
    <row r="185" spans="1:13" x14ac:dyDescent="0.25">
      <c r="A185" t="str">
        <f t="shared" si="35"/>
        <v>E131</v>
      </c>
      <c r="B185">
        <v>1</v>
      </c>
      <c r="C185" t="str">
        <f t="shared" si="41"/>
        <v>43000</v>
      </c>
      <c r="D185" t="str">
        <f t="shared" si="39"/>
        <v>5740</v>
      </c>
      <c r="E185" t="str">
        <f t="shared" si="42"/>
        <v>850LOS</v>
      </c>
      <c r="F185" t="str">
        <f>""</f>
        <v/>
      </c>
      <c r="G185" t="str">
        <f>""</f>
        <v/>
      </c>
      <c r="H185" s="1">
        <v>42535</v>
      </c>
      <c r="I185" t="str">
        <f t="shared" si="43"/>
        <v>ACG02686</v>
      </c>
      <c r="J185" t="str">
        <f>"TEL00658"</f>
        <v>TEL00658</v>
      </c>
      <c r="K185" t="str">
        <f t="shared" si="44"/>
        <v>AS96</v>
      </c>
      <c r="L185" t="s">
        <v>2992</v>
      </c>
      <c r="M185">
        <v>552.53</v>
      </c>
    </row>
    <row r="186" spans="1:13" x14ac:dyDescent="0.25">
      <c r="A186" t="str">
        <f t="shared" si="35"/>
        <v>E131</v>
      </c>
      <c r="B186">
        <v>1</v>
      </c>
      <c r="C186" t="str">
        <f t="shared" si="41"/>
        <v>43000</v>
      </c>
      <c r="D186" t="str">
        <f t="shared" si="39"/>
        <v>5740</v>
      </c>
      <c r="E186" t="str">
        <f t="shared" si="42"/>
        <v>850LOS</v>
      </c>
      <c r="F186" t="str">
        <f>""</f>
        <v/>
      </c>
      <c r="G186" t="str">
        <f>""</f>
        <v/>
      </c>
      <c r="H186" s="1">
        <v>42535</v>
      </c>
      <c r="I186" t="str">
        <f t="shared" si="43"/>
        <v>ACG02686</v>
      </c>
      <c r="J186" t="str">
        <f>"TEL00659"</f>
        <v>TEL00659</v>
      </c>
      <c r="K186" t="str">
        <f t="shared" si="44"/>
        <v>AS96</v>
      </c>
      <c r="L186" t="s">
        <v>3035</v>
      </c>
      <c r="M186">
        <v>668.31</v>
      </c>
    </row>
    <row r="187" spans="1:13" x14ac:dyDescent="0.25">
      <c r="A187" t="str">
        <f t="shared" si="35"/>
        <v>E131</v>
      </c>
      <c r="B187">
        <v>1</v>
      </c>
      <c r="C187" t="str">
        <f t="shared" si="41"/>
        <v>43000</v>
      </c>
      <c r="D187" t="str">
        <f t="shared" si="39"/>
        <v>5740</v>
      </c>
      <c r="E187" t="str">
        <f t="shared" si="42"/>
        <v>850LOS</v>
      </c>
      <c r="F187" t="str">
        <f>""</f>
        <v/>
      </c>
      <c r="G187" t="str">
        <f>""</f>
        <v/>
      </c>
      <c r="H187" s="1">
        <v>42535</v>
      </c>
      <c r="I187" t="str">
        <f t="shared" si="43"/>
        <v>ACG02686</v>
      </c>
      <c r="J187" t="str">
        <f>"TEL00660"</f>
        <v>TEL00660</v>
      </c>
      <c r="K187" t="str">
        <f t="shared" si="44"/>
        <v>AS96</v>
      </c>
      <c r="L187" t="s">
        <v>3034</v>
      </c>
      <c r="M187">
        <v>625.59</v>
      </c>
    </row>
    <row r="188" spans="1:13" x14ac:dyDescent="0.25">
      <c r="A188" t="str">
        <f t="shared" si="35"/>
        <v>E131</v>
      </c>
      <c r="B188">
        <v>1</v>
      </c>
      <c r="C188" t="str">
        <f t="shared" si="41"/>
        <v>43000</v>
      </c>
      <c r="D188" t="str">
        <f t="shared" si="39"/>
        <v>5740</v>
      </c>
      <c r="E188" t="str">
        <f t="shared" si="42"/>
        <v>850LOS</v>
      </c>
      <c r="F188" t="str">
        <f>""</f>
        <v/>
      </c>
      <c r="G188" t="str">
        <f>""</f>
        <v/>
      </c>
      <c r="H188" s="1">
        <v>42551</v>
      </c>
      <c r="I188" t="str">
        <f>"PCD00791"</f>
        <v>PCD00791</v>
      </c>
      <c r="J188" t="str">
        <f>""</f>
        <v/>
      </c>
      <c r="K188" t="str">
        <f>"AS89"</f>
        <v>AS89</v>
      </c>
      <c r="L188" t="s">
        <v>2843</v>
      </c>
      <c r="M188">
        <v>814.52</v>
      </c>
    </row>
    <row r="189" spans="1:13" x14ac:dyDescent="0.25">
      <c r="A189" t="str">
        <f t="shared" ref="A189:A194" si="45">"E131"</f>
        <v>E131</v>
      </c>
      <c r="B189">
        <v>1</v>
      </c>
      <c r="C189" t="str">
        <f t="shared" si="41"/>
        <v>43000</v>
      </c>
      <c r="D189" t="str">
        <f t="shared" si="39"/>
        <v>5740</v>
      </c>
      <c r="E189" t="str">
        <f t="shared" si="42"/>
        <v>850LOS</v>
      </c>
      <c r="F189" t="str">
        <f>""</f>
        <v/>
      </c>
      <c r="G189" t="str">
        <f>""</f>
        <v/>
      </c>
      <c r="H189" s="1">
        <v>42551</v>
      </c>
      <c r="I189" t="str">
        <f>"TEL00663"</f>
        <v>TEL00663</v>
      </c>
      <c r="J189" t="str">
        <f>""</f>
        <v/>
      </c>
      <c r="K189" t="str">
        <f>"AS89"</f>
        <v>AS89</v>
      </c>
      <c r="L189" t="s">
        <v>2990</v>
      </c>
      <c r="M189">
        <v>501.39</v>
      </c>
    </row>
    <row r="190" spans="1:13" x14ac:dyDescent="0.25">
      <c r="A190" t="str">
        <f t="shared" si="45"/>
        <v>E131</v>
      </c>
      <c r="B190">
        <v>1</v>
      </c>
      <c r="C190" t="str">
        <f t="shared" si="41"/>
        <v>43000</v>
      </c>
      <c r="D190" t="str">
        <f t="shared" si="39"/>
        <v>5740</v>
      </c>
      <c r="E190" t="str">
        <f>"850PKE"</f>
        <v>850PKE</v>
      </c>
      <c r="F190" t="str">
        <f>""</f>
        <v/>
      </c>
      <c r="G190" t="str">
        <f>""</f>
        <v/>
      </c>
      <c r="H190" s="1">
        <v>42535</v>
      </c>
      <c r="I190" t="str">
        <f>"ACG02686"</f>
        <v>ACG02686</v>
      </c>
      <c r="J190" t="str">
        <f>"N210974B"</f>
        <v>N210974B</v>
      </c>
      <c r="K190" t="str">
        <f t="shared" ref="K190:K195" si="46">"AS96"</f>
        <v>AS96</v>
      </c>
      <c r="L190" t="s">
        <v>1382</v>
      </c>
      <c r="M190">
        <v>303.95</v>
      </c>
    </row>
    <row r="191" spans="1:13" x14ac:dyDescent="0.25">
      <c r="A191" t="str">
        <f t="shared" si="45"/>
        <v>E131</v>
      </c>
      <c r="B191">
        <v>1</v>
      </c>
      <c r="C191" t="str">
        <f t="shared" si="41"/>
        <v>43000</v>
      </c>
      <c r="D191" t="str">
        <f t="shared" si="39"/>
        <v>5740</v>
      </c>
      <c r="E191" t="str">
        <f>"850PKE"</f>
        <v>850PKE</v>
      </c>
      <c r="F191" t="str">
        <f>""</f>
        <v/>
      </c>
      <c r="G191" t="str">
        <f>""</f>
        <v/>
      </c>
      <c r="H191" s="1">
        <v>42535</v>
      </c>
      <c r="I191" t="str">
        <f>"ACG02686"</f>
        <v>ACG02686</v>
      </c>
      <c r="J191" t="str">
        <f>"N210974B"</f>
        <v>N210974B</v>
      </c>
      <c r="K191" t="str">
        <f t="shared" si="46"/>
        <v>AS96</v>
      </c>
      <c r="L191" t="s">
        <v>1382</v>
      </c>
      <c r="M191">
        <v>303.95</v>
      </c>
    </row>
    <row r="192" spans="1:13" x14ac:dyDescent="0.25">
      <c r="A192" t="str">
        <f t="shared" si="45"/>
        <v>E131</v>
      </c>
      <c r="B192">
        <v>1</v>
      </c>
      <c r="C192" t="str">
        <f t="shared" si="41"/>
        <v>43000</v>
      </c>
      <c r="D192" t="str">
        <f t="shared" si="39"/>
        <v>5740</v>
      </c>
      <c r="E192" t="str">
        <f>"850PKE"</f>
        <v>850PKE</v>
      </c>
      <c r="F192" t="str">
        <f>""</f>
        <v/>
      </c>
      <c r="G192" t="str">
        <f>""</f>
        <v/>
      </c>
      <c r="H192" s="1">
        <v>42535</v>
      </c>
      <c r="I192" t="str">
        <f>"ACG02686"</f>
        <v>ACG02686</v>
      </c>
      <c r="J192" t="str">
        <f>"N210974B"</f>
        <v>N210974B</v>
      </c>
      <c r="K192" t="str">
        <f t="shared" si="46"/>
        <v>AS96</v>
      </c>
      <c r="L192" t="s">
        <v>1382</v>
      </c>
      <c r="M192">
        <v>303.8</v>
      </c>
    </row>
    <row r="193" spans="1:13" x14ac:dyDescent="0.25">
      <c r="A193" t="str">
        <f t="shared" si="45"/>
        <v>E131</v>
      </c>
      <c r="B193">
        <v>1</v>
      </c>
      <c r="C193" t="str">
        <f t="shared" si="41"/>
        <v>43000</v>
      </c>
      <c r="D193" t="str">
        <f t="shared" si="39"/>
        <v>5740</v>
      </c>
      <c r="E193" t="str">
        <f>"850PKE"</f>
        <v>850PKE</v>
      </c>
      <c r="F193" t="str">
        <f>""</f>
        <v/>
      </c>
      <c r="G193" t="str">
        <f>""</f>
        <v/>
      </c>
      <c r="H193" s="1">
        <v>42535</v>
      </c>
      <c r="I193" t="str">
        <f>"ACG02686"</f>
        <v>ACG02686</v>
      </c>
      <c r="J193" t="str">
        <f>"N210974B"</f>
        <v>N210974B</v>
      </c>
      <c r="K193" t="str">
        <f t="shared" si="46"/>
        <v>AS96</v>
      </c>
      <c r="L193" t="s">
        <v>1382</v>
      </c>
      <c r="M193">
        <v>303.60000000000002</v>
      </c>
    </row>
    <row r="194" spans="1:13" x14ac:dyDescent="0.25">
      <c r="A194" t="str">
        <f t="shared" si="45"/>
        <v>E131</v>
      </c>
      <c r="B194">
        <v>1</v>
      </c>
      <c r="C194" t="str">
        <f t="shared" si="41"/>
        <v>43000</v>
      </c>
      <c r="D194" t="str">
        <f t="shared" si="39"/>
        <v>5740</v>
      </c>
      <c r="E194" t="str">
        <f>"850PKE"</f>
        <v>850PKE</v>
      </c>
      <c r="F194" t="str">
        <f>""</f>
        <v/>
      </c>
      <c r="G194" t="str">
        <f>""</f>
        <v/>
      </c>
      <c r="H194" s="1">
        <v>42535</v>
      </c>
      <c r="I194" t="str">
        <f>"ACG02686"</f>
        <v>ACG02686</v>
      </c>
      <c r="J194" t="str">
        <f>"N218284B"</f>
        <v>N218284B</v>
      </c>
      <c r="K194" t="str">
        <f t="shared" si="46"/>
        <v>AS96</v>
      </c>
      <c r="L194" t="s">
        <v>2702</v>
      </c>
      <c r="M194">
        <v>257.49</v>
      </c>
    </row>
    <row r="195" spans="1:13" x14ac:dyDescent="0.25">
      <c r="A195" t="str">
        <f t="shared" ref="A195:A226" si="47">"E133"</f>
        <v>E133</v>
      </c>
      <c r="B195">
        <v>1</v>
      </c>
      <c r="C195" t="str">
        <f t="shared" ref="C195:C219" si="48">"10200"</f>
        <v>10200</v>
      </c>
      <c r="D195" t="str">
        <f t="shared" ref="D195:D238" si="49">"5620"</f>
        <v>5620</v>
      </c>
      <c r="E195" t="str">
        <f t="shared" ref="E195:E219" si="50">"094OMS"</f>
        <v>094OMS</v>
      </c>
      <c r="F195" t="str">
        <f>""</f>
        <v/>
      </c>
      <c r="G195" t="str">
        <f>""</f>
        <v/>
      </c>
      <c r="H195" s="1">
        <v>42186</v>
      </c>
      <c r="I195" t="str">
        <f>"ACG02594"</f>
        <v>ACG02594</v>
      </c>
      <c r="J195" t="str">
        <f>"I0119542"</f>
        <v>I0119542</v>
      </c>
      <c r="K195" t="str">
        <f t="shared" si="46"/>
        <v>AS96</v>
      </c>
      <c r="L195" t="s">
        <v>3032</v>
      </c>
      <c r="M195">
        <v>137.97</v>
      </c>
    </row>
    <row r="196" spans="1:13" x14ac:dyDescent="0.25">
      <c r="A196" t="str">
        <f t="shared" si="47"/>
        <v>E133</v>
      </c>
      <c r="B196">
        <v>1</v>
      </c>
      <c r="C196" t="str">
        <f t="shared" si="48"/>
        <v>10200</v>
      </c>
      <c r="D196" t="str">
        <f t="shared" si="49"/>
        <v>5620</v>
      </c>
      <c r="E196" t="str">
        <f t="shared" si="50"/>
        <v>094OMS</v>
      </c>
      <c r="F196" t="str">
        <f>""</f>
        <v/>
      </c>
      <c r="G196" t="str">
        <f>""</f>
        <v/>
      </c>
      <c r="H196" s="1">
        <v>42264</v>
      </c>
      <c r="I196" t="str">
        <f>"I0121428"</f>
        <v>I0121428</v>
      </c>
      <c r="J196" t="str">
        <f>"N138299F"</f>
        <v>N138299F</v>
      </c>
      <c r="K196" t="str">
        <f t="shared" ref="K196:K218" si="51">"INEI"</f>
        <v>INEI</v>
      </c>
      <c r="L196" t="s">
        <v>1382</v>
      </c>
      <c r="M196">
        <v>200.05</v>
      </c>
    </row>
    <row r="197" spans="1:13" x14ac:dyDescent="0.25">
      <c r="A197" t="str">
        <f t="shared" si="47"/>
        <v>E133</v>
      </c>
      <c r="B197">
        <v>1</v>
      </c>
      <c r="C197" t="str">
        <f t="shared" si="48"/>
        <v>10200</v>
      </c>
      <c r="D197" t="str">
        <f t="shared" si="49"/>
        <v>5620</v>
      </c>
      <c r="E197" t="str">
        <f t="shared" si="50"/>
        <v>094OMS</v>
      </c>
      <c r="F197" t="str">
        <f>""</f>
        <v/>
      </c>
      <c r="G197" t="str">
        <f>""</f>
        <v/>
      </c>
      <c r="H197" s="1">
        <v>42264</v>
      </c>
      <c r="I197" t="str">
        <f>"I0121429"</f>
        <v>I0121429</v>
      </c>
      <c r="J197" t="str">
        <f>"N138299F"</f>
        <v>N138299F</v>
      </c>
      <c r="K197" t="str">
        <f t="shared" si="51"/>
        <v>INEI</v>
      </c>
      <c r="L197" t="s">
        <v>1382</v>
      </c>
      <c r="M197">
        <v>200.05</v>
      </c>
    </row>
    <row r="198" spans="1:13" x14ac:dyDescent="0.25">
      <c r="A198" t="str">
        <f t="shared" si="47"/>
        <v>E133</v>
      </c>
      <c r="B198">
        <v>1</v>
      </c>
      <c r="C198" t="str">
        <f t="shared" si="48"/>
        <v>10200</v>
      </c>
      <c r="D198" t="str">
        <f t="shared" si="49"/>
        <v>5620</v>
      </c>
      <c r="E198" t="str">
        <f t="shared" si="50"/>
        <v>094OMS</v>
      </c>
      <c r="F198" t="str">
        <f>""</f>
        <v/>
      </c>
      <c r="G198" t="str">
        <f>""</f>
        <v/>
      </c>
      <c r="H198" s="1">
        <v>42271</v>
      </c>
      <c r="I198" t="str">
        <f>"I0121568"</f>
        <v>I0121568</v>
      </c>
      <c r="J198" t="str">
        <f>"N171000W"</f>
        <v>N171000W</v>
      </c>
      <c r="K198" t="str">
        <f t="shared" si="51"/>
        <v>INEI</v>
      </c>
      <c r="L198" t="s">
        <v>78</v>
      </c>
      <c r="M198">
        <v>140</v>
      </c>
    </row>
    <row r="199" spans="1:13" x14ac:dyDescent="0.25">
      <c r="A199" t="str">
        <f t="shared" si="47"/>
        <v>E133</v>
      </c>
      <c r="B199">
        <v>1</v>
      </c>
      <c r="C199" t="str">
        <f t="shared" si="48"/>
        <v>10200</v>
      </c>
      <c r="D199" t="str">
        <f t="shared" si="49"/>
        <v>5620</v>
      </c>
      <c r="E199" t="str">
        <f t="shared" si="50"/>
        <v>094OMS</v>
      </c>
      <c r="F199" t="str">
        <f>""</f>
        <v/>
      </c>
      <c r="G199" t="str">
        <f>""</f>
        <v/>
      </c>
      <c r="H199" s="1">
        <v>42271</v>
      </c>
      <c r="I199" t="str">
        <f>"I0121569"</f>
        <v>I0121569</v>
      </c>
      <c r="J199" t="str">
        <f>"N171000W"</f>
        <v>N171000W</v>
      </c>
      <c r="K199" t="str">
        <f t="shared" si="51"/>
        <v>INEI</v>
      </c>
      <c r="L199" t="s">
        <v>78</v>
      </c>
      <c r="M199">
        <v>100</v>
      </c>
    </row>
    <row r="200" spans="1:13" x14ac:dyDescent="0.25">
      <c r="A200" t="str">
        <f t="shared" si="47"/>
        <v>E133</v>
      </c>
      <c r="B200">
        <v>1</v>
      </c>
      <c r="C200" t="str">
        <f t="shared" si="48"/>
        <v>10200</v>
      </c>
      <c r="D200" t="str">
        <f t="shared" si="49"/>
        <v>5620</v>
      </c>
      <c r="E200" t="str">
        <f t="shared" si="50"/>
        <v>094OMS</v>
      </c>
      <c r="F200" t="str">
        <f>""</f>
        <v/>
      </c>
      <c r="G200" t="str">
        <f>""</f>
        <v/>
      </c>
      <c r="H200" s="1">
        <v>42284</v>
      </c>
      <c r="I200" t="str">
        <f>"I0121983"</f>
        <v>I0121983</v>
      </c>
      <c r="J200" t="str">
        <f>"N138299F"</f>
        <v>N138299F</v>
      </c>
      <c r="K200" t="str">
        <f t="shared" si="51"/>
        <v>INEI</v>
      </c>
      <c r="L200" t="s">
        <v>1382</v>
      </c>
      <c r="M200">
        <v>200.05</v>
      </c>
    </row>
    <row r="201" spans="1:13" x14ac:dyDescent="0.25">
      <c r="A201" t="str">
        <f t="shared" si="47"/>
        <v>E133</v>
      </c>
      <c r="B201">
        <v>1</v>
      </c>
      <c r="C201" t="str">
        <f t="shared" si="48"/>
        <v>10200</v>
      </c>
      <c r="D201" t="str">
        <f t="shared" si="49"/>
        <v>5620</v>
      </c>
      <c r="E201" t="str">
        <f t="shared" si="50"/>
        <v>094OMS</v>
      </c>
      <c r="F201" t="str">
        <f>""</f>
        <v/>
      </c>
      <c r="G201" t="str">
        <f>""</f>
        <v/>
      </c>
      <c r="H201" s="1">
        <v>42312</v>
      </c>
      <c r="I201" t="str">
        <f>"I0122806"</f>
        <v>I0122806</v>
      </c>
      <c r="J201" t="str">
        <f>"N138299F"</f>
        <v>N138299F</v>
      </c>
      <c r="K201" t="str">
        <f t="shared" si="51"/>
        <v>INEI</v>
      </c>
      <c r="L201" t="s">
        <v>1382</v>
      </c>
      <c r="M201">
        <v>200.05</v>
      </c>
    </row>
    <row r="202" spans="1:13" x14ac:dyDescent="0.25">
      <c r="A202" t="str">
        <f t="shared" si="47"/>
        <v>E133</v>
      </c>
      <c r="B202">
        <v>1</v>
      </c>
      <c r="C202" t="str">
        <f t="shared" si="48"/>
        <v>10200</v>
      </c>
      <c r="D202" t="str">
        <f t="shared" si="49"/>
        <v>5620</v>
      </c>
      <c r="E202" t="str">
        <f t="shared" si="50"/>
        <v>094OMS</v>
      </c>
      <c r="F202" t="str">
        <f>""</f>
        <v/>
      </c>
      <c r="G202" t="str">
        <f>""</f>
        <v/>
      </c>
      <c r="H202" s="1">
        <v>42348</v>
      </c>
      <c r="I202" t="str">
        <f>"I0123837"</f>
        <v>I0123837</v>
      </c>
      <c r="J202" t="str">
        <f>"N138299F"</f>
        <v>N138299F</v>
      </c>
      <c r="K202" t="str">
        <f t="shared" si="51"/>
        <v>INEI</v>
      </c>
      <c r="L202" t="s">
        <v>1382</v>
      </c>
      <c r="M202">
        <v>200.05</v>
      </c>
    </row>
    <row r="203" spans="1:13" x14ac:dyDescent="0.25">
      <c r="A203" t="str">
        <f t="shared" si="47"/>
        <v>E133</v>
      </c>
      <c r="B203">
        <v>1</v>
      </c>
      <c r="C203" t="str">
        <f t="shared" si="48"/>
        <v>10200</v>
      </c>
      <c r="D203" t="str">
        <f t="shared" si="49"/>
        <v>5620</v>
      </c>
      <c r="E203" t="str">
        <f t="shared" si="50"/>
        <v>094OMS</v>
      </c>
      <c r="F203" t="str">
        <f>""</f>
        <v/>
      </c>
      <c r="G203" t="str">
        <f>""</f>
        <v/>
      </c>
      <c r="H203" s="1">
        <v>42370</v>
      </c>
      <c r="I203" t="str">
        <f>"I0121758"</f>
        <v>I0121758</v>
      </c>
      <c r="J203" t="str">
        <f>"N171000W"</f>
        <v>N171000W</v>
      </c>
      <c r="K203" t="str">
        <f t="shared" si="51"/>
        <v>INEI</v>
      </c>
      <c r="L203" t="s">
        <v>78</v>
      </c>
      <c r="M203" s="2">
        <v>1065</v>
      </c>
    </row>
    <row r="204" spans="1:13" x14ac:dyDescent="0.25">
      <c r="A204" t="str">
        <f t="shared" si="47"/>
        <v>E133</v>
      </c>
      <c r="B204">
        <v>1</v>
      </c>
      <c r="C204" t="str">
        <f t="shared" si="48"/>
        <v>10200</v>
      </c>
      <c r="D204" t="str">
        <f t="shared" si="49"/>
        <v>5620</v>
      </c>
      <c r="E204" t="str">
        <f t="shared" si="50"/>
        <v>094OMS</v>
      </c>
      <c r="F204" t="str">
        <f>""</f>
        <v/>
      </c>
      <c r="G204" t="str">
        <f>""</f>
        <v/>
      </c>
      <c r="H204" s="1">
        <v>42376</v>
      </c>
      <c r="I204" t="str">
        <f>"I0124790"</f>
        <v>I0124790</v>
      </c>
      <c r="J204" t="str">
        <f>"N138299F"</f>
        <v>N138299F</v>
      </c>
      <c r="K204" t="str">
        <f t="shared" si="51"/>
        <v>INEI</v>
      </c>
      <c r="L204" t="s">
        <v>1382</v>
      </c>
      <c r="M204">
        <v>200.05</v>
      </c>
    </row>
    <row r="205" spans="1:13" x14ac:dyDescent="0.25">
      <c r="A205" t="str">
        <f t="shared" si="47"/>
        <v>E133</v>
      </c>
      <c r="B205">
        <v>1</v>
      </c>
      <c r="C205" t="str">
        <f t="shared" si="48"/>
        <v>10200</v>
      </c>
      <c r="D205" t="str">
        <f t="shared" si="49"/>
        <v>5620</v>
      </c>
      <c r="E205" t="str">
        <f t="shared" si="50"/>
        <v>094OMS</v>
      </c>
      <c r="F205" t="str">
        <f>""</f>
        <v/>
      </c>
      <c r="G205" t="str">
        <f>""</f>
        <v/>
      </c>
      <c r="H205" s="1">
        <v>42397</v>
      </c>
      <c r="I205" t="str">
        <f>"I0125374"</f>
        <v>I0125374</v>
      </c>
      <c r="J205" t="str">
        <f>"N171000W"</f>
        <v>N171000W</v>
      </c>
      <c r="K205" t="str">
        <f t="shared" si="51"/>
        <v>INEI</v>
      </c>
      <c r="L205" t="s">
        <v>78</v>
      </c>
      <c r="M205" s="2">
        <v>1065</v>
      </c>
    </row>
    <row r="206" spans="1:13" x14ac:dyDescent="0.25">
      <c r="A206" t="str">
        <f t="shared" si="47"/>
        <v>E133</v>
      </c>
      <c r="B206">
        <v>1</v>
      </c>
      <c r="C206" t="str">
        <f t="shared" si="48"/>
        <v>10200</v>
      </c>
      <c r="D206" t="str">
        <f t="shared" si="49"/>
        <v>5620</v>
      </c>
      <c r="E206" t="str">
        <f t="shared" si="50"/>
        <v>094OMS</v>
      </c>
      <c r="F206" t="str">
        <f>""</f>
        <v/>
      </c>
      <c r="G206" t="str">
        <f>""</f>
        <v/>
      </c>
      <c r="H206" s="1">
        <v>42404</v>
      </c>
      <c r="I206" t="str">
        <f>"I0125645"</f>
        <v>I0125645</v>
      </c>
      <c r="J206" t="str">
        <f>"N138299F"</f>
        <v>N138299F</v>
      </c>
      <c r="K206" t="str">
        <f t="shared" si="51"/>
        <v>INEI</v>
      </c>
      <c r="L206" t="s">
        <v>1382</v>
      </c>
      <c r="M206">
        <v>200.05</v>
      </c>
    </row>
    <row r="207" spans="1:13" x14ac:dyDescent="0.25">
      <c r="A207" t="str">
        <f t="shared" si="47"/>
        <v>E133</v>
      </c>
      <c r="B207">
        <v>1</v>
      </c>
      <c r="C207" t="str">
        <f t="shared" si="48"/>
        <v>10200</v>
      </c>
      <c r="D207" t="str">
        <f t="shared" si="49"/>
        <v>5620</v>
      </c>
      <c r="E207" t="str">
        <f t="shared" si="50"/>
        <v>094OMS</v>
      </c>
      <c r="F207" t="str">
        <f>""</f>
        <v/>
      </c>
      <c r="G207" t="str">
        <f>""</f>
        <v/>
      </c>
      <c r="H207" s="1">
        <v>42433</v>
      </c>
      <c r="I207" t="str">
        <f>"I0126656"</f>
        <v>I0126656</v>
      </c>
      <c r="J207" t="str">
        <f>"N138299F"</f>
        <v>N138299F</v>
      </c>
      <c r="K207" t="str">
        <f t="shared" si="51"/>
        <v>INEI</v>
      </c>
      <c r="L207" t="s">
        <v>1382</v>
      </c>
      <c r="M207">
        <v>200.05</v>
      </c>
    </row>
    <row r="208" spans="1:13" x14ac:dyDescent="0.25">
      <c r="A208" t="str">
        <f t="shared" si="47"/>
        <v>E133</v>
      </c>
      <c r="B208">
        <v>1</v>
      </c>
      <c r="C208" t="str">
        <f t="shared" si="48"/>
        <v>10200</v>
      </c>
      <c r="D208" t="str">
        <f t="shared" si="49"/>
        <v>5620</v>
      </c>
      <c r="E208" t="str">
        <f t="shared" si="50"/>
        <v>094OMS</v>
      </c>
      <c r="F208" t="str">
        <f>""</f>
        <v/>
      </c>
      <c r="G208" t="str">
        <f>""</f>
        <v/>
      </c>
      <c r="H208" s="1">
        <v>42457</v>
      </c>
      <c r="I208" t="str">
        <f>"I0127397"</f>
        <v>I0127397</v>
      </c>
      <c r="J208" t="str">
        <f>"N171000W"</f>
        <v>N171000W</v>
      </c>
      <c r="K208" t="str">
        <f t="shared" si="51"/>
        <v>INEI</v>
      </c>
      <c r="L208" t="s">
        <v>78</v>
      </c>
      <c r="M208" s="2">
        <v>1065</v>
      </c>
    </row>
    <row r="209" spans="1:13" x14ac:dyDescent="0.25">
      <c r="A209" t="str">
        <f t="shared" si="47"/>
        <v>E133</v>
      </c>
      <c r="B209">
        <v>1</v>
      </c>
      <c r="C209" t="str">
        <f t="shared" si="48"/>
        <v>10200</v>
      </c>
      <c r="D209" t="str">
        <f t="shared" si="49"/>
        <v>5620</v>
      </c>
      <c r="E209" t="str">
        <f t="shared" si="50"/>
        <v>094OMS</v>
      </c>
      <c r="F209" t="str">
        <f>""</f>
        <v/>
      </c>
      <c r="G209" t="str">
        <f>""</f>
        <v/>
      </c>
      <c r="H209" s="1">
        <v>42457</v>
      </c>
      <c r="I209" t="str">
        <f>"I0127399"</f>
        <v>I0127399</v>
      </c>
      <c r="J209" t="str">
        <f>"N171000W"</f>
        <v>N171000W</v>
      </c>
      <c r="K209" t="str">
        <f t="shared" si="51"/>
        <v>INEI</v>
      </c>
      <c r="L209" t="s">
        <v>78</v>
      </c>
      <c r="M209">
        <v>300</v>
      </c>
    </row>
    <row r="210" spans="1:13" x14ac:dyDescent="0.25">
      <c r="A210" t="str">
        <f t="shared" si="47"/>
        <v>E133</v>
      </c>
      <c r="B210">
        <v>1</v>
      </c>
      <c r="C210" t="str">
        <f t="shared" si="48"/>
        <v>10200</v>
      </c>
      <c r="D210" t="str">
        <f t="shared" si="49"/>
        <v>5620</v>
      </c>
      <c r="E210" t="str">
        <f t="shared" si="50"/>
        <v>094OMS</v>
      </c>
      <c r="F210" t="str">
        <f>""</f>
        <v/>
      </c>
      <c r="G210" t="str">
        <f>""</f>
        <v/>
      </c>
      <c r="H210" s="1">
        <v>42467</v>
      </c>
      <c r="I210" t="str">
        <f>"I0127867"</f>
        <v>I0127867</v>
      </c>
      <c r="J210" t="str">
        <f>"N138299F"</f>
        <v>N138299F</v>
      </c>
      <c r="K210" t="str">
        <f t="shared" si="51"/>
        <v>INEI</v>
      </c>
      <c r="L210" t="s">
        <v>1382</v>
      </c>
      <c r="M210">
        <v>200.05</v>
      </c>
    </row>
    <row r="211" spans="1:13" x14ac:dyDescent="0.25">
      <c r="A211" t="str">
        <f t="shared" si="47"/>
        <v>E133</v>
      </c>
      <c r="B211">
        <v>1</v>
      </c>
      <c r="C211" t="str">
        <f t="shared" si="48"/>
        <v>10200</v>
      </c>
      <c r="D211" t="str">
        <f t="shared" si="49"/>
        <v>5620</v>
      </c>
      <c r="E211" t="str">
        <f t="shared" si="50"/>
        <v>094OMS</v>
      </c>
      <c r="F211" t="str">
        <f>""</f>
        <v/>
      </c>
      <c r="G211" t="str">
        <f>""</f>
        <v/>
      </c>
      <c r="H211" s="1">
        <v>42467</v>
      </c>
      <c r="I211" t="str">
        <f>"I0127867"</f>
        <v>I0127867</v>
      </c>
      <c r="J211" t="str">
        <f>"N138299F"</f>
        <v>N138299F</v>
      </c>
      <c r="K211" t="str">
        <f t="shared" si="51"/>
        <v>INEI</v>
      </c>
      <c r="L211" t="s">
        <v>1382</v>
      </c>
      <c r="M211">
        <v>200.05</v>
      </c>
    </row>
    <row r="212" spans="1:13" x14ac:dyDescent="0.25">
      <c r="A212" t="str">
        <f t="shared" si="47"/>
        <v>E133</v>
      </c>
      <c r="B212">
        <v>1</v>
      </c>
      <c r="C212" t="str">
        <f t="shared" si="48"/>
        <v>10200</v>
      </c>
      <c r="D212" t="str">
        <f t="shared" si="49"/>
        <v>5620</v>
      </c>
      <c r="E212" t="str">
        <f t="shared" si="50"/>
        <v>094OMS</v>
      </c>
      <c r="F212" t="str">
        <f>""</f>
        <v/>
      </c>
      <c r="G212" t="str">
        <f>""</f>
        <v/>
      </c>
      <c r="H212" s="1">
        <v>42499</v>
      </c>
      <c r="I212" t="str">
        <f>"I0129493"</f>
        <v>I0129493</v>
      </c>
      <c r="J212" t="str">
        <f>"N138299F"</f>
        <v>N138299F</v>
      </c>
      <c r="K212" t="str">
        <f t="shared" si="51"/>
        <v>INEI</v>
      </c>
      <c r="L212" t="s">
        <v>1382</v>
      </c>
      <c r="M212">
        <v>200.05</v>
      </c>
    </row>
    <row r="213" spans="1:13" x14ac:dyDescent="0.25">
      <c r="A213" t="str">
        <f t="shared" si="47"/>
        <v>E133</v>
      </c>
      <c r="B213">
        <v>1</v>
      </c>
      <c r="C213" t="str">
        <f t="shared" si="48"/>
        <v>10200</v>
      </c>
      <c r="D213" t="str">
        <f t="shared" si="49"/>
        <v>5620</v>
      </c>
      <c r="E213" t="str">
        <f t="shared" si="50"/>
        <v>094OMS</v>
      </c>
      <c r="F213" t="str">
        <f>""</f>
        <v/>
      </c>
      <c r="G213" t="str">
        <f>""</f>
        <v/>
      </c>
      <c r="H213" s="1">
        <v>42517</v>
      </c>
      <c r="I213" t="str">
        <f>"I0130727"</f>
        <v>I0130727</v>
      </c>
      <c r="J213" t="str">
        <f>"N171000W"</f>
        <v>N171000W</v>
      </c>
      <c r="K213" t="str">
        <f t="shared" si="51"/>
        <v>INEI</v>
      </c>
      <c r="L213" t="s">
        <v>78</v>
      </c>
      <c r="M213">
        <v>460</v>
      </c>
    </row>
    <row r="214" spans="1:13" x14ac:dyDescent="0.25">
      <c r="A214" t="str">
        <f t="shared" si="47"/>
        <v>E133</v>
      </c>
      <c r="B214">
        <v>1</v>
      </c>
      <c r="C214" t="str">
        <f t="shared" si="48"/>
        <v>10200</v>
      </c>
      <c r="D214" t="str">
        <f t="shared" si="49"/>
        <v>5620</v>
      </c>
      <c r="E214" t="str">
        <f t="shared" si="50"/>
        <v>094OMS</v>
      </c>
      <c r="F214" t="str">
        <f>""</f>
        <v/>
      </c>
      <c r="G214" t="str">
        <f>""</f>
        <v/>
      </c>
      <c r="H214" s="1">
        <v>42530</v>
      </c>
      <c r="I214" t="str">
        <f>"I0131551"</f>
        <v>I0131551</v>
      </c>
      <c r="J214" t="str">
        <f>"N138299F"</f>
        <v>N138299F</v>
      </c>
      <c r="K214" t="str">
        <f t="shared" si="51"/>
        <v>INEI</v>
      </c>
      <c r="L214" t="s">
        <v>1382</v>
      </c>
      <c r="M214">
        <v>200.05</v>
      </c>
    </row>
    <row r="215" spans="1:13" x14ac:dyDescent="0.25">
      <c r="A215" t="str">
        <f t="shared" si="47"/>
        <v>E133</v>
      </c>
      <c r="B215">
        <v>1</v>
      </c>
      <c r="C215" t="str">
        <f t="shared" si="48"/>
        <v>10200</v>
      </c>
      <c r="D215" t="str">
        <f t="shared" si="49"/>
        <v>5620</v>
      </c>
      <c r="E215" t="str">
        <f t="shared" si="50"/>
        <v>094OMS</v>
      </c>
      <c r="F215" t="str">
        <f>""</f>
        <v/>
      </c>
      <c r="G215" t="str">
        <f>""</f>
        <v/>
      </c>
      <c r="H215" s="1">
        <v>42544</v>
      </c>
      <c r="I215" t="str">
        <f>"I0133047"</f>
        <v>I0133047</v>
      </c>
      <c r="J215" t="str">
        <f>"N171000W"</f>
        <v>N171000W</v>
      </c>
      <c r="K215" t="str">
        <f t="shared" si="51"/>
        <v>INEI</v>
      </c>
      <c r="L215" t="s">
        <v>78</v>
      </c>
      <c r="M215">
        <v>460</v>
      </c>
    </row>
    <row r="216" spans="1:13" x14ac:dyDescent="0.25">
      <c r="A216" t="str">
        <f t="shared" si="47"/>
        <v>E133</v>
      </c>
      <c r="B216">
        <v>1</v>
      </c>
      <c r="C216" t="str">
        <f t="shared" si="48"/>
        <v>10200</v>
      </c>
      <c r="D216" t="str">
        <f t="shared" si="49"/>
        <v>5620</v>
      </c>
      <c r="E216" t="str">
        <f t="shared" si="50"/>
        <v>094OMS</v>
      </c>
      <c r="F216" t="str">
        <f>""</f>
        <v/>
      </c>
      <c r="G216" t="str">
        <f>""</f>
        <v/>
      </c>
      <c r="H216" s="1">
        <v>42545</v>
      </c>
      <c r="I216" t="str">
        <f>"I0133066"</f>
        <v>I0133066</v>
      </c>
      <c r="J216" t="str">
        <f>"N171000W"</f>
        <v>N171000W</v>
      </c>
      <c r="K216" t="str">
        <f t="shared" si="51"/>
        <v>INEI</v>
      </c>
      <c r="L216" t="s">
        <v>78</v>
      </c>
      <c r="M216" s="2">
        <v>1065</v>
      </c>
    </row>
    <row r="217" spans="1:13" x14ac:dyDescent="0.25">
      <c r="A217" t="str">
        <f t="shared" si="47"/>
        <v>E133</v>
      </c>
      <c r="B217">
        <v>1</v>
      </c>
      <c r="C217" t="str">
        <f t="shared" si="48"/>
        <v>10200</v>
      </c>
      <c r="D217" t="str">
        <f t="shared" si="49"/>
        <v>5620</v>
      </c>
      <c r="E217" t="str">
        <f t="shared" si="50"/>
        <v>094OMS</v>
      </c>
      <c r="F217" t="str">
        <f>""</f>
        <v/>
      </c>
      <c r="G217" t="str">
        <f>""</f>
        <v/>
      </c>
      <c r="H217" s="1">
        <v>42551</v>
      </c>
      <c r="I217" t="str">
        <f>"I0134446"</f>
        <v>I0134446</v>
      </c>
      <c r="J217" t="str">
        <f>"N138299F"</f>
        <v>N138299F</v>
      </c>
      <c r="K217" t="str">
        <f t="shared" si="51"/>
        <v>INEI</v>
      </c>
      <c r="L217" t="s">
        <v>1382</v>
      </c>
      <c r="M217">
        <v>420.19</v>
      </c>
    </row>
    <row r="218" spans="1:13" x14ac:dyDescent="0.25">
      <c r="A218" t="str">
        <f t="shared" si="47"/>
        <v>E133</v>
      </c>
      <c r="B218">
        <v>1</v>
      </c>
      <c r="C218" t="str">
        <f t="shared" si="48"/>
        <v>10200</v>
      </c>
      <c r="D218" t="str">
        <f t="shared" si="49"/>
        <v>5620</v>
      </c>
      <c r="E218" t="str">
        <f t="shared" si="50"/>
        <v>094OMS</v>
      </c>
      <c r="F218" t="str">
        <f>""</f>
        <v/>
      </c>
      <c r="G218" t="str">
        <f>""</f>
        <v/>
      </c>
      <c r="H218" s="1">
        <v>42551</v>
      </c>
      <c r="I218" t="str">
        <f>"I0134699"</f>
        <v>I0134699</v>
      </c>
      <c r="J218" t="str">
        <f>"N171000W"</f>
        <v>N171000W</v>
      </c>
      <c r="K218" t="str">
        <f t="shared" si="51"/>
        <v>INEI</v>
      </c>
      <c r="L218" t="s">
        <v>78</v>
      </c>
      <c r="M218">
        <v>220</v>
      </c>
    </row>
    <row r="219" spans="1:13" x14ac:dyDescent="0.25">
      <c r="A219" t="str">
        <f t="shared" si="47"/>
        <v>E133</v>
      </c>
      <c r="B219">
        <v>1</v>
      </c>
      <c r="C219" t="str">
        <f t="shared" si="48"/>
        <v>10200</v>
      </c>
      <c r="D219" t="str">
        <f t="shared" si="49"/>
        <v>5620</v>
      </c>
      <c r="E219" t="str">
        <f t="shared" si="50"/>
        <v>094OMS</v>
      </c>
      <c r="F219" t="str">
        <f>""</f>
        <v/>
      </c>
      <c r="G219" t="str">
        <f>""</f>
        <v/>
      </c>
      <c r="H219" s="1">
        <v>42551</v>
      </c>
      <c r="I219" t="str">
        <f>"PCD00791"</f>
        <v>PCD00791</v>
      </c>
      <c r="J219" t="str">
        <f>""</f>
        <v/>
      </c>
      <c r="K219" t="str">
        <f>"AS89"</f>
        <v>AS89</v>
      </c>
      <c r="L219" t="s">
        <v>3031</v>
      </c>
      <c r="M219">
        <v>200.05</v>
      </c>
    </row>
    <row r="220" spans="1:13" x14ac:dyDescent="0.25">
      <c r="A220" t="str">
        <f t="shared" si="47"/>
        <v>E133</v>
      </c>
      <c r="B220">
        <v>1</v>
      </c>
      <c r="C220" t="str">
        <f t="shared" ref="C220:C260" si="52">"43000"</f>
        <v>43000</v>
      </c>
      <c r="D220" t="str">
        <f t="shared" si="49"/>
        <v>5620</v>
      </c>
      <c r="E220" t="str">
        <f t="shared" ref="E220:E228" si="53">"850PAY"</f>
        <v>850PAY</v>
      </c>
      <c r="F220" t="str">
        <f>""</f>
        <v/>
      </c>
      <c r="G220" t="str">
        <f>""</f>
        <v/>
      </c>
      <c r="H220" s="1">
        <v>42226</v>
      </c>
      <c r="I220" t="str">
        <f>"I0120344"</f>
        <v>I0120344</v>
      </c>
      <c r="J220" t="str">
        <f t="shared" ref="J220:J228" si="54">"N138259F"</f>
        <v>N138259F</v>
      </c>
      <c r="K220" t="str">
        <f t="shared" ref="K220:K238" si="55">"INEI"</f>
        <v>INEI</v>
      </c>
      <c r="L220" t="s">
        <v>1381</v>
      </c>
      <c r="M220">
        <v>493.02</v>
      </c>
    </row>
    <row r="221" spans="1:13" x14ac:dyDescent="0.25">
      <c r="A221" t="str">
        <f t="shared" si="47"/>
        <v>E133</v>
      </c>
      <c r="B221">
        <v>1</v>
      </c>
      <c r="C221" t="str">
        <f t="shared" si="52"/>
        <v>43000</v>
      </c>
      <c r="D221" t="str">
        <f t="shared" si="49"/>
        <v>5620</v>
      </c>
      <c r="E221" t="str">
        <f t="shared" si="53"/>
        <v>850PAY</v>
      </c>
      <c r="F221" t="str">
        <f>""</f>
        <v/>
      </c>
      <c r="G221" t="str">
        <f>""</f>
        <v/>
      </c>
      <c r="H221" s="1">
        <v>42249</v>
      </c>
      <c r="I221" t="str">
        <f>"I0120955"</f>
        <v>I0120955</v>
      </c>
      <c r="J221" t="str">
        <f t="shared" si="54"/>
        <v>N138259F</v>
      </c>
      <c r="K221" t="str">
        <f t="shared" si="55"/>
        <v>INEI</v>
      </c>
      <c r="L221" t="s">
        <v>1381</v>
      </c>
      <c r="M221">
        <v>493.24</v>
      </c>
    </row>
    <row r="222" spans="1:13" x14ac:dyDescent="0.25">
      <c r="A222" t="str">
        <f t="shared" si="47"/>
        <v>E133</v>
      </c>
      <c r="B222">
        <v>1</v>
      </c>
      <c r="C222" t="str">
        <f t="shared" si="52"/>
        <v>43000</v>
      </c>
      <c r="D222" t="str">
        <f t="shared" si="49"/>
        <v>5620</v>
      </c>
      <c r="E222" t="str">
        <f t="shared" si="53"/>
        <v>850PAY</v>
      </c>
      <c r="F222" t="str">
        <f>""</f>
        <v/>
      </c>
      <c r="G222" t="str">
        <f>""</f>
        <v/>
      </c>
      <c r="H222" s="1">
        <v>42284</v>
      </c>
      <c r="I222" t="str">
        <f>"I0121993"</f>
        <v>I0121993</v>
      </c>
      <c r="J222" t="str">
        <f t="shared" si="54"/>
        <v>N138259F</v>
      </c>
      <c r="K222" t="str">
        <f t="shared" si="55"/>
        <v>INEI</v>
      </c>
      <c r="L222" t="s">
        <v>1381</v>
      </c>
      <c r="M222">
        <v>493.24</v>
      </c>
    </row>
    <row r="223" spans="1:13" x14ac:dyDescent="0.25">
      <c r="A223" t="str">
        <f t="shared" si="47"/>
        <v>E133</v>
      </c>
      <c r="B223">
        <v>1</v>
      </c>
      <c r="C223" t="str">
        <f t="shared" si="52"/>
        <v>43000</v>
      </c>
      <c r="D223" t="str">
        <f t="shared" si="49"/>
        <v>5620</v>
      </c>
      <c r="E223" t="str">
        <f t="shared" si="53"/>
        <v>850PAY</v>
      </c>
      <c r="F223" t="str">
        <f>""</f>
        <v/>
      </c>
      <c r="G223" t="str">
        <f>""</f>
        <v/>
      </c>
      <c r="H223" s="1">
        <v>42317</v>
      </c>
      <c r="I223" t="str">
        <f>"I0123005"</f>
        <v>I0123005</v>
      </c>
      <c r="J223" t="str">
        <f t="shared" si="54"/>
        <v>N138259F</v>
      </c>
      <c r="K223" t="str">
        <f t="shared" si="55"/>
        <v>INEI</v>
      </c>
      <c r="L223" t="s">
        <v>1381</v>
      </c>
      <c r="M223">
        <v>532.20000000000005</v>
      </c>
    </row>
    <row r="224" spans="1:13" x14ac:dyDescent="0.25">
      <c r="A224" t="str">
        <f t="shared" si="47"/>
        <v>E133</v>
      </c>
      <c r="B224">
        <v>1</v>
      </c>
      <c r="C224" t="str">
        <f t="shared" si="52"/>
        <v>43000</v>
      </c>
      <c r="D224" t="str">
        <f t="shared" si="49"/>
        <v>5620</v>
      </c>
      <c r="E224" t="str">
        <f t="shared" si="53"/>
        <v>850PAY</v>
      </c>
      <c r="F224" t="str">
        <f>""</f>
        <v/>
      </c>
      <c r="G224" t="str">
        <f>""</f>
        <v/>
      </c>
      <c r="H224" s="1">
        <v>42348</v>
      </c>
      <c r="I224" t="str">
        <f>"I0123844"</f>
        <v>I0123844</v>
      </c>
      <c r="J224" t="str">
        <f t="shared" si="54"/>
        <v>N138259F</v>
      </c>
      <c r="K224" t="str">
        <f t="shared" si="55"/>
        <v>INEI</v>
      </c>
      <c r="L224" t="s">
        <v>1381</v>
      </c>
      <c r="M224">
        <v>817.07</v>
      </c>
    </row>
    <row r="225" spans="1:13" x14ac:dyDescent="0.25">
      <c r="A225" t="str">
        <f t="shared" si="47"/>
        <v>E133</v>
      </c>
      <c r="B225">
        <v>1</v>
      </c>
      <c r="C225" t="str">
        <f t="shared" si="52"/>
        <v>43000</v>
      </c>
      <c r="D225" t="str">
        <f t="shared" si="49"/>
        <v>5620</v>
      </c>
      <c r="E225" t="str">
        <f t="shared" si="53"/>
        <v>850PAY</v>
      </c>
      <c r="F225" t="str">
        <f>""</f>
        <v/>
      </c>
      <c r="G225" t="str">
        <f>""</f>
        <v/>
      </c>
      <c r="H225" s="1">
        <v>42376</v>
      </c>
      <c r="I225" t="str">
        <f>"I0124796"</f>
        <v>I0124796</v>
      </c>
      <c r="J225" t="str">
        <f t="shared" si="54"/>
        <v>N138259F</v>
      </c>
      <c r="K225" t="str">
        <f t="shared" si="55"/>
        <v>INEI</v>
      </c>
      <c r="L225" t="s">
        <v>1381</v>
      </c>
      <c r="M225">
        <v>771.3</v>
      </c>
    </row>
    <row r="226" spans="1:13" x14ac:dyDescent="0.25">
      <c r="A226" t="str">
        <f t="shared" si="47"/>
        <v>E133</v>
      </c>
      <c r="B226">
        <v>1</v>
      </c>
      <c r="C226" t="str">
        <f t="shared" si="52"/>
        <v>43000</v>
      </c>
      <c r="D226" t="str">
        <f t="shared" si="49"/>
        <v>5620</v>
      </c>
      <c r="E226" t="str">
        <f t="shared" si="53"/>
        <v>850PAY</v>
      </c>
      <c r="F226" t="str">
        <f>""</f>
        <v/>
      </c>
      <c r="G226" t="str">
        <f>""</f>
        <v/>
      </c>
      <c r="H226" s="1">
        <v>42404</v>
      </c>
      <c r="I226" t="str">
        <f>"I0125655"</f>
        <v>I0125655</v>
      </c>
      <c r="J226" t="str">
        <f t="shared" si="54"/>
        <v>N138259F</v>
      </c>
      <c r="K226" t="str">
        <f t="shared" si="55"/>
        <v>INEI</v>
      </c>
      <c r="L226" t="s">
        <v>1381</v>
      </c>
      <c r="M226">
        <v>774.56</v>
      </c>
    </row>
    <row r="227" spans="1:13" x14ac:dyDescent="0.25">
      <c r="A227" t="str">
        <f t="shared" ref="A227:A258" si="56">"E133"</f>
        <v>E133</v>
      </c>
      <c r="B227">
        <v>1</v>
      </c>
      <c r="C227" t="str">
        <f t="shared" si="52"/>
        <v>43000</v>
      </c>
      <c r="D227" t="str">
        <f t="shared" si="49"/>
        <v>5620</v>
      </c>
      <c r="E227" t="str">
        <f t="shared" si="53"/>
        <v>850PAY</v>
      </c>
      <c r="F227" t="str">
        <f>""</f>
        <v/>
      </c>
      <c r="G227" t="str">
        <f>""</f>
        <v/>
      </c>
      <c r="H227" s="1">
        <v>42432</v>
      </c>
      <c r="I227" t="str">
        <f>"I0126620"</f>
        <v>I0126620</v>
      </c>
      <c r="J227" t="str">
        <f t="shared" si="54"/>
        <v>N138259F</v>
      </c>
      <c r="K227" t="str">
        <f t="shared" si="55"/>
        <v>INEI</v>
      </c>
      <c r="L227" t="s">
        <v>1381</v>
      </c>
      <c r="M227">
        <v>774.56</v>
      </c>
    </row>
    <row r="228" spans="1:13" x14ac:dyDescent="0.25">
      <c r="A228" t="str">
        <f t="shared" si="56"/>
        <v>E133</v>
      </c>
      <c r="B228">
        <v>1</v>
      </c>
      <c r="C228" t="str">
        <f t="shared" si="52"/>
        <v>43000</v>
      </c>
      <c r="D228" t="str">
        <f t="shared" si="49"/>
        <v>5620</v>
      </c>
      <c r="E228" t="str">
        <f t="shared" si="53"/>
        <v>850PAY</v>
      </c>
      <c r="F228" t="str">
        <f>""</f>
        <v/>
      </c>
      <c r="G228" t="str">
        <f>""</f>
        <v/>
      </c>
      <c r="H228" s="1">
        <v>42464</v>
      </c>
      <c r="I228" t="str">
        <f>"I0127640"</f>
        <v>I0127640</v>
      </c>
      <c r="J228" t="str">
        <f t="shared" si="54"/>
        <v>N138259F</v>
      </c>
      <c r="K228" t="str">
        <f t="shared" si="55"/>
        <v>INEI</v>
      </c>
      <c r="L228" t="s">
        <v>1381</v>
      </c>
      <c r="M228">
        <v>774.34</v>
      </c>
    </row>
    <row r="229" spans="1:13" x14ac:dyDescent="0.25">
      <c r="A229" t="str">
        <f t="shared" si="56"/>
        <v>E133</v>
      </c>
      <c r="B229">
        <v>1</v>
      </c>
      <c r="C229" t="str">
        <f t="shared" si="52"/>
        <v>43000</v>
      </c>
      <c r="D229" t="str">
        <f t="shared" si="49"/>
        <v>5620</v>
      </c>
      <c r="E229" t="str">
        <f t="shared" ref="E229:E238" si="57">"850PKE"</f>
        <v>850PKE</v>
      </c>
      <c r="F229" t="str">
        <f>""</f>
        <v/>
      </c>
      <c r="G229" t="str">
        <f>""</f>
        <v/>
      </c>
      <c r="H229" s="1">
        <v>42249</v>
      </c>
      <c r="I229" t="str">
        <f>"I0120951"</f>
        <v>I0120951</v>
      </c>
      <c r="J229" t="str">
        <f t="shared" ref="J229:J238" si="58">"N218284C"</f>
        <v>N218284C</v>
      </c>
      <c r="K229" t="str">
        <f t="shared" si="55"/>
        <v>INEI</v>
      </c>
      <c r="L229" t="s">
        <v>2702</v>
      </c>
      <c r="M229">
        <v>256.8</v>
      </c>
    </row>
    <row r="230" spans="1:13" x14ac:dyDescent="0.25">
      <c r="A230" t="str">
        <f t="shared" si="56"/>
        <v>E133</v>
      </c>
      <c r="B230">
        <v>1</v>
      </c>
      <c r="C230" t="str">
        <f t="shared" si="52"/>
        <v>43000</v>
      </c>
      <c r="D230" t="str">
        <f t="shared" si="49"/>
        <v>5620</v>
      </c>
      <c r="E230" t="str">
        <f t="shared" si="57"/>
        <v>850PKE</v>
      </c>
      <c r="F230" t="str">
        <f>""</f>
        <v/>
      </c>
      <c r="G230" t="str">
        <f>""</f>
        <v/>
      </c>
      <c r="H230" s="1">
        <v>42278</v>
      </c>
      <c r="I230" t="str">
        <f>"I0121868"</f>
        <v>I0121868</v>
      </c>
      <c r="J230" t="str">
        <f t="shared" si="58"/>
        <v>N218284C</v>
      </c>
      <c r="K230" t="str">
        <f t="shared" si="55"/>
        <v>INEI</v>
      </c>
      <c r="L230" t="s">
        <v>2702</v>
      </c>
      <c r="M230">
        <v>256.8</v>
      </c>
    </row>
    <row r="231" spans="1:13" x14ac:dyDescent="0.25">
      <c r="A231" t="str">
        <f t="shared" si="56"/>
        <v>E133</v>
      </c>
      <c r="B231">
        <v>1</v>
      </c>
      <c r="C231" t="str">
        <f t="shared" si="52"/>
        <v>43000</v>
      </c>
      <c r="D231" t="str">
        <f t="shared" si="49"/>
        <v>5620</v>
      </c>
      <c r="E231" t="str">
        <f t="shared" si="57"/>
        <v>850PKE</v>
      </c>
      <c r="F231" t="str">
        <f>""</f>
        <v/>
      </c>
      <c r="G231" t="str">
        <f>""</f>
        <v/>
      </c>
      <c r="H231" s="1">
        <v>42327</v>
      </c>
      <c r="I231" t="str">
        <f>"I0123199"</f>
        <v>I0123199</v>
      </c>
      <c r="J231" t="str">
        <f t="shared" si="58"/>
        <v>N218284C</v>
      </c>
      <c r="K231" t="str">
        <f t="shared" si="55"/>
        <v>INEI</v>
      </c>
      <c r="L231" t="s">
        <v>2702</v>
      </c>
      <c r="M231">
        <v>257.24</v>
      </c>
    </row>
    <row r="232" spans="1:13" x14ac:dyDescent="0.25">
      <c r="A232" t="str">
        <f t="shared" si="56"/>
        <v>E133</v>
      </c>
      <c r="B232">
        <v>1</v>
      </c>
      <c r="C232" t="str">
        <f t="shared" si="52"/>
        <v>43000</v>
      </c>
      <c r="D232" t="str">
        <f t="shared" si="49"/>
        <v>5620</v>
      </c>
      <c r="E232" t="str">
        <f t="shared" si="57"/>
        <v>850PKE</v>
      </c>
      <c r="F232" t="str">
        <f>""</f>
        <v/>
      </c>
      <c r="G232" t="str">
        <f>""</f>
        <v/>
      </c>
      <c r="H232" s="1">
        <v>42345</v>
      </c>
      <c r="I232" t="str">
        <f>"I0123581"</f>
        <v>I0123581</v>
      </c>
      <c r="J232" t="str">
        <f t="shared" si="58"/>
        <v>N218284C</v>
      </c>
      <c r="K232" t="str">
        <f t="shared" si="55"/>
        <v>INEI</v>
      </c>
      <c r="L232" t="s">
        <v>2702</v>
      </c>
      <c r="M232">
        <v>256.8</v>
      </c>
    </row>
    <row r="233" spans="1:13" x14ac:dyDescent="0.25">
      <c r="A233" t="str">
        <f t="shared" si="56"/>
        <v>E133</v>
      </c>
      <c r="B233">
        <v>1</v>
      </c>
      <c r="C233" t="str">
        <f t="shared" si="52"/>
        <v>43000</v>
      </c>
      <c r="D233" t="str">
        <f t="shared" si="49"/>
        <v>5620</v>
      </c>
      <c r="E233" t="str">
        <f t="shared" si="57"/>
        <v>850PKE</v>
      </c>
      <c r="F233" t="str">
        <f>""</f>
        <v/>
      </c>
      <c r="G233" t="str">
        <f>""</f>
        <v/>
      </c>
      <c r="H233" s="1">
        <v>42366</v>
      </c>
      <c r="I233" t="str">
        <f>"I0124490"</f>
        <v>I0124490</v>
      </c>
      <c r="J233" t="str">
        <f t="shared" si="58"/>
        <v>N218284C</v>
      </c>
      <c r="K233" t="str">
        <f t="shared" si="55"/>
        <v>INEI</v>
      </c>
      <c r="L233" t="s">
        <v>2702</v>
      </c>
      <c r="M233">
        <v>256.8</v>
      </c>
    </row>
    <row r="234" spans="1:13" x14ac:dyDescent="0.25">
      <c r="A234" t="str">
        <f t="shared" si="56"/>
        <v>E133</v>
      </c>
      <c r="B234">
        <v>1</v>
      </c>
      <c r="C234" t="str">
        <f t="shared" si="52"/>
        <v>43000</v>
      </c>
      <c r="D234" t="str">
        <f t="shared" si="49"/>
        <v>5620</v>
      </c>
      <c r="E234" t="str">
        <f t="shared" si="57"/>
        <v>850PKE</v>
      </c>
      <c r="F234" t="str">
        <f>""</f>
        <v/>
      </c>
      <c r="G234" t="str">
        <f>""</f>
        <v/>
      </c>
      <c r="H234" s="1">
        <v>42404</v>
      </c>
      <c r="I234" t="str">
        <f>"I0125586"</f>
        <v>I0125586</v>
      </c>
      <c r="J234" t="str">
        <f t="shared" si="58"/>
        <v>N218284C</v>
      </c>
      <c r="K234" t="str">
        <f t="shared" si="55"/>
        <v>INEI</v>
      </c>
      <c r="L234" t="s">
        <v>2702</v>
      </c>
      <c r="M234">
        <v>256.8</v>
      </c>
    </row>
    <row r="235" spans="1:13" x14ac:dyDescent="0.25">
      <c r="A235" t="str">
        <f t="shared" si="56"/>
        <v>E133</v>
      </c>
      <c r="B235">
        <v>1</v>
      </c>
      <c r="C235" t="str">
        <f t="shared" si="52"/>
        <v>43000</v>
      </c>
      <c r="D235" t="str">
        <f t="shared" si="49"/>
        <v>5620</v>
      </c>
      <c r="E235" t="str">
        <f t="shared" si="57"/>
        <v>850PKE</v>
      </c>
      <c r="F235" t="str">
        <f>""</f>
        <v/>
      </c>
      <c r="G235" t="str">
        <f>""</f>
        <v/>
      </c>
      <c r="H235" s="1">
        <v>42432</v>
      </c>
      <c r="I235" t="str">
        <f>"I0126628"</f>
        <v>I0126628</v>
      </c>
      <c r="J235" t="str">
        <f t="shared" si="58"/>
        <v>N218284C</v>
      </c>
      <c r="K235" t="str">
        <f t="shared" si="55"/>
        <v>INEI</v>
      </c>
      <c r="L235" t="s">
        <v>2702</v>
      </c>
      <c r="M235">
        <v>256.8</v>
      </c>
    </row>
    <row r="236" spans="1:13" x14ac:dyDescent="0.25">
      <c r="A236" t="str">
        <f t="shared" si="56"/>
        <v>E133</v>
      </c>
      <c r="B236">
        <v>1</v>
      </c>
      <c r="C236" t="str">
        <f t="shared" si="52"/>
        <v>43000</v>
      </c>
      <c r="D236" t="str">
        <f t="shared" si="49"/>
        <v>5620</v>
      </c>
      <c r="E236" t="str">
        <f t="shared" si="57"/>
        <v>850PKE</v>
      </c>
      <c r="F236" t="str">
        <f>""</f>
        <v/>
      </c>
      <c r="G236" t="str">
        <f>""</f>
        <v/>
      </c>
      <c r="H236" s="1">
        <v>42461</v>
      </c>
      <c r="I236" t="str">
        <f>"I0127527"</f>
        <v>I0127527</v>
      </c>
      <c r="J236" t="str">
        <f t="shared" si="58"/>
        <v>N218284C</v>
      </c>
      <c r="K236" t="str">
        <f t="shared" si="55"/>
        <v>INEI</v>
      </c>
      <c r="L236" t="s">
        <v>2702</v>
      </c>
      <c r="M236">
        <v>256.8</v>
      </c>
    </row>
    <row r="237" spans="1:13" x14ac:dyDescent="0.25">
      <c r="A237" t="str">
        <f t="shared" si="56"/>
        <v>E133</v>
      </c>
      <c r="B237">
        <v>1</v>
      </c>
      <c r="C237" t="str">
        <f t="shared" si="52"/>
        <v>43000</v>
      </c>
      <c r="D237" t="str">
        <f t="shared" si="49"/>
        <v>5620</v>
      </c>
      <c r="E237" t="str">
        <f t="shared" si="57"/>
        <v>850PKE</v>
      </c>
      <c r="F237" t="str">
        <f>""</f>
        <v/>
      </c>
      <c r="G237" t="str">
        <f>""</f>
        <v/>
      </c>
      <c r="H237" s="1">
        <v>42488</v>
      </c>
      <c r="I237" t="str">
        <f>"I0128813"</f>
        <v>I0128813</v>
      </c>
      <c r="J237" t="str">
        <f t="shared" si="58"/>
        <v>N218284C</v>
      </c>
      <c r="K237" t="str">
        <f t="shared" si="55"/>
        <v>INEI</v>
      </c>
      <c r="L237" t="s">
        <v>2702</v>
      </c>
      <c r="M237">
        <v>256.8</v>
      </c>
    </row>
    <row r="238" spans="1:13" x14ac:dyDescent="0.25">
      <c r="A238" t="str">
        <f t="shared" si="56"/>
        <v>E133</v>
      </c>
      <c r="B238">
        <v>1</v>
      </c>
      <c r="C238" t="str">
        <f t="shared" si="52"/>
        <v>43000</v>
      </c>
      <c r="D238" t="str">
        <f t="shared" si="49"/>
        <v>5620</v>
      </c>
      <c r="E238" t="str">
        <f t="shared" si="57"/>
        <v>850PKE</v>
      </c>
      <c r="F238" t="str">
        <f>""</f>
        <v/>
      </c>
      <c r="G238" t="str">
        <f>""</f>
        <v/>
      </c>
      <c r="H238" s="1">
        <v>42549</v>
      </c>
      <c r="I238" t="str">
        <f>"I0133439"</f>
        <v>I0133439</v>
      </c>
      <c r="J238" t="str">
        <f t="shared" si="58"/>
        <v>N218284C</v>
      </c>
      <c r="K238" t="str">
        <f t="shared" si="55"/>
        <v>INEI</v>
      </c>
      <c r="L238" t="s">
        <v>2702</v>
      </c>
      <c r="M238">
        <v>257.7</v>
      </c>
    </row>
    <row r="239" spans="1:13" x14ac:dyDescent="0.25">
      <c r="A239" t="str">
        <f t="shared" si="56"/>
        <v>E133</v>
      </c>
      <c r="B239">
        <v>1</v>
      </c>
      <c r="C239" t="str">
        <f t="shared" si="52"/>
        <v>43000</v>
      </c>
      <c r="D239" t="str">
        <f t="shared" ref="D239:D260" si="59">"5740"</f>
        <v>5740</v>
      </c>
      <c r="E239" t="str">
        <f>"850LOS"</f>
        <v>850LOS</v>
      </c>
      <c r="F239" t="str">
        <f>""</f>
        <v/>
      </c>
      <c r="G239" t="str">
        <f>""</f>
        <v/>
      </c>
      <c r="H239" s="1">
        <v>42400</v>
      </c>
      <c r="I239" t="str">
        <f>"PCD00765"</f>
        <v>PCD00765</v>
      </c>
      <c r="J239" t="str">
        <f>""</f>
        <v/>
      </c>
      <c r="K239" t="str">
        <f>"AS89"</f>
        <v>AS89</v>
      </c>
      <c r="L239" t="s">
        <v>3030</v>
      </c>
      <c r="M239">
        <v>270.04000000000002</v>
      </c>
    </row>
    <row r="240" spans="1:13" x14ac:dyDescent="0.25">
      <c r="A240" t="str">
        <f t="shared" si="56"/>
        <v>E133</v>
      </c>
      <c r="B240">
        <v>1</v>
      </c>
      <c r="C240" t="str">
        <f t="shared" si="52"/>
        <v>43000</v>
      </c>
      <c r="D240" t="str">
        <f t="shared" si="59"/>
        <v>5740</v>
      </c>
      <c r="E240" t="str">
        <f t="shared" ref="E240:E248" si="60">"850PAY"</f>
        <v>850PAY</v>
      </c>
      <c r="F240" t="str">
        <f>""</f>
        <v/>
      </c>
      <c r="G240" t="str">
        <f>""</f>
        <v/>
      </c>
      <c r="H240" s="1">
        <v>42535</v>
      </c>
      <c r="I240" t="str">
        <f t="shared" ref="I240:I257" si="61">"ACG02686"</f>
        <v>ACG02686</v>
      </c>
      <c r="J240" t="str">
        <f t="shared" ref="J240:J248" si="62">"N138259F"</f>
        <v>N138259F</v>
      </c>
      <c r="K240" t="str">
        <f t="shared" ref="K240:K257" si="63">"AS96"</f>
        <v>AS96</v>
      </c>
      <c r="L240" t="s">
        <v>1381</v>
      </c>
      <c r="M240">
        <v>774.56</v>
      </c>
    </row>
    <row r="241" spans="1:13" x14ac:dyDescent="0.25">
      <c r="A241" t="str">
        <f t="shared" si="56"/>
        <v>E133</v>
      </c>
      <c r="B241">
        <v>1</v>
      </c>
      <c r="C241" t="str">
        <f t="shared" si="52"/>
        <v>43000</v>
      </c>
      <c r="D241" t="str">
        <f t="shared" si="59"/>
        <v>5740</v>
      </c>
      <c r="E241" t="str">
        <f t="shared" si="60"/>
        <v>850PAY</v>
      </c>
      <c r="F241" t="str">
        <f>""</f>
        <v/>
      </c>
      <c r="G241" t="str">
        <f>""</f>
        <v/>
      </c>
      <c r="H241" s="1">
        <v>42535</v>
      </c>
      <c r="I241" t="str">
        <f t="shared" si="61"/>
        <v>ACG02686</v>
      </c>
      <c r="J241" t="str">
        <f t="shared" si="62"/>
        <v>N138259F</v>
      </c>
      <c r="K241" t="str">
        <f t="shared" si="63"/>
        <v>AS96</v>
      </c>
      <c r="L241" t="s">
        <v>1381</v>
      </c>
      <c r="M241">
        <v>774.56</v>
      </c>
    </row>
    <row r="242" spans="1:13" x14ac:dyDescent="0.25">
      <c r="A242" t="str">
        <f t="shared" si="56"/>
        <v>E133</v>
      </c>
      <c r="B242">
        <v>1</v>
      </c>
      <c r="C242" t="str">
        <f t="shared" si="52"/>
        <v>43000</v>
      </c>
      <c r="D242" t="str">
        <f t="shared" si="59"/>
        <v>5740</v>
      </c>
      <c r="E242" t="str">
        <f t="shared" si="60"/>
        <v>850PAY</v>
      </c>
      <c r="F242" t="str">
        <f>""</f>
        <v/>
      </c>
      <c r="G242" t="str">
        <f>""</f>
        <v/>
      </c>
      <c r="H242" s="1">
        <v>42535</v>
      </c>
      <c r="I242" t="str">
        <f t="shared" si="61"/>
        <v>ACG02686</v>
      </c>
      <c r="J242" t="str">
        <f t="shared" si="62"/>
        <v>N138259F</v>
      </c>
      <c r="K242" t="str">
        <f t="shared" si="63"/>
        <v>AS96</v>
      </c>
      <c r="L242" t="s">
        <v>1381</v>
      </c>
      <c r="M242">
        <v>817.07</v>
      </c>
    </row>
    <row r="243" spans="1:13" x14ac:dyDescent="0.25">
      <c r="A243" t="str">
        <f t="shared" si="56"/>
        <v>E133</v>
      </c>
      <c r="B243">
        <v>1</v>
      </c>
      <c r="C243" t="str">
        <f t="shared" si="52"/>
        <v>43000</v>
      </c>
      <c r="D243" t="str">
        <f t="shared" si="59"/>
        <v>5740</v>
      </c>
      <c r="E243" t="str">
        <f t="shared" si="60"/>
        <v>850PAY</v>
      </c>
      <c r="F243" t="str">
        <f>""</f>
        <v/>
      </c>
      <c r="G243" t="str">
        <f>""</f>
        <v/>
      </c>
      <c r="H243" s="1">
        <v>42535</v>
      </c>
      <c r="I243" t="str">
        <f t="shared" si="61"/>
        <v>ACG02686</v>
      </c>
      <c r="J243" t="str">
        <f t="shared" si="62"/>
        <v>N138259F</v>
      </c>
      <c r="K243" t="str">
        <f t="shared" si="63"/>
        <v>AS96</v>
      </c>
      <c r="L243" t="s">
        <v>1381</v>
      </c>
      <c r="M243">
        <v>493.02</v>
      </c>
    </row>
    <row r="244" spans="1:13" x14ac:dyDescent="0.25">
      <c r="A244" t="str">
        <f t="shared" si="56"/>
        <v>E133</v>
      </c>
      <c r="B244">
        <v>1</v>
      </c>
      <c r="C244" t="str">
        <f t="shared" si="52"/>
        <v>43000</v>
      </c>
      <c r="D244" t="str">
        <f t="shared" si="59"/>
        <v>5740</v>
      </c>
      <c r="E244" t="str">
        <f t="shared" si="60"/>
        <v>850PAY</v>
      </c>
      <c r="F244" t="str">
        <f>""</f>
        <v/>
      </c>
      <c r="G244" t="str">
        <f>""</f>
        <v/>
      </c>
      <c r="H244" s="1">
        <v>42535</v>
      </c>
      <c r="I244" t="str">
        <f t="shared" si="61"/>
        <v>ACG02686</v>
      </c>
      <c r="J244" t="str">
        <f t="shared" si="62"/>
        <v>N138259F</v>
      </c>
      <c r="K244" t="str">
        <f t="shared" si="63"/>
        <v>AS96</v>
      </c>
      <c r="L244" t="s">
        <v>1381</v>
      </c>
      <c r="M244">
        <v>493.24</v>
      </c>
    </row>
    <row r="245" spans="1:13" x14ac:dyDescent="0.25">
      <c r="A245" t="str">
        <f t="shared" si="56"/>
        <v>E133</v>
      </c>
      <c r="B245">
        <v>1</v>
      </c>
      <c r="C245" t="str">
        <f t="shared" si="52"/>
        <v>43000</v>
      </c>
      <c r="D245" t="str">
        <f t="shared" si="59"/>
        <v>5740</v>
      </c>
      <c r="E245" t="str">
        <f t="shared" si="60"/>
        <v>850PAY</v>
      </c>
      <c r="F245" t="str">
        <f>""</f>
        <v/>
      </c>
      <c r="G245" t="str">
        <f>""</f>
        <v/>
      </c>
      <c r="H245" s="1">
        <v>42535</v>
      </c>
      <c r="I245" t="str">
        <f t="shared" si="61"/>
        <v>ACG02686</v>
      </c>
      <c r="J245" t="str">
        <f t="shared" si="62"/>
        <v>N138259F</v>
      </c>
      <c r="K245" t="str">
        <f t="shared" si="63"/>
        <v>AS96</v>
      </c>
      <c r="L245" t="s">
        <v>1381</v>
      </c>
      <c r="M245">
        <v>493.24</v>
      </c>
    </row>
    <row r="246" spans="1:13" x14ac:dyDescent="0.25">
      <c r="A246" t="str">
        <f t="shared" si="56"/>
        <v>E133</v>
      </c>
      <c r="B246">
        <v>1</v>
      </c>
      <c r="C246" t="str">
        <f t="shared" si="52"/>
        <v>43000</v>
      </c>
      <c r="D246" t="str">
        <f t="shared" si="59"/>
        <v>5740</v>
      </c>
      <c r="E246" t="str">
        <f t="shared" si="60"/>
        <v>850PAY</v>
      </c>
      <c r="F246" t="str">
        <f>""</f>
        <v/>
      </c>
      <c r="G246" t="str">
        <f>""</f>
        <v/>
      </c>
      <c r="H246" s="1">
        <v>42535</v>
      </c>
      <c r="I246" t="str">
        <f t="shared" si="61"/>
        <v>ACG02686</v>
      </c>
      <c r="J246" t="str">
        <f t="shared" si="62"/>
        <v>N138259F</v>
      </c>
      <c r="K246" t="str">
        <f t="shared" si="63"/>
        <v>AS96</v>
      </c>
      <c r="L246" t="s">
        <v>1381</v>
      </c>
      <c r="M246">
        <v>532.20000000000005</v>
      </c>
    </row>
    <row r="247" spans="1:13" x14ac:dyDescent="0.25">
      <c r="A247" t="str">
        <f t="shared" si="56"/>
        <v>E133</v>
      </c>
      <c r="B247">
        <v>1</v>
      </c>
      <c r="C247" t="str">
        <f t="shared" si="52"/>
        <v>43000</v>
      </c>
      <c r="D247" t="str">
        <f t="shared" si="59"/>
        <v>5740</v>
      </c>
      <c r="E247" t="str">
        <f t="shared" si="60"/>
        <v>850PAY</v>
      </c>
      <c r="F247" t="str">
        <f>""</f>
        <v/>
      </c>
      <c r="G247" t="str">
        <f>""</f>
        <v/>
      </c>
      <c r="H247" s="1">
        <v>42535</v>
      </c>
      <c r="I247" t="str">
        <f t="shared" si="61"/>
        <v>ACG02686</v>
      </c>
      <c r="J247" t="str">
        <f t="shared" si="62"/>
        <v>N138259F</v>
      </c>
      <c r="K247" t="str">
        <f t="shared" si="63"/>
        <v>AS96</v>
      </c>
      <c r="L247" t="s">
        <v>1381</v>
      </c>
      <c r="M247">
        <v>771.3</v>
      </c>
    </row>
    <row r="248" spans="1:13" x14ac:dyDescent="0.25">
      <c r="A248" t="str">
        <f t="shared" si="56"/>
        <v>E133</v>
      </c>
      <c r="B248">
        <v>1</v>
      </c>
      <c r="C248" t="str">
        <f t="shared" si="52"/>
        <v>43000</v>
      </c>
      <c r="D248" t="str">
        <f t="shared" si="59"/>
        <v>5740</v>
      </c>
      <c r="E248" t="str">
        <f t="shared" si="60"/>
        <v>850PAY</v>
      </c>
      <c r="F248" t="str">
        <f>""</f>
        <v/>
      </c>
      <c r="G248" t="str">
        <f>""</f>
        <v/>
      </c>
      <c r="H248" s="1">
        <v>42535</v>
      </c>
      <c r="I248" t="str">
        <f t="shared" si="61"/>
        <v>ACG02686</v>
      </c>
      <c r="J248" t="str">
        <f t="shared" si="62"/>
        <v>N138259F</v>
      </c>
      <c r="K248" t="str">
        <f t="shared" si="63"/>
        <v>AS96</v>
      </c>
      <c r="L248" t="s">
        <v>1381</v>
      </c>
      <c r="M248">
        <v>774.34</v>
      </c>
    </row>
    <row r="249" spans="1:13" x14ac:dyDescent="0.25">
      <c r="A249" t="str">
        <f t="shared" si="56"/>
        <v>E133</v>
      </c>
      <c r="B249">
        <v>1</v>
      </c>
      <c r="C249" t="str">
        <f t="shared" si="52"/>
        <v>43000</v>
      </c>
      <c r="D249" t="str">
        <f t="shared" si="59"/>
        <v>5740</v>
      </c>
      <c r="E249" t="str">
        <f t="shared" ref="E249:E260" si="64">"850PKE"</f>
        <v>850PKE</v>
      </c>
      <c r="F249" t="str">
        <f>""</f>
        <v/>
      </c>
      <c r="G249" t="str">
        <f>""</f>
        <v/>
      </c>
      <c r="H249" s="1">
        <v>42535</v>
      </c>
      <c r="I249" t="str">
        <f t="shared" si="61"/>
        <v>ACG02686</v>
      </c>
      <c r="J249" t="str">
        <f t="shared" ref="J249:J257" si="65">"N218284C"</f>
        <v>N218284C</v>
      </c>
      <c r="K249" t="str">
        <f t="shared" si="63"/>
        <v>AS96</v>
      </c>
      <c r="L249" t="s">
        <v>2702</v>
      </c>
      <c r="M249">
        <v>256.8</v>
      </c>
    </row>
    <row r="250" spans="1:13" x14ac:dyDescent="0.25">
      <c r="A250" t="str">
        <f t="shared" si="56"/>
        <v>E133</v>
      </c>
      <c r="B250">
        <v>1</v>
      </c>
      <c r="C250" t="str">
        <f t="shared" si="52"/>
        <v>43000</v>
      </c>
      <c r="D250" t="str">
        <f t="shared" si="59"/>
        <v>5740</v>
      </c>
      <c r="E250" t="str">
        <f t="shared" si="64"/>
        <v>850PKE</v>
      </c>
      <c r="F250" t="str">
        <f>""</f>
        <v/>
      </c>
      <c r="G250" t="str">
        <f>""</f>
        <v/>
      </c>
      <c r="H250" s="1">
        <v>42535</v>
      </c>
      <c r="I250" t="str">
        <f t="shared" si="61"/>
        <v>ACG02686</v>
      </c>
      <c r="J250" t="str">
        <f t="shared" si="65"/>
        <v>N218284C</v>
      </c>
      <c r="K250" t="str">
        <f t="shared" si="63"/>
        <v>AS96</v>
      </c>
      <c r="L250" t="s">
        <v>2702</v>
      </c>
      <c r="M250">
        <v>256.8</v>
      </c>
    </row>
    <row r="251" spans="1:13" x14ac:dyDescent="0.25">
      <c r="A251" t="str">
        <f t="shared" si="56"/>
        <v>E133</v>
      </c>
      <c r="B251">
        <v>1</v>
      </c>
      <c r="C251" t="str">
        <f t="shared" si="52"/>
        <v>43000</v>
      </c>
      <c r="D251" t="str">
        <f t="shared" si="59"/>
        <v>5740</v>
      </c>
      <c r="E251" t="str">
        <f t="shared" si="64"/>
        <v>850PKE</v>
      </c>
      <c r="F251" t="str">
        <f>""</f>
        <v/>
      </c>
      <c r="G251" t="str">
        <f>""</f>
        <v/>
      </c>
      <c r="H251" s="1">
        <v>42535</v>
      </c>
      <c r="I251" t="str">
        <f t="shared" si="61"/>
        <v>ACG02686</v>
      </c>
      <c r="J251" t="str">
        <f t="shared" si="65"/>
        <v>N218284C</v>
      </c>
      <c r="K251" t="str">
        <f t="shared" si="63"/>
        <v>AS96</v>
      </c>
      <c r="L251" t="s">
        <v>2702</v>
      </c>
      <c r="M251">
        <v>256.8</v>
      </c>
    </row>
    <row r="252" spans="1:13" x14ac:dyDescent="0.25">
      <c r="A252" t="str">
        <f t="shared" si="56"/>
        <v>E133</v>
      </c>
      <c r="B252">
        <v>1</v>
      </c>
      <c r="C252" t="str">
        <f t="shared" si="52"/>
        <v>43000</v>
      </c>
      <c r="D252" t="str">
        <f t="shared" si="59"/>
        <v>5740</v>
      </c>
      <c r="E252" t="str">
        <f t="shared" si="64"/>
        <v>850PKE</v>
      </c>
      <c r="F252" t="str">
        <f>""</f>
        <v/>
      </c>
      <c r="G252" t="str">
        <f>""</f>
        <v/>
      </c>
      <c r="H252" s="1">
        <v>42535</v>
      </c>
      <c r="I252" t="str">
        <f t="shared" si="61"/>
        <v>ACG02686</v>
      </c>
      <c r="J252" t="str">
        <f t="shared" si="65"/>
        <v>N218284C</v>
      </c>
      <c r="K252" t="str">
        <f t="shared" si="63"/>
        <v>AS96</v>
      </c>
      <c r="L252" t="s">
        <v>2702</v>
      </c>
      <c r="M252">
        <v>256.8</v>
      </c>
    </row>
    <row r="253" spans="1:13" x14ac:dyDescent="0.25">
      <c r="A253" t="str">
        <f t="shared" si="56"/>
        <v>E133</v>
      </c>
      <c r="B253">
        <v>1</v>
      </c>
      <c r="C253" t="str">
        <f t="shared" si="52"/>
        <v>43000</v>
      </c>
      <c r="D253" t="str">
        <f t="shared" si="59"/>
        <v>5740</v>
      </c>
      <c r="E253" t="str">
        <f t="shared" si="64"/>
        <v>850PKE</v>
      </c>
      <c r="F253" t="str">
        <f>""</f>
        <v/>
      </c>
      <c r="G253" t="str">
        <f>""</f>
        <v/>
      </c>
      <c r="H253" s="1">
        <v>42535</v>
      </c>
      <c r="I253" t="str">
        <f t="shared" si="61"/>
        <v>ACG02686</v>
      </c>
      <c r="J253" t="str">
        <f t="shared" si="65"/>
        <v>N218284C</v>
      </c>
      <c r="K253" t="str">
        <f t="shared" si="63"/>
        <v>AS96</v>
      </c>
      <c r="L253" t="s">
        <v>2702</v>
      </c>
      <c r="M253">
        <v>256.8</v>
      </c>
    </row>
    <row r="254" spans="1:13" x14ac:dyDescent="0.25">
      <c r="A254" t="str">
        <f t="shared" si="56"/>
        <v>E133</v>
      </c>
      <c r="B254">
        <v>1</v>
      </c>
      <c r="C254" t="str">
        <f t="shared" si="52"/>
        <v>43000</v>
      </c>
      <c r="D254" t="str">
        <f t="shared" si="59"/>
        <v>5740</v>
      </c>
      <c r="E254" t="str">
        <f t="shared" si="64"/>
        <v>850PKE</v>
      </c>
      <c r="F254" t="str">
        <f>""</f>
        <v/>
      </c>
      <c r="G254" t="str">
        <f>""</f>
        <v/>
      </c>
      <c r="H254" s="1">
        <v>42535</v>
      </c>
      <c r="I254" t="str">
        <f t="shared" si="61"/>
        <v>ACG02686</v>
      </c>
      <c r="J254" t="str">
        <f t="shared" si="65"/>
        <v>N218284C</v>
      </c>
      <c r="K254" t="str">
        <f t="shared" si="63"/>
        <v>AS96</v>
      </c>
      <c r="L254" t="s">
        <v>2702</v>
      </c>
      <c r="M254">
        <v>256.8</v>
      </c>
    </row>
    <row r="255" spans="1:13" x14ac:dyDescent="0.25">
      <c r="A255" t="str">
        <f t="shared" si="56"/>
        <v>E133</v>
      </c>
      <c r="B255">
        <v>1</v>
      </c>
      <c r="C255" t="str">
        <f t="shared" si="52"/>
        <v>43000</v>
      </c>
      <c r="D255" t="str">
        <f t="shared" si="59"/>
        <v>5740</v>
      </c>
      <c r="E255" t="str">
        <f t="shared" si="64"/>
        <v>850PKE</v>
      </c>
      <c r="F255" t="str">
        <f>""</f>
        <v/>
      </c>
      <c r="G255" t="str">
        <f>""</f>
        <v/>
      </c>
      <c r="H255" s="1">
        <v>42535</v>
      </c>
      <c r="I255" t="str">
        <f t="shared" si="61"/>
        <v>ACG02686</v>
      </c>
      <c r="J255" t="str">
        <f t="shared" si="65"/>
        <v>N218284C</v>
      </c>
      <c r="K255" t="str">
        <f t="shared" si="63"/>
        <v>AS96</v>
      </c>
      <c r="L255" t="s">
        <v>2702</v>
      </c>
      <c r="M255">
        <v>256.8</v>
      </c>
    </row>
    <row r="256" spans="1:13" x14ac:dyDescent="0.25">
      <c r="A256" t="str">
        <f t="shared" si="56"/>
        <v>E133</v>
      </c>
      <c r="B256">
        <v>1</v>
      </c>
      <c r="C256" t="str">
        <f t="shared" si="52"/>
        <v>43000</v>
      </c>
      <c r="D256" t="str">
        <f t="shared" si="59"/>
        <v>5740</v>
      </c>
      <c r="E256" t="str">
        <f t="shared" si="64"/>
        <v>850PKE</v>
      </c>
      <c r="F256" t="str">
        <f>""</f>
        <v/>
      </c>
      <c r="G256" t="str">
        <f>""</f>
        <v/>
      </c>
      <c r="H256" s="1">
        <v>42535</v>
      </c>
      <c r="I256" t="str">
        <f t="shared" si="61"/>
        <v>ACG02686</v>
      </c>
      <c r="J256" t="str">
        <f t="shared" si="65"/>
        <v>N218284C</v>
      </c>
      <c r="K256" t="str">
        <f t="shared" si="63"/>
        <v>AS96</v>
      </c>
      <c r="L256" t="s">
        <v>2702</v>
      </c>
      <c r="M256">
        <v>257.24</v>
      </c>
    </row>
    <row r="257" spans="1:13" x14ac:dyDescent="0.25">
      <c r="A257" t="str">
        <f t="shared" si="56"/>
        <v>E133</v>
      </c>
      <c r="B257">
        <v>1</v>
      </c>
      <c r="C257" t="str">
        <f t="shared" si="52"/>
        <v>43000</v>
      </c>
      <c r="D257" t="str">
        <f t="shared" si="59"/>
        <v>5740</v>
      </c>
      <c r="E257" t="str">
        <f t="shared" si="64"/>
        <v>850PKE</v>
      </c>
      <c r="F257" t="str">
        <f>""</f>
        <v/>
      </c>
      <c r="G257" t="str">
        <f>""</f>
        <v/>
      </c>
      <c r="H257" s="1">
        <v>42535</v>
      </c>
      <c r="I257" t="str">
        <f t="shared" si="61"/>
        <v>ACG02686</v>
      </c>
      <c r="J257" t="str">
        <f t="shared" si="65"/>
        <v>N218284C</v>
      </c>
      <c r="K257" t="str">
        <f t="shared" si="63"/>
        <v>AS96</v>
      </c>
      <c r="L257" t="s">
        <v>2702</v>
      </c>
      <c r="M257">
        <v>256.8</v>
      </c>
    </row>
    <row r="258" spans="1:13" x14ac:dyDescent="0.25">
      <c r="A258" t="str">
        <f t="shared" si="56"/>
        <v>E133</v>
      </c>
      <c r="B258">
        <v>1</v>
      </c>
      <c r="C258" t="str">
        <f t="shared" si="52"/>
        <v>43000</v>
      </c>
      <c r="D258" t="str">
        <f t="shared" si="59"/>
        <v>5740</v>
      </c>
      <c r="E258" t="str">
        <f t="shared" si="64"/>
        <v>850PKE</v>
      </c>
      <c r="F258" t="str">
        <f>""</f>
        <v/>
      </c>
      <c r="G258" t="str">
        <f>""</f>
        <v/>
      </c>
      <c r="H258" s="1">
        <v>42551</v>
      </c>
      <c r="I258" t="str">
        <f>"J0022843"</f>
        <v>J0022843</v>
      </c>
      <c r="J258" t="str">
        <f>""</f>
        <v/>
      </c>
      <c r="K258" t="str">
        <f>"J079"</f>
        <v>J079</v>
      </c>
      <c r="L258" t="s">
        <v>2914</v>
      </c>
      <c r="M258">
        <v>257.7</v>
      </c>
    </row>
    <row r="259" spans="1:13" x14ac:dyDescent="0.25">
      <c r="A259" t="str">
        <f>"E135"</f>
        <v>E135</v>
      </c>
      <c r="B259">
        <v>1</v>
      </c>
      <c r="C259" t="str">
        <f t="shared" si="52"/>
        <v>43000</v>
      </c>
      <c r="D259" t="str">
        <f t="shared" si="59"/>
        <v>5740</v>
      </c>
      <c r="E259" t="str">
        <f t="shared" si="64"/>
        <v>850PKE</v>
      </c>
      <c r="F259" t="str">
        <f>""</f>
        <v/>
      </c>
      <c r="G259" t="str">
        <f>""</f>
        <v/>
      </c>
      <c r="H259" s="1">
        <v>42551</v>
      </c>
      <c r="I259" t="str">
        <f>"PCD00791"</f>
        <v>PCD00791</v>
      </c>
      <c r="J259" t="str">
        <f>""</f>
        <v/>
      </c>
      <c r="K259" t="str">
        <f t="shared" ref="K259:K264" si="66">"AS89"</f>
        <v>AS89</v>
      </c>
      <c r="L259" t="s">
        <v>3029</v>
      </c>
      <c r="M259">
        <v>256.8</v>
      </c>
    </row>
    <row r="260" spans="1:13" x14ac:dyDescent="0.25">
      <c r="A260" t="str">
        <f>"E135"</f>
        <v>E135</v>
      </c>
      <c r="B260">
        <v>1</v>
      </c>
      <c r="C260" t="str">
        <f t="shared" si="52"/>
        <v>43000</v>
      </c>
      <c r="D260" t="str">
        <f t="shared" si="59"/>
        <v>5740</v>
      </c>
      <c r="E260" t="str">
        <f t="shared" si="64"/>
        <v>850PKE</v>
      </c>
      <c r="F260" t="str">
        <f>""</f>
        <v/>
      </c>
      <c r="G260" t="str">
        <f>""</f>
        <v/>
      </c>
      <c r="H260" s="1">
        <v>42551</v>
      </c>
      <c r="I260" t="str">
        <f>"PCD00791"</f>
        <v>PCD00791</v>
      </c>
      <c r="J260" t="str">
        <f>""</f>
        <v/>
      </c>
      <c r="K260" t="str">
        <f t="shared" si="66"/>
        <v>AS89</v>
      </c>
      <c r="L260" t="s">
        <v>3028</v>
      </c>
      <c r="M260">
        <v>101.38</v>
      </c>
    </row>
    <row r="261" spans="1:13" x14ac:dyDescent="0.25">
      <c r="A261" t="str">
        <f>"E154"</f>
        <v>E154</v>
      </c>
      <c r="B261">
        <v>1</v>
      </c>
      <c r="C261" t="str">
        <f>"10200"</f>
        <v>10200</v>
      </c>
      <c r="D261" t="str">
        <f t="shared" ref="D261:D283" si="67">"5620"</f>
        <v>5620</v>
      </c>
      <c r="E261" t="str">
        <f>"094OMS"</f>
        <v>094OMS</v>
      </c>
      <c r="F261" t="str">
        <f>""</f>
        <v/>
      </c>
      <c r="G261" t="str">
        <f>""</f>
        <v/>
      </c>
      <c r="H261" s="1">
        <v>42400</v>
      </c>
      <c r="I261" t="str">
        <f>"PCD00765"</f>
        <v>PCD00765</v>
      </c>
      <c r="J261" t="str">
        <f>""</f>
        <v/>
      </c>
      <c r="K261" t="str">
        <f t="shared" si="66"/>
        <v>AS89</v>
      </c>
      <c r="L261" t="s">
        <v>3027</v>
      </c>
      <c r="M261" s="2">
        <v>3000</v>
      </c>
    </row>
    <row r="262" spans="1:13" x14ac:dyDescent="0.25">
      <c r="A262" t="str">
        <f>"E154"</f>
        <v>E154</v>
      </c>
      <c r="B262">
        <v>1</v>
      </c>
      <c r="C262" t="str">
        <f>"10200"</f>
        <v>10200</v>
      </c>
      <c r="D262" t="str">
        <f t="shared" si="67"/>
        <v>5620</v>
      </c>
      <c r="E262" t="str">
        <f>"094OMS"</f>
        <v>094OMS</v>
      </c>
      <c r="F262" t="str">
        <f>""</f>
        <v/>
      </c>
      <c r="G262" t="str">
        <f>""</f>
        <v/>
      </c>
      <c r="H262" s="1">
        <v>42400</v>
      </c>
      <c r="I262" t="str">
        <f>"PCD00765"</f>
        <v>PCD00765</v>
      </c>
      <c r="J262" t="str">
        <f>""</f>
        <v/>
      </c>
      <c r="K262" t="str">
        <f t="shared" si="66"/>
        <v>AS89</v>
      </c>
      <c r="L262" t="s">
        <v>3026</v>
      </c>
      <c r="M262">
        <v>261</v>
      </c>
    </row>
    <row r="263" spans="1:13" x14ac:dyDescent="0.25">
      <c r="A263" t="str">
        <f t="shared" ref="A263:A289" si="68">"E157"</f>
        <v>E157</v>
      </c>
      <c r="B263">
        <v>1</v>
      </c>
      <c r="C263" t="str">
        <f>"10200"</f>
        <v>10200</v>
      </c>
      <c r="D263" t="str">
        <f t="shared" si="67"/>
        <v>5620</v>
      </c>
      <c r="E263" t="str">
        <f>"094OMS"</f>
        <v>094OMS</v>
      </c>
      <c r="F263" t="str">
        <f>""</f>
        <v/>
      </c>
      <c r="G263" t="str">
        <f>""</f>
        <v/>
      </c>
      <c r="H263" s="1">
        <v>42429</v>
      </c>
      <c r="I263" t="str">
        <f>"PCD00770"</f>
        <v>PCD00770</v>
      </c>
      <c r="J263" t="str">
        <f>""</f>
        <v/>
      </c>
      <c r="K263" t="str">
        <f t="shared" si="66"/>
        <v>AS89</v>
      </c>
      <c r="L263" t="s">
        <v>3025</v>
      </c>
      <c r="M263">
        <v>612.29999999999995</v>
      </c>
    </row>
    <row r="264" spans="1:13" x14ac:dyDescent="0.25">
      <c r="A264" t="str">
        <f t="shared" si="68"/>
        <v>E157</v>
      </c>
      <c r="B264">
        <v>1</v>
      </c>
      <c r="C264" t="str">
        <f>"10200"</f>
        <v>10200</v>
      </c>
      <c r="D264" t="str">
        <f t="shared" si="67"/>
        <v>5620</v>
      </c>
      <c r="E264" t="str">
        <f>"094OMS"</f>
        <v>094OMS</v>
      </c>
      <c r="F264" t="str">
        <f>""</f>
        <v/>
      </c>
      <c r="G264" t="str">
        <f>""</f>
        <v/>
      </c>
      <c r="H264" s="1">
        <v>42460</v>
      </c>
      <c r="I264" t="str">
        <f>"SWS00146"</f>
        <v>SWS00146</v>
      </c>
      <c r="J264" t="str">
        <f>"16496"</f>
        <v>16496</v>
      </c>
      <c r="K264" t="str">
        <f t="shared" si="66"/>
        <v>AS89</v>
      </c>
      <c r="L264" t="s">
        <v>3024</v>
      </c>
      <c r="M264">
        <v>508</v>
      </c>
    </row>
    <row r="265" spans="1:13" x14ac:dyDescent="0.25">
      <c r="A265" t="str">
        <f t="shared" si="68"/>
        <v>E157</v>
      </c>
      <c r="B265">
        <v>1</v>
      </c>
      <c r="C265" t="str">
        <f t="shared" ref="C265:C288" si="69">"43000"</f>
        <v>43000</v>
      </c>
      <c r="D265" t="str">
        <f t="shared" si="67"/>
        <v>5620</v>
      </c>
      <c r="E265" t="str">
        <f>"850LOS"</f>
        <v>850LOS</v>
      </c>
      <c r="F265" t="str">
        <f>""</f>
        <v/>
      </c>
      <c r="G265" t="str">
        <f>""</f>
        <v/>
      </c>
      <c r="H265" s="1">
        <v>42265</v>
      </c>
      <c r="I265" t="str">
        <f>"I0121437"</f>
        <v>I0121437</v>
      </c>
      <c r="J265" t="str">
        <f>"N125348F"</f>
        <v>N125348F</v>
      </c>
      <c r="K265" t="str">
        <f t="shared" ref="K265:K282" si="70">"INEI"</f>
        <v>INEI</v>
      </c>
      <c r="L265" t="s">
        <v>229</v>
      </c>
      <c r="M265" s="2">
        <v>42476.91</v>
      </c>
    </row>
    <row r="266" spans="1:13" x14ac:dyDescent="0.25">
      <c r="A266" t="str">
        <f t="shared" si="68"/>
        <v>E157</v>
      </c>
      <c r="B266">
        <v>1</v>
      </c>
      <c r="C266" t="str">
        <f t="shared" si="69"/>
        <v>43000</v>
      </c>
      <c r="D266" t="str">
        <f t="shared" si="67"/>
        <v>5620</v>
      </c>
      <c r="E266" t="str">
        <f>"850LOS"</f>
        <v>850LOS</v>
      </c>
      <c r="F266" t="str">
        <f>""</f>
        <v/>
      </c>
      <c r="G266" t="str">
        <f>""</f>
        <v/>
      </c>
      <c r="H266" s="1">
        <v>42265</v>
      </c>
      <c r="I266" t="str">
        <f>"I0121439"</f>
        <v>I0121439</v>
      </c>
      <c r="J266" t="str">
        <f>"N125348E"</f>
        <v>N125348E</v>
      </c>
      <c r="K266" t="str">
        <f t="shared" si="70"/>
        <v>INEI</v>
      </c>
      <c r="L266" t="s">
        <v>229</v>
      </c>
      <c r="M266" s="2">
        <v>1767.06</v>
      </c>
    </row>
    <row r="267" spans="1:13" x14ac:dyDescent="0.25">
      <c r="A267" t="str">
        <f t="shared" si="68"/>
        <v>E157</v>
      </c>
      <c r="B267">
        <v>1</v>
      </c>
      <c r="C267" t="str">
        <f t="shared" si="69"/>
        <v>43000</v>
      </c>
      <c r="D267" t="str">
        <f t="shared" si="67"/>
        <v>5620</v>
      </c>
      <c r="E267" t="str">
        <f>"850LOS"</f>
        <v>850LOS</v>
      </c>
      <c r="F267" t="str">
        <f>""</f>
        <v/>
      </c>
      <c r="G267" t="str">
        <f>""</f>
        <v/>
      </c>
      <c r="H267" s="1">
        <v>42265</v>
      </c>
      <c r="I267" t="str">
        <f>"I0121442"</f>
        <v>I0121442</v>
      </c>
      <c r="J267" t="str">
        <f>"N125348F"</f>
        <v>N125348F</v>
      </c>
      <c r="K267" t="str">
        <f t="shared" si="70"/>
        <v>INEI</v>
      </c>
      <c r="L267" t="s">
        <v>229</v>
      </c>
      <c r="M267">
        <v>102.52</v>
      </c>
    </row>
    <row r="268" spans="1:13" x14ac:dyDescent="0.25">
      <c r="A268" t="str">
        <f t="shared" si="68"/>
        <v>E157</v>
      </c>
      <c r="B268">
        <v>1</v>
      </c>
      <c r="C268" t="str">
        <f t="shared" si="69"/>
        <v>43000</v>
      </c>
      <c r="D268" t="str">
        <f t="shared" si="67"/>
        <v>5620</v>
      </c>
      <c r="E268" t="str">
        <f>"850LOS"</f>
        <v>850LOS</v>
      </c>
      <c r="F268" t="str">
        <f>""</f>
        <v/>
      </c>
      <c r="G268" t="str">
        <f>""</f>
        <v/>
      </c>
      <c r="H268" s="1">
        <v>42370</v>
      </c>
      <c r="I268" t="str">
        <f>"I0124551"</f>
        <v>I0124551</v>
      </c>
      <c r="J268" t="str">
        <f>"N125348F"</f>
        <v>N125348F</v>
      </c>
      <c r="K268" t="str">
        <f t="shared" si="70"/>
        <v>INEI</v>
      </c>
      <c r="L268" t="s">
        <v>229</v>
      </c>
      <c r="M268" s="2">
        <v>1652.24</v>
      </c>
    </row>
    <row r="269" spans="1:13" x14ac:dyDescent="0.25">
      <c r="A269" t="str">
        <f t="shared" si="68"/>
        <v>E157</v>
      </c>
      <c r="B269">
        <v>1</v>
      </c>
      <c r="C269" t="str">
        <f t="shared" si="69"/>
        <v>43000</v>
      </c>
      <c r="D269" t="str">
        <f t="shared" si="67"/>
        <v>5620</v>
      </c>
      <c r="E269" t="str">
        <f t="shared" ref="E269:E283" si="71">"850PKE"</f>
        <v>850PKE</v>
      </c>
      <c r="F269" t="str">
        <f>""</f>
        <v/>
      </c>
      <c r="G269" t="str">
        <f>""</f>
        <v/>
      </c>
      <c r="H269" s="1">
        <v>42551</v>
      </c>
      <c r="I269" t="str">
        <f>"I0133792"</f>
        <v>I0133792</v>
      </c>
      <c r="J269" t="str">
        <f>"N227765B"</f>
        <v>N227765B</v>
      </c>
      <c r="K269" t="str">
        <f t="shared" si="70"/>
        <v>INEI</v>
      </c>
      <c r="L269" t="s">
        <v>229</v>
      </c>
      <c r="M269" s="2">
        <v>41221.65</v>
      </c>
    </row>
    <row r="270" spans="1:13" x14ac:dyDescent="0.25">
      <c r="A270" t="str">
        <f t="shared" si="68"/>
        <v>E157</v>
      </c>
      <c r="B270">
        <v>1</v>
      </c>
      <c r="C270" t="str">
        <f t="shared" si="69"/>
        <v>43000</v>
      </c>
      <c r="D270" t="str">
        <f t="shared" si="67"/>
        <v>5620</v>
      </c>
      <c r="E270" t="str">
        <f t="shared" si="71"/>
        <v>850PKE</v>
      </c>
      <c r="F270" t="str">
        <f>""</f>
        <v/>
      </c>
      <c r="G270" t="str">
        <f>""</f>
        <v/>
      </c>
      <c r="H270" s="1">
        <v>42551</v>
      </c>
      <c r="I270" t="str">
        <f>"I0133792"</f>
        <v>I0133792</v>
      </c>
      <c r="J270" t="str">
        <f>"N227765B"</f>
        <v>N227765B</v>
      </c>
      <c r="K270" t="str">
        <f t="shared" si="70"/>
        <v>INEI</v>
      </c>
      <c r="L270" t="s">
        <v>229</v>
      </c>
      <c r="M270" s="2">
        <v>6848.1</v>
      </c>
    </row>
    <row r="271" spans="1:13" x14ac:dyDescent="0.25">
      <c r="A271" t="str">
        <f t="shared" si="68"/>
        <v>E157</v>
      </c>
      <c r="B271">
        <v>1</v>
      </c>
      <c r="C271" t="str">
        <f t="shared" si="69"/>
        <v>43000</v>
      </c>
      <c r="D271" t="str">
        <f t="shared" si="67"/>
        <v>5620</v>
      </c>
      <c r="E271" t="str">
        <f t="shared" si="71"/>
        <v>850PKE</v>
      </c>
      <c r="F271" t="str">
        <f>""</f>
        <v/>
      </c>
      <c r="G271" t="str">
        <f>""</f>
        <v/>
      </c>
      <c r="H271" s="1">
        <v>42551</v>
      </c>
      <c r="I271" t="str">
        <f t="shared" ref="I271:I277" si="72">"I0134280"</f>
        <v>I0134280</v>
      </c>
      <c r="J271" t="str">
        <f t="shared" ref="J271:J277" si="73">"N227766B"</f>
        <v>N227766B</v>
      </c>
      <c r="K271" t="str">
        <f t="shared" si="70"/>
        <v>INEI</v>
      </c>
      <c r="L271" t="s">
        <v>229</v>
      </c>
      <c r="M271" s="2">
        <v>1087</v>
      </c>
    </row>
    <row r="272" spans="1:13" x14ac:dyDescent="0.25">
      <c r="A272" t="str">
        <f t="shared" si="68"/>
        <v>E157</v>
      </c>
      <c r="B272">
        <v>1</v>
      </c>
      <c r="C272" t="str">
        <f t="shared" si="69"/>
        <v>43000</v>
      </c>
      <c r="D272" t="str">
        <f t="shared" si="67"/>
        <v>5620</v>
      </c>
      <c r="E272" t="str">
        <f t="shared" si="71"/>
        <v>850PKE</v>
      </c>
      <c r="F272" t="str">
        <f>""</f>
        <v/>
      </c>
      <c r="G272" t="str">
        <f>""</f>
        <v/>
      </c>
      <c r="H272" s="1">
        <v>42551</v>
      </c>
      <c r="I272" t="str">
        <f t="shared" si="72"/>
        <v>I0134280</v>
      </c>
      <c r="J272" t="str">
        <f t="shared" si="73"/>
        <v>N227766B</v>
      </c>
      <c r="K272" t="str">
        <f t="shared" si="70"/>
        <v>INEI</v>
      </c>
      <c r="L272" t="s">
        <v>229</v>
      </c>
      <c r="M272" s="2">
        <v>1087</v>
      </c>
    </row>
    <row r="273" spans="1:13" x14ac:dyDescent="0.25">
      <c r="A273" t="str">
        <f t="shared" si="68"/>
        <v>E157</v>
      </c>
      <c r="B273">
        <v>1</v>
      </c>
      <c r="C273" t="str">
        <f t="shared" si="69"/>
        <v>43000</v>
      </c>
      <c r="D273" t="str">
        <f t="shared" si="67"/>
        <v>5620</v>
      </c>
      <c r="E273" t="str">
        <f t="shared" si="71"/>
        <v>850PKE</v>
      </c>
      <c r="F273" t="str">
        <f>""</f>
        <v/>
      </c>
      <c r="G273" t="str">
        <f>""</f>
        <v/>
      </c>
      <c r="H273" s="1">
        <v>42551</v>
      </c>
      <c r="I273" t="str">
        <f t="shared" si="72"/>
        <v>I0134280</v>
      </c>
      <c r="J273" t="str">
        <f t="shared" si="73"/>
        <v>N227766B</v>
      </c>
      <c r="K273" t="str">
        <f t="shared" si="70"/>
        <v>INEI</v>
      </c>
      <c r="L273" t="s">
        <v>229</v>
      </c>
      <c r="M273" s="2">
        <v>1081.57</v>
      </c>
    </row>
    <row r="274" spans="1:13" x14ac:dyDescent="0.25">
      <c r="A274" t="str">
        <f t="shared" si="68"/>
        <v>E157</v>
      </c>
      <c r="B274">
        <v>1</v>
      </c>
      <c r="C274" t="str">
        <f t="shared" si="69"/>
        <v>43000</v>
      </c>
      <c r="D274" t="str">
        <f t="shared" si="67"/>
        <v>5620</v>
      </c>
      <c r="E274" t="str">
        <f t="shared" si="71"/>
        <v>850PKE</v>
      </c>
      <c r="F274" t="str">
        <f>""</f>
        <v/>
      </c>
      <c r="G274" t="str">
        <f>""</f>
        <v/>
      </c>
      <c r="H274" s="1">
        <v>42551</v>
      </c>
      <c r="I274" t="str">
        <f t="shared" si="72"/>
        <v>I0134280</v>
      </c>
      <c r="J274" t="str">
        <f t="shared" si="73"/>
        <v>N227766B</v>
      </c>
      <c r="K274" t="str">
        <f t="shared" si="70"/>
        <v>INEI</v>
      </c>
      <c r="L274" t="s">
        <v>229</v>
      </c>
      <c r="M274" s="2">
        <v>5435</v>
      </c>
    </row>
    <row r="275" spans="1:13" x14ac:dyDescent="0.25">
      <c r="A275" t="str">
        <f t="shared" si="68"/>
        <v>E157</v>
      </c>
      <c r="B275">
        <v>1</v>
      </c>
      <c r="C275" t="str">
        <f t="shared" si="69"/>
        <v>43000</v>
      </c>
      <c r="D275" t="str">
        <f t="shared" si="67"/>
        <v>5620</v>
      </c>
      <c r="E275" t="str">
        <f t="shared" si="71"/>
        <v>850PKE</v>
      </c>
      <c r="F275" t="str">
        <f>""</f>
        <v/>
      </c>
      <c r="G275" t="str">
        <f>""</f>
        <v/>
      </c>
      <c r="H275" s="1">
        <v>42551</v>
      </c>
      <c r="I275" t="str">
        <f t="shared" si="72"/>
        <v>I0134280</v>
      </c>
      <c r="J275" t="str">
        <f t="shared" si="73"/>
        <v>N227766B</v>
      </c>
      <c r="K275" t="str">
        <f t="shared" si="70"/>
        <v>INEI</v>
      </c>
      <c r="L275" t="s">
        <v>229</v>
      </c>
      <c r="M275">
        <v>652.20000000000005</v>
      </c>
    </row>
    <row r="276" spans="1:13" x14ac:dyDescent="0.25">
      <c r="A276" t="str">
        <f t="shared" si="68"/>
        <v>E157</v>
      </c>
      <c r="B276">
        <v>1</v>
      </c>
      <c r="C276" t="str">
        <f t="shared" si="69"/>
        <v>43000</v>
      </c>
      <c r="D276" t="str">
        <f t="shared" si="67"/>
        <v>5620</v>
      </c>
      <c r="E276" t="str">
        <f t="shared" si="71"/>
        <v>850PKE</v>
      </c>
      <c r="F276" t="str">
        <f>""</f>
        <v/>
      </c>
      <c r="G276" t="str">
        <f>""</f>
        <v/>
      </c>
      <c r="H276" s="1">
        <v>42551</v>
      </c>
      <c r="I276" t="str">
        <f t="shared" si="72"/>
        <v>I0134280</v>
      </c>
      <c r="J276" t="str">
        <f t="shared" si="73"/>
        <v>N227766B</v>
      </c>
      <c r="K276" t="str">
        <f t="shared" si="70"/>
        <v>INEI</v>
      </c>
      <c r="L276" t="s">
        <v>229</v>
      </c>
      <c r="M276" s="2">
        <v>1087</v>
      </c>
    </row>
    <row r="277" spans="1:13" x14ac:dyDescent="0.25">
      <c r="A277" t="str">
        <f t="shared" si="68"/>
        <v>E157</v>
      </c>
      <c r="B277">
        <v>1</v>
      </c>
      <c r="C277" t="str">
        <f t="shared" si="69"/>
        <v>43000</v>
      </c>
      <c r="D277" t="str">
        <f t="shared" si="67"/>
        <v>5620</v>
      </c>
      <c r="E277" t="str">
        <f t="shared" si="71"/>
        <v>850PKE</v>
      </c>
      <c r="F277" t="str">
        <f>""</f>
        <v/>
      </c>
      <c r="G277" t="str">
        <f>""</f>
        <v/>
      </c>
      <c r="H277" s="1">
        <v>42551</v>
      </c>
      <c r="I277" t="str">
        <f t="shared" si="72"/>
        <v>I0134280</v>
      </c>
      <c r="J277" t="str">
        <f t="shared" si="73"/>
        <v>N227766B</v>
      </c>
      <c r="K277" t="str">
        <f t="shared" si="70"/>
        <v>INEI</v>
      </c>
      <c r="L277" t="s">
        <v>229</v>
      </c>
      <c r="M277" s="2">
        <v>14609.28</v>
      </c>
    </row>
    <row r="278" spans="1:13" x14ac:dyDescent="0.25">
      <c r="A278" t="str">
        <f t="shared" si="68"/>
        <v>E157</v>
      </c>
      <c r="B278">
        <v>1</v>
      </c>
      <c r="C278" t="str">
        <f t="shared" si="69"/>
        <v>43000</v>
      </c>
      <c r="D278" t="str">
        <f t="shared" si="67"/>
        <v>5620</v>
      </c>
      <c r="E278" t="str">
        <f t="shared" si="71"/>
        <v>850PKE</v>
      </c>
      <c r="F278" t="str">
        <f>""</f>
        <v/>
      </c>
      <c r="G278" t="str">
        <f>""</f>
        <v/>
      </c>
      <c r="H278" s="1">
        <v>42551</v>
      </c>
      <c r="I278" t="str">
        <f>"I0134282"</f>
        <v>I0134282</v>
      </c>
      <c r="J278" t="str">
        <f>"N227765B"</f>
        <v>N227765B</v>
      </c>
      <c r="K278" t="str">
        <f t="shared" si="70"/>
        <v>INEI</v>
      </c>
      <c r="L278" t="s">
        <v>229</v>
      </c>
      <c r="M278" s="2">
        <v>4206.6899999999996</v>
      </c>
    </row>
    <row r="279" spans="1:13" x14ac:dyDescent="0.25">
      <c r="A279" t="str">
        <f t="shared" si="68"/>
        <v>E157</v>
      </c>
      <c r="B279">
        <v>1</v>
      </c>
      <c r="C279" t="str">
        <f t="shared" si="69"/>
        <v>43000</v>
      </c>
      <c r="D279" t="str">
        <f t="shared" si="67"/>
        <v>5620</v>
      </c>
      <c r="E279" t="str">
        <f t="shared" si="71"/>
        <v>850PKE</v>
      </c>
      <c r="F279" t="str">
        <f>""</f>
        <v/>
      </c>
      <c r="G279" t="str">
        <f>""</f>
        <v/>
      </c>
      <c r="H279" s="1">
        <v>42551</v>
      </c>
      <c r="I279" t="str">
        <f>"I0134282"</f>
        <v>I0134282</v>
      </c>
      <c r="J279" t="str">
        <f>"N227765B"</f>
        <v>N227765B</v>
      </c>
      <c r="K279" t="str">
        <f t="shared" si="70"/>
        <v>INEI</v>
      </c>
      <c r="L279" t="s">
        <v>229</v>
      </c>
      <c r="M279" s="2">
        <v>3717.54</v>
      </c>
    </row>
    <row r="280" spans="1:13" x14ac:dyDescent="0.25">
      <c r="A280" t="str">
        <f t="shared" si="68"/>
        <v>E157</v>
      </c>
      <c r="B280">
        <v>1</v>
      </c>
      <c r="C280" t="str">
        <f t="shared" si="69"/>
        <v>43000</v>
      </c>
      <c r="D280" t="str">
        <f t="shared" si="67"/>
        <v>5620</v>
      </c>
      <c r="E280" t="str">
        <f t="shared" si="71"/>
        <v>850PKE</v>
      </c>
      <c r="F280" t="str">
        <f>""</f>
        <v/>
      </c>
      <c r="G280" t="str">
        <f>""</f>
        <v/>
      </c>
      <c r="H280" s="1">
        <v>42551</v>
      </c>
      <c r="I280" t="str">
        <f>"I0134282"</f>
        <v>I0134282</v>
      </c>
      <c r="J280" t="str">
        <f>"N227765B"</f>
        <v>N227765B</v>
      </c>
      <c r="K280" t="str">
        <f t="shared" si="70"/>
        <v>INEI</v>
      </c>
      <c r="L280" t="s">
        <v>229</v>
      </c>
      <c r="M280" s="2">
        <v>4014.7</v>
      </c>
    </row>
    <row r="281" spans="1:13" x14ac:dyDescent="0.25">
      <c r="A281" t="str">
        <f t="shared" si="68"/>
        <v>E157</v>
      </c>
      <c r="B281">
        <v>1</v>
      </c>
      <c r="C281" t="str">
        <f t="shared" si="69"/>
        <v>43000</v>
      </c>
      <c r="D281" t="str">
        <f t="shared" si="67"/>
        <v>5620</v>
      </c>
      <c r="E281" t="str">
        <f t="shared" si="71"/>
        <v>850PKE</v>
      </c>
      <c r="F281" t="str">
        <f>""</f>
        <v/>
      </c>
      <c r="G281" t="str">
        <f>""</f>
        <v/>
      </c>
      <c r="H281" s="1">
        <v>42551</v>
      </c>
      <c r="I281" t="str">
        <f>"I0134283"</f>
        <v>I0134283</v>
      </c>
      <c r="J281" t="str">
        <f>"F225776B"</f>
        <v>F225776B</v>
      </c>
      <c r="K281" t="str">
        <f t="shared" si="70"/>
        <v>INEI</v>
      </c>
      <c r="L281" t="s">
        <v>229</v>
      </c>
      <c r="M281">
        <v>800</v>
      </c>
    </row>
    <row r="282" spans="1:13" x14ac:dyDescent="0.25">
      <c r="A282" t="str">
        <f t="shared" si="68"/>
        <v>E157</v>
      </c>
      <c r="B282">
        <v>1</v>
      </c>
      <c r="C282" t="str">
        <f t="shared" si="69"/>
        <v>43000</v>
      </c>
      <c r="D282" t="str">
        <f t="shared" si="67"/>
        <v>5620</v>
      </c>
      <c r="E282" t="str">
        <f t="shared" si="71"/>
        <v>850PKE</v>
      </c>
      <c r="F282" t="str">
        <f>""</f>
        <v/>
      </c>
      <c r="G282" t="str">
        <f>""</f>
        <v/>
      </c>
      <c r="H282" s="1">
        <v>42551</v>
      </c>
      <c r="I282" t="str">
        <f>"I0134283"</f>
        <v>I0134283</v>
      </c>
      <c r="J282" t="str">
        <f>"F225776B"</f>
        <v>F225776B</v>
      </c>
      <c r="K282" t="str">
        <f t="shared" si="70"/>
        <v>INEI</v>
      </c>
      <c r="L282" t="s">
        <v>229</v>
      </c>
      <c r="M282">
        <v>869.6</v>
      </c>
    </row>
    <row r="283" spans="1:13" x14ac:dyDescent="0.25">
      <c r="A283" t="str">
        <f t="shared" si="68"/>
        <v>E157</v>
      </c>
      <c r="B283">
        <v>1</v>
      </c>
      <c r="C283" t="str">
        <f t="shared" si="69"/>
        <v>43000</v>
      </c>
      <c r="D283" t="str">
        <f t="shared" si="67"/>
        <v>5620</v>
      </c>
      <c r="E283" t="str">
        <f t="shared" si="71"/>
        <v>850PKE</v>
      </c>
      <c r="F283" t="str">
        <f>""</f>
        <v/>
      </c>
      <c r="G283" t="str">
        <f>""</f>
        <v/>
      </c>
      <c r="H283" s="1">
        <v>42551</v>
      </c>
      <c r="I283" t="str">
        <f>"J0023344"</f>
        <v>J0023344</v>
      </c>
      <c r="J283" t="str">
        <f>""</f>
        <v/>
      </c>
      <c r="K283" t="str">
        <f>"J089"</f>
        <v>J089</v>
      </c>
      <c r="L283" t="s">
        <v>2935</v>
      </c>
      <c r="M283" s="2">
        <v>25039.05</v>
      </c>
    </row>
    <row r="284" spans="1:13" x14ac:dyDescent="0.25">
      <c r="A284" t="str">
        <f t="shared" si="68"/>
        <v>E157</v>
      </c>
      <c r="B284">
        <v>1</v>
      </c>
      <c r="C284" t="str">
        <f t="shared" si="69"/>
        <v>43000</v>
      </c>
      <c r="D284" t="str">
        <f t="shared" ref="D284:D289" si="74">"5740"</f>
        <v>5740</v>
      </c>
      <c r="E284" t="str">
        <f>"850LOS"</f>
        <v>850LOS</v>
      </c>
      <c r="F284" t="str">
        <f>""</f>
        <v/>
      </c>
      <c r="G284" t="str">
        <f>""</f>
        <v/>
      </c>
      <c r="H284" s="1">
        <v>42535</v>
      </c>
      <c r="I284" t="str">
        <f>"ACG02686"</f>
        <v>ACG02686</v>
      </c>
      <c r="J284" t="str">
        <f>"N125348E"</f>
        <v>N125348E</v>
      </c>
      <c r="K284" t="str">
        <f>"AS96"</f>
        <v>AS96</v>
      </c>
      <c r="L284" t="s">
        <v>229</v>
      </c>
      <c r="M284" s="2">
        <v>1767.06</v>
      </c>
    </row>
    <row r="285" spans="1:13" x14ac:dyDescent="0.25">
      <c r="A285" t="str">
        <f t="shared" si="68"/>
        <v>E157</v>
      </c>
      <c r="B285">
        <v>1</v>
      </c>
      <c r="C285" t="str">
        <f t="shared" si="69"/>
        <v>43000</v>
      </c>
      <c r="D285" t="str">
        <f t="shared" si="74"/>
        <v>5740</v>
      </c>
      <c r="E285" t="str">
        <f>"850LOS"</f>
        <v>850LOS</v>
      </c>
      <c r="F285" t="str">
        <f>""</f>
        <v/>
      </c>
      <c r="G285" t="str">
        <f>""</f>
        <v/>
      </c>
      <c r="H285" s="1">
        <v>42535</v>
      </c>
      <c r="I285" t="str">
        <f>"ACG02686"</f>
        <v>ACG02686</v>
      </c>
      <c r="J285" t="str">
        <f>"N125348F"</f>
        <v>N125348F</v>
      </c>
      <c r="K285" t="str">
        <f>"AS96"</f>
        <v>AS96</v>
      </c>
      <c r="L285" t="s">
        <v>229</v>
      </c>
      <c r="M285" s="2">
        <v>42476.91</v>
      </c>
    </row>
    <row r="286" spans="1:13" x14ac:dyDescent="0.25">
      <c r="A286" t="str">
        <f t="shared" si="68"/>
        <v>E157</v>
      </c>
      <c r="B286">
        <v>1</v>
      </c>
      <c r="C286" t="str">
        <f t="shared" si="69"/>
        <v>43000</v>
      </c>
      <c r="D286" t="str">
        <f t="shared" si="74"/>
        <v>5740</v>
      </c>
      <c r="E286" t="str">
        <f>"850LOS"</f>
        <v>850LOS</v>
      </c>
      <c r="F286" t="str">
        <f>""</f>
        <v/>
      </c>
      <c r="G286" t="str">
        <f>""</f>
        <v/>
      </c>
      <c r="H286" s="1">
        <v>42535</v>
      </c>
      <c r="I286" t="str">
        <f>"ACG02686"</f>
        <v>ACG02686</v>
      </c>
      <c r="J286" t="str">
        <f>"N125348F"</f>
        <v>N125348F</v>
      </c>
      <c r="K286" t="str">
        <f>"AS96"</f>
        <v>AS96</v>
      </c>
      <c r="L286" t="s">
        <v>229</v>
      </c>
      <c r="M286">
        <v>102.52</v>
      </c>
    </row>
    <row r="287" spans="1:13" x14ac:dyDescent="0.25">
      <c r="A287" t="str">
        <f t="shared" si="68"/>
        <v>E157</v>
      </c>
      <c r="B287">
        <v>1</v>
      </c>
      <c r="C287" t="str">
        <f t="shared" si="69"/>
        <v>43000</v>
      </c>
      <c r="D287" t="str">
        <f t="shared" si="74"/>
        <v>5740</v>
      </c>
      <c r="E287" t="str">
        <f>"850LOS"</f>
        <v>850LOS</v>
      </c>
      <c r="F287" t="str">
        <f>""</f>
        <v/>
      </c>
      <c r="G287" t="str">
        <f>""</f>
        <v/>
      </c>
      <c r="H287" s="1">
        <v>42535</v>
      </c>
      <c r="I287" t="str">
        <f>"ACG02686"</f>
        <v>ACG02686</v>
      </c>
      <c r="J287" t="str">
        <f>"N125348F"</f>
        <v>N125348F</v>
      </c>
      <c r="K287" t="str">
        <f>"AS96"</f>
        <v>AS96</v>
      </c>
      <c r="L287" t="s">
        <v>229</v>
      </c>
      <c r="M287" s="2">
        <v>1652.24</v>
      </c>
    </row>
    <row r="288" spans="1:13" x14ac:dyDescent="0.25">
      <c r="A288" t="str">
        <f t="shared" si="68"/>
        <v>E157</v>
      </c>
      <c r="B288">
        <v>1</v>
      </c>
      <c r="C288" t="str">
        <f t="shared" si="69"/>
        <v>43000</v>
      </c>
      <c r="D288" t="str">
        <f t="shared" si="74"/>
        <v>5740</v>
      </c>
      <c r="E288" t="str">
        <f>"850PKE"</f>
        <v>850PKE</v>
      </c>
      <c r="F288" t="str">
        <f>""</f>
        <v/>
      </c>
      <c r="G288" t="str">
        <f>""</f>
        <v/>
      </c>
      <c r="H288" s="1">
        <v>42551</v>
      </c>
      <c r="I288" t="str">
        <f>"J0022960"</f>
        <v>J0022960</v>
      </c>
      <c r="J288" t="str">
        <f>""</f>
        <v/>
      </c>
      <c r="K288" t="str">
        <f>"J079"</f>
        <v>J079</v>
      </c>
      <c r="L288" t="s">
        <v>2822</v>
      </c>
      <c r="M288" s="2">
        <v>86012.33</v>
      </c>
    </row>
    <row r="289" spans="1:13" x14ac:dyDescent="0.25">
      <c r="A289" t="str">
        <f t="shared" si="68"/>
        <v>E157</v>
      </c>
      <c r="B289">
        <v>1</v>
      </c>
      <c r="C289" t="str">
        <f>"43007"</f>
        <v>43007</v>
      </c>
      <c r="D289" t="str">
        <f t="shared" si="74"/>
        <v>5740</v>
      </c>
      <c r="E289" t="str">
        <f>"850PKE"</f>
        <v>850PKE</v>
      </c>
      <c r="F289" t="str">
        <f>""</f>
        <v/>
      </c>
      <c r="G289" t="str">
        <f>""</f>
        <v/>
      </c>
      <c r="H289" s="1">
        <v>42551</v>
      </c>
      <c r="I289" t="str">
        <f>"PRK00138"</f>
        <v>PRK00138</v>
      </c>
      <c r="J289" t="str">
        <f>""</f>
        <v/>
      </c>
      <c r="K289" t="str">
        <f t="shared" ref="K289:K334" si="75">"AS89"</f>
        <v>AS89</v>
      </c>
      <c r="L289" t="s">
        <v>3023</v>
      </c>
      <c r="M289">
        <v>869.6</v>
      </c>
    </row>
    <row r="290" spans="1:13" x14ac:dyDescent="0.25">
      <c r="A290" t="str">
        <f>"E159"</f>
        <v>E159</v>
      </c>
      <c r="B290">
        <v>1</v>
      </c>
      <c r="C290" t="str">
        <f t="shared" ref="C290:C302" si="76">"10200"</f>
        <v>10200</v>
      </c>
      <c r="D290" t="str">
        <f t="shared" ref="D290:D328" si="77">"5620"</f>
        <v>5620</v>
      </c>
      <c r="E290" t="str">
        <f t="shared" ref="E290:E302" si="78">"094OMS"</f>
        <v>094OMS</v>
      </c>
      <c r="F290" t="str">
        <f>""</f>
        <v/>
      </c>
      <c r="G290" t="str">
        <f>""</f>
        <v/>
      </c>
      <c r="H290" s="1">
        <v>42430</v>
      </c>
      <c r="I290" t="str">
        <f>"PHY00664"</f>
        <v>PHY00664</v>
      </c>
      <c r="J290" t="str">
        <f>"LPOLICE"</f>
        <v>LPOLICE</v>
      </c>
      <c r="K290" t="str">
        <f t="shared" si="75"/>
        <v>AS89</v>
      </c>
      <c r="L290" t="s">
        <v>2688</v>
      </c>
      <c r="M290" s="2">
        <v>50125.68</v>
      </c>
    </row>
    <row r="291" spans="1:13" x14ac:dyDescent="0.25">
      <c r="A291" t="str">
        <f t="shared" ref="A291:A322" si="79">"E160"</f>
        <v>E160</v>
      </c>
      <c r="B291">
        <v>1</v>
      </c>
      <c r="C291" t="str">
        <f t="shared" si="76"/>
        <v>10200</v>
      </c>
      <c r="D291" t="str">
        <f t="shared" si="77"/>
        <v>5620</v>
      </c>
      <c r="E291" t="str">
        <f t="shared" si="78"/>
        <v>094OMS</v>
      </c>
      <c r="F291" t="str">
        <f>""</f>
        <v/>
      </c>
      <c r="G291" t="str">
        <f>""</f>
        <v/>
      </c>
      <c r="H291" s="1">
        <v>42217</v>
      </c>
      <c r="I291" t="str">
        <f>"PHY00657"</f>
        <v>PHY00657</v>
      </c>
      <c r="J291" t="str">
        <f>"W0036764"</f>
        <v>W0036764</v>
      </c>
      <c r="K291" t="str">
        <f t="shared" si="75"/>
        <v>AS89</v>
      </c>
      <c r="L291" t="s">
        <v>1095</v>
      </c>
      <c r="M291">
        <v>171.52</v>
      </c>
    </row>
    <row r="292" spans="1:13" x14ac:dyDescent="0.25">
      <c r="A292" t="str">
        <f t="shared" si="79"/>
        <v>E160</v>
      </c>
      <c r="B292">
        <v>1</v>
      </c>
      <c r="C292" t="str">
        <f t="shared" si="76"/>
        <v>10200</v>
      </c>
      <c r="D292" t="str">
        <f t="shared" si="77"/>
        <v>5620</v>
      </c>
      <c r="E292" t="str">
        <f t="shared" si="78"/>
        <v>094OMS</v>
      </c>
      <c r="F292" t="str">
        <f>""</f>
        <v/>
      </c>
      <c r="G292" t="str">
        <f>""</f>
        <v/>
      </c>
      <c r="H292" s="1">
        <v>42278</v>
      </c>
      <c r="I292" t="str">
        <f>"PHY00659"</f>
        <v>PHY00659</v>
      </c>
      <c r="J292" t="str">
        <f>"W0154913"</f>
        <v>W0154913</v>
      </c>
      <c r="K292" t="str">
        <f t="shared" si="75"/>
        <v>AS89</v>
      </c>
      <c r="L292" t="s">
        <v>3022</v>
      </c>
      <c r="M292">
        <v>215.2</v>
      </c>
    </row>
    <row r="293" spans="1:13" x14ac:dyDescent="0.25">
      <c r="A293" t="str">
        <f t="shared" si="79"/>
        <v>E160</v>
      </c>
      <c r="B293">
        <v>1</v>
      </c>
      <c r="C293" t="str">
        <f t="shared" si="76"/>
        <v>10200</v>
      </c>
      <c r="D293" t="str">
        <f t="shared" si="77"/>
        <v>5620</v>
      </c>
      <c r="E293" t="str">
        <f t="shared" si="78"/>
        <v>094OMS</v>
      </c>
      <c r="F293" t="str">
        <f>""</f>
        <v/>
      </c>
      <c r="G293" t="str">
        <f>""</f>
        <v/>
      </c>
      <c r="H293" s="1">
        <v>42339</v>
      </c>
      <c r="I293" t="str">
        <f>"PHY00661"</f>
        <v>PHY00661</v>
      </c>
      <c r="J293" t="str">
        <f>"W0158800"</f>
        <v>W0158800</v>
      </c>
      <c r="K293" t="str">
        <f t="shared" si="75"/>
        <v>AS89</v>
      </c>
      <c r="L293" t="s">
        <v>3021</v>
      </c>
      <c r="M293" s="2">
        <v>1466.25</v>
      </c>
    </row>
    <row r="294" spans="1:13" x14ac:dyDescent="0.25">
      <c r="A294" t="str">
        <f t="shared" si="79"/>
        <v>E160</v>
      </c>
      <c r="B294">
        <v>1</v>
      </c>
      <c r="C294" t="str">
        <f t="shared" si="76"/>
        <v>10200</v>
      </c>
      <c r="D294" t="str">
        <f t="shared" si="77"/>
        <v>5620</v>
      </c>
      <c r="E294" t="str">
        <f t="shared" si="78"/>
        <v>094OMS</v>
      </c>
      <c r="F294" t="str">
        <f>""</f>
        <v/>
      </c>
      <c r="G294" t="str">
        <f>""</f>
        <v/>
      </c>
      <c r="H294" s="1">
        <v>42370</v>
      </c>
      <c r="I294" t="str">
        <f>"PHY00662"</f>
        <v>PHY00662</v>
      </c>
      <c r="J294" t="str">
        <f>"W0160372"</f>
        <v>W0160372</v>
      </c>
      <c r="K294" t="str">
        <f t="shared" si="75"/>
        <v>AS89</v>
      </c>
      <c r="L294" t="s">
        <v>3020</v>
      </c>
      <c r="M294">
        <v>115.08</v>
      </c>
    </row>
    <row r="295" spans="1:13" x14ac:dyDescent="0.25">
      <c r="A295" t="str">
        <f t="shared" si="79"/>
        <v>E160</v>
      </c>
      <c r="B295">
        <v>1</v>
      </c>
      <c r="C295" t="str">
        <f t="shared" si="76"/>
        <v>10200</v>
      </c>
      <c r="D295" t="str">
        <f t="shared" si="77"/>
        <v>5620</v>
      </c>
      <c r="E295" t="str">
        <f t="shared" si="78"/>
        <v>094OMS</v>
      </c>
      <c r="F295" t="str">
        <f>""</f>
        <v/>
      </c>
      <c r="G295" t="str">
        <f>""</f>
        <v/>
      </c>
      <c r="H295" s="1">
        <v>42401</v>
      </c>
      <c r="I295" t="str">
        <f>"PHY00663"</f>
        <v>PHY00663</v>
      </c>
      <c r="J295" t="str">
        <f>"W0036764"</f>
        <v>W0036764</v>
      </c>
      <c r="K295" t="str">
        <f t="shared" si="75"/>
        <v>AS89</v>
      </c>
      <c r="L295" t="s">
        <v>1095</v>
      </c>
      <c r="M295">
        <v>184.32</v>
      </c>
    </row>
    <row r="296" spans="1:13" x14ac:dyDescent="0.25">
      <c r="A296" t="str">
        <f t="shared" si="79"/>
        <v>E160</v>
      </c>
      <c r="B296">
        <v>1</v>
      </c>
      <c r="C296" t="str">
        <f t="shared" si="76"/>
        <v>10200</v>
      </c>
      <c r="D296" t="str">
        <f t="shared" si="77"/>
        <v>5620</v>
      </c>
      <c r="E296" t="str">
        <f t="shared" si="78"/>
        <v>094OMS</v>
      </c>
      <c r="F296" t="str">
        <f>""</f>
        <v/>
      </c>
      <c r="G296" t="str">
        <f>""</f>
        <v/>
      </c>
      <c r="H296" s="1">
        <v>42401</v>
      </c>
      <c r="I296" t="str">
        <f>"PHY00663"</f>
        <v>PHY00663</v>
      </c>
      <c r="J296" t="str">
        <f>"W0161842"</f>
        <v>W0161842</v>
      </c>
      <c r="K296" t="str">
        <f t="shared" si="75"/>
        <v>AS89</v>
      </c>
      <c r="L296" t="s">
        <v>3019</v>
      </c>
      <c r="M296">
        <v>914.16</v>
      </c>
    </row>
    <row r="297" spans="1:13" x14ac:dyDescent="0.25">
      <c r="A297" t="str">
        <f t="shared" si="79"/>
        <v>E160</v>
      </c>
      <c r="B297">
        <v>1</v>
      </c>
      <c r="C297" t="str">
        <f t="shared" si="76"/>
        <v>10200</v>
      </c>
      <c r="D297" t="str">
        <f t="shared" si="77"/>
        <v>5620</v>
      </c>
      <c r="E297" t="str">
        <f t="shared" si="78"/>
        <v>094OMS</v>
      </c>
      <c r="F297" t="str">
        <f>""</f>
        <v/>
      </c>
      <c r="G297" t="str">
        <f>""</f>
        <v/>
      </c>
      <c r="H297" s="1">
        <v>42430</v>
      </c>
      <c r="I297" t="str">
        <f>"PHY00664"</f>
        <v>PHY00664</v>
      </c>
      <c r="J297" t="str">
        <f>"W0163700"</f>
        <v>W0163700</v>
      </c>
      <c r="K297" t="str">
        <f t="shared" si="75"/>
        <v>AS89</v>
      </c>
      <c r="L297" t="s">
        <v>3018</v>
      </c>
      <c r="M297">
        <v>161.44</v>
      </c>
    </row>
    <row r="298" spans="1:13" x14ac:dyDescent="0.25">
      <c r="A298" t="str">
        <f t="shared" si="79"/>
        <v>E160</v>
      </c>
      <c r="B298">
        <v>1</v>
      </c>
      <c r="C298" t="str">
        <f t="shared" si="76"/>
        <v>10200</v>
      </c>
      <c r="D298" t="str">
        <f t="shared" si="77"/>
        <v>5620</v>
      </c>
      <c r="E298" t="str">
        <f t="shared" si="78"/>
        <v>094OMS</v>
      </c>
      <c r="F298" t="str">
        <f>""</f>
        <v/>
      </c>
      <c r="G298" t="str">
        <f>""</f>
        <v/>
      </c>
      <c r="H298" s="1">
        <v>42461</v>
      </c>
      <c r="I298" t="str">
        <f>"PHY00665"</f>
        <v>PHY00665</v>
      </c>
      <c r="J298" t="str">
        <f>"W0141598"</f>
        <v>W0141598</v>
      </c>
      <c r="K298" t="str">
        <f t="shared" si="75"/>
        <v>AS89</v>
      </c>
      <c r="L298" t="s">
        <v>2087</v>
      </c>
      <c r="M298" s="2">
        <v>9722.66</v>
      </c>
    </row>
    <row r="299" spans="1:13" x14ac:dyDescent="0.25">
      <c r="A299" t="str">
        <f t="shared" si="79"/>
        <v>E160</v>
      </c>
      <c r="B299">
        <v>1</v>
      </c>
      <c r="C299" t="str">
        <f t="shared" si="76"/>
        <v>10200</v>
      </c>
      <c r="D299" t="str">
        <f t="shared" si="77"/>
        <v>5620</v>
      </c>
      <c r="E299" t="str">
        <f t="shared" si="78"/>
        <v>094OMS</v>
      </c>
      <c r="F299" t="str">
        <f>""</f>
        <v/>
      </c>
      <c r="G299" t="str">
        <f>""</f>
        <v/>
      </c>
      <c r="H299" s="1">
        <v>42491</v>
      </c>
      <c r="I299" t="str">
        <f>"PHY00666"</f>
        <v>PHY00666</v>
      </c>
      <c r="J299" t="str">
        <f>"W0146659"</f>
        <v>W0146659</v>
      </c>
      <c r="K299" t="str">
        <f t="shared" si="75"/>
        <v>AS89</v>
      </c>
      <c r="L299" t="s">
        <v>3017</v>
      </c>
      <c r="M299" s="2">
        <v>1265.76</v>
      </c>
    </row>
    <row r="300" spans="1:13" x14ac:dyDescent="0.25">
      <c r="A300" t="str">
        <f t="shared" si="79"/>
        <v>E160</v>
      </c>
      <c r="B300">
        <v>1</v>
      </c>
      <c r="C300" t="str">
        <f t="shared" si="76"/>
        <v>10200</v>
      </c>
      <c r="D300" t="str">
        <f t="shared" si="77"/>
        <v>5620</v>
      </c>
      <c r="E300" t="str">
        <f t="shared" si="78"/>
        <v>094OMS</v>
      </c>
      <c r="F300" t="str">
        <f>""</f>
        <v/>
      </c>
      <c r="G300" t="str">
        <f>""</f>
        <v/>
      </c>
      <c r="H300" s="1">
        <v>42491</v>
      </c>
      <c r="I300" t="str">
        <f>"PHY00666"</f>
        <v>PHY00666</v>
      </c>
      <c r="J300" t="str">
        <f>"W0164525"</f>
        <v>W0164525</v>
      </c>
      <c r="K300" t="str">
        <f t="shared" si="75"/>
        <v>AS89</v>
      </c>
      <c r="L300" t="s">
        <v>3016</v>
      </c>
      <c r="M300">
        <v>185.59</v>
      </c>
    </row>
    <row r="301" spans="1:13" x14ac:dyDescent="0.25">
      <c r="A301" t="str">
        <f t="shared" si="79"/>
        <v>E160</v>
      </c>
      <c r="B301">
        <v>1</v>
      </c>
      <c r="C301" t="str">
        <f t="shared" si="76"/>
        <v>10200</v>
      </c>
      <c r="D301" t="str">
        <f t="shared" si="77"/>
        <v>5620</v>
      </c>
      <c r="E301" t="str">
        <f t="shared" si="78"/>
        <v>094OMS</v>
      </c>
      <c r="F301" t="str">
        <f>""</f>
        <v/>
      </c>
      <c r="G301" t="str">
        <f>""</f>
        <v/>
      </c>
      <c r="H301" s="1">
        <v>42522</v>
      </c>
      <c r="I301" t="str">
        <f>"PHY00667"</f>
        <v>PHY00667</v>
      </c>
      <c r="J301" t="str">
        <f>"W0146653"</f>
        <v>W0146653</v>
      </c>
      <c r="K301" t="str">
        <f t="shared" si="75"/>
        <v>AS89</v>
      </c>
      <c r="L301" t="s">
        <v>3015</v>
      </c>
      <c r="M301" s="2">
        <v>4405.8599999999997</v>
      </c>
    </row>
    <row r="302" spans="1:13" x14ac:dyDescent="0.25">
      <c r="A302" t="str">
        <f t="shared" si="79"/>
        <v>E160</v>
      </c>
      <c r="B302">
        <v>1</v>
      </c>
      <c r="C302" t="str">
        <f t="shared" si="76"/>
        <v>10200</v>
      </c>
      <c r="D302" t="str">
        <f t="shared" si="77"/>
        <v>5620</v>
      </c>
      <c r="E302" t="str">
        <f t="shared" si="78"/>
        <v>094OMS</v>
      </c>
      <c r="F302" t="str">
        <f>""</f>
        <v/>
      </c>
      <c r="G302" t="str">
        <f>""</f>
        <v/>
      </c>
      <c r="H302" s="1">
        <v>42522</v>
      </c>
      <c r="I302" t="str">
        <f>"PHY00667"</f>
        <v>PHY00667</v>
      </c>
      <c r="J302" t="str">
        <f>"W0146654"</f>
        <v>W0146654</v>
      </c>
      <c r="K302" t="str">
        <f t="shared" si="75"/>
        <v>AS89</v>
      </c>
      <c r="L302" t="s">
        <v>3014</v>
      </c>
      <c r="M302">
        <v>993.71</v>
      </c>
    </row>
    <row r="303" spans="1:13" x14ac:dyDescent="0.25">
      <c r="A303" t="str">
        <f t="shared" si="79"/>
        <v>E160</v>
      </c>
      <c r="B303">
        <v>1</v>
      </c>
      <c r="C303" t="str">
        <f t="shared" ref="C303:C334" si="80">"43000"</f>
        <v>43000</v>
      </c>
      <c r="D303" t="str">
        <f t="shared" si="77"/>
        <v>5620</v>
      </c>
      <c r="E303" t="str">
        <f t="shared" ref="E303:E309" si="81">"850LOS"</f>
        <v>850LOS</v>
      </c>
      <c r="F303" t="str">
        <f>""</f>
        <v/>
      </c>
      <c r="G303" t="str">
        <f>""</f>
        <v/>
      </c>
      <c r="H303" s="1">
        <v>42248</v>
      </c>
      <c r="I303" t="str">
        <f>"PHY00658"</f>
        <v>PHY00658</v>
      </c>
      <c r="J303" t="str">
        <f>"W0152828"</f>
        <v>W0152828</v>
      </c>
      <c r="K303" t="str">
        <f t="shared" si="75"/>
        <v>AS89</v>
      </c>
      <c r="L303" t="s">
        <v>3006</v>
      </c>
      <c r="M303">
        <v>866.38</v>
      </c>
    </row>
    <row r="304" spans="1:13" x14ac:dyDescent="0.25">
      <c r="A304" t="str">
        <f t="shared" si="79"/>
        <v>E160</v>
      </c>
      <c r="B304">
        <v>1</v>
      </c>
      <c r="C304" t="str">
        <f t="shared" si="80"/>
        <v>43000</v>
      </c>
      <c r="D304" t="str">
        <f t="shared" si="77"/>
        <v>5620</v>
      </c>
      <c r="E304" t="str">
        <f t="shared" si="81"/>
        <v>850LOS</v>
      </c>
      <c r="F304" t="str">
        <f>""</f>
        <v/>
      </c>
      <c r="G304" t="str">
        <f>""</f>
        <v/>
      </c>
      <c r="H304" s="1">
        <v>42278</v>
      </c>
      <c r="I304" t="str">
        <f>"PHY00659"</f>
        <v>PHY00659</v>
      </c>
      <c r="J304" t="str">
        <f>"W0002219"</f>
        <v>W0002219</v>
      </c>
      <c r="K304" t="str">
        <f t="shared" si="75"/>
        <v>AS89</v>
      </c>
      <c r="L304" t="s">
        <v>724</v>
      </c>
      <c r="M304">
        <v>173.96</v>
      </c>
    </row>
    <row r="305" spans="1:13" x14ac:dyDescent="0.25">
      <c r="A305" t="str">
        <f t="shared" si="79"/>
        <v>E160</v>
      </c>
      <c r="B305">
        <v>1</v>
      </c>
      <c r="C305" t="str">
        <f t="shared" si="80"/>
        <v>43000</v>
      </c>
      <c r="D305" t="str">
        <f t="shared" si="77"/>
        <v>5620</v>
      </c>
      <c r="E305" t="str">
        <f t="shared" si="81"/>
        <v>850LOS</v>
      </c>
      <c r="F305" t="str">
        <f>""</f>
        <v/>
      </c>
      <c r="G305" t="str">
        <f>""</f>
        <v/>
      </c>
      <c r="H305" s="1">
        <v>42278</v>
      </c>
      <c r="I305" t="str">
        <f>"PHY00659"</f>
        <v>PHY00659</v>
      </c>
      <c r="J305" t="str">
        <f>"W0152828"</f>
        <v>W0152828</v>
      </c>
      <c r="K305" t="str">
        <f t="shared" si="75"/>
        <v>AS89</v>
      </c>
      <c r="L305" t="s">
        <v>3006</v>
      </c>
      <c r="M305" s="2">
        <v>3161.04</v>
      </c>
    </row>
    <row r="306" spans="1:13" x14ac:dyDescent="0.25">
      <c r="A306" t="str">
        <f t="shared" si="79"/>
        <v>E160</v>
      </c>
      <c r="B306">
        <v>1</v>
      </c>
      <c r="C306" t="str">
        <f t="shared" si="80"/>
        <v>43000</v>
      </c>
      <c r="D306" t="str">
        <f t="shared" si="77"/>
        <v>5620</v>
      </c>
      <c r="E306" t="str">
        <f t="shared" si="81"/>
        <v>850LOS</v>
      </c>
      <c r="F306" t="str">
        <f>""</f>
        <v/>
      </c>
      <c r="G306" t="str">
        <f>""</f>
        <v/>
      </c>
      <c r="H306" s="1">
        <v>42339</v>
      </c>
      <c r="I306" t="str">
        <f>"PHY00661"</f>
        <v>PHY00661</v>
      </c>
      <c r="J306" t="str">
        <f>"W0156568"</f>
        <v>W0156568</v>
      </c>
      <c r="K306" t="str">
        <f t="shared" si="75"/>
        <v>AS89</v>
      </c>
      <c r="L306" t="s">
        <v>3005</v>
      </c>
      <c r="M306">
        <v>192.16</v>
      </c>
    </row>
    <row r="307" spans="1:13" x14ac:dyDescent="0.25">
      <c r="A307" t="str">
        <f t="shared" si="79"/>
        <v>E160</v>
      </c>
      <c r="B307">
        <v>1</v>
      </c>
      <c r="C307" t="str">
        <f t="shared" si="80"/>
        <v>43000</v>
      </c>
      <c r="D307" t="str">
        <f t="shared" si="77"/>
        <v>5620</v>
      </c>
      <c r="E307" t="str">
        <f t="shared" si="81"/>
        <v>850LOS</v>
      </c>
      <c r="F307" t="str">
        <f>""</f>
        <v/>
      </c>
      <c r="G307" t="str">
        <f>""</f>
        <v/>
      </c>
      <c r="H307" s="1">
        <v>42339</v>
      </c>
      <c r="I307" t="str">
        <f>"PHY00661"</f>
        <v>PHY00661</v>
      </c>
      <c r="J307" t="str">
        <f>"W0157933"</f>
        <v>W0157933</v>
      </c>
      <c r="K307" t="str">
        <f t="shared" si="75"/>
        <v>AS89</v>
      </c>
      <c r="L307" t="s">
        <v>2076</v>
      </c>
      <c r="M307">
        <v>253.17</v>
      </c>
    </row>
    <row r="308" spans="1:13" x14ac:dyDescent="0.25">
      <c r="A308" t="str">
        <f t="shared" si="79"/>
        <v>E160</v>
      </c>
      <c r="B308">
        <v>1</v>
      </c>
      <c r="C308" t="str">
        <f t="shared" si="80"/>
        <v>43000</v>
      </c>
      <c r="D308" t="str">
        <f t="shared" si="77"/>
        <v>5620</v>
      </c>
      <c r="E308" t="str">
        <f t="shared" si="81"/>
        <v>850LOS</v>
      </c>
      <c r="F308" t="str">
        <f>""</f>
        <v/>
      </c>
      <c r="G308" t="str">
        <f>""</f>
        <v/>
      </c>
      <c r="H308" s="1">
        <v>42339</v>
      </c>
      <c r="I308" t="str">
        <f>"PHY00661"</f>
        <v>PHY00661</v>
      </c>
      <c r="J308" t="str">
        <f>"W0158786"</f>
        <v>W0158786</v>
      </c>
      <c r="K308" t="str">
        <f t="shared" si="75"/>
        <v>AS89</v>
      </c>
      <c r="L308" t="s">
        <v>3004</v>
      </c>
      <c r="M308">
        <v>310.24</v>
      </c>
    </row>
    <row r="309" spans="1:13" x14ac:dyDescent="0.25">
      <c r="A309" t="str">
        <f t="shared" si="79"/>
        <v>E160</v>
      </c>
      <c r="B309">
        <v>1</v>
      </c>
      <c r="C309" t="str">
        <f t="shared" si="80"/>
        <v>43000</v>
      </c>
      <c r="D309" t="str">
        <f t="shared" si="77"/>
        <v>5620</v>
      </c>
      <c r="E309" t="str">
        <f t="shared" si="81"/>
        <v>850LOS</v>
      </c>
      <c r="F309" t="str">
        <f>""</f>
        <v/>
      </c>
      <c r="G309" t="str">
        <f>""</f>
        <v/>
      </c>
      <c r="H309" s="1">
        <v>42339</v>
      </c>
      <c r="I309" t="str">
        <f>"PHY00661"</f>
        <v>PHY00661</v>
      </c>
      <c r="J309" t="str">
        <f>"W0158948"</f>
        <v>W0158948</v>
      </c>
      <c r="K309" t="str">
        <f t="shared" si="75"/>
        <v>AS89</v>
      </c>
      <c r="L309" t="s">
        <v>3003</v>
      </c>
      <c r="M309">
        <v>395.6</v>
      </c>
    </row>
    <row r="310" spans="1:13" x14ac:dyDescent="0.25">
      <c r="A310" t="str">
        <f t="shared" si="79"/>
        <v>E160</v>
      </c>
      <c r="B310">
        <v>1</v>
      </c>
      <c r="C310" t="str">
        <f t="shared" si="80"/>
        <v>43000</v>
      </c>
      <c r="D310" t="str">
        <f t="shared" si="77"/>
        <v>5620</v>
      </c>
      <c r="E310" t="str">
        <f t="shared" ref="E310:E320" si="82">"850PAY"</f>
        <v>850PAY</v>
      </c>
      <c r="F310" t="str">
        <f>""</f>
        <v/>
      </c>
      <c r="G310" t="str">
        <f>""</f>
        <v/>
      </c>
      <c r="H310" s="1">
        <v>42339</v>
      </c>
      <c r="I310" t="str">
        <f>"PHY00661"</f>
        <v>PHY00661</v>
      </c>
      <c r="J310" t="str">
        <f>"W0159000"</f>
        <v>W0159000</v>
      </c>
      <c r="K310" t="str">
        <f t="shared" si="75"/>
        <v>AS89</v>
      </c>
      <c r="L310" t="s">
        <v>2819</v>
      </c>
      <c r="M310" s="2">
        <v>2076.06</v>
      </c>
    </row>
    <row r="311" spans="1:13" x14ac:dyDescent="0.25">
      <c r="A311" t="str">
        <f t="shared" si="79"/>
        <v>E160</v>
      </c>
      <c r="B311">
        <v>1</v>
      </c>
      <c r="C311" t="str">
        <f t="shared" si="80"/>
        <v>43000</v>
      </c>
      <c r="D311" t="str">
        <f t="shared" si="77"/>
        <v>5620</v>
      </c>
      <c r="E311" t="str">
        <f t="shared" si="82"/>
        <v>850PAY</v>
      </c>
      <c r="F311" t="str">
        <f>""</f>
        <v/>
      </c>
      <c r="G311" t="str">
        <f>""</f>
        <v/>
      </c>
      <c r="H311" s="1">
        <v>42370</v>
      </c>
      <c r="I311" t="str">
        <f t="shared" ref="I311:I316" si="83">"PHY00662"</f>
        <v>PHY00662</v>
      </c>
      <c r="J311" t="str">
        <f>"W0158990"</f>
        <v>W0158990</v>
      </c>
      <c r="K311" t="str">
        <f t="shared" si="75"/>
        <v>AS89</v>
      </c>
      <c r="L311" t="s">
        <v>2808</v>
      </c>
      <c r="M311" s="2">
        <v>4076.63</v>
      </c>
    </row>
    <row r="312" spans="1:13" x14ac:dyDescent="0.25">
      <c r="A312" t="str">
        <f t="shared" si="79"/>
        <v>E160</v>
      </c>
      <c r="B312">
        <v>1</v>
      </c>
      <c r="C312" t="str">
        <f t="shared" si="80"/>
        <v>43000</v>
      </c>
      <c r="D312" t="str">
        <f t="shared" si="77"/>
        <v>5620</v>
      </c>
      <c r="E312" t="str">
        <f t="shared" si="82"/>
        <v>850PAY</v>
      </c>
      <c r="F312" t="str">
        <f>""</f>
        <v/>
      </c>
      <c r="G312" t="str">
        <f>""</f>
        <v/>
      </c>
      <c r="H312" s="1">
        <v>42370</v>
      </c>
      <c r="I312" t="str">
        <f t="shared" si="83"/>
        <v>PHY00662</v>
      </c>
      <c r="J312" t="str">
        <f>"W0158991"</f>
        <v>W0158991</v>
      </c>
      <c r="K312" t="str">
        <f t="shared" si="75"/>
        <v>AS89</v>
      </c>
      <c r="L312" t="s">
        <v>2812</v>
      </c>
      <c r="M312" s="2">
        <v>1089.46</v>
      </c>
    </row>
    <row r="313" spans="1:13" x14ac:dyDescent="0.25">
      <c r="A313" t="str">
        <f t="shared" si="79"/>
        <v>E160</v>
      </c>
      <c r="B313">
        <v>1</v>
      </c>
      <c r="C313" t="str">
        <f t="shared" si="80"/>
        <v>43000</v>
      </c>
      <c r="D313" t="str">
        <f t="shared" si="77"/>
        <v>5620</v>
      </c>
      <c r="E313" t="str">
        <f t="shared" si="82"/>
        <v>850PAY</v>
      </c>
      <c r="F313" t="str">
        <f>""</f>
        <v/>
      </c>
      <c r="G313" t="str">
        <f>""</f>
        <v/>
      </c>
      <c r="H313" s="1">
        <v>42370</v>
      </c>
      <c r="I313" t="str">
        <f t="shared" si="83"/>
        <v>PHY00662</v>
      </c>
      <c r="J313" t="str">
        <f>"W0158992"</f>
        <v>W0158992</v>
      </c>
      <c r="K313" t="str">
        <f t="shared" si="75"/>
        <v>AS89</v>
      </c>
      <c r="L313" t="s">
        <v>2810</v>
      </c>
      <c r="M313">
        <v>614.6</v>
      </c>
    </row>
    <row r="314" spans="1:13" x14ac:dyDescent="0.25">
      <c r="A314" t="str">
        <f t="shared" si="79"/>
        <v>E160</v>
      </c>
      <c r="B314">
        <v>1</v>
      </c>
      <c r="C314" t="str">
        <f t="shared" si="80"/>
        <v>43000</v>
      </c>
      <c r="D314" t="str">
        <f t="shared" si="77"/>
        <v>5620</v>
      </c>
      <c r="E314" t="str">
        <f t="shared" si="82"/>
        <v>850PAY</v>
      </c>
      <c r="F314" t="str">
        <f>""</f>
        <v/>
      </c>
      <c r="G314" t="str">
        <f>""</f>
        <v/>
      </c>
      <c r="H314" s="1">
        <v>42370</v>
      </c>
      <c r="I314" t="str">
        <f t="shared" si="83"/>
        <v>PHY00662</v>
      </c>
      <c r="J314" t="str">
        <f>"W0158996"</f>
        <v>W0158996</v>
      </c>
      <c r="K314" t="str">
        <f t="shared" si="75"/>
        <v>AS89</v>
      </c>
      <c r="L314" t="s">
        <v>2809</v>
      </c>
      <c r="M314" s="2">
        <v>2486.54</v>
      </c>
    </row>
    <row r="315" spans="1:13" x14ac:dyDescent="0.25">
      <c r="A315" t="str">
        <f t="shared" si="79"/>
        <v>E160</v>
      </c>
      <c r="B315">
        <v>1</v>
      </c>
      <c r="C315" t="str">
        <f t="shared" si="80"/>
        <v>43000</v>
      </c>
      <c r="D315" t="str">
        <f t="shared" si="77"/>
        <v>5620</v>
      </c>
      <c r="E315" t="str">
        <f t="shared" si="82"/>
        <v>850PAY</v>
      </c>
      <c r="F315" t="str">
        <f>""</f>
        <v/>
      </c>
      <c r="G315" t="str">
        <f>""</f>
        <v/>
      </c>
      <c r="H315" s="1">
        <v>42370</v>
      </c>
      <c r="I315" t="str">
        <f t="shared" si="83"/>
        <v>PHY00662</v>
      </c>
      <c r="J315" t="str">
        <f>"W0158997"</f>
        <v>W0158997</v>
      </c>
      <c r="K315" t="str">
        <f t="shared" si="75"/>
        <v>AS89</v>
      </c>
      <c r="L315" t="s">
        <v>2813</v>
      </c>
      <c r="M315">
        <v>405</v>
      </c>
    </row>
    <row r="316" spans="1:13" x14ac:dyDescent="0.25">
      <c r="A316" t="str">
        <f t="shared" si="79"/>
        <v>E160</v>
      </c>
      <c r="B316">
        <v>1</v>
      </c>
      <c r="C316" t="str">
        <f t="shared" si="80"/>
        <v>43000</v>
      </c>
      <c r="D316" t="str">
        <f t="shared" si="77"/>
        <v>5620</v>
      </c>
      <c r="E316" t="str">
        <f t="shared" si="82"/>
        <v>850PAY</v>
      </c>
      <c r="F316" t="str">
        <f>""</f>
        <v/>
      </c>
      <c r="G316" t="str">
        <f>""</f>
        <v/>
      </c>
      <c r="H316" s="1">
        <v>42370</v>
      </c>
      <c r="I316" t="str">
        <f t="shared" si="83"/>
        <v>PHY00662</v>
      </c>
      <c r="J316" t="str">
        <f>"W0158999"</f>
        <v>W0158999</v>
      </c>
      <c r="K316" t="str">
        <f t="shared" si="75"/>
        <v>AS89</v>
      </c>
      <c r="L316" t="s">
        <v>2811</v>
      </c>
      <c r="M316" s="2">
        <v>1652.5</v>
      </c>
    </row>
    <row r="317" spans="1:13" x14ac:dyDescent="0.25">
      <c r="A317" t="str">
        <f t="shared" si="79"/>
        <v>E160</v>
      </c>
      <c r="B317">
        <v>1</v>
      </c>
      <c r="C317" t="str">
        <f t="shared" si="80"/>
        <v>43000</v>
      </c>
      <c r="D317" t="str">
        <f t="shared" si="77"/>
        <v>5620</v>
      </c>
      <c r="E317" t="str">
        <f t="shared" si="82"/>
        <v>850PAY</v>
      </c>
      <c r="F317" t="str">
        <f>""</f>
        <v/>
      </c>
      <c r="G317" t="str">
        <f>""</f>
        <v/>
      </c>
      <c r="H317" s="1">
        <v>42401</v>
      </c>
      <c r="I317" t="str">
        <f>"PHY00663"</f>
        <v>PHY00663</v>
      </c>
      <c r="J317" t="str">
        <f>"W0158990"</f>
        <v>W0158990</v>
      </c>
      <c r="K317" t="str">
        <f t="shared" si="75"/>
        <v>AS89</v>
      </c>
      <c r="L317" t="s">
        <v>2808</v>
      </c>
      <c r="M317" s="2">
        <v>3485.39</v>
      </c>
    </row>
    <row r="318" spans="1:13" x14ac:dyDescent="0.25">
      <c r="A318" t="str">
        <f t="shared" si="79"/>
        <v>E160</v>
      </c>
      <c r="B318">
        <v>1</v>
      </c>
      <c r="C318" t="str">
        <f t="shared" si="80"/>
        <v>43000</v>
      </c>
      <c r="D318" t="str">
        <f t="shared" si="77"/>
        <v>5620</v>
      </c>
      <c r="E318" t="str">
        <f t="shared" si="82"/>
        <v>850PAY</v>
      </c>
      <c r="F318" t="str">
        <f>""</f>
        <v/>
      </c>
      <c r="G318" t="str">
        <f>""</f>
        <v/>
      </c>
      <c r="H318" s="1">
        <v>42401</v>
      </c>
      <c r="I318" t="str">
        <f>"PHY00663"</f>
        <v>PHY00663</v>
      </c>
      <c r="J318" t="str">
        <f>"W0158991"</f>
        <v>W0158991</v>
      </c>
      <c r="K318" t="str">
        <f t="shared" si="75"/>
        <v>AS89</v>
      </c>
      <c r="L318" t="s">
        <v>2812</v>
      </c>
      <c r="M318">
        <v>527.38</v>
      </c>
    </row>
    <row r="319" spans="1:13" x14ac:dyDescent="0.25">
      <c r="A319" t="str">
        <f t="shared" si="79"/>
        <v>E160</v>
      </c>
      <c r="B319">
        <v>1</v>
      </c>
      <c r="C319" t="str">
        <f t="shared" si="80"/>
        <v>43000</v>
      </c>
      <c r="D319" t="str">
        <f t="shared" si="77"/>
        <v>5620</v>
      </c>
      <c r="E319" t="str">
        <f t="shared" si="82"/>
        <v>850PAY</v>
      </c>
      <c r="F319" t="str">
        <f>""</f>
        <v/>
      </c>
      <c r="G319" t="str">
        <f>""</f>
        <v/>
      </c>
      <c r="H319" s="1">
        <v>42401</v>
      </c>
      <c r="I319" t="str">
        <f>"PHY00663"</f>
        <v>PHY00663</v>
      </c>
      <c r="J319" t="str">
        <f>"W0158992"</f>
        <v>W0158992</v>
      </c>
      <c r="K319" t="str">
        <f t="shared" si="75"/>
        <v>AS89</v>
      </c>
      <c r="L319" t="s">
        <v>2810</v>
      </c>
      <c r="M319" s="2">
        <v>1825.51</v>
      </c>
    </row>
    <row r="320" spans="1:13" x14ac:dyDescent="0.25">
      <c r="A320" t="str">
        <f t="shared" si="79"/>
        <v>E160</v>
      </c>
      <c r="B320">
        <v>1</v>
      </c>
      <c r="C320" t="str">
        <f t="shared" si="80"/>
        <v>43000</v>
      </c>
      <c r="D320" t="str">
        <f t="shared" si="77"/>
        <v>5620</v>
      </c>
      <c r="E320" t="str">
        <f t="shared" si="82"/>
        <v>850PAY</v>
      </c>
      <c r="F320" t="str">
        <f>""</f>
        <v/>
      </c>
      <c r="G320" t="str">
        <f>""</f>
        <v/>
      </c>
      <c r="H320" s="1">
        <v>42401</v>
      </c>
      <c r="I320" t="str">
        <f>"PHY00663"</f>
        <v>PHY00663</v>
      </c>
      <c r="J320" t="str">
        <f>"W0158999"</f>
        <v>W0158999</v>
      </c>
      <c r="K320" t="str">
        <f t="shared" si="75"/>
        <v>AS89</v>
      </c>
      <c r="L320" t="s">
        <v>2811</v>
      </c>
      <c r="M320" s="2">
        <v>1703.96</v>
      </c>
    </row>
    <row r="321" spans="1:13" x14ac:dyDescent="0.25">
      <c r="A321" t="str">
        <f t="shared" si="79"/>
        <v>E160</v>
      </c>
      <c r="B321">
        <v>1</v>
      </c>
      <c r="C321" t="str">
        <f t="shared" si="80"/>
        <v>43000</v>
      </c>
      <c r="D321" t="str">
        <f t="shared" si="77"/>
        <v>5620</v>
      </c>
      <c r="E321" t="str">
        <f t="shared" ref="E321:E328" si="84">"850PKE"</f>
        <v>850PKE</v>
      </c>
      <c r="F321" t="str">
        <f>""</f>
        <v/>
      </c>
      <c r="G321" t="str">
        <f>""</f>
        <v/>
      </c>
      <c r="H321" s="1">
        <v>42278</v>
      </c>
      <c r="I321" t="str">
        <f>"PHY00659"</f>
        <v>PHY00659</v>
      </c>
      <c r="J321" t="str">
        <f>"W0151900"</f>
        <v>W0151900</v>
      </c>
      <c r="K321" t="str">
        <f t="shared" si="75"/>
        <v>AS89</v>
      </c>
      <c r="L321" t="s">
        <v>2403</v>
      </c>
      <c r="M321">
        <v>766.91</v>
      </c>
    </row>
    <row r="322" spans="1:13" x14ac:dyDescent="0.25">
      <c r="A322" t="str">
        <f t="shared" si="79"/>
        <v>E160</v>
      </c>
      <c r="B322">
        <v>1</v>
      </c>
      <c r="C322" t="str">
        <f t="shared" si="80"/>
        <v>43000</v>
      </c>
      <c r="D322" t="str">
        <f t="shared" si="77"/>
        <v>5620</v>
      </c>
      <c r="E322" t="str">
        <f t="shared" si="84"/>
        <v>850PKE</v>
      </c>
      <c r="F322" t="str">
        <f>""</f>
        <v/>
      </c>
      <c r="G322" t="str">
        <f>""</f>
        <v/>
      </c>
      <c r="H322" s="1">
        <v>42278</v>
      </c>
      <c r="I322" t="str">
        <f>"PHY00659"</f>
        <v>PHY00659</v>
      </c>
      <c r="J322" t="str">
        <f>"W0155315"</f>
        <v>W0155315</v>
      </c>
      <c r="K322" t="str">
        <f t="shared" si="75"/>
        <v>AS89</v>
      </c>
      <c r="L322" t="s">
        <v>3013</v>
      </c>
      <c r="M322">
        <v>463.57</v>
      </c>
    </row>
    <row r="323" spans="1:13" x14ac:dyDescent="0.25">
      <c r="A323" t="str">
        <f t="shared" ref="A323:A354" si="85">"E160"</f>
        <v>E160</v>
      </c>
      <c r="B323">
        <v>1</v>
      </c>
      <c r="C323" t="str">
        <f t="shared" si="80"/>
        <v>43000</v>
      </c>
      <c r="D323" t="str">
        <f t="shared" si="77"/>
        <v>5620</v>
      </c>
      <c r="E323" t="str">
        <f t="shared" si="84"/>
        <v>850PKE</v>
      </c>
      <c r="F323" t="str">
        <f>""</f>
        <v/>
      </c>
      <c r="G323" t="str">
        <f>""</f>
        <v/>
      </c>
      <c r="H323" s="1">
        <v>42309</v>
      </c>
      <c r="I323" t="str">
        <f>"PHY00660"</f>
        <v>PHY00660</v>
      </c>
      <c r="J323" t="str">
        <f>"W0156843"</f>
        <v>W0156843</v>
      </c>
      <c r="K323" t="str">
        <f t="shared" si="75"/>
        <v>AS89</v>
      </c>
      <c r="L323" t="s">
        <v>3012</v>
      </c>
      <c r="M323">
        <v>399.73</v>
      </c>
    </row>
    <row r="324" spans="1:13" x14ac:dyDescent="0.25">
      <c r="A324" t="str">
        <f t="shared" si="85"/>
        <v>E160</v>
      </c>
      <c r="B324">
        <v>1</v>
      </c>
      <c r="C324" t="str">
        <f t="shared" si="80"/>
        <v>43000</v>
      </c>
      <c r="D324" t="str">
        <f t="shared" si="77"/>
        <v>5620</v>
      </c>
      <c r="E324" t="str">
        <f t="shared" si="84"/>
        <v>850PKE</v>
      </c>
      <c r="F324" t="str">
        <f>""</f>
        <v/>
      </c>
      <c r="G324" t="str">
        <f>""</f>
        <v/>
      </c>
      <c r="H324" s="1">
        <v>42339</v>
      </c>
      <c r="I324" t="str">
        <f>"PHY00661"</f>
        <v>PHY00661</v>
      </c>
      <c r="J324" t="str">
        <f>"W0157266"</f>
        <v>W0157266</v>
      </c>
      <c r="K324" t="str">
        <f t="shared" si="75"/>
        <v>AS89</v>
      </c>
      <c r="L324" t="s">
        <v>2996</v>
      </c>
      <c r="M324">
        <v>260.93</v>
      </c>
    </row>
    <row r="325" spans="1:13" x14ac:dyDescent="0.25">
      <c r="A325" t="str">
        <f t="shared" si="85"/>
        <v>E160</v>
      </c>
      <c r="B325">
        <v>1</v>
      </c>
      <c r="C325" t="str">
        <f t="shared" si="80"/>
        <v>43000</v>
      </c>
      <c r="D325" t="str">
        <f t="shared" si="77"/>
        <v>5620</v>
      </c>
      <c r="E325" t="str">
        <f t="shared" si="84"/>
        <v>850PKE</v>
      </c>
      <c r="F325" t="str">
        <f>""</f>
        <v/>
      </c>
      <c r="G325" t="str">
        <f>""</f>
        <v/>
      </c>
      <c r="H325" s="1">
        <v>42339</v>
      </c>
      <c r="I325" t="str">
        <f>"PHY00661"</f>
        <v>PHY00661</v>
      </c>
      <c r="J325" t="str">
        <f>"W0158687"</f>
        <v>W0158687</v>
      </c>
      <c r="K325" t="str">
        <f t="shared" si="75"/>
        <v>AS89</v>
      </c>
      <c r="L325" t="s">
        <v>2995</v>
      </c>
      <c r="M325">
        <v>127</v>
      </c>
    </row>
    <row r="326" spans="1:13" x14ac:dyDescent="0.25">
      <c r="A326" t="str">
        <f t="shared" si="85"/>
        <v>E160</v>
      </c>
      <c r="B326">
        <v>1</v>
      </c>
      <c r="C326" t="str">
        <f t="shared" si="80"/>
        <v>43000</v>
      </c>
      <c r="D326" t="str">
        <f t="shared" si="77"/>
        <v>5620</v>
      </c>
      <c r="E326" t="str">
        <f t="shared" si="84"/>
        <v>850PKE</v>
      </c>
      <c r="F326" t="str">
        <f>""</f>
        <v/>
      </c>
      <c r="G326" t="str">
        <f>""</f>
        <v/>
      </c>
      <c r="H326" s="1">
        <v>42370</v>
      </c>
      <c r="I326" t="str">
        <f>"PHY00662"</f>
        <v>PHY00662</v>
      </c>
      <c r="J326" t="str">
        <f>"W0158687"</f>
        <v>W0158687</v>
      </c>
      <c r="K326" t="str">
        <f t="shared" si="75"/>
        <v>AS89</v>
      </c>
      <c r="L326" t="s">
        <v>2995</v>
      </c>
      <c r="M326">
        <v>207.8</v>
      </c>
    </row>
    <row r="327" spans="1:13" x14ac:dyDescent="0.25">
      <c r="A327" t="str">
        <f t="shared" si="85"/>
        <v>E160</v>
      </c>
      <c r="B327">
        <v>1</v>
      </c>
      <c r="C327" t="str">
        <f t="shared" si="80"/>
        <v>43000</v>
      </c>
      <c r="D327" t="str">
        <f t="shared" si="77"/>
        <v>5620</v>
      </c>
      <c r="E327" t="str">
        <f t="shared" si="84"/>
        <v>850PKE</v>
      </c>
      <c r="F327" t="str">
        <f>""</f>
        <v/>
      </c>
      <c r="G327" t="str">
        <f>""</f>
        <v/>
      </c>
      <c r="H327" s="1">
        <v>42401</v>
      </c>
      <c r="I327" t="str">
        <f>"PHY00663"</f>
        <v>PHY00663</v>
      </c>
      <c r="J327" t="str">
        <f>"W0158687"</f>
        <v>W0158687</v>
      </c>
      <c r="K327" t="str">
        <f t="shared" si="75"/>
        <v>AS89</v>
      </c>
      <c r="L327" t="s">
        <v>2995</v>
      </c>
      <c r="M327">
        <v>146.74</v>
      </c>
    </row>
    <row r="328" spans="1:13" x14ac:dyDescent="0.25">
      <c r="A328" t="str">
        <f t="shared" si="85"/>
        <v>E160</v>
      </c>
      <c r="B328">
        <v>1</v>
      </c>
      <c r="C328" t="str">
        <f t="shared" si="80"/>
        <v>43000</v>
      </c>
      <c r="D328" t="str">
        <f t="shared" si="77"/>
        <v>5620</v>
      </c>
      <c r="E328" t="str">
        <f t="shared" si="84"/>
        <v>850PKE</v>
      </c>
      <c r="F328" t="str">
        <f>""</f>
        <v/>
      </c>
      <c r="G328" t="str">
        <f>""</f>
        <v/>
      </c>
      <c r="H328" s="1">
        <v>42401</v>
      </c>
      <c r="I328" t="str">
        <f>"PHY00663"</f>
        <v>PHY00663</v>
      </c>
      <c r="J328" t="str">
        <f>"W0163038"</f>
        <v>W0163038</v>
      </c>
      <c r="K328" t="str">
        <f t="shared" si="75"/>
        <v>AS89</v>
      </c>
      <c r="L328" t="s">
        <v>2994</v>
      </c>
      <c r="M328">
        <v>196.88</v>
      </c>
    </row>
    <row r="329" spans="1:13" x14ac:dyDescent="0.25">
      <c r="A329" t="str">
        <f t="shared" si="85"/>
        <v>E160</v>
      </c>
      <c r="B329">
        <v>1</v>
      </c>
      <c r="C329" t="str">
        <f t="shared" si="80"/>
        <v>43000</v>
      </c>
      <c r="D329" t="str">
        <f t="shared" ref="D329:D360" si="86">"5740"</f>
        <v>5740</v>
      </c>
      <c r="E329" t="str">
        <f t="shared" ref="E329:E341" si="87">"850LOS"</f>
        <v>850LOS</v>
      </c>
      <c r="F329" t="str">
        <f>""</f>
        <v/>
      </c>
      <c r="G329" t="str">
        <f>""</f>
        <v/>
      </c>
      <c r="H329" s="1">
        <v>42248</v>
      </c>
      <c r="I329" t="str">
        <f>"PHY00658"</f>
        <v>PHY00658</v>
      </c>
      <c r="J329" t="str">
        <f>"W0149436"</f>
        <v>W0149436</v>
      </c>
      <c r="K329" t="str">
        <f t="shared" si="75"/>
        <v>AS89</v>
      </c>
      <c r="L329" t="s">
        <v>3011</v>
      </c>
      <c r="M329">
        <v>566.76</v>
      </c>
    </row>
    <row r="330" spans="1:13" x14ac:dyDescent="0.25">
      <c r="A330" t="str">
        <f t="shared" si="85"/>
        <v>E160</v>
      </c>
      <c r="B330">
        <v>1</v>
      </c>
      <c r="C330" t="str">
        <f t="shared" si="80"/>
        <v>43000</v>
      </c>
      <c r="D330" t="str">
        <f t="shared" si="86"/>
        <v>5740</v>
      </c>
      <c r="E330" t="str">
        <f t="shared" si="87"/>
        <v>850LOS</v>
      </c>
      <c r="F330" t="str">
        <f>""</f>
        <v/>
      </c>
      <c r="G330" t="str">
        <f>""</f>
        <v/>
      </c>
      <c r="H330" s="1">
        <v>42248</v>
      </c>
      <c r="I330" t="str">
        <f>"PHY00658"</f>
        <v>PHY00658</v>
      </c>
      <c r="J330" t="str">
        <f>"W0153017"</f>
        <v>W0153017</v>
      </c>
      <c r="K330" t="str">
        <f t="shared" si="75"/>
        <v>AS89</v>
      </c>
      <c r="L330" t="s">
        <v>3010</v>
      </c>
      <c r="M330">
        <v>809.6</v>
      </c>
    </row>
    <row r="331" spans="1:13" x14ac:dyDescent="0.25">
      <c r="A331" t="str">
        <f t="shared" si="85"/>
        <v>E160</v>
      </c>
      <c r="B331">
        <v>1</v>
      </c>
      <c r="C331" t="str">
        <f t="shared" si="80"/>
        <v>43000</v>
      </c>
      <c r="D331" t="str">
        <f t="shared" si="86"/>
        <v>5740</v>
      </c>
      <c r="E331" t="str">
        <f t="shared" si="87"/>
        <v>850LOS</v>
      </c>
      <c r="F331" t="str">
        <f>""</f>
        <v/>
      </c>
      <c r="G331" t="str">
        <f>""</f>
        <v/>
      </c>
      <c r="H331" s="1">
        <v>42430</v>
      </c>
      <c r="I331" t="str">
        <f>"PHY00664"</f>
        <v>PHY00664</v>
      </c>
      <c r="J331" t="str">
        <f>"W0161799"</f>
        <v>W0161799</v>
      </c>
      <c r="K331" t="str">
        <f t="shared" si="75"/>
        <v>AS89</v>
      </c>
      <c r="L331" t="s">
        <v>2076</v>
      </c>
      <c r="M331">
        <v>237.79</v>
      </c>
    </row>
    <row r="332" spans="1:13" x14ac:dyDescent="0.25">
      <c r="A332" t="str">
        <f t="shared" si="85"/>
        <v>E160</v>
      </c>
      <c r="B332">
        <v>1</v>
      </c>
      <c r="C332" t="str">
        <f t="shared" si="80"/>
        <v>43000</v>
      </c>
      <c r="D332" t="str">
        <f t="shared" si="86"/>
        <v>5740</v>
      </c>
      <c r="E332" t="str">
        <f t="shared" si="87"/>
        <v>850LOS</v>
      </c>
      <c r="F332" t="str">
        <f>""</f>
        <v/>
      </c>
      <c r="G332" t="str">
        <f>""</f>
        <v/>
      </c>
      <c r="H332" s="1">
        <v>42430</v>
      </c>
      <c r="I332" t="str">
        <f>"PHY00664"</f>
        <v>PHY00664</v>
      </c>
      <c r="J332" t="str">
        <f>"W0162499"</f>
        <v>W0162499</v>
      </c>
      <c r="K332" t="str">
        <f t="shared" si="75"/>
        <v>AS89</v>
      </c>
      <c r="L332" t="s">
        <v>3009</v>
      </c>
      <c r="M332">
        <v>240.25</v>
      </c>
    </row>
    <row r="333" spans="1:13" x14ac:dyDescent="0.25">
      <c r="A333" t="str">
        <f t="shared" si="85"/>
        <v>E160</v>
      </c>
      <c r="B333">
        <v>1</v>
      </c>
      <c r="C333" t="str">
        <f t="shared" si="80"/>
        <v>43000</v>
      </c>
      <c r="D333" t="str">
        <f t="shared" si="86"/>
        <v>5740</v>
      </c>
      <c r="E333" t="str">
        <f t="shared" si="87"/>
        <v>850LOS</v>
      </c>
      <c r="F333" t="str">
        <f>""</f>
        <v/>
      </c>
      <c r="G333" t="str">
        <f>""</f>
        <v/>
      </c>
      <c r="H333" s="1">
        <v>42430</v>
      </c>
      <c r="I333" t="str">
        <f>"PHY00664"</f>
        <v>PHY00664</v>
      </c>
      <c r="J333" t="str">
        <f>"W0162559"</f>
        <v>W0162559</v>
      </c>
      <c r="K333" t="str">
        <f t="shared" si="75"/>
        <v>AS89</v>
      </c>
      <c r="L333" t="s">
        <v>3008</v>
      </c>
      <c r="M333">
        <v>271.52999999999997</v>
      </c>
    </row>
    <row r="334" spans="1:13" x14ac:dyDescent="0.25">
      <c r="A334" t="str">
        <f t="shared" si="85"/>
        <v>E160</v>
      </c>
      <c r="B334">
        <v>1</v>
      </c>
      <c r="C334" t="str">
        <f t="shared" si="80"/>
        <v>43000</v>
      </c>
      <c r="D334" t="str">
        <f t="shared" si="86"/>
        <v>5740</v>
      </c>
      <c r="E334" t="str">
        <f t="shared" si="87"/>
        <v>850LOS</v>
      </c>
      <c r="F334" t="str">
        <f>""</f>
        <v/>
      </c>
      <c r="G334" t="str">
        <f>""</f>
        <v/>
      </c>
      <c r="H334" s="1">
        <v>42461</v>
      </c>
      <c r="I334" t="str">
        <f>"PHY00665"</f>
        <v>PHY00665</v>
      </c>
      <c r="J334" t="str">
        <f>"W0163641"</f>
        <v>W0163641</v>
      </c>
      <c r="K334" t="str">
        <f t="shared" si="75"/>
        <v>AS89</v>
      </c>
      <c r="L334" t="s">
        <v>3007</v>
      </c>
      <c r="M334">
        <v>446.66</v>
      </c>
    </row>
    <row r="335" spans="1:13" x14ac:dyDescent="0.25">
      <c r="A335" t="str">
        <f t="shared" si="85"/>
        <v>E160</v>
      </c>
      <c r="B335">
        <v>1</v>
      </c>
      <c r="C335" t="str">
        <f t="shared" ref="C335:C366" si="88">"43000"</f>
        <v>43000</v>
      </c>
      <c r="D335" t="str">
        <f t="shared" si="86"/>
        <v>5740</v>
      </c>
      <c r="E335" t="str">
        <f t="shared" si="87"/>
        <v>850LOS</v>
      </c>
      <c r="F335" t="str">
        <f>""</f>
        <v/>
      </c>
      <c r="G335" t="str">
        <f>""</f>
        <v/>
      </c>
      <c r="H335" s="1">
        <v>42535</v>
      </c>
      <c r="I335" t="str">
        <f t="shared" ref="I335:I341" si="89">"ACG02686"</f>
        <v>ACG02686</v>
      </c>
      <c r="J335" t="str">
        <f>"W0002219"</f>
        <v>W0002219</v>
      </c>
      <c r="K335" t="str">
        <f t="shared" ref="K335:K341" si="90">"AS96"</f>
        <v>AS96</v>
      </c>
      <c r="L335" t="s">
        <v>724</v>
      </c>
      <c r="M335">
        <v>173.96</v>
      </c>
    </row>
    <row r="336" spans="1:13" x14ac:dyDescent="0.25">
      <c r="A336" t="str">
        <f t="shared" si="85"/>
        <v>E160</v>
      </c>
      <c r="B336">
        <v>1</v>
      </c>
      <c r="C336" t="str">
        <f t="shared" si="88"/>
        <v>43000</v>
      </c>
      <c r="D336" t="str">
        <f t="shared" si="86"/>
        <v>5740</v>
      </c>
      <c r="E336" t="str">
        <f t="shared" si="87"/>
        <v>850LOS</v>
      </c>
      <c r="F336" t="str">
        <f>""</f>
        <v/>
      </c>
      <c r="G336" t="str">
        <f>""</f>
        <v/>
      </c>
      <c r="H336" s="1">
        <v>42535</v>
      </c>
      <c r="I336" t="str">
        <f t="shared" si="89"/>
        <v>ACG02686</v>
      </c>
      <c r="J336" t="str">
        <f>"W0152828"</f>
        <v>W0152828</v>
      </c>
      <c r="K336" t="str">
        <f t="shared" si="90"/>
        <v>AS96</v>
      </c>
      <c r="L336" t="s">
        <v>3006</v>
      </c>
      <c r="M336">
        <v>866.38</v>
      </c>
    </row>
    <row r="337" spans="1:13" x14ac:dyDescent="0.25">
      <c r="A337" t="str">
        <f t="shared" si="85"/>
        <v>E160</v>
      </c>
      <c r="B337">
        <v>1</v>
      </c>
      <c r="C337" t="str">
        <f t="shared" si="88"/>
        <v>43000</v>
      </c>
      <c r="D337" t="str">
        <f t="shared" si="86"/>
        <v>5740</v>
      </c>
      <c r="E337" t="str">
        <f t="shared" si="87"/>
        <v>850LOS</v>
      </c>
      <c r="F337" t="str">
        <f>""</f>
        <v/>
      </c>
      <c r="G337" t="str">
        <f>""</f>
        <v/>
      </c>
      <c r="H337" s="1">
        <v>42535</v>
      </c>
      <c r="I337" t="str">
        <f t="shared" si="89"/>
        <v>ACG02686</v>
      </c>
      <c r="J337" t="str">
        <f>"W0152828"</f>
        <v>W0152828</v>
      </c>
      <c r="K337" t="str">
        <f t="shared" si="90"/>
        <v>AS96</v>
      </c>
      <c r="L337" t="s">
        <v>3006</v>
      </c>
      <c r="M337" s="2">
        <v>3161.04</v>
      </c>
    </row>
    <row r="338" spans="1:13" x14ac:dyDescent="0.25">
      <c r="A338" t="str">
        <f t="shared" si="85"/>
        <v>E160</v>
      </c>
      <c r="B338">
        <v>1</v>
      </c>
      <c r="C338" t="str">
        <f t="shared" si="88"/>
        <v>43000</v>
      </c>
      <c r="D338" t="str">
        <f t="shared" si="86"/>
        <v>5740</v>
      </c>
      <c r="E338" t="str">
        <f t="shared" si="87"/>
        <v>850LOS</v>
      </c>
      <c r="F338" t="str">
        <f>""</f>
        <v/>
      </c>
      <c r="G338" t="str">
        <f>""</f>
        <v/>
      </c>
      <c r="H338" s="1">
        <v>42535</v>
      </c>
      <c r="I338" t="str">
        <f t="shared" si="89"/>
        <v>ACG02686</v>
      </c>
      <c r="J338" t="str">
        <f>"W0156568"</f>
        <v>W0156568</v>
      </c>
      <c r="K338" t="str">
        <f t="shared" si="90"/>
        <v>AS96</v>
      </c>
      <c r="L338" t="s">
        <v>3005</v>
      </c>
      <c r="M338">
        <v>192.16</v>
      </c>
    </row>
    <row r="339" spans="1:13" x14ac:dyDescent="0.25">
      <c r="A339" t="str">
        <f t="shared" si="85"/>
        <v>E160</v>
      </c>
      <c r="B339">
        <v>1</v>
      </c>
      <c r="C339" t="str">
        <f t="shared" si="88"/>
        <v>43000</v>
      </c>
      <c r="D339" t="str">
        <f t="shared" si="86"/>
        <v>5740</v>
      </c>
      <c r="E339" t="str">
        <f t="shared" si="87"/>
        <v>850LOS</v>
      </c>
      <c r="F339" t="str">
        <f>""</f>
        <v/>
      </c>
      <c r="G339" t="str">
        <f>""</f>
        <v/>
      </c>
      <c r="H339" s="1">
        <v>42535</v>
      </c>
      <c r="I339" t="str">
        <f t="shared" si="89"/>
        <v>ACG02686</v>
      </c>
      <c r="J339" t="str">
        <f>"W0157933"</f>
        <v>W0157933</v>
      </c>
      <c r="K339" t="str">
        <f t="shared" si="90"/>
        <v>AS96</v>
      </c>
      <c r="L339" t="s">
        <v>2076</v>
      </c>
      <c r="M339">
        <v>253.17</v>
      </c>
    </row>
    <row r="340" spans="1:13" x14ac:dyDescent="0.25">
      <c r="A340" t="str">
        <f t="shared" si="85"/>
        <v>E160</v>
      </c>
      <c r="B340">
        <v>1</v>
      </c>
      <c r="C340" t="str">
        <f t="shared" si="88"/>
        <v>43000</v>
      </c>
      <c r="D340" t="str">
        <f t="shared" si="86"/>
        <v>5740</v>
      </c>
      <c r="E340" t="str">
        <f t="shared" si="87"/>
        <v>850LOS</v>
      </c>
      <c r="F340" t="str">
        <f>""</f>
        <v/>
      </c>
      <c r="G340" t="str">
        <f>""</f>
        <v/>
      </c>
      <c r="H340" s="1">
        <v>42535</v>
      </c>
      <c r="I340" t="str">
        <f t="shared" si="89"/>
        <v>ACG02686</v>
      </c>
      <c r="J340" t="str">
        <f>"W0158786"</f>
        <v>W0158786</v>
      </c>
      <c r="K340" t="str">
        <f t="shared" si="90"/>
        <v>AS96</v>
      </c>
      <c r="L340" t="s">
        <v>3004</v>
      </c>
      <c r="M340">
        <v>310.24</v>
      </c>
    </row>
    <row r="341" spans="1:13" x14ac:dyDescent="0.25">
      <c r="A341" t="str">
        <f t="shared" si="85"/>
        <v>E160</v>
      </c>
      <c r="B341">
        <v>1</v>
      </c>
      <c r="C341" t="str">
        <f t="shared" si="88"/>
        <v>43000</v>
      </c>
      <c r="D341" t="str">
        <f t="shared" si="86"/>
        <v>5740</v>
      </c>
      <c r="E341" t="str">
        <f t="shared" si="87"/>
        <v>850LOS</v>
      </c>
      <c r="F341" t="str">
        <f>""</f>
        <v/>
      </c>
      <c r="G341" t="str">
        <f>""</f>
        <v/>
      </c>
      <c r="H341" s="1">
        <v>42535</v>
      </c>
      <c r="I341" t="str">
        <f t="shared" si="89"/>
        <v>ACG02686</v>
      </c>
      <c r="J341" t="str">
        <f>"W0158948"</f>
        <v>W0158948</v>
      </c>
      <c r="K341" t="str">
        <f t="shared" si="90"/>
        <v>AS96</v>
      </c>
      <c r="L341" t="s">
        <v>3003</v>
      </c>
      <c r="M341">
        <v>395.6</v>
      </c>
    </row>
    <row r="342" spans="1:13" x14ac:dyDescent="0.25">
      <c r="A342" t="str">
        <f t="shared" si="85"/>
        <v>E160</v>
      </c>
      <c r="B342">
        <v>1</v>
      </c>
      <c r="C342" t="str">
        <f t="shared" si="88"/>
        <v>43000</v>
      </c>
      <c r="D342" t="str">
        <f t="shared" si="86"/>
        <v>5740</v>
      </c>
      <c r="E342" t="str">
        <f t="shared" ref="E342:E358" si="91">"850PAY"</f>
        <v>850PAY</v>
      </c>
      <c r="F342" t="str">
        <f>""</f>
        <v/>
      </c>
      <c r="G342" t="str">
        <f>""</f>
        <v/>
      </c>
      <c r="H342" s="1">
        <v>42430</v>
      </c>
      <c r="I342" t="str">
        <f>"PHY00664"</f>
        <v>PHY00664</v>
      </c>
      <c r="J342" t="str">
        <f>"W0158990"</f>
        <v>W0158990</v>
      </c>
      <c r="K342" t="str">
        <f t="shared" ref="K342:K347" si="92">"AS89"</f>
        <v>AS89</v>
      </c>
      <c r="L342" t="s">
        <v>2808</v>
      </c>
      <c r="M342" s="2">
        <v>3057.35</v>
      </c>
    </row>
    <row r="343" spans="1:13" x14ac:dyDescent="0.25">
      <c r="A343" t="str">
        <f t="shared" si="85"/>
        <v>E160</v>
      </c>
      <c r="B343">
        <v>1</v>
      </c>
      <c r="C343" t="str">
        <f t="shared" si="88"/>
        <v>43000</v>
      </c>
      <c r="D343" t="str">
        <f t="shared" si="86"/>
        <v>5740</v>
      </c>
      <c r="E343" t="str">
        <f t="shared" si="91"/>
        <v>850PAY</v>
      </c>
      <c r="F343" t="str">
        <f>""</f>
        <v/>
      </c>
      <c r="G343" t="str">
        <f>""</f>
        <v/>
      </c>
      <c r="H343" s="1">
        <v>42430</v>
      </c>
      <c r="I343" t="str">
        <f>"PHY00664"</f>
        <v>PHY00664</v>
      </c>
      <c r="J343" t="str">
        <f>"W0158992"</f>
        <v>W0158992</v>
      </c>
      <c r="K343" t="str">
        <f t="shared" si="92"/>
        <v>AS89</v>
      </c>
      <c r="L343" t="s">
        <v>2810</v>
      </c>
      <c r="M343">
        <v>140.63999999999999</v>
      </c>
    </row>
    <row r="344" spans="1:13" x14ac:dyDescent="0.25">
      <c r="A344" t="str">
        <f t="shared" si="85"/>
        <v>E160</v>
      </c>
      <c r="B344">
        <v>1</v>
      </c>
      <c r="C344" t="str">
        <f t="shared" si="88"/>
        <v>43000</v>
      </c>
      <c r="D344" t="str">
        <f t="shared" si="86"/>
        <v>5740</v>
      </c>
      <c r="E344" t="str">
        <f t="shared" si="91"/>
        <v>850PAY</v>
      </c>
      <c r="F344" t="str">
        <f>""</f>
        <v/>
      </c>
      <c r="G344" t="str">
        <f>""</f>
        <v/>
      </c>
      <c r="H344" s="1">
        <v>42430</v>
      </c>
      <c r="I344" t="str">
        <f>"PHY00664"</f>
        <v>PHY00664</v>
      </c>
      <c r="J344" t="str">
        <f>"W0158996"</f>
        <v>W0158996</v>
      </c>
      <c r="K344" t="str">
        <f t="shared" si="92"/>
        <v>AS89</v>
      </c>
      <c r="L344" t="s">
        <v>2809</v>
      </c>
      <c r="M344">
        <v>410.65</v>
      </c>
    </row>
    <row r="345" spans="1:13" x14ac:dyDescent="0.25">
      <c r="A345" t="str">
        <f t="shared" si="85"/>
        <v>E160</v>
      </c>
      <c r="B345">
        <v>1</v>
      </c>
      <c r="C345" t="str">
        <f t="shared" si="88"/>
        <v>43000</v>
      </c>
      <c r="D345" t="str">
        <f t="shared" si="86"/>
        <v>5740</v>
      </c>
      <c r="E345" t="str">
        <f t="shared" si="91"/>
        <v>850PAY</v>
      </c>
      <c r="F345" t="str">
        <f>""</f>
        <v/>
      </c>
      <c r="G345" t="str">
        <f>""</f>
        <v/>
      </c>
      <c r="H345" s="1">
        <v>42430</v>
      </c>
      <c r="I345" t="str">
        <f>"PHY00664"</f>
        <v>PHY00664</v>
      </c>
      <c r="J345" t="str">
        <f>"W0161174"</f>
        <v>W0161174</v>
      </c>
      <c r="K345" t="str">
        <f t="shared" si="92"/>
        <v>AS89</v>
      </c>
      <c r="L345" t="s">
        <v>710</v>
      </c>
      <c r="M345">
        <v>632.88</v>
      </c>
    </row>
    <row r="346" spans="1:13" x14ac:dyDescent="0.25">
      <c r="A346" t="str">
        <f t="shared" si="85"/>
        <v>E160</v>
      </c>
      <c r="B346">
        <v>1</v>
      </c>
      <c r="C346" t="str">
        <f t="shared" si="88"/>
        <v>43000</v>
      </c>
      <c r="D346" t="str">
        <f t="shared" si="86"/>
        <v>5740</v>
      </c>
      <c r="E346" t="str">
        <f t="shared" si="91"/>
        <v>850PAY</v>
      </c>
      <c r="F346" t="str">
        <f>""</f>
        <v/>
      </c>
      <c r="G346" t="str">
        <f>""</f>
        <v/>
      </c>
      <c r="H346" s="1">
        <v>42461</v>
      </c>
      <c r="I346" t="str">
        <f>"PHY00665"</f>
        <v>PHY00665</v>
      </c>
      <c r="J346" t="str">
        <f>"W0158990"</f>
        <v>W0158990</v>
      </c>
      <c r="K346" t="str">
        <f t="shared" si="92"/>
        <v>AS89</v>
      </c>
      <c r="L346" t="s">
        <v>2808</v>
      </c>
      <c r="M346">
        <v>175.8</v>
      </c>
    </row>
    <row r="347" spans="1:13" x14ac:dyDescent="0.25">
      <c r="A347" t="str">
        <f t="shared" si="85"/>
        <v>E160</v>
      </c>
      <c r="B347">
        <v>1</v>
      </c>
      <c r="C347" t="str">
        <f t="shared" si="88"/>
        <v>43000</v>
      </c>
      <c r="D347" t="str">
        <f t="shared" si="86"/>
        <v>5740</v>
      </c>
      <c r="E347" t="str">
        <f t="shared" si="91"/>
        <v>850PAY</v>
      </c>
      <c r="F347" t="str">
        <f>""</f>
        <v/>
      </c>
      <c r="G347" t="str">
        <f>""</f>
        <v/>
      </c>
      <c r="H347" s="1">
        <v>42522</v>
      </c>
      <c r="I347" t="str">
        <f>"PHY00667"</f>
        <v>PHY00667</v>
      </c>
      <c r="J347" t="str">
        <f>"W0158990"</f>
        <v>W0158990</v>
      </c>
      <c r="K347" t="str">
        <f t="shared" si="92"/>
        <v>AS89</v>
      </c>
      <c r="L347" t="s">
        <v>2808</v>
      </c>
      <c r="M347" s="2">
        <v>1054.8</v>
      </c>
    </row>
    <row r="348" spans="1:13" x14ac:dyDescent="0.25">
      <c r="A348" t="str">
        <f t="shared" si="85"/>
        <v>E160</v>
      </c>
      <c r="B348">
        <v>1</v>
      </c>
      <c r="C348" t="str">
        <f t="shared" si="88"/>
        <v>43000</v>
      </c>
      <c r="D348" t="str">
        <f t="shared" si="86"/>
        <v>5740</v>
      </c>
      <c r="E348" t="str">
        <f t="shared" si="91"/>
        <v>850PAY</v>
      </c>
      <c r="F348" t="str">
        <f>""</f>
        <v/>
      </c>
      <c r="G348" t="str">
        <f>""</f>
        <v/>
      </c>
      <c r="H348" s="1">
        <v>42535</v>
      </c>
      <c r="I348" t="str">
        <f t="shared" ref="I348:I358" si="93">"ACG02686"</f>
        <v>ACG02686</v>
      </c>
      <c r="J348" t="str">
        <f>"W0158990"</f>
        <v>W0158990</v>
      </c>
      <c r="K348" t="str">
        <f t="shared" ref="K348:K358" si="94">"AS96"</f>
        <v>AS96</v>
      </c>
      <c r="L348" t="s">
        <v>2808</v>
      </c>
      <c r="M348" s="2">
        <v>3485.39</v>
      </c>
    </row>
    <row r="349" spans="1:13" x14ac:dyDescent="0.25">
      <c r="A349" t="str">
        <f t="shared" si="85"/>
        <v>E160</v>
      </c>
      <c r="B349">
        <v>1</v>
      </c>
      <c r="C349" t="str">
        <f t="shared" si="88"/>
        <v>43000</v>
      </c>
      <c r="D349" t="str">
        <f t="shared" si="86"/>
        <v>5740</v>
      </c>
      <c r="E349" t="str">
        <f t="shared" si="91"/>
        <v>850PAY</v>
      </c>
      <c r="F349" t="str">
        <f>""</f>
        <v/>
      </c>
      <c r="G349" t="str">
        <f>""</f>
        <v/>
      </c>
      <c r="H349" s="1">
        <v>42535</v>
      </c>
      <c r="I349" t="str">
        <f t="shared" si="93"/>
        <v>ACG02686</v>
      </c>
      <c r="J349" t="str">
        <f>"W0158990"</f>
        <v>W0158990</v>
      </c>
      <c r="K349" t="str">
        <f t="shared" si="94"/>
        <v>AS96</v>
      </c>
      <c r="L349" t="s">
        <v>2808</v>
      </c>
      <c r="M349" s="2">
        <v>4076.63</v>
      </c>
    </row>
    <row r="350" spans="1:13" x14ac:dyDescent="0.25">
      <c r="A350" t="str">
        <f t="shared" si="85"/>
        <v>E160</v>
      </c>
      <c r="B350">
        <v>1</v>
      </c>
      <c r="C350" t="str">
        <f t="shared" si="88"/>
        <v>43000</v>
      </c>
      <c r="D350" t="str">
        <f t="shared" si="86"/>
        <v>5740</v>
      </c>
      <c r="E350" t="str">
        <f t="shared" si="91"/>
        <v>850PAY</v>
      </c>
      <c r="F350" t="str">
        <f>""</f>
        <v/>
      </c>
      <c r="G350" t="str">
        <f>""</f>
        <v/>
      </c>
      <c r="H350" s="1">
        <v>42535</v>
      </c>
      <c r="I350" t="str">
        <f t="shared" si="93"/>
        <v>ACG02686</v>
      </c>
      <c r="J350" t="str">
        <f>"W0158991"</f>
        <v>W0158991</v>
      </c>
      <c r="K350" t="str">
        <f t="shared" si="94"/>
        <v>AS96</v>
      </c>
      <c r="L350" t="s">
        <v>2812</v>
      </c>
      <c r="M350" s="2">
        <v>1089.46</v>
      </c>
    </row>
    <row r="351" spans="1:13" x14ac:dyDescent="0.25">
      <c r="A351" t="str">
        <f t="shared" si="85"/>
        <v>E160</v>
      </c>
      <c r="B351">
        <v>1</v>
      </c>
      <c r="C351" t="str">
        <f t="shared" si="88"/>
        <v>43000</v>
      </c>
      <c r="D351" t="str">
        <f t="shared" si="86"/>
        <v>5740</v>
      </c>
      <c r="E351" t="str">
        <f t="shared" si="91"/>
        <v>850PAY</v>
      </c>
      <c r="F351" t="str">
        <f>""</f>
        <v/>
      </c>
      <c r="G351" t="str">
        <f>""</f>
        <v/>
      </c>
      <c r="H351" s="1">
        <v>42535</v>
      </c>
      <c r="I351" t="str">
        <f t="shared" si="93"/>
        <v>ACG02686</v>
      </c>
      <c r="J351" t="str">
        <f>"W0158991"</f>
        <v>W0158991</v>
      </c>
      <c r="K351" t="str">
        <f t="shared" si="94"/>
        <v>AS96</v>
      </c>
      <c r="L351" t="s">
        <v>2812</v>
      </c>
      <c r="M351">
        <v>527.38</v>
      </c>
    </row>
    <row r="352" spans="1:13" x14ac:dyDescent="0.25">
      <c r="A352" t="str">
        <f t="shared" si="85"/>
        <v>E160</v>
      </c>
      <c r="B352">
        <v>1</v>
      </c>
      <c r="C352" t="str">
        <f t="shared" si="88"/>
        <v>43000</v>
      </c>
      <c r="D352" t="str">
        <f t="shared" si="86"/>
        <v>5740</v>
      </c>
      <c r="E352" t="str">
        <f t="shared" si="91"/>
        <v>850PAY</v>
      </c>
      <c r="F352" t="str">
        <f>""</f>
        <v/>
      </c>
      <c r="G352" t="str">
        <f>""</f>
        <v/>
      </c>
      <c r="H352" s="1">
        <v>42535</v>
      </c>
      <c r="I352" t="str">
        <f t="shared" si="93"/>
        <v>ACG02686</v>
      </c>
      <c r="J352" t="str">
        <f>"W0158992"</f>
        <v>W0158992</v>
      </c>
      <c r="K352" t="str">
        <f t="shared" si="94"/>
        <v>AS96</v>
      </c>
      <c r="L352" t="s">
        <v>2810</v>
      </c>
      <c r="M352">
        <v>614.6</v>
      </c>
    </row>
    <row r="353" spans="1:13" x14ac:dyDescent="0.25">
      <c r="A353" t="str">
        <f t="shared" si="85"/>
        <v>E160</v>
      </c>
      <c r="B353">
        <v>1</v>
      </c>
      <c r="C353" t="str">
        <f t="shared" si="88"/>
        <v>43000</v>
      </c>
      <c r="D353" t="str">
        <f t="shared" si="86"/>
        <v>5740</v>
      </c>
      <c r="E353" t="str">
        <f t="shared" si="91"/>
        <v>850PAY</v>
      </c>
      <c r="F353" t="str">
        <f>""</f>
        <v/>
      </c>
      <c r="G353" t="str">
        <f>""</f>
        <v/>
      </c>
      <c r="H353" s="1">
        <v>42535</v>
      </c>
      <c r="I353" t="str">
        <f t="shared" si="93"/>
        <v>ACG02686</v>
      </c>
      <c r="J353" t="str">
        <f>"W0158992"</f>
        <v>W0158992</v>
      </c>
      <c r="K353" t="str">
        <f t="shared" si="94"/>
        <v>AS96</v>
      </c>
      <c r="L353" t="s">
        <v>2810</v>
      </c>
      <c r="M353" s="2">
        <v>1825.51</v>
      </c>
    </row>
    <row r="354" spans="1:13" x14ac:dyDescent="0.25">
      <c r="A354" t="str">
        <f t="shared" si="85"/>
        <v>E160</v>
      </c>
      <c r="B354">
        <v>1</v>
      </c>
      <c r="C354" t="str">
        <f t="shared" si="88"/>
        <v>43000</v>
      </c>
      <c r="D354" t="str">
        <f t="shared" si="86"/>
        <v>5740</v>
      </c>
      <c r="E354" t="str">
        <f t="shared" si="91"/>
        <v>850PAY</v>
      </c>
      <c r="F354" t="str">
        <f>""</f>
        <v/>
      </c>
      <c r="G354" t="str">
        <f>""</f>
        <v/>
      </c>
      <c r="H354" s="1">
        <v>42535</v>
      </c>
      <c r="I354" t="str">
        <f t="shared" si="93"/>
        <v>ACG02686</v>
      </c>
      <c r="J354" t="str">
        <f>"W0158996"</f>
        <v>W0158996</v>
      </c>
      <c r="K354" t="str">
        <f t="shared" si="94"/>
        <v>AS96</v>
      </c>
      <c r="L354" t="s">
        <v>2809</v>
      </c>
      <c r="M354" s="2">
        <v>2486.54</v>
      </c>
    </row>
    <row r="355" spans="1:13" x14ac:dyDescent="0.25">
      <c r="A355" t="str">
        <f t="shared" ref="A355:A377" si="95">"E160"</f>
        <v>E160</v>
      </c>
      <c r="B355">
        <v>1</v>
      </c>
      <c r="C355" t="str">
        <f t="shared" si="88"/>
        <v>43000</v>
      </c>
      <c r="D355" t="str">
        <f t="shared" si="86"/>
        <v>5740</v>
      </c>
      <c r="E355" t="str">
        <f t="shared" si="91"/>
        <v>850PAY</v>
      </c>
      <c r="F355" t="str">
        <f>""</f>
        <v/>
      </c>
      <c r="G355" t="str">
        <f>""</f>
        <v/>
      </c>
      <c r="H355" s="1">
        <v>42535</v>
      </c>
      <c r="I355" t="str">
        <f t="shared" si="93"/>
        <v>ACG02686</v>
      </c>
      <c r="J355" t="str">
        <f>"W0158997"</f>
        <v>W0158997</v>
      </c>
      <c r="K355" t="str">
        <f t="shared" si="94"/>
        <v>AS96</v>
      </c>
      <c r="L355" t="s">
        <v>2813</v>
      </c>
      <c r="M355">
        <v>405</v>
      </c>
    </row>
    <row r="356" spans="1:13" x14ac:dyDescent="0.25">
      <c r="A356" t="str">
        <f t="shared" si="95"/>
        <v>E160</v>
      </c>
      <c r="B356">
        <v>1</v>
      </c>
      <c r="C356" t="str">
        <f t="shared" si="88"/>
        <v>43000</v>
      </c>
      <c r="D356" t="str">
        <f t="shared" si="86"/>
        <v>5740</v>
      </c>
      <c r="E356" t="str">
        <f t="shared" si="91"/>
        <v>850PAY</v>
      </c>
      <c r="F356" t="str">
        <f>""</f>
        <v/>
      </c>
      <c r="G356" t="str">
        <f>""</f>
        <v/>
      </c>
      <c r="H356" s="1">
        <v>42535</v>
      </c>
      <c r="I356" t="str">
        <f t="shared" si="93"/>
        <v>ACG02686</v>
      </c>
      <c r="J356" t="str">
        <f>"W0158999"</f>
        <v>W0158999</v>
      </c>
      <c r="K356" t="str">
        <f t="shared" si="94"/>
        <v>AS96</v>
      </c>
      <c r="L356" t="s">
        <v>2811</v>
      </c>
      <c r="M356" s="2">
        <v>1703.96</v>
      </c>
    </row>
    <row r="357" spans="1:13" x14ac:dyDescent="0.25">
      <c r="A357" t="str">
        <f t="shared" si="95"/>
        <v>E160</v>
      </c>
      <c r="B357">
        <v>1</v>
      </c>
      <c r="C357" t="str">
        <f t="shared" si="88"/>
        <v>43000</v>
      </c>
      <c r="D357" t="str">
        <f t="shared" si="86"/>
        <v>5740</v>
      </c>
      <c r="E357" t="str">
        <f t="shared" si="91"/>
        <v>850PAY</v>
      </c>
      <c r="F357" t="str">
        <f>""</f>
        <v/>
      </c>
      <c r="G357" t="str">
        <f>""</f>
        <v/>
      </c>
      <c r="H357" s="1">
        <v>42535</v>
      </c>
      <c r="I357" t="str">
        <f t="shared" si="93"/>
        <v>ACG02686</v>
      </c>
      <c r="J357" t="str">
        <f>"W0158999"</f>
        <v>W0158999</v>
      </c>
      <c r="K357" t="str">
        <f t="shared" si="94"/>
        <v>AS96</v>
      </c>
      <c r="L357" t="s">
        <v>2811</v>
      </c>
      <c r="M357" s="2">
        <v>1652.5</v>
      </c>
    </row>
    <row r="358" spans="1:13" x14ac:dyDescent="0.25">
      <c r="A358" t="str">
        <f t="shared" si="95"/>
        <v>E160</v>
      </c>
      <c r="B358">
        <v>1</v>
      </c>
      <c r="C358" t="str">
        <f t="shared" si="88"/>
        <v>43000</v>
      </c>
      <c r="D358" t="str">
        <f t="shared" si="86"/>
        <v>5740</v>
      </c>
      <c r="E358" t="str">
        <f t="shared" si="91"/>
        <v>850PAY</v>
      </c>
      <c r="F358" t="str">
        <f>""</f>
        <v/>
      </c>
      <c r="G358" t="str">
        <f>""</f>
        <v/>
      </c>
      <c r="H358" s="1">
        <v>42535</v>
      </c>
      <c r="I358" t="str">
        <f t="shared" si="93"/>
        <v>ACG02686</v>
      </c>
      <c r="J358" t="str">
        <f>"W0159000"</f>
        <v>W0159000</v>
      </c>
      <c r="K358" t="str">
        <f t="shared" si="94"/>
        <v>AS96</v>
      </c>
      <c r="L358" t="s">
        <v>2819</v>
      </c>
      <c r="M358" s="2">
        <v>2076.06</v>
      </c>
    </row>
    <row r="359" spans="1:13" x14ac:dyDescent="0.25">
      <c r="A359" t="str">
        <f t="shared" si="95"/>
        <v>E160</v>
      </c>
      <c r="B359">
        <v>1</v>
      </c>
      <c r="C359" t="str">
        <f t="shared" si="88"/>
        <v>43000</v>
      </c>
      <c r="D359" t="str">
        <f t="shared" si="86"/>
        <v>5740</v>
      </c>
      <c r="E359" t="str">
        <f t="shared" ref="E359:E377" si="96">"850PKE"</f>
        <v>850PKE</v>
      </c>
      <c r="F359" t="str">
        <f>""</f>
        <v/>
      </c>
      <c r="G359" t="str">
        <f>""</f>
        <v/>
      </c>
      <c r="H359" s="1">
        <v>42186</v>
      </c>
      <c r="I359" t="str">
        <f>"PHY00656"</f>
        <v>PHY00656</v>
      </c>
      <c r="J359" t="str">
        <f>"W0145493"</f>
        <v>W0145493</v>
      </c>
      <c r="K359" t="str">
        <f t="shared" ref="K359:K369" si="97">"AS89"</f>
        <v>AS89</v>
      </c>
      <c r="L359" t="s">
        <v>3002</v>
      </c>
      <c r="M359">
        <v>266.45999999999998</v>
      </c>
    </row>
    <row r="360" spans="1:13" x14ac:dyDescent="0.25">
      <c r="A360" t="str">
        <f t="shared" si="95"/>
        <v>E160</v>
      </c>
      <c r="B360">
        <v>1</v>
      </c>
      <c r="C360" t="str">
        <f t="shared" si="88"/>
        <v>43000</v>
      </c>
      <c r="D360" t="str">
        <f t="shared" si="86"/>
        <v>5740</v>
      </c>
      <c r="E360" t="str">
        <f t="shared" si="96"/>
        <v>850PKE</v>
      </c>
      <c r="F360" t="str">
        <f>""</f>
        <v/>
      </c>
      <c r="G360" t="str">
        <f>""</f>
        <v/>
      </c>
      <c r="H360" s="1">
        <v>42217</v>
      </c>
      <c r="I360" t="str">
        <f>"PHY00657"</f>
        <v>PHY00657</v>
      </c>
      <c r="J360" t="str">
        <f>"W0146400"</f>
        <v>W0146400</v>
      </c>
      <c r="K360" t="str">
        <f t="shared" si="97"/>
        <v>AS89</v>
      </c>
      <c r="L360" t="s">
        <v>3001</v>
      </c>
      <c r="M360">
        <v>572.19000000000005</v>
      </c>
    </row>
    <row r="361" spans="1:13" x14ac:dyDescent="0.25">
      <c r="A361" t="str">
        <f t="shared" si="95"/>
        <v>E160</v>
      </c>
      <c r="B361">
        <v>1</v>
      </c>
      <c r="C361" t="str">
        <f t="shared" si="88"/>
        <v>43000</v>
      </c>
      <c r="D361" t="str">
        <f t="shared" ref="D361:D377" si="98">"5740"</f>
        <v>5740</v>
      </c>
      <c r="E361" t="str">
        <f t="shared" si="96"/>
        <v>850PKE</v>
      </c>
      <c r="F361" t="str">
        <f>""</f>
        <v/>
      </c>
      <c r="G361" t="str">
        <f>""</f>
        <v/>
      </c>
      <c r="H361" s="1">
        <v>42217</v>
      </c>
      <c r="I361" t="str">
        <f>"PHY00657"</f>
        <v>PHY00657</v>
      </c>
      <c r="J361" t="str">
        <f>"W0150164"</f>
        <v>W0150164</v>
      </c>
      <c r="K361" t="str">
        <f t="shared" si="97"/>
        <v>AS89</v>
      </c>
      <c r="L361" t="s">
        <v>3000</v>
      </c>
      <c r="M361">
        <v>201.36</v>
      </c>
    </row>
    <row r="362" spans="1:13" x14ac:dyDescent="0.25">
      <c r="A362" t="str">
        <f t="shared" si="95"/>
        <v>E160</v>
      </c>
      <c r="B362">
        <v>1</v>
      </c>
      <c r="C362" t="str">
        <f t="shared" si="88"/>
        <v>43000</v>
      </c>
      <c r="D362" t="str">
        <f t="shared" si="98"/>
        <v>5740</v>
      </c>
      <c r="E362" t="str">
        <f t="shared" si="96"/>
        <v>850PKE</v>
      </c>
      <c r="F362" t="str">
        <f>""</f>
        <v/>
      </c>
      <c r="G362" t="str">
        <f>""</f>
        <v/>
      </c>
      <c r="H362" s="1">
        <v>42248</v>
      </c>
      <c r="I362" t="str">
        <f>"PHY00658"</f>
        <v>PHY00658</v>
      </c>
      <c r="J362" t="str">
        <f>"W0002153"</f>
        <v>W0002153</v>
      </c>
      <c r="K362" t="str">
        <f t="shared" si="97"/>
        <v>AS89</v>
      </c>
      <c r="L362" t="s">
        <v>719</v>
      </c>
      <c r="M362">
        <v>457.07</v>
      </c>
    </row>
    <row r="363" spans="1:13" x14ac:dyDescent="0.25">
      <c r="A363" t="str">
        <f t="shared" si="95"/>
        <v>E160</v>
      </c>
      <c r="B363">
        <v>1</v>
      </c>
      <c r="C363" t="str">
        <f t="shared" si="88"/>
        <v>43000</v>
      </c>
      <c r="D363" t="str">
        <f t="shared" si="98"/>
        <v>5740</v>
      </c>
      <c r="E363" t="str">
        <f t="shared" si="96"/>
        <v>850PKE</v>
      </c>
      <c r="F363" t="str">
        <f>""</f>
        <v/>
      </c>
      <c r="G363" t="str">
        <f>""</f>
        <v/>
      </c>
      <c r="H363" s="1">
        <v>42278</v>
      </c>
      <c r="I363" t="str">
        <f>"PHY00659"</f>
        <v>PHY00659</v>
      </c>
      <c r="J363" t="str">
        <f>"W0155331"</f>
        <v>W0155331</v>
      </c>
      <c r="K363" t="str">
        <f t="shared" si="97"/>
        <v>AS89</v>
      </c>
      <c r="L363" t="s">
        <v>1819</v>
      </c>
      <c r="M363">
        <v>207.45</v>
      </c>
    </row>
    <row r="364" spans="1:13" x14ac:dyDescent="0.25">
      <c r="A364" t="str">
        <f t="shared" si="95"/>
        <v>E160</v>
      </c>
      <c r="B364">
        <v>1</v>
      </c>
      <c r="C364" t="str">
        <f t="shared" si="88"/>
        <v>43000</v>
      </c>
      <c r="D364" t="str">
        <f t="shared" si="98"/>
        <v>5740</v>
      </c>
      <c r="E364" t="str">
        <f t="shared" si="96"/>
        <v>850PKE</v>
      </c>
      <c r="F364" t="str">
        <f>""</f>
        <v/>
      </c>
      <c r="G364" t="str">
        <f>""</f>
        <v/>
      </c>
      <c r="H364" s="1">
        <v>42430</v>
      </c>
      <c r="I364" t="str">
        <f>"PHY00664"</f>
        <v>PHY00664</v>
      </c>
      <c r="J364" t="str">
        <f>"W0163038"</f>
        <v>W0163038</v>
      </c>
      <c r="K364" t="str">
        <f t="shared" si="97"/>
        <v>AS89</v>
      </c>
      <c r="L364" t="s">
        <v>2994</v>
      </c>
      <c r="M364">
        <v>831.16</v>
      </c>
    </row>
    <row r="365" spans="1:13" x14ac:dyDescent="0.25">
      <c r="A365" t="str">
        <f t="shared" si="95"/>
        <v>E160</v>
      </c>
      <c r="B365">
        <v>1</v>
      </c>
      <c r="C365" t="str">
        <f t="shared" si="88"/>
        <v>43000</v>
      </c>
      <c r="D365" t="str">
        <f t="shared" si="98"/>
        <v>5740</v>
      </c>
      <c r="E365" t="str">
        <f t="shared" si="96"/>
        <v>850PKE</v>
      </c>
      <c r="F365" t="str">
        <f>""</f>
        <v/>
      </c>
      <c r="G365" t="str">
        <f>""</f>
        <v/>
      </c>
      <c r="H365" s="1">
        <v>42430</v>
      </c>
      <c r="I365" t="str">
        <f>"PHY00664"</f>
        <v>PHY00664</v>
      </c>
      <c r="J365" t="str">
        <f>"W0164498"</f>
        <v>W0164498</v>
      </c>
      <c r="K365" t="str">
        <f t="shared" si="97"/>
        <v>AS89</v>
      </c>
      <c r="L365" t="s">
        <v>2999</v>
      </c>
      <c r="M365">
        <v>480.32</v>
      </c>
    </row>
    <row r="366" spans="1:13" x14ac:dyDescent="0.25">
      <c r="A366" t="str">
        <f t="shared" si="95"/>
        <v>E160</v>
      </c>
      <c r="B366">
        <v>1</v>
      </c>
      <c r="C366" t="str">
        <f t="shared" si="88"/>
        <v>43000</v>
      </c>
      <c r="D366" t="str">
        <f t="shared" si="98"/>
        <v>5740</v>
      </c>
      <c r="E366" t="str">
        <f t="shared" si="96"/>
        <v>850PKE</v>
      </c>
      <c r="F366" t="str">
        <f>""</f>
        <v/>
      </c>
      <c r="G366" t="str">
        <f>""</f>
        <v/>
      </c>
      <c r="H366" s="1">
        <v>42491</v>
      </c>
      <c r="I366" t="str">
        <f>"PHY00666"</f>
        <v>PHY00666</v>
      </c>
      <c r="J366" t="str">
        <f>"W0166530"</f>
        <v>W0166530</v>
      </c>
      <c r="K366" t="str">
        <f t="shared" si="97"/>
        <v>AS89</v>
      </c>
      <c r="L366" t="s">
        <v>1819</v>
      </c>
      <c r="M366">
        <v>297.35000000000002</v>
      </c>
    </row>
    <row r="367" spans="1:13" x14ac:dyDescent="0.25">
      <c r="A367" t="str">
        <f t="shared" si="95"/>
        <v>E160</v>
      </c>
      <c r="B367">
        <v>1</v>
      </c>
      <c r="C367" t="str">
        <f t="shared" ref="C367:C377" si="99">"43000"</f>
        <v>43000</v>
      </c>
      <c r="D367" t="str">
        <f t="shared" si="98"/>
        <v>5740</v>
      </c>
      <c r="E367" t="str">
        <f t="shared" si="96"/>
        <v>850PKE</v>
      </c>
      <c r="F367" t="str">
        <f>""</f>
        <v/>
      </c>
      <c r="G367" t="str">
        <f>""</f>
        <v/>
      </c>
      <c r="H367" s="1">
        <v>42522</v>
      </c>
      <c r="I367" t="str">
        <f>"PHY00667"</f>
        <v>PHY00667</v>
      </c>
      <c r="J367" t="str">
        <f>"W0169781"</f>
        <v>W0169781</v>
      </c>
      <c r="K367" t="str">
        <f t="shared" si="97"/>
        <v>AS89</v>
      </c>
      <c r="L367" t="s">
        <v>2800</v>
      </c>
      <c r="M367" s="2">
        <v>4651.33</v>
      </c>
    </row>
    <row r="368" spans="1:13" x14ac:dyDescent="0.25">
      <c r="A368" t="str">
        <f t="shared" si="95"/>
        <v>E160</v>
      </c>
      <c r="B368">
        <v>1</v>
      </c>
      <c r="C368" t="str">
        <f t="shared" si="99"/>
        <v>43000</v>
      </c>
      <c r="D368" t="str">
        <f t="shared" si="98"/>
        <v>5740</v>
      </c>
      <c r="E368" t="str">
        <f t="shared" si="96"/>
        <v>850PKE</v>
      </c>
      <c r="F368" t="str">
        <f>""</f>
        <v/>
      </c>
      <c r="G368" t="str">
        <f>""</f>
        <v/>
      </c>
      <c r="H368" s="1">
        <v>42522</v>
      </c>
      <c r="I368" t="str">
        <f>"PHY00667"</f>
        <v>PHY00667</v>
      </c>
      <c r="J368" t="str">
        <f>"W0169782"</f>
        <v>W0169782</v>
      </c>
      <c r="K368" t="str">
        <f t="shared" si="97"/>
        <v>AS89</v>
      </c>
      <c r="L368" t="s">
        <v>2798</v>
      </c>
      <c r="M368">
        <v>170</v>
      </c>
    </row>
    <row r="369" spans="1:13" x14ac:dyDescent="0.25">
      <c r="A369" t="str">
        <f t="shared" si="95"/>
        <v>E160</v>
      </c>
      <c r="B369">
        <v>1</v>
      </c>
      <c r="C369" t="str">
        <f t="shared" si="99"/>
        <v>43000</v>
      </c>
      <c r="D369" t="str">
        <f t="shared" si="98"/>
        <v>5740</v>
      </c>
      <c r="E369" t="str">
        <f t="shared" si="96"/>
        <v>850PKE</v>
      </c>
      <c r="F369" t="str">
        <f>""</f>
        <v/>
      </c>
      <c r="G369" t="str">
        <f>""</f>
        <v/>
      </c>
      <c r="H369" s="1">
        <v>42522</v>
      </c>
      <c r="I369" t="str">
        <f>"PHY00667"</f>
        <v>PHY00667</v>
      </c>
      <c r="J369" t="str">
        <f>"W0169783"</f>
        <v>W0169783</v>
      </c>
      <c r="K369" t="str">
        <f t="shared" si="97"/>
        <v>AS89</v>
      </c>
      <c r="L369" t="s">
        <v>2801</v>
      </c>
      <c r="M369">
        <v>948.04</v>
      </c>
    </row>
    <row r="370" spans="1:13" x14ac:dyDescent="0.25">
      <c r="A370" t="str">
        <f t="shared" si="95"/>
        <v>E160</v>
      </c>
      <c r="B370">
        <v>1</v>
      </c>
      <c r="C370" t="str">
        <f t="shared" si="99"/>
        <v>43000</v>
      </c>
      <c r="D370" t="str">
        <f t="shared" si="98"/>
        <v>5740</v>
      </c>
      <c r="E370" t="str">
        <f t="shared" si="96"/>
        <v>850PKE</v>
      </c>
      <c r="F370" t="str">
        <f>""</f>
        <v/>
      </c>
      <c r="G370" t="str">
        <f>""</f>
        <v/>
      </c>
      <c r="H370" s="1">
        <v>42535</v>
      </c>
      <c r="I370" t="str">
        <f t="shared" ref="I370:I377" si="100">"ACG02686"</f>
        <v>ACG02686</v>
      </c>
      <c r="J370" t="str">
        <f>"W0151900"</f>
        <v>W0151900</v>
      </c>
      <c r="K370" t="str">
        <f t="shared" ref="K370:K377" si="101">"AS96"</f>
        <v>AS96</v>
      </c>
      <c r="L370" t="s">
        <v>2403</v>
      </c>
      <c r="M370">
        <v>766.91</v>
      </c>
    </row>
    <row r="371" spans="1:13" x14ac:dyDescent="0.25">
      <c r="A371" t="str">
        <f t="shared" si="95"/>
        <v>E160</v>
      </c>
      <c r="B371">
        <v>1</v>
      </c>
      <c r="C371" t="str">
        <f t="shared" si="99"/>
        <v>43000</v>
      </c>
      <c r="D371" t="str">
        <f t="shared" si="98"/>
        <v>5740</v>
      </c>
      <c r="E371" t="str">
        <f t="shared" si="96"/>
        <v>850PKE</v>
      </c>
      <c r="F371" t="str">
        <f>""</f>
        <v/>
      </c>
      <c r="G371" t="str">
        <f>""</f>
        <v/>
      </c>
      <c r="H371" s="1">
        <v>42535</v>
      </c>
      <c r="I371" t="str">
        <f t="shared" si="100"/>
        <v>ACG02686</v>
      </c>
      <c r="J371" t="str">
        <f>"W0155315"</f>
        <v>W0155315</v>
      </c>
      <c r="K371" t="str">
        <f t="shared" si="101"/>
        <v>AS96</v>
      </c>
      <c r="L371" t="s">
        <v>2998</v>
      </c>
      <c r="M371">
        <v>463.57</v>
      </c>
    </row>
    <row r="372" spans="1:13" x14ac:dyDescent="0.25">
      <c r="A372" t="str">
        <f t="shared" si="95"/>
        <v>E160</v>
      </c>
      <c r="B372">
        <v>1</v>
      </c>
      <c r="C372" t="str">
        <f t="shared" si="99"/>
        <v>43000</v>
      </c>
      <c r="D372" t="str">
        <f t="shared" si="98"/>
        <v>5740</v>
      </c>
      <c r="E372" t="str">
        <f t="shared" si="96"/>
        <v>850PKE</v>
      </c>
      <c r="F372" t="str">
        <f>""</f>
        <v/>
      </c>
      <c r="G372" t="str">
        <f>""</f>
        <v/>
      </c>
      <c r="H372" s="1">
        <v>42535</v>
      </c>
      <c r="I372" t="str">
        <f t="shared" si="100"/>
        <v>ACG02686</v>
      </c>
      <c r="J372" t="str">
        <f>"W0156843"</f>
        <v>W0156843</v>
      </c>
      <c r="K372" t="str">
        <f t="shared" si="101"/>
        <v>AS96</v>
      </c>
      <c r="L372" t="s">
        <v>2997</v>
      </c>
      <c r="M372">
        <v>399.73</v>
      </c>
    </row>
    <row r="373" spans="1:13" x14ac:dyDescent="0.25">
      <c r="A373" t="str">
        <f t="shared" si="95"/>
        <v>E160</v>
      </c>
      <c r="B373">
        <v>1</v>
      </c>
      <c r="C373" t="str">
        <f t="shared" si="99"/>
        <v>43000</v>
      </c>
      <c r="D373" t="str">
        <f t="shared" si="98"/>
        <v>5740</v>
      </c>
      <c r="E373" t="str">
        <f t="shared" si="96"/>
        <v>850PKE</v>
      </c>
      <c r="F373" t="str">
        <f>""</f>
        <v/>
      </c>
      <c r="G373" t="str">
        <f>""</f>
        <v/>
      </c>
      <c r="H373" s="1">
        <v>42535</v>
      </c>
      <c r="I373" t="str">
        <f t="shared" si="100"/>
        <v>ACG02686</v>
      </c>
      <c r="J373" t="str">
        <f>"W0157266"</f>
        <v>W0157266</v>
      </c>
      <c r="K373" t="str">
        <f t="shared" si="101"/>
        <v>AS96</v>
      </c>
      <c r="L373" t="s">
        <v>2996</v>
      </c>
      <c r="M373">
        <v>260.93</v>
      </c>
    </row>
    <row r="374" spans="1:13" x14ac:dyDescent="0.25">
      <c r="A374" t="str">
        <f t="shared" si="95"/>
        <v>E160</v>
      </c>
      <c r="B374">
        <v>1</v>
      </c>
      <c r="C374" t="str">
        <f t="shared" si="99"/>
        <v>43000</v>
      </c>
      <c r="D374" t="str">
        <f t="shared" si="98"/>
        <v>5740</v>
      </c>
      <c r="E374" t="str">
        <f t="shared" si="96"/>
        <v>850PKE</v>
      </c>
      <c r="F374" t="str">
        <f>""</f>
        <v/>
      </c>
      <c r="G374" t="str">
        <f>""</f>
        <v/>
      </c>
      <c r="H374" s="1">
        <v>42535</v>
      </c>
      <c r="I374" t="str">
        <f t="shared" si="100"/>
        <v>ACG02686</v>
      </c>
      <c r="J374" t="str">
        <f>"W0158687"</f>
        <v>W0158687</v>
      </c>
      <c r="K374" t="str">
        <f t="shared" si="101"/>
        <v>AS96</v>
      </c>
      <c r="L374" t="s">
        <v>2995</v>
      </c>
      <c r="M374">
        <v>207.8</v>
      </c>
    </row>
    <row r="375" spans="1:13" x14ac:dyDescent="0.25">
      <c r="A375" t="str">
        <f t="shared" si="95"/>
        <v>E160</v>
      </c>
      <c r="B375">
        <v>1</v>
      </c>
      <c r="C375" t="str">
        <f t="shared" si="99"/>
        <v>43000</v>
      </c>
      <c r="D375" t="str">
        <f t="shared" si="98"/>
        <v>5740</v>
      </c>
      <c r="E375" t="str">
        <f t="shared" si="96"/>
        <v>850PKE</v>
      </c>
      <c r="F375" t="str">
        <f>""</f>
        <v/>
      </c>
      <c r="G375" t="str">
        <f>""</f>
        <v/>
      </c>
      <c r="H375" s="1">
        <v>42535</v>
      </c>
      <c r="I375" t="str">
        <f t="shared" si="100"/>
        <v>ACG02686</v>
      </c>
      <c r="J375" t="str">
        <f>"W0158687"</f>
        <v>W0158687</v>
      </c>
      <c r="K375" t="str">
        <f t="shared" si="101"/>
        <v>AS96</v>
      </c>
      <c r="L375" t="s">
        <v>2995</v>
      </c>
      <c r="M375">
        <v>127</v>
      </c>
    </row>
    <row r="376" spans="1:13" x14ac:dyDescent="0.25">
      <c r="A376" t="str">
        <f t="shared" si="95"/>
        <v>E160</v>
      </c>
      <c r="B376">
        <v>1</v>
      </c>
      <c r="C376" t="str">
        <f t="shared" si="99"/>
        <v>43000</v>
      </c>
      <c r="D376" t="str">
        <f t="shared" si="98"/>
        <v>5740</v>
      </c>
      <c r="E376" t="str">
        <f t="shared" si="96"/>
        <v>850PKE</v>
      </c>
      <c r="F376" t="str">
        <f>""</f>
        <v/>
      </c>
      <c r="G376" t="str">
        <f>""</f>
        <v/>
      </c>
      <c r="H376" s="1">
        <v>42535</v>
      </c>
      <c r="I376" t="str">
        <f t="shared" si="100"/>
        <v>ACG02686</v>
      </c>
      <c r="J376" t="str">
        <f>"W0158687"</f>
        <v>W0158687</v>
      </c>
      <c r="K376" t="str">
        <f t="shared" si="101"/>
        <v>AS96</v>
      </c>
      <c r="L376" t="s">
        <v>2995</v>
      </c>
      <c r="M376">
        <v>146.74</v>
      </c>
    </row>
    <row r="377" spans="1:13" x14ac:dyDescent="0.25">
      <c r="A377" t="str">
        <f t="shared" si="95"/>
        <v>E160</v>
      </c>
      <c r="B377">
        <v>1</v>
      </c>
      <c r="C377" t="str">
        <f t="shared" si="99"/>
        <v>43000</v>
      </c>
      <c r="D377" t="str">
        <f t="shared" si="98"/>
        <v>5740</v>
      </c>
      <c r="E377" t="str">
        <f t="shared" si="96"/>
        <v>850PKE</v>
      </c>
      <c r="F377" t="str">
        <f>""</f>
        <v/>
      </c>
      <c r="G377" t="str">
        <f>""</f>
        <v/>
      </c>
      <c r="H377" s="1">
        <v>42535</v>
      </c>
      <c r="I377" t="str">
        <f t="shared" si="100"/>
        <v>ACG02686</v>
      </c>
      <c r="J377" t="str">
        <f>"W0163038"</f>
        <v>W0163038</v>
      </c>
      <c r="K377" t="str">
        <f t="shared" si="101"/>
        <v>AS96</v>
      </c>
      <c r="L377" t="s">
        <v>2994</v>
      </c>
      <c r="M377">
        <v>196.88</v>
      </c>
    </row>
    <row r="378" spans="1:13" x14ac:dyDescent="0.25">
      <c r="A378" t="str">
        <f>"E162"</f>
        <v>E162</v>
      </c>
      <c r="B378">
        <v>1</v>
      </c>
      <c r="C378" t="str">
        <f>"10200"</f>
        <v>10200</v>
      </c>
      <c r="D378" t="str">
        <f>"5620"</f>
        <v>5620</v>
      </c>
      <c r="E378" t="str">
        <f>"094OMS"</f>
        <v>094OMS</v>
      </c>
      <c r="F378" t="str">
        <f>""</f>
        <v/>
      </c>
      <c r="G378" t="str">
        <f>""</f>
        <v/>
      </c>
      <c r="H378" s="1">
        <v>42307</v>
      </c>
      <c r="I378" t="str">
        <f>"PCD00749"</f>
        <v>PCD00749</v>
      </c>
      <c r="J378" t="str">
        <f>""</f>
        <v/>
      </c>
      <c r="K378" t="str">
        <f t="shared" ref="K378:K385" si="102">"AS89"</f>
        <v>AS89</v>
      </c>
      <c r="L378" t="s">
        <v>2993</v>
      </c>
      <c r="M378">
        <v>521.76</v>
      </c>
    </row>
    <row r="379" spans="1:13" x14ac:dyDescent="0.25">
      <c r="A379" t="str">
        <f>"E162"</f>
        <v>E162</v>
      </c>
      <c r="B379">
        <v>1</v>
      </c>
      <c r="C379" t="str">
        <f>"10200"</f>
        <v>10200</v>
      </c>
      <c r="D379" t="str">
        <f>"5620"</f>
        <v>5620</v>
      </c>
      <c r="E379" t="str">
        <f>"094OMS"</f>
        <v>094OMS</v>
      </c>
      <c r="F379" t="str">
        <f>""</f>
        <v/>
      </c>
      <c r="G379" t="str">
        <f>""</f>
        <v/>
      </c>
      <c r="H379" s="1">
        <v>42400</v>
      </c>
      <c r="I379" t="str">
        <f>"TEL00658"</f>
        <v>TEL00658</v>
      </c>
      <c r="J379" t="str">
        <f>""</f>
        <v/>
      </c>
      <c r="K379" t="str">
        <f t="shared" si="102"/>
        <v>AS89</v>
      </c>
      <c r="L379" t="s">
        <v>2992</v>
      </c>
      <c r="M379" s="2">
        <v>1944</v>
      </c>
    </row>
    <row r="380" spans="1:13" x14ac:dyDescent="0.25">
      <c r="A380" t="str">
        <f>"E162"</f>
        <v>E162</v>
      </c>
      <c r="B380">
        <v>1</v>
      </c>
      <c r="C380" t="str">
        <f>"10200"</f>
        <v>10200</v>
      </c>
      <c r="D380" t="str">
        <f>"5620"</f>
        <v>5620</v>
      </c>
      <c r="E380" t="str">
        <f>"094OMS"</f>
        <v>094OMS</v>
      </c>
      <c r="F380" t="str">
        <f>""</f>
        <v/>
      </c>
      <c r="G380" t="str">
        <f>""</f>
        <v/>
      </c>
      <c r="H380" s="1">
        <v>42521</v>
      </c>
      <c r="I380" t="str">
        <f>"TEL00662"</f>
        <v>TEL00662</v>
      </c>
      <c r="J380" t="str">
        <f>""</f>
        <v/>
      </c>
      <c r="K380" t="str">
        <f t="shared" si="102"/>
        <v>AS89</v>
      </c>
      <c r="L380" t="s">
        <v>2991</v>
      </c>
      <c r="M380" s="2">
        <v>3114</v>
      </c>
    </row>
    <row r="381" spans="1:13" x14ac:dyDescent="0.25">
      <c r="A381" t="str">
        <f>"E162"</f>
        <v>E162</v>
      </c>
      <c r="B381">
        <v>1</v>
      </c>
      <c r="C381" t="str">
        <f>"10200"</f>
        <v>10200</v>
      </c>
      <c r="D381" t="str">
        <f>"5620"</f>
        <v>5620</v>
      </c>
      <c r="E381" t="str">
        <f>"094OMS"</f>
        <v>094OMS</v>
      </c>
      <c r="F381" t="str">
        <f>""</f>
        <v/>
      </c>
      <c r="G381" t="str">
        <f>""</f>
        <v/>
      </c>
      <c r="H381" s="1">
        <v>42551</v>
      </c>
      <c r="I381" t="str">
        <f>"TEL00663"</f>
        <v>TEL00663</v>
      </c>
      <c r="J381" t="str">
        <f>""</f>
        <v/>
      </c>
      <c r="K381" t="str">
        <f t="shared" si="102"/>
        <v>AS89</v>
      </c>
      <c r="L381" t="s">
        <v>2990</v>
      </c>
      <c r="M381">
        <v>879.64</v>
      </c>
    </row>
    <row r="382" spans="1:13" x14ac:dyDescent="0.25">
      <c r="A382" t="str">
        <f>"E162"</f>
        <v>E162</v>
      </c>
      <c r="B382">
        <v>1</v>
      </c>
      <c r="C382" t="str">
        <f>"23275"</f>
        <v>23275</v>
      </c>
      <c r="D382" t="str">
        <f>"5620"</f>
        <v>5620</v>
      </c>
      <c r="E382" t="str">
        <f>"063STF"</f>
        <v>063STF</v>
      </c>
      <c r="F382" t="str">
        <f>""</f>
        <v/>
      </c>
      <c r="G382" t="str">
        <f>""</f>
        <v/>
      </c>
      <c r="H382" s="1">
        <v>42277</v>
      </c>
      <c r="I382" t="str">
        <f>"PCD00745"</f>
        <v>PCD00745</v>
      </c>
      <c r="J382" t="str">
        <f>""</f>
        <v/>
      </c>
      <c r="K382" t="str">
        <f t="shared" si="102"/>
        <v>AS89</v>
      </c>
      <c r="L382" t="s">
        <v>2989</v>
      </c>
      <c r="M382">
        <v>302.73</v>
      </c>
    </row>
    <row r="383" spans="1:13" x14ac:dyDescent="0.25">
      <c r="A383" t="str">
        <f>"E163"</f>
        <v>E163</v>
      </c>
      <c r="B383">
        <v>1</v>
      </c>
      <c r="C383" t="str">
        <f>"43000"</f>
        <v>43000</v>
      </c>
      <c r="D383" t="str">
        <f>"5740"</f>
        <v>5740</v>
      </c>
      <c r="E383" t="str">
        <f>"850LOS"</f>
        <v>850LOS</v>
      </c>
      <c r="F383" t="str">
        <f>""</f>
        <v/>
      </c>
      <c r="G383" t="str">
        <f>""</f>
        <v/>
      </c>
      <c r="H383" s="1">
        <v>42521</v>
      </c>
      <c r="I383" t="str">
        <f>"PCD00785"</f>
        <v>PCD00785</v>
      </c>
      <c r="J383" t="str">
        <f>""</f>
        <v/>
      </c>
      <c r="K383" t="str">
        <f t="shared" si="102"/>
        <v>AS89</v>
      </c>
      <c r="L383" t="s">
        <v>2988</v>
      </c>
      <c r="M383">
        <v>202.87</v>
      </c>
    </row>
    <row r="384" spans="1:13" x14ac:dyDescent="0.25">
      <c r="A384" t="str">
        <f>"E165"</f>
        <v>E165</v>
      </c>
      <c r="B384">
        <v>1</v>
      </c>
      <c r="C384" t="str">
        <f>"10200"</f>
        <v>10200</v>
      </c>
      <c r="D384" t="str">
        <f t="shared" ref="D384:D389" si="103">"5620"</f>
        <v>5620</v>
      </c>
      <c r="E384" t="str">
        <f>"094OMS"</f>
        <v>094OMS</v>
      </c>
      <c r="F384" t="str">
        <f>""</f>
        <v/>
      </c>
      <c r="G384" t="str">
        <f>""</f>
        <v/>
      </c>
      <c r="H384" s="1">
        <v>42400</v>
      </c>
      <c r="I384" t="str">
        <f>"PCD00765"</f>
        <v>PCD00765</v>
      </c>
      <c r="J384" t="str">
        <f>""</f>
        <v/>
      </c>
      <c r="K384" t="str">
        <f t="shared" si="102"/>
        <v>AS89</v>
      </c>
      <c r="L384" t="s">
        <v>2987</v>
      </c>
      <c r="M384">
        <v>127.73</v>
      </c>
    </row>
    <row r="385" spans="1:13" x14ac:dyDescent="0.25">
      <c r="A385" t="str">
        <f>"E165"</f>
        <v>E165</v>
      </c>
      <c r="B385">
        <v>1</v>
      </c>
      <c r="C385" t="str">
        <f>"10200"</f>
        <v>10200</v>
      </c>
      <c r="D385" t="str">
        <f t="shared" si="103"/>
        <v>5620</v>
      </c>
      <c r="E385" t="str">
        <f>"094OMS"</f>
        <v>094OMS</v>
      </c>
      <c r="F385" t="str">
        <f>""</f>
        <v/>
      </c>
      <c r="G385" t="str">
        <f>""</f>
        <v/>
      </c>
      <c r="H385" s="1">
        <v>42400</v>
      </c>
      <c r="I385" t="str">
        <f>"PCD00765"</f>
        <v>PCD00765</v>
      </c>
      <c r="J385" t="str">
        <f>""</f>
        <v/>
      </c>
      <c r="K385" t="str">
        <f t="shared" si="102"/>
        <v>AS89</v>
      </c>
      <c r="L385" t="s">
        <v>2986</v>
      </c>
      <c r="M385">
        <v>858.73</v>
      </c>
    </row>
    <row r="386" spans="1:13" x14ac:dyDescent="0.25">
      <c r="A386" t="str">
        <f t="shared" ref="A386:A393" si="104">"E166"</f>
        <v>E166</v>
      </c>
      <c r="B386">
        <v>1</v>
      </c>
      <c r="C386" t="str">
        <f t="shared" ref="C386:C393" si="105">"43000"</f>
        <v>43000</v>
      </c>
      <c r="D386" t="str">
        <f t="shared" si="103"/>
        <v>5620</v>
      </c>
      <c r="E386" t="str">
        <f t="shared" ref="E386:E393" si="106">"850LOS"</f>
        <v>850LOS</v>
      </c>
      <c r="F386" t="str">
        <f>"PKOLOT"</f>
        <v>PKOLOT</v>
      </c>
      <c r="G386" t="str">
        <f>""</f>
        <v/>
      </c>
      <c r="H386" s="1">
        <v>42396</v>
      </c>
      <c r="I386" t="str">
        <f>"I0125334"</f>
        <v>I0125334</v>
      </c>
      <c r="J386" t="str">
        <f>"N076383J"</f>
        <v>N076383J</v>
      </c>
      <c r="K386" t="str">
        <f>"INEI"</f>
        <v>INEI</v>
      </c>
      <c r="L386" t="s">
        <v>140</v>
      </c>
      <c r="M386" s="2">
        <v>1705.77</v>
      </c>
    </row>
    <row r="387" spans="1:13" x14ac:dyDescent="0.25">
      <c r="A387" t="str">
        <f t="shared" si="104"/>
        <v>E166</v>
      </c>
      <c r="B387">
        <v>1</v>
      </c>
      <c r="C387" t="str">
        <f t="shared" si="105"/>
        <v>43000</v>
      </c>
      <c r="D387" t="str">
        <f t="shared" si="103"/>
        <v>5620</v>
      </c>
      <c r="E387" t="str">
        <f t="shared" si="106"/>
        <v>850LOS</v>
      </c>
      <c r="F387" t="str">
        <f>"PKOLOT"</f>
        <v>PKOLOT</v>
      </c>
      <c r="G387" t="str">
        <f>""</f>
        <v/>
      </c>
      <c r="H387" s="1">
        <v>42425</v>
      </c>
      <c r="I387" t="str">
        <f>"I0126221"</f>
        <v>I0126221</v>
      </c>
      <c r="J387" t="str">
        <f>"N076383J"</f>
        <v>N076383J</v>
      </c>
      <c r="K387" t="str">
        <f>"INEI"</f>
        <v>INEI</v>
      </c>
      <c r="L387" t="s">
        <v>140</v>
      </c>
      <c r="M387">
        <v>418.45</v>
      </c>
    </row>
    <row r="388" spans="1:13" x14ac:dyDescent="0.25">
      <c r="A388" t="str">
        <f t="shared" si="104"/>
        <v>E166</v>
      </c>
      <c r="B388">
        <v>1</v>
      </c>
      <c r="C388" t="str">
        <f t="shared" si="105"/>
        <v>43000</v>
      </c>
      <c r="D388" t="str">
        <f t="shared" si="103"/>
        <v>5620</v>
      </c>
      <c r="E388" t="str">
        <f t="shared" si="106"/>
        <v>850LOS</v>
      </c>
      <c r="F388" t="str">
        <f>"PKOLOT"</f>
        <v>PKOLOT</v>
      </c>
      <c r="G388" t="str">
        <f>""</f>
        <v/>
      </c>
      <c r="H388" s="1">
        <v>42459</v>
      </c>
      <c r="I388" t="str">
        <f>"I0127423"</f>
        <v>I0127423</v>
      </c>
      <c r="J388" t="str">
        <f>"N076383J"</f>
        <v>N076383J</v>
      </c>
      <c r="K388" t="str">
        <f>"INEI"</f>
        <v>INEI</v>
      </c>
      <c r="L388" t="s">
        <v>140</v>
      </c>
      <c r="M388" s="2">
        <v>1289.8499999999999</v>
      </c>
    </row>
    <row r="389" spans="1:13" x14ac:dyDescent="0.25">
      <c r="A389" t="str">
        <f t="shared" si="104"/>
        <v>E166</v>
      </c>
      <c r="B389">
        <v>1</v>
      </c>
      <c r="C389" t="str">
        <f t="shared" si="105"/>
        <v>43000</v>
      </c>
      <c r="D389" t="str">
        <f t="shared" si="103"/>
        <v>5620</v>
      </c>
      <c r="E389" t="str">
        <f t="shared" si="106"/>
        <v>850LOS</v>
      </c>
      <c r="F389" t="str">
        <f>""</f>
        <v/>
      </c>
      <c r="G389" t="str">
        <f>""</f>
        <v/>
      </c>
      <c r="H389" s="1">
        <v>42383</v>
      </c>
      <c r="I389" t="str">
        <f>"228662"</f>
        <v>228662</v>
      </c>
      <c r="J389" t="str">
        <f>""</f>
        <v/>
      </c>
      <c r="K389" t="str">
        <f>"INNI"</f>
        <v>INNI</v>
      </c>
      <c r="L389" t="s">
        <v>92</v>
      </c>
      <c r="M389" s="2">
        <v>1000</v>
      </c>
    </row>
    <row r="390" spans="1:13" x14ac:dyDescent="0.25">
      <c r="A390" t="str">
        <f t="shared" si="104"/>
        <v>E166</v>
      </c>
      <c r="B390">
        <v>1</v>
      </c>
      <c r="C390" t="str">
        <f t="shared" si="105"/>
        <v>43000</v>
      </c>
      <c r="D390" t="str">
        <f>"5740"</f>
        <v>5740</v>
      </c>
      <c r="E390" t="str">
        <f t="shared" si="106"/>
        <v>850LOS</v>
      </c>
      <c r="F390" t="str">
        <f>"PKOLOT"</f>
        <v>PKOLOT</v>
      </c>
      <c r="G390" t="str">
        <f>""</f>
        <v/>
      </c>
      <c r="H390" s="1">
        <v>42535</v>
      </c>
      <c r="I390" t="str">
        <f>"ACG02686"</f>
        <v>ACG02686</v>
      </c>
      <c r="J390" t="str">
        <f>"N076383J"</f>
        <v>N076383J</v>
      </c>
      <c r="K390" t="str">
        <f>"AS96"</f>
        <v>AS96</v>
      </c>
      <c r="L390" t="s">
        <v>140</v>
      </c>
      <c r="M390" s="2">
        <v>1705.77</v>
      </c>
    </row>
    <row r="391" spans="1:13" x14ac:dyDescent="0.25">
      <c r="A391" t="str">
        <f t="shared" si="104"/>
        <v>E166</v>
      </c>
      <c r="B391">
        <v>1</v>
      </c>
      <c r="C391" t="str">
        <f t="shared" si="105"/>
        <v>43000</v>
      </c>
      <c r="D391" t="str">
        <f>"5740"</f>
        <v>5740</v>
      </c>
      <c r="E391" t="str">
        <f t="shared" si="106"/>
        <v>850LOS</v>
      </c>
      <c r="F391" t="str">
        <f>"PKOLOT"</f>
        <v>PKOLOT</v>
      </c>
      <c r="G391" t="str">
        <f>""</f>
        <v/>
      </c>
      <c r="H391" s="1">
        <v>42535</v>
      </c>
      <c r="I391" t="str">
        <f>"ACG02686"</f>
        <v>ACG02686</v>
      </c>
      <c r="J391" t="str">
        <f>"N076383J"</f>
        <v>N076383J</v>
      </c>
      <c r="K391" t="str">
        <f>"AS96"</f>
        <v>AS96</v>
      </c>
      <c r="L391" t="s">
        <v>140</v>
      </c>
      <c r="M391" s="2">
        <v>1289.8499999999999</v>
      </c>
    </row>
    <row r="392" spans="1:13" x14ac:dyDescent="0.25">
      <c r="A392" t="str">
        <f t="shared" si="104"/>
        <v>E166</v>
      </c>
      <c r="B392">
        <v>1</v>
      </c>
      <c r="C392" t="str">
        <f t="shared" si="105"/>
        <v>43000</v>
      </c>
      <c r="D392" t="str">
        <f>"5740"</f>
        <v>5740</v>
      </c>
      <c r="E392" t="str">
        <f t="shared" si="106"/>
        <v>850LOS</v>
      </c>
      <c r="F392" t="str">
        <f>"PKOLOT"</f>
        <v>PKOLOT</v>
      </c>
      <c r="G392" t="str">
        <f>""</f>
        <v/>
      </c>
      <c r="H392" s="1">
        <v>42535</v>
      </c>
      <c r="I392" t="str">
        <f>"ACG02686"</f>
        <v>ACG02686</v>
      </c>
      <c r="J392" t="str">
        <f>"N076383J"</f>
        <v>N076383J</v>
      </c>
      <c r="K392" t="str">
        <f>"AS96"</f>
        <v>AS96</v>
      </c>
      <c r="L392" t="s">
        <v>140</v>
      </c>
      <c r="M392">
        <v>418.45</v>
      </c>
    </row>
    <row r="393" spans="1:13" x14ac:dyDescent="0.25">
      <c r="A393" t="str">
        <f t="shared" si="104"/>
        <v>E166</v>
      </c>
      <c r="B393">
        <v>1</v>
      </c>
      <c r="C393" t="str">
        <f t="shared" si="105"/>
        <v>43000</v>
      </c>
      <c r="D393" t="str">
        <f>"5740"</f>
        <v>5740</v>
      </c>
      <c r="E393" t="str">
        <f t="shared" si="106"/>
        <v>850LOS</v>
      </c>
      <c r="F393" t="str">
        <f>""</f>
        <v/>
      </c>
      <c r="G393" t="str">
        <f>""</f>
        <v/>
      </c>
      <c r="H393" s="1">
        <v>42535</v>
      </c>
      <c r="I393" t="str">
        <f>"ACG02686"</f>
        <v>ACG02686</v>
      </c>
      <c r="J393" t="str">
        <f>"228662"</f>
        <v>228662</v>
      </c>
      <c r="K393" t="str">
        <f>"AS96"</f>
        <v>AS96</v>
      </c>
      <c r="L393" t="s">
        <v>92</v>
      </c>
      <c r="M393" s="2">
        <v>1000</v>
      </c>
    </row>
    <row r="394" spans="1:13" x14ac:dyDescent="0.25">
      <c r="A394" t="str">
        <f>"E167"</f>
        <v>E167</v>
      </c>
      <c r="B394">
        <v>1</v>
      </c>
      <c r="C394" t="str">
        <f>"10200"</f>
        <v>10200</v>
      </c>
      <c r="D394" t="str">
        <f t="shared" ref="D394:D399" si="107">"5620"</f>
        <v>5620</v>
      </c>
      <c r="E394" t="str">
        <f>"094OMS"</f>
        <v>094OMS</v>
      </c>
      <c r="F394" t="str">
        <f>""</f>
        <v/>
      </c>
      <c r="G394" t="str">
        <f>""</f>
        <v/>
      </c>
      <c r="H394" s="1">
        <v>42248</v>
      </c>
      <c r="I394" t="str">
        <f>"PHY00658"</f>
        <v>PHY00658</v>
      </c>
      <c r="J394" t="str">
        <f>"W0153791"</f>
        <v>W0153791</v>
      </c>
      <c r="K394" t="str">
        <f>"AS89"</f>
        <v>AS89</v>
      </c>
      <c r="L394" t="s">
        <v>2985</v>
      </c>
      <c r="M394">
        <v>105.49</v>
      </c>
    </row>
    <row r="395" spans="1:13" x14ac:dyDescent="0.25">
      <c r="A395" t="str">
        <f>"E167"</f>
        <v>E167</v>
      </c>
      <c r="B395">
        <v>1</v>
      </c>
      <c r="C395" t="str">
        <f>"10200"</f>
        <v>10200</v>
      </c>
      <c r="D395" t="str">
        <f t="shared" si="107"/>
        <v>5620</v>
      </c>
      <c r="E395" t="str">
        <f>"094OMS"</f>
        <v>094OMS</v>
      </c>
      <c r="F395" t="str">
        <f>""</f>
        <v/>
      </c>
      <c r="G395" t="str">
        <f>""</f>
        <v/>
      </c>
      <c r="H395" s="1">
        <v>42278</v>
      </c>
      <c r="I395" t="str">
        <f>"PHY00659"</f>
        <v>PHY00659</v>
      </c>
      <c r="J395" t="str">
        <f>"W0153791"</f>
        <v>W0153791</v>
      </c>
      <c r="K395" t="str">
        <f>"AS89"</f>
        <v>AS89</v>
      </c>
      <c r="L395" t="s">
        <v>2985</v>
      </c>
      <c r="M395" s="2">
        <v>2765.37</v>
      </c>
    </row>
    <row r="396" spans="1:13" x14ac:dyDescent="0.25">
      <c r="A396" t="str">
        <f t="shared" ref="A396:A401" si="108">"E171"</f>
        <v>E171</v>
      </c>
      <c r="B396">
        <v>1</v>
      </c>
      <c r="C396" t="str">
        <f>"10200"</f>
        <v>10200</v>
      </c>
      <c r="D396" t="str">
        <f t="shared" si="107"/>
        <v>5620</v>
      </c>
      <c r="E396" t="str">
        <f>"094OMS"</f>
        <v>094OMS</v>
      </c>
      <c r="F396" t="str">
        <f>""</f>
        <v/>
      </c>
      <c r="G396" t="str">
        <f>""</f>
        <v/>
      </c>
      <c r="H396" s="1">
        <v>42249</v>
      </c>
      <c r="I396" t="str">
        <f>"225763A"</f>
        <v>225763A</v>
      </c>
      <c r="J396" t="str">
        <f>""</f>
        <v/>
      </c>
      <c r="K396" t="str">
        <f>"INNI"</f>
        <v>INNI</v>
      </c>
      <c r="L396" t="s">
        <v>1342</v>
      </c>
      <c r="M396" s="2">
        <v>1452.65</v>
      </c>
    </row>
    <row r="397" spans="1:13" x14ac:dyDescent="0.25">
      <c r="A397" t="str">
        <f t="shared" si="108"/>
        <v>E171</v>
      </c>
      <c r="B397">
        <v>1</v>
      </c>
      <c r="C397" t="str">
        <f>"10200"</f>
        <v>10200</v>
      </c>
      <c r="D397" t="str">
        <f t="shared" si="107"/>
        <v>5620</v>
      </c>
      <c r="E397" t="str">
        <f>"094OMS"</f>
        <v>094OMS</v>
      </c>
      <c r="F397" t="str">
        <f>""</f>
        <v/>
      </c>
      <c r="G397" t="str">
        <f>""</f>
        <v/>
      </c>
      <c r="H397" s="1">
        <v>42307</v>
      </c>
      <c r="I397" t="str">
        <f>"COP00303"</f>
        <v>COP00303</v>
      </c>
      <c r="J397" t="str">
        <f t="shared" ref="J397:J422" si="109">"JOB ORDR"</f>
        <v>JOB ORDR</v>
      </c>
      <c r="K397" t="str">
        <f>"AS89"</f>
        <v>AS89</v>
      </c>
      <c r="L397" t="s">
        <v>2978</v>
      </c>
      <c r="M397">
        <v>138.11000000000001</v>
      </c>
    </row>
    <row r="398" spans="1:13" x14ac:dyDescent="0.25">
      <c r="A398" t="str">
        <f t="shared" si="108"/>
        <v>E171</v>
      </c>
      <c r="B398">
        <v>1</v>
      </c>
      <c r="C398" t="str">
        <f>"43000"</f>
        <v>43000</v>
      </c>
      <c r="D398" t="str">
        <f t="shared" si="107"/>
        <v>5620</v>
      </c>
      <c r="E398" t="str">
        <f>"850LOS"</f>
        <v>850LOS</v>
      </c>
      <c r="F398" t="str">
        <f>""</f>
        <v/>
      </c>
      <c r="G398" t="str">
        <f>""</f>
        <v/>
      </c>
      <c r="H398" s="1">
        <v>42216</v>
      </c>
      <c r="I398" t="str">
        <f>"COP00300"</f>
        <v>COP00300</v>
      </c>
      <c r="J398" t="str">
        <f t="shared" si="109"/>
        <v>JOB ORDR</v>
      </c>
      <c r="K398" t="str">
        <f>"AS89"</f>
        <v>AS89</v>
      </c>
      <c r="L398" t="s">
        <v>2983</v>
      </c>
      <c r="M398" s="2">
        <v>1019.52</v>
      </c>
    </row>
    <row r="399" spans="1:13" x14ac:dyDescent="0.25">
      <c r="A399" t="str">
        <f t="shared" si="108"/>
        <v>E171</v>
      </c>
      <c r="B399">
        <v>1</v>
      </c>
      <c r="C399" t="str">
        <f>"43000"</f>
        <v>43000</v>
      </c>
      <c r="D399" t="str">
        <f t="shared" si="107"/>
        <v>5620</v>
      </c>
      <c r="E399" t="str">
        <f>"850PKE"</f>
        <v>850PKE</v>
      </c>
      <c r="F399" t="str">
        <f>""</f>
        <v/>
      </c>
      <c r="G399" t="str">
        <f>""</f>
        <v/>
      </c>
      <c r="H399" s="1">
        <v>42307</v>
      </c>
      <c r="I399" t="str">
        <f>"COP00303"</f>
        <v>COP00303</v>
      </c>
      <c r="J399" t="str">
        <f t="shared" si="109"/>
        <v>JOB ORDR</v>
      </c>
      <c r="K399" t="str">
        <f>"AS89"</f>
        <v>AS89</v>
      </c>
      <c r="L399" t="s">
        <v>2978</v>
      </c>
      <c r="M399">
        <v>359.4</v>
      </c>
    </row>
    <row r="400" spans="1:13" x14ac:dyDescent="0.25">
      <c r="A400" t="str">
        <f t="shared" si="108"/>
        <v>E171</v>
      </c>
      <c r="B400">
        <v>1</v>
      </c>
      <c r="C400" t="str">
        <f>"43000"</f>
        <v>43000</v>
      </c>
      <c r="D400" t="str">
        <f>"5740"</f>
        <v>5740</v>
      </c>
      <c r="E400" t="str">
        <f>"850LOS"</f>
        <v>850LOS</v>
      </c>
      <c r="F400" t="str">
        <f>""</f>
        <v/>
      </c>
      <c r="G400" t="str">
        <f>""</f>
        <v/>
      </c>
      <c r="H400" s="1">
        <v>42535</v>
      </c>
      <c r="I400" t="str">
        <f>"ACG02686"</f>
        <v>ACG02686</v>
      </c>
      <c r="J400" t="str">
        <f t="shared" si="109"/>
        <v>JOB ORDR</v>
      </c>
      <c r="K400" t="str">
        <f>"AS96"</f>
        <v>AS96</v>
      </c>
      <c r="L400" t="s">
        <v>2983</v>
      </c>
      <c r="M400" s="2">
        <v>1019.52</v>
      </c>
    </row>
    <row r="401" spans="1:13" x14ac:dyDescent="0.25">
      <c r="A401" t="str">
        <f t="shared" si="108"/>
        <v>E171</v>
      </c>
      <c r="B401">
        <v>1</v>
      </c>
      <c r="C401" t="str">
        <f>"43000"</f>
        <v>43000</v>
      </c>
      <c r="D401" t="str">
        <f>"5740"</f>
        <v>5740</v>
      </c>
      <c r="E401" t="str">
        <f>"850PKE"</f>
        <v>850PKE</v>
      </c>
      <c r="F401" t="str">
        <f>""</f>
        <v/>
      </c>
      <c r="G401" t="str">
        <f>""</f>
        <v/>
      </c>
      <c r="H401" s="1">
        <v>42535</v>
      </c>
      <c r="I401" t="str">
        <f>"ACG02686"</f>
        <v>ACG02686</v>
      </c>
      <c r="J401" t="str">
        <f t="shared" si="109"/>
        <v>JOB ORDR</v>
      </c>
      <c r="K401" t="str">
        <f>"AS96"</f>
        <v>AS96</v>
      </c>
      <c r="L401" t="s">
        <v>2978</v>
      </c>
      <c r="M401">
        <v>359.4</v>
      </c>
    </row>
    <row r="402" spans="1:13" x14ac:dyDescent="0.25">
      <c r="A402" t="str">
        <f t="shared" ref="A402:A422" si="110">"E172"</f>
        <v>E172</v>
      </c>
      <c r="B402">
        <v>1</v>
      </c>
      <c r="C402" t="str">
        <f>"10200"</f>
        <v>10200</v>
      </c>
      <c r="D402" t="str">
        <f t="shared" ref="D402:D411" si="111">"5620"</f>
        <v>5620</v>
      </c>
      <c r="E402" t="str">
        <f>"094OMS"</f>
        <v>094OMS</v>
      </c>
      <c r="F402" t="str">
        <f>""</f>
        <v/>
      </c>
      <c r="G402" t="str">
        <f>""</f>
        <v/>
      </c>
      <c r="H402" s="1">
        <v>42460</v>
      </c>
      <c r="I402" t="str">
        <f>"COP00308"</f>
        <v>COP00308</v>
      </c>
      <c r="J402" t="str">
        <f t="shared" si="109"/>
        <v>JOB ORDR</v>
      </c>
      <c r="K402" t="str">
        <f t="shared" ref="K402:K411" si="112">"AS89"</f>
        <v>AS89</v>
      </c>
      <c r="L402" t="s">
        <v>2982</v>
      </c>
      <c r="M402">
        <v>107.5</v>
      </c>
    </row>
    <row r="403" spans="1:13" x14ac:dyDescent="0.25">
      <c r="A403" t="str">
        <f t="shared" si="110"/>
        <v>E172</v>
      </c>
      <c r="B403">
        <v>1</v>
      </c>
      <c r="C403" t="str">
        <f>"23275"</f>
        <v>23275</v>
      </c>
      <c r="D403" t="str">
        <f t="shared" si="111"/>
        <v>5620</v>
      </c>
      <c r="E403" t="str">
        <f>"063STF"</f>
        <v>063STF</v>
      </c>
      <c r="F403" t="str">
        <f>""</f>
        <v/>
      </c>
      <c r="G403" t="str">
        <f>""</f>
        <v/>
      </c>
      <c r="H403" s="1">
        <v>42277</v>
      </c>
      <c r="I403" t="str">
        <f>"COP00302"</f>
        <v>COP00302</v>
      </c>
      <c r="J403" t="str">
        <f t="shared" si="109"/>
        <v>JOB ORDR</v>
      </c>
      <c r="K403" t="str">
        <f t="shared" si="112"/>
        <v>AS89</v>
      </c>
      <c r="L403" t="s">
        <v>2979</v>
      </c>
      <c r="M403">
        <v>525.95000000000005</v>
      </c>
    </row>
    <row r="404" spans="1:13" x14ac:dyDescent="0.25">
      <c r="A404" t="str">
        <f t="shared" si="110"/>
        <v>E172</v>
      </c>
      <c r="B404">
        <v>1</v>
      </c>
      <c r="C404" t="str">
        <f t="shared" ref="C404:C420" si="113">"43000"</f>
        <v>43000</v>
      </c>
      <c r="D404" t="str">
        <f t="shared" si="111"/>
        <v>5620</v>
      </c>
      <c r="E404" t="str">
        <f t="shared" ref="E404:E420" si="114">"850LOS"</f>
        <v>850LOS</v>
      </c>
      <c r="F404" t="str">
        <f>"PKOLOT"</f>
        <v>PKOLOT</v>
      </c>
      <c r="G404" t="str">
        <f>""</f>
        <v/>
      </c>
      <c r="H404" s="1">
        <v>42277</v>
      </c>
      <c r="I404" t="str">
        <f>"COP00302"</f>
        <v>COP00302</v>
      </c>
      <c r="J404" t="str">
        <f t="shared" si="109"/>
        <v>JOB ORDR</v>
      </c>
      <c r="K404" t="str">
        <f t="shared" si="112"/>
        <v>AS89</v>
      </c>
      <c r="L404" t="s">
        <v>2979</v>
      </c>
      <c r="M404">
        <v>288.45</v>
      </c>
    </row>
    <row r="405" spans="1:13" x14ac:dyDescent="0.25">
      <c r="A405" t="str">
        <f t="shared" si="110"/>
        <v>E172</v>
      </c>
      <c r="B405">
        <v>1</v>
      </c>
      <c r="C405" t="str">
        <f t="shared" si="113"/>
        <v>43000</v>
      </c>
      <c r="D405" t="str">
        <f t="shared" si="111"/>
        <v>5620</v>
      </c>
      <c r="E405" t="str">
        <f t="shared" si="114"/>
        <v>850LOS</v>
      </c>
      <c r="F405" t="str">
        <f>""</f>
        <v/>
      </c>
      <c r="G405" t="str">
        <f>""</f>
        <v/>
      </c>
      <c r="H405" s="1">
        <v>42216</v>
      </c>
      <c r="I405" t="str">
        <f>"COP00300"</f>
        <v>COP00300</v>
      </c>
      <c r="J405" t="str">
        <f t="shared" si="109"/>
        <v>JOB ORDR</v>
      </c>
      <c r="K405" t="str">
        <f t="shared" si="112"/>
        <v>AS89</v>
      </c>
      <c r="L405" t="s">
        <v>2983</v>
      </c>
      <c r="M405" s="2">
        <v>2220.6999999999998</v>
      </c>
    </row>
    <row r="406" spans="1:13" x14ac:dyDescent="0.25">
      <c r="A406" t="str">
        <f t="shared" si="110"/>
        <v>E172</v>
      </c>
      <c r="B406">
        <v>1</v>
      </c>
      <c r="C406" t="str">
        <f t="shared" si="113"/>
        <v>43000</v>
      </c>
      <c r="D406" t="str">
        <f t="shared" si="111"/>
        <v>5620</v>
      </c>
      <c r="E406" t="str">
        <f t="shared" si="114"/>
        <v>850LOS</v>
      </c>
      <c r="F406" t="str">
        <f>""</f>
        <v/>
      </c>
      <c r="G406" t="str">
        <f>""</f>
        <v/>
      </c>
      <c r="H406" s="1">
        <v>42247</v>
      </c>
      <c r="I406" t="str">
        <f>"COP00301"</f>
        <v>COP00301</v>
      </c>
      <c r="J406" t="str">
        <f t="shared" si="109"/>
        <v>JOB ORDR</v>
      </c>
      <c r="K406" t="str">
        <f t="shared" si="112"/>
        <v>AS89</v>
      </c>
      <c r="L406" t="s">
        <v>2980</v>
      </c>
      <c r="M406">
        <v>173.74</v>
      </c>
    </row>
    <row r="407" spans="1:13" x14ac:dyDescent="0.25">
      <c r="A407" t="str">
        <f t="shared" si="110"/>
        <v>E172</v>
      </c>
      <c r="B407">
        <v>1</v>
      </c>
      <c r="C407" t="str">
        <f t="shared" si="113"/>
        <v>43000</v>
      </c>
      <c r="D407" t="str">
        <f t="shared" si="111"/>
        <v>5620</v>
      </c>
      <c r="E407" t="str">
        <f t="shared" si="114"/>
        <v>850LOS</v>
      </c>
      <c r="F407" t="str">
        <f>""</f>
        <v/>
      </c>
      <c r="G407" t="str">
        <f>""</f>
        <v/>
      </c>
      <c r="H407" s="1">
        <v>42277</v>
      </c>
      <c r="I407" t="str">
        <f>"COP00302"</f>
        <v>COP00302</v>
      </c>
      <c r="J407" t="str">
        <f t="shared" si="109"/>
        <v>JOB ORDR</v>
      </c>
      <c r="K407" t="str">
        <f t="shared" si="112"/>
        <v>AS89</v>
      </c>
      <c r="L407" t="s">
        <v>2979</v>
      </c>
      <c r="M407">
        <v>344.37</v>
      </c>
    </row>
    <row r="408" spans="1:13" x14ac:dyDescent="0.25">
      <c r="A408" t="str">
        <f t="shared" si="110"/>
        <v>E172</v>
      </c>
      <c r="B408">
        <v>1</v>
      </c>
      <c r="C408" t="str">
        <f t="shared" si="113"/>
        <v>43000</v>
      </c>
      <c r="D408" t="str">
        <f t="shared" si="111"/>
        <v>5620</v>
      </c>
      <c r="E408" t="str">
        <f t="shared" si="114"/>
        <v>850LOS</v>
      </c>
      <c r="F408" t="str">
        <f>""</f>
        <v/>
      </c>
      <c r="G408" t="str">
        <f>""</f>
        <v/>
      </c>
      <c r="H408" s="1">
        <v>42307</v>
      </c>
      <c r="I408" t="str">
        <f>"COP00303"</f>
        <v>COP00303</v>
      </c>
      <c r="J408" t="str">
        <f t="shared" si="109"/>
        <v>JOB ORDR</v>
      </c>
      <c r="K408" t="str">
        <f t="shared" si="112"/>
        <v>AS89</v>
      </c>
      <c r="L408" t="s">
        <v>2978</v>
      </c>
      <c r="M408">
        <v>642.44000000000005</v>
      </c>
    </row>
    <row r="409" spans="1:13" x14ac:dyDescent="0.25">
      <c r="A409" t="str">
        <f t="shared" si="110"/>
        <v>E172</v>
      </c>
      <c r="B409">
        <v>1</v>
      </c>
      <c r="C409" t="str">
        <f t="shared" si="113"/>
        <v>43000</v>
      </c>
      <c r="D409" t="str">
        <f t="shared" si="111"/>
        <v>5620</v>
      </c>
      <c r="E409" t="str">
        <f t="shared" si="114"/>
        <v>850LOS</v>
      </c>
      <c r="F409" t="str">
        <f>""</f>
        <v/>
      </c>
      <c r="G409" t="str">
        <f>""</f>
        <v/>
      </c>
      <c r="H409" s="1">
        <v>42369</v>
      </c>
      <c r="I409" t="str">
        <f>"COP00305"</f>
        <v>COP00305</v>
      </c>
      <c r="J409" t="str">
        <f t="shared" si="109"/>
        <v>JOB ORDR</v>
      </c>
      <c r="K409" t="str">
        <f t="shared" si="112"/>
        <v>AS89</v>
      </c>
      <c r="L409" t="s">
        <v>2981</v>
      </c>
      <c r="M409">
        <v>102.67</v>
      </c>
    </row>
    <row r="410" spans="1:13" x14ac:dyDescent="0.25">
      <c r="A410" t="str">
        <f t="shared" si="110"/>
        <v>E172</v>
      </c>
      <c r="B410">
        <v>1</v>
      </c>
      <c r="C410" t="str">
        <f t="shared" si="113"/>
        <v>43000</v>
      </c>
      <c r="D410" t="str">
        <f t="shared" si="111"/>
        <v>5620</v>
      </c>
      <c r="E410" t="str">
        <f t="shared" si="114"/>
        <v>850LOS</v>
      </c>
      <c r="F410" t="str">
        <f>""</f>
        <v/>
      </c>
      <c r="G410" t="str">
        <f>""</f>
        <v/>
      </c>
      <c r="H410" s="1">
        <v>42398</v>
      </c>
      <c r="I410" t="str">
        <f>"COP00306"</f>
        <v>COP00306</v>
      </c>
      <c r="J410" t="str">
        <f t="shared" si="109"/>
        <v>JOB ORDR</v>
      </c>
      <c r="K410" t="str">
        <f t="shared" si="112"/>
        <v>AS89</v>
      </c>
      <c r="L410" t="s">
        <v>2977</v>
      </c>
      <c r="M410" s="2">
        <v>1006.7</v>
      </c>
    </row>
    <row r="411" spans="1:13" x14ac:dyDescent="0.25">
      <c r="A411" t="str">
        <f t="shared" si="110"/>
        <v>E172</v>
      </c>
      <c r="B411">
        <v>1</v>
      </c>
      <c r="C411" t="str">
        <f t="shared" si="113"/>
        <v>43000</v>
      </c>
      <c r="D411" t="str">
        <f t="shared" si="111"/>
        <v>5620</v>
      </c>
      <c r="E411" t="str">
        <f t="shared" si="114"/>
        <v>850LOS</v>
      </c>
      <c r="F411" t="str">
        <f>""</f>
        <v/>
      </c>
      <c r="G411" t="str">
        <f>""</f>
        <v/>
      </c>
      <c r="H411" s="1">
        <v>42460</v>
      </c>
      <c r="I411" t="str">
        <f>"COP00308"</f>
        <v>COP00308</v>
      </c>
      <c r="J411" t="str">
        <f t="shared" si="109"/>
        <v>JOB ORDR</v>
      </c>
      <c r="K411" t="str">
        <f t="shared" si="112"/>
        <v>AS89</v>
      </c>
      <c r="L411" t="s">
        <v>2982</v>
      </c>
      <c r="M411" s="2">
        <v>2022.61</v>
      </c>
    </row>
    <row r="412" spans="1:13" x14ac:dyDescent="0.25">
      <c r="A412" t="str">
        <f t="shared" si="110"/>
        <v>E172</v>
      </c>
      <c r="B412">
        <v>1</v>
      </c>
      <c r="C412" t="str">
        <f t="shared" si="113"/>
        <v>43000</v>
      </c>
      <c r="D412" t="str">
        <f t="shared" ref="D412:D420" si="115">"5740"</f>
        <v>5740</v>
      </c>
      <c r="E412" t="str">
        <f t="shared" si="114"/>
        <v>850LOS</v>
      </c>
      <c r="F412" t="str">
        <f>"PKOLOT"</f>
        <v>PKOLOT</v>
      </c>
      <c r="G412" t="str">
        <f>""</f>
        <v/>
      </c>
      <c r="H412" s="1">
        <v>42535</v>
      </c>
      <c r="I412" t="str">
        <f>"ACG02686"</f>
        <v>ACG02686</v>
      </c>
      <c r="J412" t="str">
        <f t="shared" si="109"/>
        <v>JOB ORDR</v>
      </c>
      <c r="K412" t="str">
        <f>"AS96"</f>
        <v>AS96</v>
      </c>
      <c r="L412" t="s">
        <v>2979</v>
      </c>
      <c r="M412">
        <v>288.45</v>
      </c>
    </row>
    <row r="413" spans="1:13" x14ac:dyDescent="0.25">
      <c r="A413" t="str">
        <f t="shared" si="110"/>
        <v>E172</v>
      </c>
      <c r="B413">
        <v>1</v>
      </c>
      <c r="C413" t="str">
        <f t="shared" si="113"/>
        <v>43000</v>
      </c>
      <c r="D413" t="str">
        <f t="shared" si="115"/>
        <v>5740</v>
      </c>
      <c r="E413" t="str">
        <f t="shared" si="114"/>
        <v>850LOS</v>
      </c>
      <c r="F413" t="str">
        <f>""</f>
        <v/>
      </c>
      <c r="G413" t="str">
        <f>""</f>
        <v/>
      </c>
      <c r="H413" s="1">
        <v>42517</v>
      </c>
      <c r="I413" t="str">
        <f>"COP00310"</f>
        <v>COP00310</v>
      </c>
      <c r="J413" t="str">
        <f t="shared" si="109"/>
        <v>JOB ORDR</v>
      </c>
      <c r="K413" t="str">
        <f>"AS89"</f>
        <v>AS89</v>
      </c>
      <c r="L413" t="s">
        <v>2984</v>
      </c>
      <c r="M413" s="2">
        <v>1833.8</v>
      </c>
    </row>
    <row r="414" spans="1:13" x14ac:dyDescent="0.25">
      <c r="A414" t="str">
        <f t="shared" si="110"/>
        <v>E172</v>
      </c>
      <c r="B414">
        <v>1</v>
      </c>
      <c r="C414" t="str">
        <f t="shared" si="113"/>
        <v>43000</v>
      </c>
      <c r="D414" t="str">
        <f t="shared" si="115"/>
        <v>5740</v>
      </c>
      <c r="E414" t="str">
        <f t="shared" si="114"/>
        <v>850LOS</v>
      </c>
      <c r="F414" t="str">
        <f>""</f>
        <v/>
      </c>
      <c r="G414" t="str">
        <f>""</f>
        <v/>
      </c>
      <c r="H414" s="1">
        <v>42535</v>
      </c>
      <c r="I414" t="str">
        <f t="shared" ref="I414:I420" si="116">"ACG02686"</f>
        <v>ACG02686</v>
      </c>
      <c r="J414" t="str">
        <f t="shared" si="109"/>
        <v>JOB ORDR</v>
      </c>
      <c r="K414" t="str">
        <f t="shared" ref="K414:K420" si="117">"AS96"</f>
        <v>AS96</v>
      </c>
      <c r="L414" t="s">
        <v>2983</v>
      </c>
      <c r="M414" s="2">
        <v>2220.6999999999998</v>
      </c>
    </row>
    <row r="415" spans="1:13" x14ac:dyDescent="0.25">
      <c r="A415" t="str">
        <f t="shared" si="110"/>
        <v>E172</v>
      </c>
      <c r="B415">
        <v>1</v>
      </c>
      <c r="C415" t="str">
        <f t="shared" si="113"/>
        <v>43000</v>
      </c>
      <c r="D415" t="str">
        <f t="shared" si="115"/>
        <v>5740</v>
      </c>
      <c r="E415" t="str">
        <f t="shared" si="114"/>
        <v>850LOS</v>
      </c>
      <c r="F415" t="str">
        <f>""</f>
        <v/>
      </c>
      <c r="G415" t="str">
        <f>""</f>
        <v/>
      </c>
      <c r="H415" s="1">
        <v>42535</v>
      </c>
      <c r="I415" t="str">
        <f t="shared" si="116"/>
        <v>ACG02686</v>
      </c>
      <c r="J415" t="str">
        <f t="shared" si="109"/>
        <v>JOB ORDR</v>
      </c>
      <c r="K415" t="str">
        <f t="shared" si="117"/>
        <v>AS96</v>
      </c>
      <c r="L415" t="s">
        <v>2982</v>
      </c>
      <c r="M415" s="2">
        <v>2022.61</v>
      </c>
    </row>
    <row r="416" spans="1:13" x14ac:dyDescent="0.25">
      <c r="A416" t="str">
        <f t="shared" si="110"/>
        <v>E172</v>
      </c>
      <c r="B416">
        <v>1</v>
      </c>
      <c r="C416" t="str">
        <f t="shared" si="113"/>
        <v>43000</v>
      </c>
      <c r="D416" t="str">
        <f t="shared" si="115"/>
        <v>5740</v>
      </c>
      <c r="E416" t="str">
        <f t="shared" si="114"/>
        <v>850LOS</v>
      </c>
      <c r="F416" t="str">
        <f>""</f>
        <v/>
      </c>
      <c r="G416" t="str">
        <f>""</f>
        <v/>
      </c>
      <c r="H416" s="1">
        <v>42535</v>
      </c>
      <c r="I416" t="str">
        <f t="shared" si="116"/>
        <v>ACG02686</v>
      </c>
      <c r="J416" t="str">
        <f t="shared" si="109"/>
        <v>JOB ORDR</v>
      </c>
      <c r="K416" t="str">
        <f t="shared" si="117"/>
        <v>AS96</v>
      </c>
      <c r="L416" t="s">
        <v>2980</v>
      </c>
      <c r="M416">
        <v>173.74</v>
      </c>
    </row>
    <row r="417" spans="1:13" x14ac:dyDescent="0.25">
      <c r="A417" t="str">
        <f t="shared" si="110"/>
        <v>E172</v>
      </c>
      <c r="B417">
        <v>1</v>
      </c>
      <c r="C417" t="str">
        <f t="shared" si="113"/>
        <v>43000</v>
      </c>
      <c r="D417" t="str">
        <f t="shared" si="115"/>
        <v>5740</v>
      </c>
      <c r="E417" t="str">
        <f t="shared" si="114"/>
        <v>850LOS</v>
      </c>
      <c r="F417" t="str">
        <f>""</f>
        <v/>
      </c>
      <c r="G417" t="str">
        <f>""</f>
        <v/>
      </c>
      <c r="H417" s="1">
        <v>42535</v>
      </c>
      <c r="I417" t="str">
        <f t="shared" si="116"/>
        <v>ACG02686</v>
      </c>
      <c r="J417" t="str">
        <f t="shared" si="109"/>
        <v>JOB ORDR</v>
      </c>
      <c r="K417" t="str">
        <f t="shared" si="117"/>
        <v>AS96</v>
      </c>
      <c r="L417" t="s">
        <v>2981</v>
      </c>
      <c r="M417">
        <v>102.67</v>
      </c>
    </row>
    <row r="418" spans="1:13" x14ac:dyDescent="0.25">
      <c r="A418" t="str">
        <f t="shared" si="110"/>
        <v>E172</v>
      </c>
      <c r="B418">
        <v>1</v>
      </c>
      <c r="C418" t="str">
        <f t="shared" si="113"/>
        <v>43000</v>
      </c>
      <c r="D418" t="str">
        <f t="shared" si="115"/>
        <v>5740</v>
      </c>
      <c r="E418" t="str">
        <f t="shared" si="114"/>
        <v>850LOS</v>
      </c>
      <c r="F418" t="str">
        <f>""</f>
        <v/>
      </c>
      <c r="G418" t="str">
        <f>""</f>
        <v/>
      </c>
      <c r="H418" s="1">
        <v>42535</v>
      </c>
      <c r="I418" t="str">
        <f t="shared" si="116"/>
        <v>ACG02686</v>
      </c>
      <c r="J418" t="str">
        <f t="shared" si="109"/>
        <v>JOB ORDR</v>
      </c>
      <c r="K418" t="str">
        <f t="shared" si="117"/>
        <v>AS96</v>
      </c>
      <c r="L418" t="s">
        <v>2978</v>
      </c>
      <c r="M418">
        <v>642.44000000000005</v>
      </c>
    </row>
    <row r="419" spans="1:13" x14ac:dyDescent="0.25">
      <c r="A419" t="str">
        <f t="shared" si="110"/>
        <v>E172</v>
      </c>
      <c r="B419">
        <v>1</v>
      </c>
      <c r="C419" t="str">
        <f t="shared" si="113"/>
        <v>43000</v>
      </c>
      <c r="D419" t="str">
        <f t="shared" si="115"/>
        <v>5740</v>
      </c>
      <c r="E419" t="str">
        <f t="shared" si="114"/>
        <v>850LOS</v>
      </c>
      <c r="F419" t="str">
        <f>""</f>
        <v/>
      </c>
      <c r="G419" t="str">
        <f>""</f>
        <v/>
      </c>
      <c r="H419" s="1">
        <v>42535</v>
      </c>
      <c r="I419" t="str">
        <f t="shared" si="116"/>
        <v>ACG02686</v>
      </c>
      <c r="J419" t="str">
        <f t="shared" si="109"/>
        <v>JOB ORDR</v>
      </c>
      <c r="K419" t="str">
        <f t="shared" si="117"/>
        <v>AS96</v>
      </c>
      <c r="L419" t="s">
        <v>2979</v>
      </c>
      <c r="M419">
        <v>344.37</v>
      </c>
    </row>
    <row r="420" spans="1:13" x14ac:dyDescent="0.25">
      <c r="A420" t="str">
        <f t="shared" si="110"/>
        <v>E172</v>
      </c>
      <c r="B420">
        <v>1</v>
      </c>
      <c r="C420" t="str">
        <f t="shared" si="113"/>
        <v>43000</v>
      </c>
      <c r="D420" t="str">
        <f t="shared" si="115"/>
        <v>5740</v>
      </c>
      <c r="E420" t="str">
        <f t="shared" si="114"/>
        <v>850LOS</v>
      </c>
      <c r="F420" t="str">
        <f>""</f>
        <v/>
      </c>
      <c r="G420" t="str">
        <f>""</f>
        <v/>
      </c>
      <c r="H420" s="1">
        <v>42535</v>
      </c>
      <c r="I420" t="str">
        <f t="shared" si="116"/>
        <v>ACG02686</v>
      </c>
      <c r="J420" t="str">
        <f t="shared" si="109"/>
        <v>JOB ORDR</v>
      </c>
      <c r="K420" t="str">
        <f t="shared" si="117"/>
        <v>AS96</v>
      </c>
      <c r="L420" t="s">
        <v>2977</v>
      </c>
      <c r="M420" s="2">
        <v>1006.7</v>
      </c>
    </row>
    <row r="421" spans="1:13" x14ac:dyDescent="0.25">
      <c r="A421" t="str">
        <f t="shared" si="110"/>
        <v>E172</v>
      </c>
      <c r="B421">
        <v>1</v>
      </c>
      <c r="C421" t="str">
        <f>"43004"</f>
        <v>43004</v>
      </c>
      <c r="D421" t="str">
        <f>"5741"</f>
        <v>5741</v>
      </c>
      <c r="E421" t="str">
        <f>"850ALT"</f>
        <v>850ALT</v>
      </c>
      <c r="F421" t="str">
        <f>""</f>
        <v/>
      </c>
      <c r="G421" t="str">
        <f>""</f>
        <v/>
      </c>
      <c r="H421" s="1">
        <v>42247</v>
      </c>
      <c r="I421" t="str">
        <f>"COP00301"</f>
        <v>COP00301</v>
      </c>
      <c r="J421" t="str">
        <f t="shared" si="109"/>
        <v>JOB ORDR</v>
      </c>
      <c r="K421" t="str">
        <f t="shared" ref="K421:K447" si="118">"AS89"</f>
        <v>AS89</v>
      </c>
      <c r="L421" t="s">
        <v>2980</v>
      </c>
      <c r="M421">
        <v>344.65</v>
      </c>
    </row>
    <row r="422" spans="1:13" x14ac:dyDescent="0.25">
      <c r="A422" t="str">
        <f t="shared" si="110"/>
        <v>E172</v>
      </c>
      <c r="B422">
        <v>1</v>
      </c>
      <c r="C422" t="str">
        <f>"43004"</f>
        <v>43004</v>
      </c>
      <c r="D422" t="str">
        <f>"5741"</f>
        <v>5741</v>
      </c>
      <c r="E422" t="str">
        <f>"850ALT"</f>
        <v>850ALT</v>
      </c>
      <c r="F422" t="str">
        <f>""</f>
        <v/>
      </c>
      <c r="G422" t="str">
        <f>""</f>
        <v/>
      </c>
      <c r="H422" s="1">
        <v>42307</v>
      </c>
      <c r="I422" t="str">
        <f>"COP00303"</f>
        <v>COP00303</v>
      </c>
      <c r="J422" t="str">
        <f t="shared" si="109"/>
        <v>JOB ORDR</v>
      </c>
      <c r="K422" t="str">
        <f t="shared" si="118"/>
        <v>AS89</v>
      </c>
      <c r="L422" t="s">
        <v>2978</v>
      </c>
      <c r="M422">
        <v>114.16</v>
      </c>
    </row>
    <row r="423" spans="1:13" x14ac:dyDescent="0.25">
      <c r="A423" t="str">
        <f t="shared" ref="A423:A459" si="119">"E173"</f>
        <v>E173</v>
      </c>
      <c r="B423">
        <v>1</v>
      </c>
      <c r="C423" t="str">
        <f t="shared" ref="C423:C434" si="120">"10200"</f>
        <v>10200</v>
      </c>
      <c r="D423" t="str">
        <f t="shared" ref="D423:D447" si="121">"5620"</f>
        <v>5620</v>
      </c>
      <c r="E423" t="str">
        <f t="shared" ref="E423:E434" si="122">"094OMS"</f>
        <v>094OMS</v>
      </c>
      <c r="F423" t="str">
        <f>""</f>
        <v/>
      </c>
      <c r="G423" t="str">
        <f>""</f>
        <v/>
      </c>
      <c r="H423" s="1">
        <v>42215</v>
      </c>
      <c r="I423" t="str">
        <f>"MLT00090"</f>
        <v>MLT00090</v>
      </c>
      <c r="J423" t="str">
        <f>""</f>
        <v/>
      </c>
      <c r="K423" t="str">
        <f t="shared" si="118"/>
        <v>AS89</v>
      </c>
      <c r="L423" t="s">
        <v>2976</v>
      </c>
      <c r="M423">
        <v>228.15</v>
      </c>
    </row>
    <row r="424" spans="1:13" x14ac:dyDescent="0.25">
      <c r="A424" t="str">
        <f t="shared" si="119"/>
        <v>E173</v>
      </c>
      <c r="B424">
        <v>1</v>
      </c>
      <c r="C424" t="str">
        <f t="shared" si="120"/>
        <v>10200</v>
      </c>
      <c r="D424" t="str">
        <f t="shared" si="121"/>
        <v>5620</v>
      </c>
      <c r="E424" t="str">
        <f t="shared" si="122"/>
        <v>094OMS</v>
      </c>
      <c r="F424" t="str">
        <f>""</f>
        <v/>
      </c>
      <c r="G424" t="str">
        <f>""</f>
        <v/>
      </c>
      <c r="H424" s="1">
        <v>42246</v>
      </c>
      <c r="I424" t="str">
        <f>"MLT00091"</f>
        <v>MLT00091</v>
      </c>
      <c r="J424" t="str">
        <f>""</f>
        <v/>
      </c>
      <c r="K424" t="str">
        <f t="shared" si="118"/>
        <v>AS89</v>
      </c>
      <c r="L424" t="s">
        <v>2975</v>
      </c>
      <c r="M424">
        <v>199.95</v>
      </c>
    </row>
    <row r="425" spans="1:13" x14ac:dyDescent="0.25">
      <c r="A425" t="str">
        <f t="shared" si="119"/>
        <v>E173</v>
      </c>
      <c r="B425">
        <v>1</v>
      </c>
      <c r="C425" t="str">
        <f t="shared" si="120"/>
        <v>10200</v>
      </c>
      <c r="D425" t="str">
        <f t="shared" si="121"/>
        <v>5620</v>
      </c>
      <c r="E425" t="str">
        <f t="shared" si="122"/>
        <v>094OMS</v>
      </c>
      <c r="F425" t="str">
        <f>""</f>
        <v/>
      </c>
      <c r="G425" t="str">
        <f>""</f>
        <v/>
      </c>
      <c r="H425" s="1">
        <v>42277</v>
      </c>
      <c r="I425" t="str">
        <f>"MLT00092"</f>
        <v>MLT00092</v>
      </c>
      <c r="J425" t="str">
        <f>""</f>
        <v/>
      </c>
      <c r="K425" t="str">
        <f t="shared" si="118"/>
        <v>AS89</v>
      </c>
      <c r="L425" t="s">
        <v>2974</v>
      </c>
      <c r="M425">
        <v>388.65</v>
      </c>
    </row>
    <row r="426" spans="1:13" x14ac:dyDescent="0.25">
      <c r="A426" t="str">
        <f t="shared" si="119"/>
        <v>E173</v>
      </c>
      <c r="B426">
        <v>1</v>
      </c>
      <c r="C426" t="str">
        <f t="shared" si="120"/>
        <v>10200</v>
      </c>
      <c r="D426" t="str">
        <f t="shared" si="121"/>
        <v>5620</v>
      </c>
      <c r="E426" t="str">
        <f t="shared" si="122"/>
        <v>094OMS</v>
      </c>
      <c r="F426" t="str">
        <f>""</f>
        <v/>
      </c>
      <c r="G426" t="str">
        <f>""</f>
        <v/>
      </c>
      <c r="H426" s="1">
        <v>42308</v>
      </c>
      <c r="I426" t="str">
        <f>"MLT00093"</f>
        <v>MLT00093</v>
      </c>
      <c r="J426" t="str">
        <f>""</f>
        <v/>
      </c>
      <c r="K426" t="str">
        <f t="shared" si="118"/>
        <v>AS89</v>
      </c>
      <c r="L426" t="s">
        <v>2973</v>
      </c>
      <c r="M426">
        <v>421.05</v>
      </c>
    </row>
    <row r="427" spans="1:13" x14ac:dyDescent="0.25">
      <c r="A427" t="str">
        <f t="shared" si="119"/>
        <v>E173</v>
      </c>
      <c r="B427">
        <v>1</v>
      </c>
      <c r="C427" t="str">
        <f t="shared" si="120"/>
        <v>10200</v>
      </c>
      <c r="D427" t="str">
        <f t="shared" si="121"/>
        <v>5620</v>
      </c>
      <c r="E427" t="str">
        <f t="shared" si="122"/>
        <v>094OMS</v>
      </c>
      <c r="F427" t="str">
        <f>""</f>
        <v/>
      </c>
      <c r="G427" t="str">
        <f>""</f>
        <v/>
      </c>
      <c r="H427" s="1">
        <v>42338</v>
      </c>
      <c r="I427" t="str">
        <f>"MLT00094"</f>
        <v>MLT00094</v>
      </c>
      <c r="J427" t="str">
        <f>""</f>
        <v/>
      </c>
      <c r="K427" t="str">
        <f t="shared" si="118"/>
        <v>AS89</v>
      </c>
      <c r="L427" t="s">
        <v>2972</v>
      </c>
      <c r="M427">
        <v>237.75</v>
      </c>
    </row>
    <row r="428" spans="1:13" x14ac:dyDescent="0.25">
      <c r="A428" t="str">
        <f t="shared" si="119"/>
        <v>E173</v>
      </c>
      <c r="B428">
        <v>1</v>
      </c>
      <c r="C428" t="str">
        <f t="shared" si="120"/>
        <v>10200</v>
      </c>
      <c r="D428" t="str">
        <f t="shared" si="121"/>
        <v>5620</v>
      </c>
      <c r="E428" t="str">
        <f t="shared" si="122"/>
        <v>094OMS</v>
      </c>
      <c r="F428" t="str">
        <f>""</f>
        <v/>
      </c>
      <c r="G428" t="str">
        <f>""</f>
        <v/>
      </c>
      <c r="H428" s="1">
        <v>42368</v>
      </c>
      <c r="I428" t="str">
        <f>"MLT00095"</f>
        <v>MLT00095</v>
      </c>
      <c r="J428" t="str">
        <f>""</f>
        <v/>
      </c>
      <c r="K428" t="str">
        <f t="shared" si="118"/>
        <v>AS89</v>
      </c>
      <c r="L428" t="s">
        <v>2971</v>
      </c>
      <c r="M428">
        <v>273.3</v>
      </c>
    </row>
    <row r="429" spans="1:13" x14ac:dyDescent="0.25">
      <c r="A429" t="str">
        <f t="shared" si="119"/>
        <v>E173</v>
      </c>
      <c r="B429">
        <v>1</v>
      </c>
      <c r="C429" t="str">
        <f t="shared" si="120"/>
        <v>10200</v>
      </c>
      <c r="D429" t="str">
        <f t="shared" si="121"/>
        <v>5620</v>
      </c>
      <c r="E429" t="str">
        <f t="shared" si="122"/>
        <v>094OMS</v>
      </c>
      <c r="F429" t="str">
        <f>""</f>
        <v/>
      </c>
      <c r="G429" t="str">
        <f>""</f>
        <v/>
      </c>
      <c r="H429" s="1">
        <v>42399</v>
      </c>
      <c r="I429" t="str">
        <f>"MLT00096"</f>
        <v>MLT00096</v>
      </c>
      <c r="J429" t="str">
        <f>""</f>
        <v/>
      </c>
      <c r="K429" t="str">
        <f t="shared" si="118"/>
        <v>AS89</v>
      </c>
      <c r="L429" t="s">
        <v>2970</v>
      </c>
      <c r="M429">
        <v>193.8</v>
      </c>
    </row>
    <row r="430" spans="1:13" x14ac:dyDescent="0.25">
      <c r="A430" t="str">
        <f t="shared" si="119"/>
        <v>E173</v>
      </c>
      <c r="B430">
        <v>1</v>
      </c>
      <c r="C430" t="str">
        <f t="shared" si="120"/>
        <v>10200</v>
      </c>
      <c r="D430" t="str">
        <f t="shared" si="121"/>
        <v>5620</v>
      </c>
      <c r="E430" t="str">
        <f t="shared" si="122"/>
        <v>094OMS</v>
      </c>
      <c r="F430" t="str">
        <f>""</f>
        <v/>
      </c>
      <c r="G430" t="str">
        <f>""</f>
        <v/>
      </c>
      <c r="H430" s="1">
        <v>42426</v>
      </c>
      <c r="I430" t="str">
        <f>"MLT00097"</f>
        <v>MLT00097</v>
      </c>
      <c r="J430" t="str">
        <f>""</f>
        <v/>
      </c>
      <c r="K430" t="str">
        <f t="shared" si="118"/>
        <v>AS89</v>
      </c>
      <c r="L430" t="s">
        <v>2969</v>
      </c>
      <c r="M430">
        <v>158.25</v>
      </c>
    </row>
    <row r="431" spans="1:13" x14ac:dyDescent="0.25">
      <c r="A431" t="str">
        <f t="shared" si="119"/>
        <v>E173</v>
      </c>
      <c r="B431">
        <v>1</v>
      </c>
      <c r="C431" t="str">
        <f t="shared" si="120"/>
        <v>10200</v>
      </c>
      <c r="D431" t="str">
        <f t="shared" si="121"/>
        <v>5620</v>
      </c>
      <c r="E431" t="str">
        <f t="shared" si="122"/>
        <v>094OMS</v>
      </c>
      <c r="F431" t="str">
        <f>""</f>
        <v/>
      </c>
      <c r="G431" t="str">
        <f>""</f>
        <v/>
      </c>
      <c r="H431" s="1">
        <v>42459</v>
      </c>
      <c r="I431" t="str">
        <f>"MLT00098"</f>
        <v>MLT00098</v>
      </c>
      <c r="J431" t="str">
        <f>""</f>
        <v/>
      </c>
      <c r="K431" t="str">
        <f t="shared" si="118"/>
        <v>AS89</v>
      </c>
      <c r="L431" t="s">
        <v>2968</v>
      </c>
      <c r="M431">
        <v>133.5</v>
      </c>
    </row>
    <row r="432" spans="1:13" x14ac:dyDescent="0.25">
      <c r="A432" t="str">
        <f t="shared" si="119"/>
        <v>E173</v>
      </c>
      <c r="B432">
        <v>1</v>
      </c>
      <c r="C432" t="str">
        <f t="shared" si="120"/>
        <v>10200</v>
      </c>
      <c r="D432" t="str">
        <f t="shared" si="121"/>
        <v>5620</v>
      </c>
      <c r="E432" t="str">
        <f t="shared" si="122"/>
        <v>094OMS</v>
      </c>
      <c r="F432" t="str">
        <f>""</f>
        <v/>
      </c>
      <c r="G432" t="str">
        <f>""</f>
        <v/>
      </c>
      <c r="H432" s="1">
        <v>42489</v>
      </c>
      <c r="I432" t="str">
        <f>"MLT00099"</f>
        <v>MLT00099</v>
      </c>
      <c r="J432" t="str">
        <f>""</f>
        <v/>
      </c>
      <c r="K432" t="str">
        <f t="shared" si="118"/>
        <v>AS89</v>
      </c>
      <c r="L432" t="s">
        <v>2967</v>
      </c>
      <c r="M432">
        <v>103.05</v>
      </c>
    </row>
    <row r="433" spans="1:13" x14ac:dyDescent="0.25">
      <c r="A433" t="str">
        <f t="shared" si="119"/>
        <v>E173</v>
      </c>
      <c r="B433">
        <v>1</v>
      </c>
      <c r="C433" t="str">
        <f t="shared" si="120"/>
        <v>10200</v>
      </c>
      <c r="D433" t="str">
        <f t="shared" si="121"/>
        <v>5620</v>
      </c>
      <c r="E433" t="str">
        <f t="shared" si="122"/>
        <v>094OMS</v>
      </c>
      <c r="F433" t="str">
        <f>""</f>
        <v/>
      </c>
      <c r="G433" t="str">
        <f>""</f>
        <v/>
      </c>
      <c r="H433" s="1">
        <v>42521</v>
      </c>
      <c r="I433" t="str">
        <f>"MLT00100"</f>
        <v>MLT00100</v>
      </c>
      <c r="J433" t="str">
        <f>""</f>
        <v/>
      </c>
      <c r="K433" t="str">
        <f t="shared" si="118"/>
        <v>AS89</v>
      </c>
      <c r="L433" t="s">
        <v>2966</v>
      </c>
      <c r="M433">
        <v>118.8</v>
      </c>
    </row>
    <row r="434" spans="1:13" x14ac:dyDescent="0.25">
      <c r="A434" t="str">
        <f t="shared" si="119"/>
        <v>E173</v>
      </c>
      <c r="B434">
        <v>1</v>
      </c>
      <c r="C434" t="str">
        <f t="shared" si="120"/>
        <v>10200</v>
      </c>
      <c r="D434" t="str">
        <f t="shared" si="121"/>
        <v>5620</v>
      </c>
      <c r="E434" t="str">
        <f t="shared" si="122"/>
        <v>094OMS</v>
      </c>
      <c r="F434" t="str">
        <f>""</f>
        <v/>
      </c>
      <c r="G434" t="str">
        <f>""</f>
        <v/>
      </c>
      <c r="H434" s="1">
        <v>42551</v>
      </c>
      <c r="I434" t="str">
        <f>"MLT00101"</f>
        <v>MLT00101</v>
      </c>
      <c r="J434" t="str">
        <f>""</f>
        <v/>
      </c>
      <c r="K434" t="str">
        <f t="shared" si="118"/>
        <v>AS89</v>
      </c>
      <c r="L434" t="s">
        <v>2965</v>
      </c>
      <c r="M434">
        <v>135.30000000000001</v>
      </c>
    </row>
    <row r="435" spans="1:13" x14ac:dyDescent="0.25">
      <c r="A435" t="str">
        <f t="shared" si="119"/>
        <v>E173</v>
      </c>
      <c r="B435">
        <v>1</v>
      </c>
      <c r="C435" t="str">
        <f>"32040"</f>
        <v>32040</v>
      </c>
      <c r="D435" t="str">
        <f t="shared" si="121"/>
        <v>5620</v>
      </c>
      <c r="E435" t="str">
        <f t="shared" ref="E435:E459" si="123">"850LOS"</f>
        <v>850LOS</v>
      </c>
      <c r="F435" t="str">
        <f>""</f>
        <v/>
      </c>
      <c r="G435" t="str">
        <f>""</f>
        <v/>
      </c>
      <c r="H435" s="1">
        <v>42277</v>
      </c>
      <c r="I435" t="str">
        <f>"MLT00092"</f>
        <v>MLT00092</v>
      </c>
      <c r="J435" t="str">
        <f>""</f>
        <v/>
      </c>
      <c r="K435" t="str">
        <f t="shared" si="118"/>
        <v>AS89</v>
      </c>
      <c r="L435" t="s">
        <v>2964</v>
      </c>
      <c r="M435">
        <v>118.35</v>
      </c>
    </row>
    <row r="436" spans="1:13" x14ac:dyDescent="0.25">
      <c r="A436" t="str">
        <f t="shared" si="119"/>
        <v>E173</v>
      </c>
      <c r="B436">
        <v>1</v>
      </c>
      <c r="C436" t="str">
        <f t="shared" ref="C436:C459" si="124">"43000"</f>
        <v>43000</v>
      </c>
      <c r="D436" t="str">
        <f t="shared" si="121"/>
        <v>5620</v>
      </c>
      <c r="E436" t="str">
        <f t="shared" si="123"/>
        <v>850LOS</v>
      </c>
      <c r="F436" t="str">
        <f>""</f>
        <v/>
      </c>
      <c r="G436" t="str">
        <f>""</f>
        <v/>
      </c>
      <c r="H436" s="1">
        <v>42215</v>
      </c>
      <c r="I436" t="str">
        <f>"MLT00090"</f>
        <v>MLT00090</v>
      </c>
      <c r="J436" t="str">
        <f>""</f>
        <v/>
      </c>
      <c r="K436" t="str">
        <f t="shared" si="118"/>
        <v>AS89</v>
      </c>
      <c r="L436" t="s">
        <v>2383</v>
      </c>
      <c r="M436">
        <v>171.9</v>
      </c>
    </row>
    <row r="437" spans="1:13" x14ac:dyDescent="0.25">
      <c r="A437" t="str">
        <f t="shared" si="119"/>
        <v>E173</v>
      </c>
      <c r="B437">
        <v>1</v>
      </c>
      <c r="C437" t="str">
        <f t="shared" si="124"/>
        <v>43000</v>
      </c>
      <c r="D437" t="str">
        <f t="shared" si="121"/>
        <v>5620</v>
      </c>
      <c r="E437" t="str">
        <f t="shared" si="123"/>
        <v>850LOS</v>
      </c>
      <c r="F437" t="str">
        <f>""</f>
        <v/>
      </c>
      <c r="G437" t="str">
        <f>""</f>
        <v/>
      </c>
      <c r="H437" s="1">
        <v>42246</v>
      </c>
      <c r="I437" t="str">
        <f>"MLT00091"</f>
        <v>MLT00091</v>
      </c>
      <c r="J437" t="str">
        <f>""</f>
        <v/>
      </c>
      <c r="K437" t="str">
        <f t="shared" si="118"/>
        <v>AS89</v>
      </c>
      <c r="L437" t="s">
        <v>2382</v>
      </c>
      <c r="M437">
        <v>120.9</v>
      </c>
    </row>
    <row r="438" spans="1:13" x14ac:dyDescent="0.25">
      <c r="A438" t="str">
        <f t="shared" si="119"/>
        <v>E173</v>
      </c>
      <c r="B438">
        <v>1</v>
      </c>
      <c r="C438" t="str">
        <f t="shared" si="124"/>
        <v>43000</v>
      </c>
      <c r="D438" t="str">
        <f t="shared" si="121"/>
        <v>5620</v>
      </c>
      <c r="E438" t="str">
        <f t="shared" si="123"/>
        <v>850LOS</v>
      </c>
      <c r="F438" t="str">
        <f>""</f>
        <v/>
      </c>
      <c r="G438" t="str">
        <f>""</f>
        <v/>
      </c>
      <c r="H438" s="1">
        <v>42277</v>
      </c>
      <c r="I438" t="str">
        <f>"MLT00092"</f>
        <v>MLT00092</v>
      </c>
      <c r="J438" t="str">
        <f>""</f>
        <v/>
      </c>
      <c r="K438" t="str">
        <f t="shared" si="118"/>
        <v>AS89</v>
      </c>
      <c r="L438" t="s">
        <v>2381</v>
      </c>
      <c r="M438">
        <v>203.7</v>
      </c>
    </row>
    <row r="439" spans="1:13" x14ac:dyDescent="0.25">
      <c r="A439" t="str">
        <f t="shared" si="119"/>
        <v>E173</v>
      </c>
      <c r="B439">
        <v>1</v>
      </c>
      <c r="C439" t="str">
        <f t="shared" si="124"/>
        <v>43000</v>
      </c>
      <c r="D439" t="str">
        <f t="shared" si="121"/>
        <v>5620</v>
      </c>
      <c r="E439" t="str">
        <f t="shared" si="123"/>
        <v>850LOS</v>
      </c>
      <c r="F439" t="str">
        <f>""</f>
        <v/>
      </c>
      <c r="G439" t="str">
        <f>""</f>
        <v/>
      </c>
      <c r="H439" s="1">
        <v>42308</v>
      </c>
      <c r="I439" t="str">
        <f>"MLT00093"</f>
        <v>MLT00093</v>
      </c>
      <c r="J439" t="str">
        <f>""</f>
        <v/>
      </c>
      <c r="K439" t="str">
        <f t="shared" si="118"/>
        <v>AS89</v>
      </c>
      <c r="L439" t="s">
        <v>2380</v>
      </c>
      <c r="M439">
        <v>285.60000000000002</v>
      </c>
    </row>
    <row r="440" spans="1:13" x14ac:dyDescent="0.25">
      <c r="A440" t="str">
        <f t="shared" si="119"/>
        <v>E173</v>
      </c>
      <c r="B440">
        <v>1</v>
      </c>
      <c r="C440" t="str">
        <f t="shared" si="124"/>
        <v>43000</v>
      </c>
      <c r="D440" t="str">
        <f t="shared" si="121"/>
        <v>5620</v>
      </c>
      <c r="E440" t="str">
        <f t="shared" si="123"/>
        <v>850LOS</v>
      </c>
      <c r="F440" t="str">
        <f>""</f>
        <v/>
      </c>
      <c r="G440" t="str">
        <f>""</f>
        <v/>
      </c>
      <c r="H440" s="1">
        <v>42338</v>
      </c>
      <c r="I440" t="str">
        <f>"MLT00094"</f>
        <v>MLT00094</v>
      </c>
      <c r="J440" t="str">
        <f>""</f>
        <v/>
      </c>
      <c r="K440" t="str">
        <f t="shared" si="118"/>
        <v>AS89</v>
      </c>
      <c r="L440" t="s">
        <v>2379</v>
      </c>
      <c r="M440">
        <v>184.2</v>
      </c>
    </row>
    <row r="441" spans="1:13" x14ac:dyDescent="0.25">
      <c r="A441" t="str">
        <f t="shared" si="119"/>
        <v>E173</v>
      </c>
      <c r="B441">
        <v>1</v>
      </c>
      <c r="C441" t="str">
        <f t="shared" si="124"/>
        <v>43000</v>
      </c>
      <c r="D441" t="str">
        <f t="shared" si="121"/>
        <v>5620</v>
      </c>
      <c r="E441" t="str">
        <f t="shared" si="123"/>
        <v>850LOS</v>
      </c>
      <c r="F441" t="str">
        <f>""</f>
        <v/>
      </c>
      <c r="G441" t="str">
        <f>""</f>
        <v/>
      </c>
      <c r="H441" s="1">
        <v>42368</v>
      </c>
      <c r="I441" t="str">
        <f>"MLT00095"</f>
        <v>MLT00095</v>
      </c>
      <c r="J441" t="str">
        <f>""</f>
        <v/>
      </c>
      <c r="K441" t="str">
        <f t="shared" si="118"/>
        <v>AS89</v>
      </c>
      <c r="L441" t="s">
        <v>2378</v>
      </c>
      <c r="M441">
        <v>187.05</v>
      </c>
    </row>
    <row r="442" spans="1:13" x14ac:dyDescent="0.25">
      <c r="A442" t="str">
        <f t="shared" si="119"/>
        <v>E173</v>
      </c>
      <c r="B442">
        <v>1</v>
      </c>
      <c r="C442" t="str">
        <f t="shared" si="124"/>
        <v>43000</v>
      </c>
      <c r="D442" t="str">
        <f t="shared" si="121"/>
        <v>5620</v>
      </c>
      <c r="E442" t="str">
        <f t="shared" si="123"/>
        <v>850LOS</v>
      </c>
      <c r="F442" t="str">
        <f>""</f>
        <v/>
      </c>
      <c r="G442" t="str">
        <f>""</f>
        <v/>
      </c>
      <c r="H442" s="1">
        <v>42399</v>
      </c>
      <c r="I442" t="str">
        <f>"MLT00096"</f>
        <v>MLT00096</v>
      </c>
      <c r="J442" t="str">
        <f>""</f>
        <v/>
      </c>
      <c r="K442" t="str">
        <f t="shared" si="118"/>
        <v>AS89</v>
      </c>
      <c r="L442" t="s">
        <v>2377</v>
      </c>
      <c r="M442">
        <v>219.75</v>
      </c>
    </row>
    <row r="443" spans="1:13" x14ac:dyDescent="0.25">
      <c r="A443" t="str">
        <f t="shared" si="119"/>
        <v>E173</v>
      </c>
      <c r="B443">
        <v>1</v>
      </c>
      <c r="C443" t="str">
        <f t="shared" si="124"/>
        <v>43000</v>
      </c>
      <c r="D443" t="str">
        <f t="shared" si="121"/>
        <v>5620</v>
      </c>
      <c r="E443" t="str">
        <f t="shared" si="123"/>
        <v>850LOS</v>
      </c>
      <c r="F443" t="str">
        <f>""</f>
        <v/>
      </c>
      <c r="G443" t="str">
        <f>""</f>
        <v/>
      </c>
      <c r="H443" s="1">
        <v>42426</v>
      </c>
      <c r="I443" t="str">
        <f>"MLT00097"</f>
        <v>MLT00097</v>
      </c>
      <c r="J443" t="str">
        <f>""</f>
        <v/>
      </c>
      <c r="K443" t="str">
        <f t="shared" si="118"/>
        <v>AS89</v>
      </c>
      <c r="L443" t="s">
        <v>2376</v>
      </c>
      <c r="M443">
        <v>227.4</v>
      </c>
    </row>
    <row r="444" spans="1:13" x14ac:dyDescent="0.25">
      <c r="A444" t="str">
        <f t="shared" si="119"/>
        <v>E173</v>
      </c>
      <c r="B444">
        <v>1</v>
      </c>
      <c r="C444" t="str">
        <f t="shared" si="124"/>
        <v>43000</v>
      </c>
      <c r="D444" t="str">
        <f t="shared" si="121"/>
        <v>5620</v>
      </c>
      <c r="E444" t="str">
        <f t="shared" si="123"/>
        <v>850LOS</v>
      </c>
      <c r="F444" t="str">
        <f>""</f>
        <v/>
      </c>
      <c r="G444" t="str">
        <f>""</f>
        <v/>
      </c>
      <c r="H444" s="1">
        <v>42459</v>
      </c>
      <c r="I444" t="str">
        <f>"MLT00098"</f>
        <v>MLT00098</v>
      </c>
      <c r="J444" t="str">
        <f>""</f>
        <v/>
      </c>
      <c r="K444" t="str">
        <f t="shared" si="118"/>
        <v>AS89</v>
      </c>
      <c r="L444" t="s">
        <v>2037</v>
      </c>
      <c r="M444">
        <v>298.64999999999998</v>
      </c>
    </row>
    <row r="445" spans="1:13" x14ac:dyDescent="0.25">
      <c r="A445" t="str">
        <f t="shared" si="119"/>
        <v>E173</v>
      </c>
      <c r="B445">
        <v>1</v>
      </c>
      <c r="C445" t="str">
        <f t="shared" si="124"/>
        <v>43000</v>
      </c>
      <c r="D445" t="str">
        <f t="shared" si="121"/>
        <v>5620</v>
      </c>
      <c r="E445" t="str">
        <f t="shared" si="123"/>
        <v>850LOS</v>
      </c>
      <c r="F445" t="str">
        <f>""</f>
        <v/>
      </c>
      <c r="G445" t="str">
        <f>""</f>
        <v/>
      </c>
      <c r="H445" s="1">
        <v>42489</v>
      </c>
      <c r="I445" t="str">
        <f>"MLT00099"</f>
        <v>MLT00099</v>
      </c>
      <c r="J445" t="str">
        <f>""</f>
        <v/>
      </c>
      <c r="K445" t="str">
        <f t="shared" si="118"/>
        <v>AS89</v>
      </c>
      <c r="L445" t="s">
        <v>2036</v>
      </c>
      <c r="M445">
        <v>264.45</v>
      </c>
    </row>
    <row r="446" spans="1:13" x14ac:dyDescent="0.25">
      <c r="A446" t="str">
        <f t="shared" si="119"/>
        <v>E173</v>
      </c>
      <c r="B446">
        <v>1</v>
      </c>
      <c r="C446" t="str">
        <f t="shared" si="124"/>
        <v>43000</v>
      </c>
      <c r="D446" t="str">
        <f t="shared" si="121"/>
        <v>5620</v>
      </c>
      <c r="E446" t="str">
        <f t="shared" si="123"/>
        <v>850LOS</v>
      </c>
      <c r="F446" t="str">
        <f>""</f>
        <v/>
      </c>
      <c r="G446" t="str">
        <f>""</f>
        <v/>
      </c>
      <c r="H446" s="1">
        <v>42521</v>
      </c>
      <c r="I446" t="str">
        <f>"MLT00100"</f>
        <v>MLT00100</v>
      </c>
      <c r="J446" t="str">
        <f>""</f>
        <v/>
      </c>
      <c r="K446" t="str">
        <f t="shared" si="118"/>
        <v>AS89</v>
      </c>
      <c r="L446" t="s">
        <v>2963</v>
      </c>
      <c r="M446">
        <v>237.2</v>
      </c>
    </row>
    <row r="447" spans="1:13" x14ac:dyDescent="0.25">
      <c r="A447" t="str">
        <f t="shared" si="119"/>
        <v>E173</v>
      </c>
      <c r="B447">
        <v>1</v>
      </c>
      <c r="C447" t="str">
        <f t="shared" si="124"/>
        <v>43000</v>
      </c>
      <c r="D447" t="str">
        <f t="shared" si="121"/>
        <v>5620</v>
      </c>
      <c r="E447" t="str">
        <f t="shared" si="123"/>
        <v>850LOS</v>
      </c>
      <c r="F447" t="str">
        <f>""</f>
        <v/>
      </c>
      <c r="G447" t="str">
        <f>""</f>
        <v/>
      </c>
      <c r="H447" s="1">
        <v>42551</v>
      </c>
      <c r="I447" t="str">
        <f>"MLT00101"</f>
        <v>MLT00101</v>
      </c>
      <c r="J447" t="str">
        <f>""</f>
        <v/>
      </c>
      <c r="K447" t="str">
        <f t="shared" si="118"/>
        <v>AS89</v>
      </c>
      <c r="L447" t="s">
        <v>2034</v>
      </c>
      <c r="M447">
        <v>214.2</v>
      </c>
    </row>
    <row r="448" spans="1:13" x14ac:dyDescent="0.25">
      <c r="A448" t="str">
        <f t="shared" si="119"/>
        <v>E173</v>
      </c>
      <c r="B448">
        <v>1</v>
      </c>
      <c r="C448" t="str">
        <f t="shared" si="124"/>
        <v>43000</v>
      </c>
      <c r="D448" t="str">
        <f t="shared" ref="D448:D459" si="125">"5740"</f>
        <v>5740</v>
      </c>
      <c r="E448" t="str">
        <f t="shared" si="123"/>
        <v>850LOS</v>
      </c>
      <c r="F448" t="str">
        <f>""</f>
        <v/>
      </c>
      <c r="G448" t="str">
        <f>""</f>
        <v/>
      </c>
      <c r="H448" s="1">
        <v>42535</v>
      </c>
      <c r="I448" t="str">
        <f t="shared" ref="I448:I458" si="126">"ACG02686"</f>
        <v>ACG02686</v>
      </c>
      <c r="J448" t="str">
        <f>"MLT00090"</f>
        <v>MLT00090</v>
      </c>
      <c r="K448" t="str">
        <f t="shared" ref="K448:K458" si="127">"AS96"</f>
        <v>AS96</v>
      </c>
      <c r="L448" t="s">
        <v>2383</v>
      </c>
      <c r="M448">
        <v>171.9</v>
      </c>
    </row>
    <row r="449" spans="1:13" x14ac:dyDescent="0.25">
      <c r="A449" t="str">
        <f t="shared" si="119"/>
        <v>E173</v>
      </c>
      <c r="B449">
        <v>1</v>
      </c>
      <c r="C449" t="str">
        <f t="shared" si="124"/>
        <v>43000</v>
      </c>
      <c r="D449" t="str">
        <f t="shared" si="125"/>
        <v>5740</v>
      </c>
      <c r="E449" t="str">
        <f t="shared" si="123"/>
        <v>850LOS</v>
      </c>
      <c r="F449" t="str">
        <f>""</f>
        <v/>
      </c>
      <c r="G449" t="str">
        <f>""</f>
        <v/>
      </c>
      <c r="H449" s="1">
        <v>42535</v>
      </c>
      <c r="I449" t="str">
        <f t="shared" si="126"/>
        <v>ACG02686</v>
      </c>
      <c r="J449" t="str">
        <f>"MLT00091"</f>
        <v>MLT00091</v>
      </c>
      <c r="K449" t="str">
        <f t="shared" si="127"/>
        <v>AS96</v>
      </c>
      <c r="L449" t="s">
        <v>2382</v>
      </c>
      <c r="M449">
        <v>120.9</v>
      </c>
    </row>
    <row r="450" spans="1:13" x14ac:dyDescent="0.25">
      <c r="A450" t="str">
        <f t="shared" si="119"/>
        <v>E173</v>
      </c>
      <c r="B450">
        <v>1</v>
      </c>
      <c r="C450" t="str">
        <f t="shared" si="124"/>
        <v>43000</v>
      </c>
      <c r="D450" t="str">
        <f t="shared" si="125"/>
        <v>5740</v>
      </c>
      <c r="E450" t="str">
        <f t="shared" si="123"/>
        <v>850LOS</v>
      </c>
      <c r="F450" t="str">
        <f>""</f>
        <v/>
      </c>
      <c r="G450" t="str">
        <f>""</f>
        <v/>
      </c>
      <c r="H450" s="1">
        <v>42535</v>
      </c>
      <c r="I450" t="str">
        <f t="shared" si="126"/>
        <v>ACG02686</v>
      </c>
      <c r="J450" t="str">
        <f>"MLT00092"</f>
        <v>MLT00092</v>
      </c>
      <c r="K450" t="str">
        <f t="shared" si="127"/>
        <v>AS96</v>
      </c>
      <c r="L450" t="s">
        <v>2381</v>
      </c>
      <c r="M450">
        <v>203.7</v>
      </c>
    </row>
    <row r="451" spans="1:13" x14ac:dyDescent="0.25">
      <c r="A451" t="str">
        <f t="shared" si="119"/>
        <v>E173</v>
      </c>
      <c r="B451">
        <v>1</v>
      </c>
      <c r="C451" t="str">
        <f t="shared" si="124"/>
        <v>43000</v>
      </c>
      <c r="D451" t="str">
        <f t="shared" si="125"/>
        <v>5740</v>
      </c>
      <c r="E451" t="str">
        <f t="shared" si="123"/>
        <v>850LOS</v>
      </c>
      <c r="F451" t="str">
        <f>""</f>
        <v/>
      </c>
      <c r="G451" t="str">
        <f>""</f>
        <v/>
      </c>
      <c r="H451" s="1">
        <v>42535</v>
      </c>
      <c r="I451" t="str">
        <f t="shared" si="126"/>
        <v>ACG02686</v>
      </c>
      <c r="J451" t="str">
        <f>"MLT00093"</f>
        <v>MLT00093</v>
      </c>
      <c r="K451" t="str">
        <f t="shared" si="127"/>
        <v>AS96</v>
      </c>
      <c r="L451" t="s">
        <v>2380</v>
      </c>
      <c r="M451">
        <v>285.60000000000002</v>
      </c>
    </row>
    <row r="452" spans="1:13" x14ac:dyDescent="0.25">
      <c r="A452" t="str">
        <f t="shared" si="119"/>
        <v>E173</v>
      </c>
      <c r="B452">
        <v>1</v>
      </c>
      <c r="C452" t="str">
        <f t="shared" si="124"/>
        <v>43000</v>
      </c>
      <c r="D452" t="str">
        <f t="shared" si="125"/>
        <v>5740</v>
      </c>
      <c r="E452" t="str">
        <f t="shared" si="123"/>
        <v>850LOS</v>
      </c>
      <c r="F452" t="str">
        <f>""</f>
        <v/>
      </c>
      <c r="G452" t="str">
        <f>""</f>
        <v/>
      </c>
      <c r="H452" s="1">
        <v>42535</v>
      </c>
      <c r="I452" t="str">
        <f t="shared" si="126"/>
        <v>ACG02686</v>
      </c>
      <c r="J452" t="str">
        <f>"MLT00094"</f>
        <v>MLT00094</v>
      </c>
      <c r="K452" t="str">
        <f t="shared" si="127"/>
        <v>AS96</v>
      </c>
      <c r="L452" t="s">
        <v>2379</v>
      </c>
      <c r="M452">
        <v>184.2</v>
      </c>
    </row>
    <row r="453" spans="1:13" x14ac:dyDescent="0.25">
      <c r="A453" t="str">
        <f t="shared" si="119"/>
        <v>E173</v>
      </c>
      <c r="B453">
        <v>1</v>
      </c>
      <c r="C453" t="str">
        <f t="shared" si="124"/>
        <v>43000</v>
      </c>
      <c r="D453" t="str">
        <f t="shared" si="125"/>
        <v>5740</v>
      </c>
      <c r="E453" t="str">
        <f t="shared" si="123"/>
        <v>850LOS</v>
      </c>
      <c r="F453" t="str">
        <f>""</f>
        <v/>
      </c>
      <c r="G453" t="str">
        <f>""</f>
        <v/>
      </c>
      <c r="H453" s="1">
        <v>42535</v>
      </c>
      <c r="I453" t="str">
        <f t="shared" si="126"/>
        <v>ACG02686</v>
      </c>
      <c r="J453" t="str">
        <f>"MLT00095"</f>
        <v>MLT00095</v>
      </c>
      <c r="K453" t="str">
        <f t="shared" si="127"/>
        <v>AS96</v>
      </c>
      <c r="L453" t="s">
        <v>2378</v>
      </c>
      <c r="M453">
        <v>187.05</v>
      </c>
    </row>
    <row r="454" spans="1:13" x14ac:dyDescent="0.25">
      <c r="A454" t="str">
        <f t="shared" si="119"/>
        <v>E173</v>
      </c>
      <c r="B454">
        <v>1</v>
      </c>
      <c r="C454" t="str">
        <f t="shared" si="124"/>
        <v>43000</v>
      </c>
      <c r="D454" t="str">
        <f t="shared" si="125"/>
        <v>5740</v>
      </c>
      <c r="E454" t="str">
        <f t="shared" si="123"/>
        <v>850LOS</v>
      </c>
      <c r="F454" t="str">
        <f>""</f>
        <v/>
      </c>
      <c r="G454" t="str">
        <f>""</f>
        <v/>
      </c>
      <c r="H454" s="1">
        <v>42535</v>
      </c>
      <c r="I454" t="str">
        <f t="shared" si="126"/>
        <v>ACG02686</v>
      </c>
      <c r="J454" t="str">
        <f>"MLT00096"</f>
        <v>MLT00096</v>
      </c>
      <c r="K454" t="str">
        <f t="shared" si="127"/>
        <v>AS96</v>
      </c>
      <c r="L454" t="s">
        <v>2377</v>
      </c>
      <c r="M454">
        <v>219.75</v>
      </c>
    </row>
    <row r="455" spans="1:13" x14ac:dyDescent="0.25">
      <c r="A455" t="str">
        <f t="shared" si="119"/>
        <v>E173</v>
      </c>
      <c r="B455">
        <v>1</v>
      </c>
      <c r="C455" t="str">
        <f t="shared" si="124"/>
        <v>43000</v>
      </c>
      <c r="D455" t="str">
        <f t="shared" si="125"/>
        <v>5740</v>
      </c>
      <c r="E455" t="str">
        <f t="shared" si="123"/>
        <v>850LOS</v>
      </c>
      <c r="F455" t="str">
        <f>""</f>
        <v/>
      </c>
      <c r="G455" t="str">
        <f>""</f>
        <v/>
      </c>
      <c r="H455" s="1">
        <v>42535</v>
      </c>
      <c r="I455" t="str">
        <f t="shared" si="126"/>
        <v>ACG02686</v>
      </c>
      <c r="J455" t="str">
        <f>"MLT00097"</f>
        <v>MLT00097</v>
      </c>
      <c r="K455" t="str">
        <f t="shared" si="127"/>
        <v>AS96</v>
      </c>
      <c r="L455" t="s">
        <v>2376</v>
      </c>
      <c r="M455">
        <v>227.4</v>
      </c>
    </row>
    <row r="456" spans="1:13" x14ac:dyDescent="0.25">
      <c r="A456" t="str">
        <f t="shared" si="119"/>
        <v>E173</v>
      </c>
      <c r="B456">
        <v>1</v>
      </c>
      <c r="C456" t="str">
        <f t="shared" si="124"/>
        <v>43000</v>
      </c>
      <c r="D456" t="str">
        <f t="shared" si="125"/>
        <v>5740</v>
      </c>
      <c r="E456" t="str">
        <f t="shared" si="123"/>
        <v>850LOS</v>
      </c>
      <c r="F456" t="str">
        <f>""</f>
        <v/>
      </c>
      <c r="G456" t="str">
        <f>""</f>
        <v/>
      </c>
      <c r="H456" s="1">
        <v>42535</v>
      </c>
      <c r="I456" t="str">
        <f t="shared" si="126"/>
        <v>ACG02686</v>
      </c>
      <c r="J456" t="str">
        <f>"MLT00098"</f>
        <v>MLT00098</v>
      </c>
      <c r="K456" t="str">
        <f t="shared" si="127"/>
        <v>AS96</v>
      </c>
      <c r="L456" t="s">
        <v>2037</v>
      </c>
      <c r="M456">
        <v>298.64999999999998</v>
      </c>
    </row>
    <row r="457" spans="1:13" x14ac:dyDescent="0.25">
      <c r="A457" t="str">
        <f t="shared" si="119"/>
        <v>E173</v>
      </c>
      <c r="B457">
        <v>1</v>
      </c>
      <c r="C457" t="str">
        <f t="shared" si="124"/>
        <v>43000</v>
      </c>
      <c r="D457" t="str">
        <f t="shared" si="125"/>
        <v>5740</v>
      </c>
      <c r="E457" t="str">
        <f t="shared" si="123"/>
        <v>850LOS</v>
      </c>
      <c r="F457" t="str">
        <f>""</f>
        <v/>
      </c>
      <c r="G457" t="str">
        <f>""</f>
        <v/>
      </c>
      <c r="H457" s="1">
        <v>42535</v>
      </c>
      <c r="I457" t="str">
        <f t="shared" si="126"/>
        <v>ACG02686</v>
      </c>
      <c r="J457" t="str">
        <f>"MLT00099"</f>
        <v>MLT00099</v>
      </c>
      <c r="K457" t="str">
        <f t="shared" si="127"/>
        <v>AS96</v>
      </c>
      <c r="L457" t="s">
        <v>2036</v>
      </c>
      <c r="M457">
        <v>264.45</v>
      </c>
    </row>
    <row r="458" spans="1:13" x14ac:dyDescent="0.25">
      <c r="A458" t="str">
        <f t="shared" si="119"/>
        <v>E173</v>
      </c>
      <c r="B458">
        <v>1</v>
      </c>
      <c r="C458" t="str">
        <f t="shared" si="124"/>
        <v>43000</v>
      </c>
      <c r="D458" t="str">
        <f t="shared" si="125"/>
        <v>5740</v>
      </c>
      <c r="E458" t="str">
        <f t="shared" si="123"/>
        <v>850LOS</v>
      </c>
      <c r="F458" t="str">
        <f>""</f>
        <v/>
      </c>
      <c r="G458" t="str">
        <f>""</f>
        <v/>
      </c>
      <c r="H458" s="1">
        <v>42535</v>
      </c>
      <c r="I458" t="str">
        <f t="shared" si="126"/>
        <v>ACG02686</v>
      </c>
      <c r="J458" t="str">
        <f>"MLT00100"</f>
        <v>MLT00100</v>
      </c>
      <c r="K458" t="str">
        <f t="shared" si="127"/>
        <v>AS96</v>
      </c>
      <c r="L458" t="s">
        <v>2963</v>
      </c>
      <c r="M458">
        <v>237.2</v>
      </c>
    </row>
    <row r="459" spans="1:13" x14ac:dyDescent="0.25">
      <c r="A459" t="str">
        <f t="shared" si="119"/>
        <v>E173</v>
      </c>
      <c r="B459">
        <v>1</v>
      </c>
      <c r="C459" t="str">
        <f t="shared" si="124"/>
        <v>43000</v>
      </c>
      <c r="D459" t="str">
        <f t="shared" si="125"/>
        <v>5740</v>
      </c>
      <c r="E459" t="str">
        <f t="shared" si="123"/>
        <v>850LOS</v>
      </c>
      <c r="F459" t="str">
        <f>""</f>
        <v/>
      </c>
      <c r="G459" t="str">
        <f>""</f>
        <v/>
      </c>
      <c r="H459" s="1">
        <v>42551</v>
      </c>
      <c r="I459" t="str">
        <f>"J0022960"</f>
        <v>J0022960</v>
      </c>
      <c r="J459" t="str">
        <f>""</f>
        <v/>
      </c>
      <c r="K459" t="str">
        <f>"J079"</f>
        <v>J079</v>
      </c>
      <c r="L459" t="s">
        <v>2822</v>
      </c>
      <c r="M459">
        <v>341.5</v>
      </c>
    </row>
    <row r="460" spans="1:13" x14ac:dyDescent="0.25">
      <c r="A460" t="str">
        <f>"E178"</f>
        <v>E178</v>
      </c>
      <c r="B460">
        <v>1</v>
      </c>
      <c r="C460" t="str">
        <f>"23275"</f>
        <v>23275</v>
      </c>
      <c r="D460" t="str">
        <f>"5620"</f>
        <v>5620</v>
      </c>
      <c r="E460" t="str">
        <f>"063STF"</f>
        <v>063STF</v>
      </c>
      <c r="F460" t="str">
        <f>""</f>
        <v/>
      </c>
      <c r="G460" t="str">
        <f>""</f>
        <v/>
      </c>
      <c r="H460" s="1">
        <v>42277</v>
      </c>
      <c r="I460" t="str">
        <f>"PCD00745"</f>
        <v>PCD00745</v>
      </c>
      <c r="J460" t="str">
        <f>""</f>
        <v/>
      </c>
      <c r="K460" t="str">
        <f>"AS89"</f>
        <v>AS89</v>
      </c>
      <c r="L460" t="s">
        <v>2962</v>
      </c>
      <c r="M460">
        <v>549.01</v>
      </c>
    </row>
    <row r="461" spans="1:13" x14ac:dyDescent="0.25">
      <c r="A461" t="str">
        <f>"E178"</f>
        <v>E178</v>
      </c>
      <c r="B461">
        <v>1</v>
      </c>
      <c r="C461" t="str">
        <f>"43000"</f>
        <v>43000</v>
      </c>
      <c r="D461" t="str">
        <f>"5740"</f>
        <v>5740</v>
      </c>
      <c r="E461" t="str">
        <f>"850PKE"</f>
        <v>850PKE</v>
      </c>
      <c r="F461" t="str">
        <f>""</f>
        <v/>
      </c>
      <c r="G461" t="str">
        <f>""</f>
        <v/>
      </c>
      <c r="H461" s="1">
        <v>42551</v>
      </c>
      <c r="I461" t="str">
        <f>"ACG02738"</f>
        <v>ACG02738</v>
      </c>
      <c r="J461" t="str">
        <f>"PCD00796"</f>
        <v>PCD00796</v>
      </c>
      <c r="K461" t="str">
        <f>"AS89"</f>
        <v>AS89</v>
      </c>
      <c r="L461" t="s">
        <v>2961</v>
      </c>
      <c r="M461">
        <v>658.77</v>
      </c>
    </row>
    <row r="462" spans="1:13" x14ac:dyDescent="0.25">
      <c r="A462" t="str">
        <f t="shared" ref="A462:A477" si="128">"E191"</f>
        <v>E191</v>
      </c>
      <c r="B462">
        <v>1</v>
      </c>
      <c r="C462" t="str">
        <f t="shared" ref="C462:C472" si="129">"10200"</f>
        <v>10200</v>
      </c>
      <c r="D462" t="str">
        <f t="shared" ref="D462:D474" si="130">"5620"</f>
        <v>5620</v>
      </c>
      <c r="E462" t="str">
        <f t="shared" ref="E462:E472" si="131">"094OMS"</f>
        <v>094OMS</v>
      </c>
      <c r="F462" t="str">
        <f>""</f>
        <v/>
      </c>
      <c r="G462" t="str">
        <f>""</f>
        <v/>
      </c>
      <c r="H462" s="1">
        <v>42303</v>
      </c>
      <c r="I462" t="str">
        <f>"225772"</f>
        <v>225772</v>
      </c>
      <c r="J462" t="str">
        <f>""</f>
        <v/>
      </c>
      <c r="K462" t="str">
        <f>"INNI"</f>
        <v>INNI</v>
      </c>
      <c r="L462" t="s">
        <v>181</v>
      </c>
      <c r="M462">
        <v>500</v>
      </c>
    </row>
    <row r="463" spans="1:13" x14ac:dyDescent="0.25">
      <c r="A463" t="str">
        <f t="shared" si="128"/>
        <v>E191</v>
      </c>
      <c r="B463">
        <v>1</v>
      </c>
      <c r="C463" t="str">
        <f t="shared" si="129"/>
        <v>10200</v>
      </c>
      <c r="D463" t="str">
        <f t="shared" si="130"/>
        <v>5620</v>
      </c>
      <c r="E463" t="str">
        <f t="shared" si="131"/>
        <v>094OMS</v>
      </c>
      <c r="F463" t="str">
        <f>""</f>
        <v/>
      </c>
      <c r="G463" t="str">
        <f>""</f>
        <v/>
      </c>
      <c r="H463" s="1">
        <v>42369</v>
      </c>
      <c r="I463" t="str">
        <f>"PCD00760"</f>
        <v>PCD00760</v>
      </c>
      <c r="J463" t="str">
        <f>""</f>
        <v/>
      </c>
      <c r="K463" t="str">
        <f>"AS89"</f>
        <v>AS89</v>
      </c>
      <c r="L463" t="s">
        <v>2960</v>
      </c>
      <c r="M463">
        <v>300</v>
      </c>
    </row>
    <row r="464" spans="1:13" x14ac:dyDescent="0.25">
      <c r="A464" t="str">
        <f t="shared" si="128"/>
        <v>E191</v>
      </c>
      <c r="B464">
        <v>1</v>
      </c>
      <c r="C464" t="str">
        <f t="shared" si="129"/>
        <v>10200</v>
      </c>
      <c r="D464" t="str">
        <f t="shared" si="130"/>
        <v>5620</v>
      </c>
      <c r="E464" t="str">
        <f t="shared" si="131"/>
        <v>094OMS</v>
      </c>
      <c r="F464" t="str">
        <f>""</f>
        <v/>
      </c>
      <c r="G464" t="str">
        <f>""</f>
        <v/>
      </c>
      <c r="H464" s="1">
        <v>42402</v>
      </c>
      <c r="I464" t="str">
        <f>"229074A"</f>
        <v>229074A</v>
      </c>
      <c r="J464" t="str">
        <f>""</f>
        <v/>
      </c>
      <c r="K464" t="str">
        <f>"INNI"</f>
        <v>INNI</v>
      </c>
      <c r="L464" t="s">
        <v>2956</v>
      </c>
      <c r="M464" s="2">
        <v>1250</v>
      </c>
    </row>
    <row r="465" spans="1:13" x14ac:dyDescent="0.25">
      <c r="A465" t="str">
        <f t="shared" si="128"/>
        <v>E191</v>
      </c>
      <c r="B465">
        <v>1</v>
      </c>
      <c r="C465" t="str">
        <f t="shared" si="129"/>
        <v>10200</v>
      </c>
      <c r="D465" t="str">
        <f t="shared" si="130"/>
        <v>5620</v>
      </c>
      <c r="E465" t="str">
        <f t="shared" si="131"/>
        <v>094OMS</v>
      </c>
      <c r="F465" t="str">
        <f>""</f>
        <v/>
      </c>
      <c r="G465" t="str">
        <f>""</f>
        <v/>
      </c>
      <c r="H465" s="1">
        <v>42408</v>
      </c>
      <c r="I465" t="str">
        <f>"229069"</f>
        <v>229069</v>
      </c>
      <c r="J465" t="str">
        <f>""</f>
        <v/>
      </c>
      <c r="K465" t="str">
        <f>"INNI"</f>
        <v>INNI</v>
      </c>
      <c r="L465" t="s">
        <v>181</v>
      </c>
      <c r="M465">
        <v>350</v>
      </c>
    </row>
    <row r="466" spans="1:13" x14ac:dyDescent="0.25">
      <c r="A466" t="str">
        <f t="shared" si="128"/>
        <v>E191</v>
      </c>
      <c r="B466">
        <v>1</v>
      </c>
      <c r="C466" t="str">
        <f t="shared" si="129"/>
        <v>10200</v>
      </c>
      <c r="D466" t="str">
        <f t="shared" si="130"/>
        <v>5620</v>
      </c>
      <c r="E466" t="str">
        <f t="shared" si="131"/>
        <v>094OMS</v>
      </c>
      <c r="F466" t="str">
        <f>""</f>
        <v/>
      </c>
      <c r="G466" t="str">
        <f>""</f>
        <v/>
      </c>
      <c r="H466" s="1">
        <v>42425</v>
      </c>
      <c r="I466" t="str">
        <f>"229079"</f>
        <v>229079</v>
      </c>
      <c r="J466" t="str">
        <f>""</f>
        <v/>
      </c>
      <c r="K466" t="str">
        <f>"INNI"</f>
        <v>INNI</v>
      </c>
      <c r="L466" t="s">
        <v>1774</v>
      </c>
      <c r="M466">
        <v>685</v>
      </c>
    </row>
    <row r="467" spans="1:13" x14ac:dyDescent="0.25">
      <c r="A467" t="str">
        <f t="shared" si="128"/>
        <v>E191</v>
      </c>
      <c r="B467">
        <v>1</v>
      </c>
      <c r="C467" t="str">
        <f t="shared" si="129"/>
        <v>10200</v>
      </c>
      <c r="D467" t="str">
        <f t="shared" si="130"/>
        <v>5620</v>
      </c>
      <c r="E467" t="str">
        <f t="shared" si="131"/>
        <v>094OMS</v>
      </c>
      <c r="F467" t="str">
        <f>""</f>
        <v/>
      </c>
      <c r="G467" t="str">
        <f>""</f>
        <v/>
      </c>
      <c r="H467" s="1">
        <v>42429</v>
      </c>
      <c r="I467" t="str">
        <f>"PCD00770"</f>
        <v>PCD00770</v>
      </c>
      <c r="J467" t="str">
        <f>""</f>
        <v/>
      </c>
      <c r="K467" t="str">
        <f>"AS89"</f>
        <v>AS89</v>
      </c>
      <c r="L467" t="s">
        <v>2959</v>
      </c>
      <c r="M467">
        <v>225</v>
      </c>
    </row>
    <row r="468" spans="1:13" x14ac:dyDescent="0.25">
      <c r="A468" t="str">
        <f t="shared" si="128"/>
        <v>E191</v>
      </c>
      <c r="B468">
        <v>1</v>
      </c>
      <c r="C468" t="str">
        <f t="shared" si="129"/>
        <v>10200</v>
      </c>
      <c r="D468" t="str">
        <f t="shared" si="130"/>
        <v>5620</v>
      </c>
      <c r="E468" t="str">
        <f t="shared" si="131"/>
        <v>094OMS</v>
      </c>
      <c r="F468" t="str">
        <f>""</f>
        <v/>
      </c>
      <c r="G468" t="str">
        <f>""</f>
        <v/>
      </c>
      <c r="H468" s="1">
        <v>42429</v>
      </c>
      <c r="I468" t="str">
        <f>"PCD00770"</f>
        <v>PCD00770</v>
      </c>
      <c r="J468" t="str">
        <f>""</f>
        <v/>
      </c>
      <c r="K468" t="str">
        <f>"AS89"</f>
        <v>AS89</v>
      </c>
      <c r="L468" t="s">
        <v>2958</v>
      </c>
      <c r="M468">
        <v>189</v>
      </c>
    </row>
    <row r="469" spans="1:13" x14ac:dyDescent="0.25">
      <c r="A469" t="str">
        <f t="shared" si="128"/>
        <v>E191</v>
      </c>
      <c r="B469">
        <v>1</v>
      </c>
      <c r="C469" t="str">
        <f t="shared" si="129"/>
        <v>10200</v>
      </c>
      <c r="D469" t="str">
        <f t="shared" si="130"/>
        <v>5620</v>
      </c>
      <c r="E469" t="str">
        <f t="shared" si="131"/>
        <v>094OMS</v>
      </c>
      <c r="F469" t="str">
        <f>""</f>
        <v/>
      </c>
      <c r="G469" t="str">
        <f>""</f>
        <v/>
      </c>
      <c r="H469" s="1">
        <v>42429</v>
      </c>
      <c r="I469" t="str">
        <f>"PCD00770"</f>
        <v>PCD00770</v>
      </c>
      <c r="J469" t="str">
        <f>""</f>
        <v/>
      </c>
      <c r="K469" t="str">
        <f>"AS89"</f>
        <v>AS89</v>
      </c>
      <c r="L469" t="s">
        <v>2957</v>
      </c>
      <c r="M469">
        <v>700</v>
      </c>
    </row>
    <row r="470" spans="1:13" x14ac:dyDescent="0.25">
      <c r="A470" t="str">
        <f t="shared" si="128"/>
        <v>E191</v>
      </c>
      <c r="B470">
        <v>1</v>
      </c>
      <c r="C470" t="str">
        <f t="shared" si="129"/>
        <v>10200</v>
      </c>
      <c r="D470" t="str">
        <f t="shared" si="130"/>
        <v>5620</v>
      </c>
      <c r="E470" t="str">
        <f t="shared" si="131"/>
        <v>094OMS</v>
      </c>
      <c r="F470" t="str">
        <f>""</f>
        <v/>
      </c>
      <c r="G470" t="str">
        <f>""</f>
        <v/>
      </c>
      <c r="H470" s="1">
        <v>42452</v>
      </c>
      <c r="I470" t="str">
        <f>"229082"</f>
        <v>229082</v>
      </c>
      <c r="J470" t="str">
        <f>""</f>
        <v/>
      </c>
      <c r="K470" t="str">
        <f>"INNI"</f>
        <v>INNI</v>
      </c>
      <c r="L470" t="s">
        <v>2956</v>
      </c>
      <c r="M470" s="2">
        <v>1000</v>
      </c>
    </row>
    <row r="471" spans="1:13" x14ac:dyDescent="0.25">
      <c r="A471" t="str">
        <f t="shared" si="128"/>
        <v>E191</v>
      </c>
      <c r="B471">
        <v>1</v>
      </c>
      <c r="C471" t="str">
        <f t="shared" si="129"/>
        <v>10200</v>
      </c>
      <c r="D471" t="str">
        <f t="shared" si="130"/>
        <v>5620</v>
      </c>
      <c r="E471" t="str">
        <f t="shared" si="131"/>
        <v>094OMS</v>
      </c>
      <c r="F471" t="str">
        <f>""</f>
        <v/>
      </c>
      <c r="G471" t="str">
        <f>""</f>
        <v/>
      </c>
      <c r="H471" s="1">
        <v>42490</v>
      </c>
      <c r="I471" t="str">
        <f>"PCD00780"</f>
        <v>PCD00780</v>
      </c>
      <c r="J471" t="str">
        <f>""</f>
        <v/>
      </c>
      <c r="K471" t="str">
        <f>"AS89"</f>
        <v>AS89</v>
      </c>
      <c r="L471" t="s">
        <v>2955</v>
      </c>
      <c r="M471">
        <v>749</v>
      </c>
    </row>
    <row r="472" spans="1:13" x14ac:dyDescent="0.25">
      <c r="A472" t="str">
        <f t="shared" si="128"/>
        <v>E191</v>
      </c>
      <c r="B472">
        <v>1</v>
      </c>
      <c r="C472" t="str">
        <f t="shared" si="129"/>
        <v>10200</v>
      </c>
      <c r="D472" t="str">
        <f t="shared" si="130"/>
        <v>5620</v>
      </c>
      <c r="E472" t="str">
        <f t="shared" si="131"/>
        <v>094OMS</v>
      </c>
      <c r="F472" t="str">
        <f>""</f>
        <v/>
      </c>
      <c r="G472" t="str">
        <f>""</f>
        <v/>
      </c>
      <c r="H472" s="1">
        <v>42523</v>
      </c>
      <c r="I472" t="str">
        <f>"I0130946"</f>
        <v>I0130946</v>
      </c>
      <c r="J472" t="str">
        <f>""</f>
        <v/>
      </c>
      <c r="K472" t="str">
        <f>"INNI"</f>
        <v>INNI</v>
      </c>
      <c r="L472" t="s">
        <v>2954</v>
      </c>
      <c r="M472">
        <v>300</v>
      </c>
    </row>
    <row r="473" spans="1:13" x14ac:dyDescent="0.25">
      <c r="A473" t="str">
        <f t="shared" si="128"/>
        <v>E191</v>
      </c>
      <c r="B473">
        <v>1</v>
      </c>
      <c r="C473" t="str">
        <f>"43000"</f>
        <v>43000</v>
      </c>
      <c r="D473" t="str">
        <f t="shared" si="130"/>
        <v>5620</v>
      </c>
      <c r="E473" t="str">
        <f>"850LOS"</f>
        <v>850LOS</v>
      </c>
      <c r="F473" t="str">
        <f>""</f>
        <v/>
      </c>
      <c r="G473" t="str">
        <f>""</f>
        <v/>
      </c>
      <c r="H473" s="1">
        <v>42277</v>
      </c>
      <c r="I473" t="str">
        <f>"PCD00745"</f>
        <v>PCD00745</v>
      </c>
      <c r="J473" t="str">
        <f>""</f>
        <v/>
      </c>
      <c r="K473" t="str">
        <f>"AS89"</f>
        <v>AS89</v>
      </c>
      <c r="L473" t="s">
        <v>2952</v>
      </c>
      <c r="M473">
        <v>995</v>
      </c>
    </row>
    <row r="474" spans="1:13" x14ac:dyDescent="0.25">
      <c r="A474" t="str">
        <f t="shared" si="128"/>
        <v>E191</v>
      </c>
      <c r="B474">
        <v>1</v>
      </c>
      <c r="C474" t="str">
        <f>"43000"</f>
        <v>43000</v>
      </c>
      <c r="D474" t="str">
        <f t="shared" si="130"/>
        <v>5620</v>
      </c>
      <c r="E474" t="str">
        <f>"850LOS"</f>
        <v>850LOS</v>
      </c>
      <c r="F474" t="str">
        <f>""</f>
        <v/>
      </c>
      <c r="G474" t="str">
        <f>""</f>
        <v/>
      </c>
      <c r="H474" s="1">
        <v>42277</v>
      </c>
      <c r="I474" t="str">
        <f>"PCD00745"</f>
        <v>PCD00745</v>
      </c>
      <c r="J474" t="str">
        <f>""</f>
        <v/>
      </c>
      <c r="K474" t="str">
        <f>"AS89"</f>
        <v>AS89</v>
      </c>
      <c r="L474" t="s">
        <v>2953</v>
      </c>
      <c r="M474">
        <v>300</v>
      </c>
    </row>
    <row r="475" spans="1:13" x14ac:dyDescent="0.25">
      <c r="A475" t="str">
        <f t="shared" si="128"/>
        <v>E191</v>
      </c>
      <c r="B475">
        <v>1</v>
      </c>
      <c r="C475" t="str">
        <f>"43000"</f>
        <v>43000</v>
      </c>
      <c r="D475" t="str">
        <f>"5740"</f>
        <v>5740</v>
      </c>
      <c r="E475" t="str">
        <f>"850LOS"</f>
        <v>850LOS</v>
      </c>
      <c r="F475" t="str">
        <f>""</f>
        <v/>
      </c>
      <c r="G475" t="str">
        <f>""</f>
        <v/>
      </c>
      <c r="H475" s="1">
        <v>42535</v>
      </c>
      <c r="I475" t="str">
        <f>"ACG02686"</f>
        <v>ACG02686</v>
      </c>
      <c r="J475" t="str">
        <f>"PCD00745"</f>
        <v>PCD00745</v>
      </c>
      <c r="K475" t="str">
        <f>"AS96"</f>
        <v>AS96</v>
      </c>
      <c r="L475" t="s">
        <v>2953</v>
      </c>
      <c r="M475">
        <v>300</v>
      </c>
    </row>
    <row r="476" spans="1:13" x14ac:dyDescent="0.25">
      <c r="A476" t="str">
        <f t="shared" si="128"/>
        <v>E191</v>
      </c>
      <c r="B476">
        <v>1</v>
      </c>
      <c r="C476" t="str">
        <f>"43000"</f>
        <v>43000</v>
      </c>
      <c r="D476" t="str">
        <f>"5740"</f>
        <v>5740</v>
      </c>
      <c r="E476" t="str">
        <f>"850LOS"</f>
        <v>850LOS</v>
      </c>
      <c r="F476" t="str">
        <f>""</f>
        <v/>
      </c>
      <c r="G476" t="str">
        <f>""</f>
        <v/>
      </c>
      <c r="H476" s="1">
        <v>42535</v>
      </c>
      <c r="I476" t="str">
        <f>"ACG02686"</f>
        <v>ACG02686</v>
      </c>
      <c r="J476" t="str">
        <f>"PCD00745"</f>
        <v>PCD00745</v>
      </c>
      <c r="K476" t="str">
        <f>"AS96"</f>
        <v>AS96</v>
      </c>
      <c r="L476" t="s">
        <v>2952</v>
      </c>
      <c r="M476">
        <v>995</v>
      </c>
    </row>
    <row r="477" spans="1:13" x14ac:dyDescent="0.25">
      <c r="A477" t="str">
        <f t="shared" si="128"/>
        <v>E191</v>
      </c>
      <c r="B477">
        <v>1</v>
      </c>
      <c r="C477" t="str">
        <f>"43004"</f>
        <v>43004</v>
      </c>
      <c r="D477" t="str">
        <f>"5741"</f>
        <v>5741</v>
      </c>
      <c r="E477" t="str">
        <f>"850ALT"</f>
        <v>850ALT</v>
      </c>
      <c r="F477" t="str">
        <f>""</f>
        <v/>
      </c>
      <c r="G477" t="str">
        <f>""</f>
        <v/>
      </c>
      <c r="H477" s="1">
        <v>42216</v>
      </c>
      <c r="I477" t="str">
        <f>"PCD00735"</f>
        <v>PCD00735</v>
      </c>
      <c r="J477" t="str">
        <f>""</f>
        <v/>
      </c>
      <c r="K477" t="str">
        <f>"AS89"</f>
        <v>AS89</v>
      </c>
      <c r="L477" t="s">
        <v>2951</v>
      </c>
      <c r="M477">
        <v>300</v>
      </c>
    </row>
    <row r="478" spans="1:13" x14ac:dyDescent="0.25">
      <c r="A478" t="str">
        <f>"E192"</f>
        <v>E192</v>
      </c>
      <c r="B478">
        <v>1</v>
      </c>
      <c r="C478" t="str">
        <f t="shared" ref="C478:C485" si="132">"10200"</f>
        <v>10200</v>
      </c>
      <c r="D478" t="str">
        <f t="shared" ref="D478:D486" si="133">"5620"</f>
        <v>5620</v>
      </c>
      <c r="E478" t="str">
        <f t="shared" ref="E478:E485" si="134">"094OMS"</f>
        <v>094OMS</v>
      </c>
      <c r="F478" t="str">
        <f>""</f>
        <v/>
      </c>
      <c r="G478" t="str">
        <f>""</f>
        <v/>
      </c>
      <c r="H478" s="1">
        <v>42216</v>
      </c>
      <c r="I478" t="str">
        <f>"PCD00735"</f>
        <v>PCD00735</v>
      </c>
      <c r="J478" t="str">
        <f>""</f>
        <v/>
      </c>
      <c r="K478" t="str">
        <f>"AS89"</f>
        <v>AS89</v>
      </c>
      <c r="L478" t="s">
        <v>2950</v>
      </c>
      <c r="M478">
        <v>350</v>
      </c>
    </row>
    <row r="479" spans="1:13" x14ac:dyDescent="0.25">
      <c r="A479" t="str">
        <f>"E192"</f>
        <v>E192</v>
      </c>
      <c r="B479">
        <v>1</v>
      </c>
      <c r="C479" t="str">
        <f t="shared" si="132"/>
        <v>10200</v>
      </c>
      <c r="D479" t="str">
        <f t="shared" si="133"/>
        <v>5620</v>
      </c>
      <c r="E479" t="str">
        <f t="shared" si="134"/>
        <v>094OMS</v>
      </c>
      <c r="F479" t="str">
        <f>""</f>
        <v/>
      </c>
      <c r="G479" t="str">
        <f>""</f>
        <v/>
      </c>
      <c r="H479" s="1">
        <v>42369</v>
      </c>
      <c r="I479" t="str">
        <f>"PCD00760"</f>
        <v>PCD00760</v>
      </c>
      <c r="J479" t="str">
        <f>""</f>
        <v/>
      </c>
      <c r="K479" t="str">
        <f>"AS89"</f>
        <v>AS89</v>
      </c>
      <c r="L479" t="s">
        <v>2949</v>
      </c>
      <c r="M479">
        <v>331</v>
      </c>
    </row>
    <row r="480" spans="1:13" x14ac:dyDescent="0.25">
      <c r="A480" t="str">
        <f>"E192"</f>
        <v>E192</v>
      </c>
      <c r="B480">
        <v>1</v>
      </c>
      <c r="C480" t="str">
        <f t="shared" si="132"/>
        <v>10200</v>
      </c>
      <c r="D480" t="str">
        <f t="shared" si="133"/>
        <v>5620</v>
      </c>
      <c r="E480" t="str">
        <f t="shared" si="134"/>
        <v>094OMS</v>
      </c>
      <c r="F480" t="str">
        <f>""</f>
        <v/>
      </c>
      <c r="G480" t="str">
        <f>""</f>
        <v/>
      </c>
      <c r="H480" s="1">
        <v>42429</v>
      </c>
      <c r="I480" t="str">
        <f>"PCD00770"</f>
        <v>PCD00770</v>
      </c>
      <c r="J480" t="str">
        <f>""</f>
        <v/>
      </c>
      <c r="K480" t="str">
        <f>"AS89"</f>
        <v>AS89</v>
      </c>
      <c r="L480" t="s">
        <v>2948</v>
      </c>
      <c r="M480">
        <v>180</v>
      </c>
    </row>
    <row r="481" spans="1:13" x14ac:dyDescent="0.25">
      <c r="A481" t="str">
        <f t="shared" ref="A481:A487" si="135">"E193"</f>
        <v>E193</v>
      </c>
      <c r="B481">
        <v>1</v>
      </c>
      <c r="C481" t="str">
        <f t="shared" si="132"/>
        <v>10200</v>
      </c>
      <c r="D481" t="str">
        <f t="shared" si="133"/>
        <v>5620</v>
      </c>
      <c r="E481" t="str">
        <f t="shared" si="134"/>
        <v>094OMS</v>
      </c>
      <c r="F481" t="str">
        <f>""</f>
        <v/>
      </c>
      <c r="G481" t="str">
        <f>""</f>
        <v/>
      </c>
      <c r="H481" s="1">
        <v>42308</v>
      </c>
      <c r="I481" t="str">
        <f>"PCD00750"</f>
        <v>PCD00750</v>
      </c>
      <c r="J481" t="str">
        <f>""</f>
        <v/>
      </c>
      <c r="K481" t="str">
        <f>"AS89"</f>
        <v>AS89</v>
      </c>
      <c r="L481" t="s">
        <v>2947</v>
      </c>
      <c r="M481" s="2">
        <v>1195</v>
      </c>
    </row>
    <row r="482" spans="1:13" x14ac:dyDescent="0.25">
      <c r="A482" t="str">
        <f t="shared" si="135"/>
        <v>E193</v>
      </c>
      <c r="B482">
        <v>1</v>
      </c>
      <c r="C482" t="str">
        <f t="shared" si="132"/>
        <v>10200</v>
      </c>
      <c r="D482" t="str">
        <f t="shared" si="133"/>
        <v>5620</v>
      </c>
      <c r="E482" t="str">
        <f t="shared" si="134"/>
        <v>094OMS</v>
      </c>
      <c r="F482" t="str">
        <f>""</f>
        <v/>
      </c>
      <c r="G482" t="str">
        <f>""</f>
        <v/>
      </c>
      <c r="H482" s="1">
        <v>42348</v>
      </c>
      <c r="I482" t="str">
        <f>"225774"</f>
        <v>225774</v>
      </c>
      <c r="J482" t="str">
        <f>""</f>
        <v/>
      </c>
      <c r="K482" t="str">
        <f>"INNI"</f>
        <v>INNI</v>
      </c>
      <c r="L482" t="s">
        <v>181</v>
      </c>
      <c r="M482">
        <v>600</v>
      </c>
    </row>
    <row r="483" spans="1:13" x14ac:dyDescent="0.25">
      <c r="A483" t="str">
        <f t="shared" si="135"/>
        <v>E193</v>
      </c>
      <c r="B483">
        <v>1</v>
      </c>
      <c r="C483" t="str">
        <f t="shared" si="132"/>
        <v>10200</v>
      </c>
      <c r="D483" t="str">
        <f t="shared" si="133"/>
        <v>5620</v>
      </c>
      <c r="E483" t="str">
        <f t="shared" si="134"/>
        <v>094OMS</v>
      </c>
      <c r="F483" t="str">
        <f>""</f>
        <v/>
      </c>
      <c r="G483" t="str">
        <f>""</f>
        <v/>
      </c>
      <c r="H483" s="1">
        <v>42424</v>
      </c>
      <c r="I483" t="str">
        <f>"J0019785"</f>
        <v>J0019785</v>
      </c>
      <c r="J483" t="str">
        <f>""</f>
        <v/>
      </c>
      <c r="K483" t="str">
        <f>"J096"</f>
        <v>J096</v>
      </c>
      <c r="L483" t="s">
        <v>2946</v>
      </c>
      <c r="M483">
        <v>595</v>
      </c>
    </row>
    <row r="484" spans="1:13" x14ac:dyDescent="0.25">
      <c r="A484" t="str">
        <f t="shared" si="135"/>
        <v>E193</v>
      </c>
      <c r="B484">
        <v>1</v>
      </c>
      <c r="C484" t="str">
        <f t="shared" si="132"/>
        <v>10200</v>
      </c>
      <c r="D484" t="str">
        <f t="shared" si="133"/>
        <v>5620</v>
      </c>
      <c r="E484" t="str">
        <f t="shared" si="134"/>
        <v>094OMS</v>
      </c>
      <c r="F484" t="str">
        <f>""</f>
        <v/>
      </c>
      <c r="G484" t="str">
        <f>""</f>
        <v/>
      </c>
      <c r="H484" s="1">
        <v>42460</v>
      </c>
      <c r="I484" t="str">
        <f>"PCD00775"</f>
        <v>PCD00775</v>
      </c>
      <c r="J484" t="str">
        <f>""</f>
        <v/>
      </c>
      <c r="K484" t="str">
        <f>"AS89"</f>
        <v>AS89</v>
      </c>
      <c r="L484" t="s">
        <v>2945</v>
      </c>
      <c r="M484">
        <v>300</v>
      </c>
    </row>
    <row r="485" spans="1:13" x14ac:dyDescent="0.25">
      <c r="A485" t="str">
        <f t="shared" si="135"/>
        <v>E193</v>
      </c>
      <c r="B485">
        <v>1</v>
      </c>
      <c r="C485" t="str">
        <f t="shared" si="132"/>
        <v>10200</v>
      </c>
      <c r="D485" t="str">
        <f t="shared" si="133"/>
        <v>5620</v>
      </c>
      <c r="E485" t="str">
        <f t="shared" si="134"/>
        <v>094OMS</v>
      </c>
      <c r="F485" t="str">
        <f>""</f>
        <v/>
      </c>
      <c r="G485" t="str">
        <f>""</f>
        <v/>
      </c>
      <c r="H485" s="1">
        <v>42521</v>
      </c>
      <c r="I485" t="str">
        <f>"PCD00785"</f>
        <v>PCD00785</v>
      </c>
      <c r="J485" t="str">
        <f>""</f>
        <v/>
      </c>
      <c r="K485" t="str">
        <f>"AS89"</f>
        <v>AS89</v>
      </c>
      <c r="L485" t="s">
        <v>2944</v>
      </c>
      <c r="M485">
        <v>200</v>
      </c>
    </row>
    <row r="486" spans="1:13" x14ac:dyDescent="0.25">
      <c r="A486" t="str">
        <f t="shared" si="135"/>
        <v>E193</v>
      </c>
      <c r="B486">
        <v>1</v>
      </c>
      <c r="C486" t="str">
        <f>"43000"</f>
        <v>43000</v>
      </c>
      <c r="D486" t="str">
        <f t="shared" si="133"/>
        <v>5620</v>
      </c>
      <c r="E486" t="str">
        <f>"850LOS"</f>
        <v>850LOS</v>
      </c>
      <c r="F486" t="str">
        <f>""</f>
        <v/>
      </c>
      <c r="G486" t="str">
        <f>""</f>
        <v/>
      </c>
      <c r="H486" s="1">
        <v>42216</v>
      </c>
      <c r="I486" t="str">
        <f>"PCD00735"</f>
        <v>PCD00735</v>
      </c>
      <c r="J486" t="str">
        <f>""</f>
        <v/>
      </c>
      <c r="K486" t="str">
        <f>"AS89"</f>
        <v>AS89</v>
      </c>
      <c r="L486" t="s">
        <v>2943</v>
      </c>
      <c r="M486">
        <v>300</v>
      </c>
    </row>
    <row r="487" spans="1:13" x14ac:dyDescent="0.25">
      <c r="A487" t="str">
        <f t="shared" si="135"/>
        <v>E193</v>
      </c>
      <c r="B487">
        <v>1</v>
      </c>
      <c r="C487" t="str">
        <f>"43000"</f>
        <v>43000</v>
      </c>
      <c r="D487" t="str">
        <f>"5740"</f>
        <v>5740</v>
      </c>
      <c r="E487" t="str">
        <f>"850LOS"</f>
        <v>850LOS</v>
      </c>
      <c r="F487" t="str">
        <f>""</f>
        <v/>
      </c>
      <c r="G487" t="str">
        <f>""</f>
        <v/>
      </c>
      <c r="H487" s="1">
        <v>42535</v>
      </c>
      <c r="I487" t="str">
        <f>"ACG02686"</f>
        <v>ACG02686</v>
      </c>
      <c r="J487" t="str">
        <f>"PCD00735"</f>
        <v>PCD00735</v>
      </c>
      <c r="K487" t="str">
        <f>"AS96"</f>
        <v>AS96</v>
      </c>
      <c r="L487" t="s">
        <v>2943</v>
      </c>
      <c r="M487">
        <v>300</v>
      </c>
    </row>
    <row r="488" spans="1:13" x14ac:dyDescent="0.25">
      <c r="A488" t="str">
        <f>"E194"</f>
        <v>E194</v>
      </c>
      <c r="B488">
        <v>1</v>
      </c>
      <c r="C488" t="str">
        <f>"10200"</f>
        <v>10200</v>
      </c>
      <c r="D488" t="str">
        <f>"5620"</f>
        <v>5620</v>
      </c>
      <c r="E488" t="str">
        <f>"094OMS"</f>
        <v>094OMS</v>
      </c>
      <c r="F488" t="str">
        <f>""</f>
        <v/>
      </c>
      <c r="G488" t="str">
        <f>""</f>
        <v/>
      </c>
      <c r="H488" s="1">
        <v>42367</v>
      </c>
      <c r="I488" t="str">
        <f>"225778"</f>
        <v>225778</v>
      </c>
      <c r="J488" t="str">
        <f>""</f>
        <v/>
      </c>
      <c r="K488" t="str">
        <f>"INNI"</f>
        <v>INNI</v>
      </c>
      <c r="L488" t="s">
        <v>179</v>
      </c>
      <c r="M488" s="2">
        <v>5042.5</v>
      </c>
    </row>
    <row r="489" spans="1:13" x14ac:dyDescent="0.25">
      <c r="A489" t="str">
        <f>"E194"</f>
        <v>E194</v>
      </c>
      <c r="B489">
        <v>1</v>
      </c>
      <c r="C489" t="str">
        <f>"10200"</f>
        <v>10200</v>
      </c>
      <c r="D489" t="str">
        <f>"5620"</f>
        <v>5620</v>
      </c>
      <c r="E489" t="str">
        <f>"094OMS"</f>
        <v>094OMS</v>
      </c>
      <c r="F489" t="str">
        <f>""</f>
        <v/>
      </c>
      <c r="G489" t="str">
        <f>""</f>
        <v/>
      </c>
      <c r="H489" s="1">
        <v>42432</v>
      </c>
      <c r="I489" t="str">
        <f>"229077"</f>
        <v>229077</v>
      </c>
      <c r="J489" t="str">
        <f>""</f>
        <v/>
      </c>
      <c r="K489" t="str">
        <f>"INNI"</f>
        <v>INNI</v>
      </c>
      <c r="L489" t="s">
        <v>181</v>
      </c>
      <c r="M489" s="2">
        <v>3187</v>
      </c>
    </row>
    <row r="490" spans="1:13" x14ac:dyDescent="0.25">
      <c r="A490" t="str">
        <f t="shared" ref="A490:A495" si="136">"E200"</f>
        <v>E200</v>
      </c>
      <c r="B490">
        <v>1</v>
      </c>
      <c r="C490" t="str">
        <f t="shared" ref="C490:C495" si="137">"43000"</f>
        <v>43000</v>
      </c>
      <c r="D490" t="str">
        <f>"5620"</f>
        <v>5620</v>
      </c>
      <c r="E490" t="str">
        <f t="shared" ref="E490:E495" si="138">"850LOS"</f>
        <v>850LOS</v>
      </c>
      <c r="F490" t="str">
        <f>""</f>
        <v/>
      </c>
      <c r="G490" t="str">
        <f>""</f>
        <v/>
      </c>
      <c r="H490" s="1">
        <v>42314</v>
      </c>
      <c r="I490" t="str">
        <f>"ADM00011"</f>
        <v>ADM00011</v>
      </c>
      <c r="J490" t="str">
        <f>""</f>
        <v/>
      </c>
      <c r="K490" t="str">
        <f>"AS89"</f>
        <v>AS89</v>
      </c>
      <c r="L490" t="s">
        <v>1352</v>
      </c>
      <c r="M490">
        <v>900</v>
      </c>
    </row>
    <row r="491" spans="1:13" x14ac:dyDescent="0.25">
      <c r="A491" t="str">
        <f t="shared" si="136"/>
        <v>E200</v>
      </c>
      <c r="B491">
        <v>1</v>
      </c>
      <c r="C491" t="str">
        <f t="shared" si="137"/>
        <v>43000</v>
      </c>
      <c r="D491" t="str">
        <f>"5620"</f>
        <v>5620</v>
      </c>
      <c r="E491" t="str">
        <f t="shared" si="138"/>
        <v>850LOS</v>
      </c>
      <c r="F491" t="str">
        <f>""</f>
        <v/>
      </c>
      <c r="G491" t="str">
        <f>""</f>
        <v/>
      </c>
      <c r="H491" s="1">
        <v>42460</v>
      </c>
      <c r="I491" t="str">
        <f>"ADM00012"</f>
        <v>ADM00012</v>
      </c>
      <c r="J491" t="str">
        <f>""</f>
        <v/>
      </c>
      <c r="K491" t="str">
        <f>"AS89"</f>
        <v>AS89</v>
      </c>
      <c r="L491" t="s">
        <v>1352</v>
      </c>
      <c r="M491">
        <v>900</v>
      </c>
    </row>
    <row r="492" spans="1:13" x14ac:dyDescent="0.25">
      <c r="A492" t="str">
        <f t="shared" si="136"/>
        <v>E200</v>
      </c>
      <c r="B492">
        <v>1</v>
      </c>
      <c r="C492" t="str">
        <f t="shared" si="137"/>
        <v>43000</v>
      </c>
      <c r="D492" t="str">
        <f>"5620"</f>
        <v>5620</v>
      </c>
      <c r="E492" t="str">
        <f t="shared" si="138"/>
        <v>850LOS</v>
      </c>
      <c r="F492" t="str">
        <f>""</f>
        <v/>
      </c>
      <c r="G492" t="str">
        <f>""</f>
        <v/>
      </c>
      <c r="H492" s="1">
        <v>42460</v>
      </c>
      <c r="I492" t="str">
        <f>"ADM00013"</f>
        <v>ADM00013</v>
      </c>
      <c r="J492" t="str">
        <f>""</f>
        <v/>
      </c>
      <c r="K492" t="str">
        <f>"AS89"</f>
        <v>AS89</v>
      </c>
      <c r="L492" t="s">
        <v>1352</v>
      </c>
      <c r="M492">
        <v>900</v>
      </c>
    </row>
    <row r="493" spans="1:13" x14ac:dyDescent="0.25">
      <c r="A493" t="str">
        <f t="shared" si="136"/>
        <v>E200</v>
      </c>
      <c r="B493">
        <v>1</v>
      </c>
      <c r="C493" t="str">
        <f t="shared" si="137"/>
        <v>43000</v>
      </c>
      <c r="D493" t="str">
        <f>"5740"</f>
        <v>5740</v>
      </c>
      <c r="E493" t="str">
        <f t="shared" si="138"/>
        <v>850LOS</v>
      </c>
      <c r="F493" t="str">
        <f>""</f>
        <v/>
      </c>
      <c r="G493" t="str">
        <f>""</f>
        <v/>
      </c>
      <c r="H493" s="1">
        <v>42535</v>
      </c>
      <c r="I493" t="str">
        <f>"ACG02686"</f>
        <v>ACG02686</v>
      </c>
      <c r="J493" t="str">
        <f>"ADM00011"</f>
        <v>ADM00011</v>
      </c>
      <c r="K493" t="str">
        <f>"AS96"</f>
        <v>AS96</v>
      </c>
      <c r="L493" t="s">
        <v>1352</v>
      </c>
      <c r="M493">
        <v>900</v>
      </c>
    </row>
    <row r="494" spans="1:13" x14ac:dyDescent="0.25">
      <c r="A494" t="str">
        <f t="shared" si="136"/>
        <v>E200</v>
      </c>
      <c r="B494">
        <v>1</v>
      </c>
      <c r="C494" t="str">
        <f t="shared" si="137"/>
        <v>43000</v>
      </c>
      <c r="D494" t="str">
        <f>"5740"</f>
        <v>5740</v>
      </c>
      <c r="E494" t="str">
        <f t="shared" si="138"/>
        <v>850LOS</v>
      </c>
      <c r="F494" t="str">
        <f>""</f>
        <v/>
      </c>
      <c r="G494" t="str">
        <f>""</f>
        <v/>
      </c>
      <c r="H494" s="1">
        <v>42535</v>
      </c>
      <c r="I494" t="str">
        <f>"ACG02686"</f>
        <v>ACG02686</v>
      </c>
      <c r="J494" t="str">
        <f>"ADM00012"</f>
        <v>ADM00012</v>
      </c>
      <c r="K494" t="str">
        <f>"AS96"</f>
        <v>AS96</v>
      </c>
      <c r="L494" t="s">
        <v>1352</v>
      </c>
      <c r="M494">
        <v>900</v>
      </c>
    </row>
    <row r="495" spans="1:13" x14ac:dyDescent="0.25">
      <c r="A495" t="str">
        <f t="shared" si="136"/>
        <v>E200</v>
      </c>
      <c r="B495">
        <v>1</v>
      </c>
      <c r="C495" t="str">
        <f t="shared" si="137"/>
        <v>43000</v>
      </c>
      <c r="D495" t="str">
        <f>"5740"</f>
        <v>5740</v>
      </c>
      <c r="E495" t="str">
        <f t="shared" si="138"/>
        <v>850LOS</v>
      </c>
      <c r="F495" t="str">
        <f>""</f>
        <v/>
      </c>
      <c r="G495" t="str">
        <f>""</f>
        <v/>
      </c>
      <c r="H495" s="1">
        <v>42535</v>
      </c>
      <c r="I495" t="str">
        <f>"ACG02686"</f>
        <v>ACG02686</v>
      </c>
      <c r="J495" t="str">
        <f>"ADM00013"</f>
        <v>ADM00013</v>
      </c>
      <c r="K495" t="str">
        <f>"AS96"</f>
        <v>AS96</v>
      </c>
      <c r="L495" t="s">
        <v>1352</v>
      </c>
      <c r="M495">
        <v>900</v>
      </c>
    </row>
    <row r="496" spans="1:13" x14ac:dyDescent="0.25">
      <c r="A496" t="str">
        <f t="shared" ref="A496:A501" si="139">"E209"</f>
        <v>E209</v>
      </c>
      <c r="B496">
        <v>1</v>
      </c>
      <c r="C496" t="str">
        <f>"10200"</f>
        <v>10200</v>
      </c>
      <c r="D496" t="str">
        <f t="shared" ref="D496:D513" si="140">"5620"</f>
        <v>5620</v>
      </c>
      <c r="E496" t="str">
        <f t="shared" ref="E496:E503" si="141">"094OMS"</f>
        <v>094OMS</v>
      </c>
      <c r="F496" t="str">
        <f>""</f>
        <v/>
      </c>
      <c r="G496" t="str">
        <f>""</f>
        <v/>
      </c>
      <c r="H496" s="1">
        <v>42402</v>
      </c>
      <c r="I496" t="str">
        <f>"229071"</f>
        <v>229071</v>
      </c>
      <c r="J496" t="str">
        <f>""</f>
        <v/>
      </c>
      <c r="K496" t="str">
        <f>"INNI"</f>
        <v>INNI</v>
      </c>
      <c r="L496" t="s">
        <v>92</v>
      </c>
      <c r="M496" s="2">
        <v>4775.3999999999996</v>
      </c>
    </row>
    <row r="497" spans="1:13" x14ac:dyDescent="0.25">
      <c r="A497" t="str">
        <f t="shared" si="139"/>
        <v>E209</v>
      </c>
      <c r="B497">
        <v>1</v>
      </c>
      <c r="C497" t="str">
        <f>"10200"</f>
        <v>10200</v>
      </c>
      <c r="D497" t="str">
        <f t="shared" si="140"/>
        <v>5620</v>
      </c>
      <c r="E497" t="str">
        <f t="shared" si="141"/>
        <v>094OMS</v>
      </c>
      <c r="F497" t="str">
        <f>""</f>
        <v/>
      </c>
      <c r="G497" t="str">
        <f>""</f>
        <v/>
      </c>
      <c r="H497" s="1">
        <v>42544</v>
      </c>
      <c r="I497" t="str">
        <f>"I0132972"</f>
        <v>I0132972</v>
      </c>
      <c r="J497" t="str">
        <f>""</f>
        <v/>
      </c>
      <c r="K497" t="str">
        <f>"INNI"</f>
        <v>INNI</v>
      </c>
      <c r="L497" t="s">
        <v>2942</v>
      </c>
      <c r="M497" s="2">
        <v>3626.4</v>
      </c>
    </row>
    <row r="498" spans="1:13" x14ac:dyDescent="0.25">
      <c r="A498" t="str">
        <f t="shared" si="139"/>
        <v>E209</v>
      </c>
      <c r="B498">
        <v>1</v>
      </c>
      <c r="C498" t="str">
        <f>"24081"</f>
        <v>24081</v>
      </c>
      <c r="D498" t="str">
        <f t="shared" si="140"/>
        <v>5620</v>
      </c>
      <c r="E498" t="str">
        <f t="shared" si="141"/>
        <v>094OMS</v>
      </c>
      <c r="F498" t="str">
        <f>""</f>
        <v/>
      </c>
      <c r="G498" t="str">
        <f>""</f>
        <v/>
      </c>
      <c r="H498" s="1">
        <v>42318</v>
      </c>
      <c r="I498" t="str">
        <f>"I0123061"</f>
        <v>I0123061</v>
      </c>
      <c r="J498" t="str">
        <f>"N218277A"</f>
        <v>N218277A</v>
      </c>
      <c r="K498" t="str">
        <f>"INEI"</f>
        <v>INEI</v>
      </c>
      <c r="L498" t="s">
        <v>78</v>
      </c>
      <c r="M498" s="2">
        <v>2604</v>
      </c>
    </row>
    <row r="499" spans="1:13" x14ac:dyDescent="0.25">
      <c r="A499" t="str">
        <f t="shared" si="139"/>
        <v>E209</v>
      </c>
      <c r="B499">
        <v>1</v>
      </c>
      <c r="C499" t="str">
        <f>"24081"</f>
        <v>24081</v>
      </c>
      <c r="D499" t="str">
        <f t="shared" si="140"/>
        <v>5620</v>
      </c>
      <c r="E499" t="str">
        <f t="shared" si="141"/>
        <v>094OMS</v>
      </c>
      <c r="F499" t="str">
        <f>""</f>
        <v/>
      </c>
      <c r="G499" t="str">
        <f>""</f>
        <v/>
      </c>
      <c r="H499" s="1">
        <v>42426</v>
      </c>
      <c r="I499" t="str">
        <f>"I0126373"</f>
        <v>I0126373</v>
      </c>
      <c r="J499" t="str">
        <f>"N218277B"</f>
        <v>N218277B</v>
      </c>
      <c r="K499" t="str">
        <f>"INEI"</f>
        <v>INEI</v>
      </c>
      <c r="L499" t="s">
        <v>78</v>
      </c>
      <c r="M499">
        <v>708</v>
      </c>
    </row>
    <row r="500" spans="1:13" x14ac:dyDescent="0.25">
      <c r="A500" t="str">
        <f t="shared" si="139"/>
        <v>E209</v>
      </c>
      <c r="B500">
        <v>1</v>
      </c>
      <c r="C500" t="str">
        <f>"24081"</f>
        <v>24081</v>
      </c>
      <c r="D500" t="str">
        <f t="shared" si="140"/>
        <v>5620</v>
      </c>
      <c r="E500" t="str">
        <f t="shared" si="141"/>
        <v>094OMS</v>
      </c>
      <c r="F500" t="str">
        <f>""</f>
        <v/>
      </c>
      <c r="G500" t="str">
        <f>""</f>
        <v/>
      </c>
      <c r="H500" s="1">
        <v>42457</v>
      </c>
      <c r="I500" t="str">
        <f>"I0127398"</f>
        <v>I0127398</v>
      </c>
      <c r="J500" t="str">
        <f>"N218277B"</f>
        <v>N218277B</v>
      </c>
      <c r="K500" t="str">
        <f>"INEI"</f>
        <v>INEI</v>
      </c>
      <c r="L500" t="s">
        <v>78</v>
      </c>
      <c r="M500" s="2">
        <v>1104</v>
      </c>
    </row>
    <row r="501" spans="1:13" x14ac:dyDescent="0.25">
      <c r="A501" t="str">
        <f t="shared" si="139"/>
        <v>E209</v>
      </c>
      <c r="B501">
        <v>1</v>
      </c>
      <c r="C501" t="str">
        <f>"24081"</f>
        <v>24081</v>
      </c>
      <c r="D501" t="str">
        <f t="shared" si="140"/>
        <v>5620</v>
      </c>
      <c r="E501" t="str">
        <f t="shared" si="141"/>
        <v>094OMS</v>
      </c>
      <c r="F501" t="str">
        <f>""</f>
        <v/>
      </c>
      <c r="G501" t="str">
        <f>""</f>
        <v/>
      </c>
      <c r="H501" s="1">
        <v>42517</v>
      </c>
      <c r="I501" t="str">
        <f>"I0130728"</f>
        <v>I0130728</v>
      </c>
      <c r="J501" t="str">
        <f>"N218277B"</f>
        <v>N218277B</v>
      </c>
      <c r="K501" t="str">
        <f>"INEI"</f>
        <v>INEI</v>
      </c>
      <c r="L501" t="s">
        <v>78</v>
      </c>
      <c r="M501" s="2">
        <v>1680</v>
      </c>
    </row>
    <row r="502" spans="1:13" x14ac:dyDescent="0.25">
      <c r="A502" t="str">
        <f t="shared" ref="A502:A507" si="142">"E210"</f>
        <v>E210</v>
      </c>
      <c r="B502">
        <v>1</v>
      </c>
      <c r="C502" t="str">
        <f>"10200"</f>
        <v>10200</v>
      </c>
      <c r="D502" t="str">
        <f t="shared" si="140"/>
        <v>5620</v>
      </c>
      <c r="E502" t="str">
        <f t="shared" si="141"/>
        <v>094OMS</v>
      </c>
      <c r="F502" t="str">
        <f>""</f>
        <v/>
      </c>
      <c r="G502" t="str">
        <f>""</f>
        <v/>
      </c>
      <c r="H502" s="1">
        <v>42338</v>
      </c>
      <c r="I502" t="str">
        <f>"PCD00755"</f>
        <v>PCD00755</v>
      </c>
      <c r="J502" t="str">
        <f>""</f>
        <v/>
      </c>
      <c r="K502" t="str">
        <f>"AS89"</f>
        <v>AS89</v>
      </c>
      <c r="L502" t="s">
        <v>2941</v>
      </c>
      <c r="M502">
        <v>565</v>
      </c>
    </row>
    <row r="503" spans="1:13" x14ac:dyDescent="0.25">
      <c r="A503" t="str">
        <f t="shared" si="142"/>
        <v>E210</v>
      </c>
      <c r="B503">
        <v>1</v>
      </c>
      <c r="C503" t="str">
        <f>"10200"</f>
        <v>10200</v>
      </c>
      <c r="D503" t="str">
        <f t="shared" si="140"/>
        <v>5620</v>
      </c>
      <c r="E503" t="str">
        <f t="shared" si="141"/>
        <v>094OMS</v>
      </c>
      <c r="F503" t="str">
        <f>""</f>
        <v/>
      </c>
      <c r="G503" t="str">
        <f>""</f>
        <v/>
      </c>
      <c r="H503" s="1">
        <v>42369</v>
      </c>
      <c r="I503" t="str">
        <f>"PCD00760"</f>
        <v>PCD00760</v>
      </c>
      <c r="J503" t="str">
        <f>""</f>
        <v/>
      </c>
      <c r="K503" t="str">
        <f>"AS89"</f>
        <v>AS89</v>
      </c>
      <c r="L503" t="s">
        <v>2940</v>
      </c>
      <c r="M503">
        <v>185.88</v>
      </c>
    </row>
    <row r="504" spans="1:13" x14ac:dyDescent="0.25">
      <c r="A504" t="str">
        <f t="shared" si="142"/>
        <v>E210</v>
      </c>
      <c r="B504">
        <v>1</v>
      </c>
      <c r="C504" t="str">
        <f>"43000"</f>
        <v>43000</v>
      </c>
      <c r="D504" t="str">
        <f t="shared" si="140"/>
        <v>5620</v>
      </c>
      <c r="E504" t="str">
        <f>"850LOS"</f>
        <v>850LOS</v>
      </c>
      <c r="F504" t="str">
        <f>""</f>
        <v/>
      </c>
      <c r="G504" t="str">
        <f>""</f>
        <v/>
      </c>
      <c r="H504" s="1">
        <v>42248</v>
      </c>
      <c r="I504" t="str">
        <f>"I0120791"</f>
        <v>I0120791</v>
      </c>
      <c r="J504" t="str">
        <f>"N138274E"</f>
        <v>N138274E</v>
      </c>
      <c r="K504" t="str">
        <f>"INEI"</f>
        <v>INEI</v>
      </c>
      <c r="L504" t="s">
        <v>1396</v>
      </c>
      <c r="M504" s="2">
        <v>9783.6299999999992</v>
      </c>
    </row>
    <row r="505" spans="1:13" x14ac:dyDescent="0.25">
      <c r="A505" t="str">
        <f t="shared" si="142"/>
        <v>E210</v>
      </c>
      <c r="B505">
        <v>1</v>
      </c>
      <c r="C505" t="str">
        <f>"43000"</f>
        <v>43000</v>
      </c>
      <c r="D505" t="str">
        <f t="shared" si="140"/>
        <v>5620</v>
      </c>
      <c r="E505" t="str">
        <f>"850PKE"</f>
        <v>850PKE</v>
      </c>
      <c r="F505" t="str">
        <f>""</f>
        <v/>
      </c>
      <c r="G505" t="str">
        <f>""</f>
        <v/>
      </c>
      <c r="H505" s="1">
        <v>42209</v>
      </c>
      <c r="I505" t="str">
        <f>"I0119972"</f>
        <v>I0119972</v>
      </c>
      <c r="J505" t="str">
        <f>"B125380C"</f>
        <v>B125380C</v>
      </c>
      <c r="K505" t="str">
        <f t="shared" ref="K505:K513" si="143">"INNI"</f>
        <v>INNI</v>
      </c>
      <c r="L505" t="s">
        <v>225</v>
      </c>
      <c r="M505">
        <v>127.15</v>
      </c>
    </row>
    <row r="506" spans="1:13" x14ac:dyDescent="0.25">
      <c r="A506" t="str">
        <f t="shared" si="142"/>
        <v>E210</v>
      </c>
      <c r="B506">
        <v>1</v>
      </c>
      <c r="C506" t="str">
        <f>"43000"</f>
        <v>43000</v>
      </c>
      <c r="D506" t="str">
        <f t="shared" si="140"/>
        <v>5620</v>
      </c>
      <c r="E506" t="str">
        <f>"850PKE"</f>
        <v>850PKE</v>
      </c>
      <c r="F506" t="str">
        <f>""</f>
        <v/>
      </c>
      <c r="G506" t="str">
        <f>""</f>
        <v/>
      </c>
      <c r="H506" s="1">
        <v>42241</v>
      </c>
      <c r="I506" t="str">
        <f>"I0120741"</f>
        <v>I0120741</v>
      </c>
      <c r="J506" t="str">
        <f>"B125380C"</f>
        <v>B125380C</v>
      </c>
      <c r="K506" t="str">
        <f t="shared" si="143"/>
        <v>INNI</v>
      </c>
      <c r="L506" t="s">
        <v>225</v>
      </c>
      <c r="M506">
        <v>127.15</v>
      </c>
    </row>
    <row r="507" spans="1:13" x14ac:dyDescent="0.25">
      <c r="A507" t="str">
        <f t="shared" si="142"/>
        <v>E210</v>
      </c>
      <c r="B507">
        <v>1</v>
      </c>
      <c r="C507" t="str">
        <f>"43000"</f>
        <v>43000</v>
      </c>
      <c r="D507" t="str">
        <f t="shared" si="140"/>
        <v>5620</v>
      </c>
      <c r="E507" t="str">
        <f>"850PKE"</f>
        <v>850PKE</v>
      </c>
      <c r="F507" t="str">
        <f>""</f>
        <v/>
      </c>
      <c r="G507" t="str">
        <f>""</f>
        <v/>
      </c>
      <c r="H507" s="1">
        <v>42275</v>
      </c>
      <c r="I507" t="str">
        <f>"I0121698"</f>
        <v>I0121698</v>
      </c>
      <c r="J507" t="str">
        <f>"B125380C"</f>
        <v>B125380C</v>
      </c>
      <c r="K507" t="str">
        <f t="shared" si="143"/>
        <v>INNI</v>
      </c>
      <c r="L507" t="s">
        <v>225</v>
      </c>
      <c r="M507">
        <v>127.15</v>
      </c>
    </row>
    <row r="508" spans="1:13" x14ac:dyDescent="0.25">
      <c r="A508" t="str">
        <f t="shared" ref="A508:A522" si="144">"E213"</f>
        <v>E213</v>
      </c>
      <c r="B508">
        <v>1</v>
      </c>
      <c r="C508" t="str">
        <f>"10200"</f>
        <v>10200</v>
      </c>
      <c r="D508" t="str">
        <f t="shared" si="140"/>
        <v>5620</v>
      </c>
      <c r="E508" t="str">
        <f>"094OMS"</f>
        <v>094OMS</v>
      </c>
      <c r="F508" t="str">
        <f>""</f>
        <v/>
      </c>
      <c r="G508" t="str">
        <f>""</f>
        <v/>
      </c>
      <c r="H508" s="1">
        <v>42408</v>
      </c>
      <c r="I508" t="str">
        <f>"229073"</f>
        <v>229073</v>
      </c>
      <c r="J508" t="str">
        <f>""</f>
        <v/>
      </c>
      <c r="K508" t="str">
        <f t="shared" si="143"/>
        <v>INNI</v>
      </c>
      <c r="L508" t="s">
        <v>4</v>
      </c>
      <c r="M508">
        <v>175</v>
      </c>
    </row>
    <row r="509" spans="1:13" x14ac:dyDescent="0.25">
      <c r="A509" t="str">
        <f t="shared" si="144"/>
        <v>E213</v>
      </c>
      <c r="B509">
        <v>1</v>
      </c>
      <c r="C509" t="str">
        <f t="shared" ref="C509:C522" si="145">"43000"</f>
        <v>43000</v>
      </c>
      <c r="D509" t="str">
        <f t="shared" si="140"/>
        <v>5620</v>
      </c>
      <c r="E509" t="str">
        <f>"850PKE"</f>
        <v>850PKE</v>
      </c>
      <c r="F509" t="str">
        <f>""</f>
        <v/>
      </c>
      <c r="G509" t="str">
        <f>""</f>
        <v/>
      </c>
      <c r="H509" s="1">
        <v>42397</v>
      </c>
      <c r="I509" t="str">
        <f>"I0125372"</f>
        <v>I0125372</v>
      </c>
      <c r="J509" t="str">
        <f>"B125380D"</f>
        <v>B125380D</v>
      </c>
      <c r="K509" t="str">
        <f t="shared" si="143"/>
        <v>INNI</v>
      </c>
      <c r="L509" t="s">
        <v>225</v>
      </c>
      <c r="M509">
        <v>127.15</v>
      </c>
    </row>
    <row r="510" spans="1:13" x14ac:dyDescent="0.25">
      <c r="A510" t="str">
        <f t="shared" si="144"/>
        <v>E213</v>
      </c>
      <c r="B510">
        <v>1</v>
      </c>
      <c r="C510" t="str">
        <f t="shared" si="145"/>
        <v>43000</v>
      </c>
      <c r="D510" t="str">
        <f t="shared" si="140"/>
        <v>5620</v>
      </c>
      <c r="E510" t="str">
        <f>"850PKE"</f>
        <v>850PKE</v>
      </c>
      <c r="F510" t="str">
        <f>""</f>
        <v/>
      </c>
      <c r="G510" t="str">
        <f>""</f>
        <v/>
      </c>
      <c r="H510" s="1">
        <v>42429</v>
      </c>
      <c r="I510" t="str">
        <f>"I0126451"</f>
        <v>I0126451</v>
      </c>
      <c r="J510" t="str">
        <f>"B125380D"</f>
        <v>B125380D</v>
      </c>
      <c r="K510" t="str">
        <f t="shared" si="143"/>
        <v>INNI</v>
      </c>
      <c r="L510" t="s">
        <v>225</v>
      </c>
      <c r="M510">
        <v>127.15</v>
      </c>
    </row>
    <row r="511" spans="1:13" x14ac:dyDescent="0.25">
      <c r="A511" t="str">
        <f t="shared" si="144"/>
        <v>E213</v>
      </c>
      <c r="B511">
        <v>1</v>
      </c>
      <c r="C511" t="str">
        <f t="shared" si="145"/>
        <v>43000</v>
      </c>
      <c r="D511" t="str">
        <f t="shared" si="140"/>
        <v>5620</v>
      </c>
      <c r="E511" t="str">
        <f>"850PKE"</f>
        <v>850PKE</v>
      </c>
      <c r="F511" t="str">
        <f>""</f>
        <v/>
      </c>
      <c r="G511" t="str">
        <f>""</f>
        <v/>
      </c>
      <c r="H511" s="1">
        <v>42457</v>
      </c>
      <c r="I511" t="str">
        <f>"I0127391"</f>
        <v>I0127391</v>
      </c>
      <c r="J511" t="str">
        <f>"B125380D"</f>
        <v>B125380D</v>
      </c>
      <c r="K511" t="str">
        <f t="shared" si="143"/>
        <v>INNI</v>
      </c>
      <c r="L511" t="s">
        <v>225</v>
      </c>
      <c r="M511">
        <v>127.15</v>
      </c>
    </row>
    <row r="512" spans="1:13" x14ac:dyDescent="0.25">
      <c r="A512" t="str">
        <f t="shared" si="144"/>
        <v>E213</v>
      </c>
      <c r="B512">
        <v>1</v>
      </c>
      <c r="C512" t="str">
        <f t="shared" si="145"/>
        <v>43000</v>
      </c>
      <c r="D512" t="str">
        <f t="shared" si="140"/>
        <v>5620</v>
      </c>
      <c r="E512" t="str">
        <f>"850PKE"</f>
        <v>850PKE</v>
      </c>
      <c r="F512" t="str">
        <f>""</f>
        <v/>
      </c>
      <c r="G512" t="str">
        <f>""</f>
        <v/>
      </c>
      <c r="H512" s="1">
        <v>42488</v>
      </c>
      <c r="I512" t="str">
        <f>"I0128849"</f>
        <v>I0128849</v>
      </c>
      <c r="J512" t="str">
        <f>"B125380D"</f>
        <v>B125380D</v>
      </c>
      <c r="K512" t="str">
        <f t="shared" si="143"/>
        <v>INNI</v>
      </c>
      <c r="L512" t="s">
        <v>225</v>
      </c>
      <c r="M512">
        <v>127.15</v>
      </c>
    </row>
    <row r="513" spans="1:13" x14ac:dyDescent="0.25">
      <c r="A513" t="str">
        <f t="shared" si="144"/>
        <v>E213</v>
      </c>
      <c r="B513">
        <v>1</v>
      </c>
      <c r="C513" t="str">
        <f t="shared" si="145"/>
        <v>43000</v>
      </c>
      <c r="D513" t="str">
        <f t="shared" si="140"/>
        <v>5620</v>
      </c>
      <c r="E513" t="str">
        <f>"850PKE"</f>
        <v>850PKE</v>
      </c>
      <c r="F513" t="str">
        <f>""</f>
        <v/>
      </c>
      <c r="G513" t="str">
        <f>""</f>
        <v/>
      </c>
      <c r="H513" s="1">
        <v>42517</v>
      </c>
      <c r="I513" t="str">
        <f>"I0130724"</f>
        <v>I0130724</v>
      </c>
      <c r="J513" t="str">
        <f>"B125380D"</f>
        <v>B125380D</v>
      </c>
      <c r="K513" t="str">
        <f t="shared" si="143"/>
        <v>INNI</v>
      </c>
      <c r="L513" t="s">
        <v>225</v>
      </c>
      <c r="M513">
        <v>127.15</v>
      </c>
    </row>
    <row r="514" spans="1:13" x14ac:dyDescent="0.25">
      <c r="A514" t="str">
        <f t="shared" si="144"/>
        <v>E213</v>
      </c>
      <c r="B514">
        <v>1</v>
      </c>
      <c r="C514" t="str">
        <f t="shared" si="145"/>
        <v>43000</v>
      </c>
      <c r="D514" t="str">
        <f t="shared" ref="D514:D522" si="146">"5740"</f>
        <v>5740</v>
      </c>
      <c r="E514" t="str">
        <f>"850LOS"</f>
        <v>850LOS</v>
      </c>
      <c r="F514" t="str">
        <f>""</f>
        <v/>
      </c>
      <c r="G514" t="str">
        <f>""</f>
        <v/>
      </c>
      <c r="H514" s="1">
        <v>42535</v>
      </c>
      <c r="I514" t="str">
        <f t="shared" ref="I514:I522" si="147">"ACG02686"</f>
        <v>ACG02686</v>
      </c>
      <c r="J514" t="str">
        <f>"N138274E"</f>
        <v>N138274E</v>
      </c>
      <c r="K514" t="str">
        <f t="shared" ref="K514:K522" si="148">"AS96"</f>
        <v>AS96</v>
      </c>
      <c r="L514" t="s">
        <v>2939</v>
      </c>
      <c r="M514" s="2">
        <v>9783.6299999999992</v>
      </c>
    </row>
    <row r="515" spans="1:13" x14ac:dyDescent="0.25">
      <c r="A515" t="str">
        <f t="shared" si="144"/>
        <v>E213</v>
      </c>
      <c r="B515">
        <v>1</v>
      </c>
      <c r="C515" t="str">
        <f t="shared" si="145"/>
        <v>43000</v>
      </c>
      <c r="D515" t="str">
        <f t="shared" si="146"/>
        <v>5740</v>
      </c>
      <c r="E515" t="str">
        <f t="shared" ref="E515:E522" si="149">"850PKE"</f>
        <v>850PKE</v>
      </c>
      <c r="F515" t="str">
        <f>""</f>
        <v/>
      </c>
      <c r="G515" t="str">
        <f>""</f>
        <v/>
      </c>
      <c r="H515" s="1">
        <v>42535</v>
      </c>
      <c r="I515" t="str">
        <f t="shared" si="147"/>
        <v>ACG02686</v>
      </c>
      <c r="J515" t="str">
        <f>"B125380C"</f>
        <v>B125380C</v>
      </c>
      <c r="K515" t="str">
        <f t="shared" si="148"/>
        <v>AS96</v>
      </c>
      <c r="L515" t="s">
        <v>225</v>
      </c>
      <c r="M515">
        <v>127.15</v>
      </c>
    </row>
    <row r="516" spans="1:13" x14ac:dyDescent="0.25">
      <c r="A516" t="str">
        <f t="shared" si="144"/>
        <v>E213</v>
      </c>
      <c r="B516">
        <v>1</v>
      </c>
      <c r="C516" t="str">
        <f t="shared" si="145"/>
        <v>43000</v>
      </c>
      <c r="D516" t="str">
        <f t="shared" si="146"/>
        <v>5740</v>
      </c>
      <c r="E516" t="str">
        <f t="shared" si="149"/>
        <v>850PKE</v>
      </c>
      <c r="F516" t="str">
        <f>""</f>
        <v/>
      </c>
      <c r="G516" t="str">
        <f>""</f>
        <v/>
      </c>
      <c r="H516" s="1">
        <v>42535</v>
      </c>
      <c r="I516" t="str">
        <f t="shared" si="147"/>
        <v>ACG02686</v>
      </c>
      <c r="J516" t="str">
        <f>"B125380C"</f>
        <v>B125380C</v>
      </c>
      <c r="K516" t="str">
        <f t="shared" si="148"/>
        <v>AS96</v>
      </c>
      <c r="L516" t="s">
        <v>225</v>
      </c>
      <c r="M516">
        <v>127.15</v>
      </c>
    </row>
    <row r="517" spans="1:13" x14ac:dyDescent="0.25">
      <c r="A517" t="str">
        <f t="shared" si="144"/>
        <v>E213</v>
      </c>
      <c r="B517">
        <v>1</v>
      </c>
      <c r="C517" t="str">
        <f t="shared" si="145"/>
        <v>43000</v>
      </c>
      <c r="D517" t="str">
        <f t="shared" si="146"/>
        <v>5740</v>
      </c>
      <c r="E517" t="str">
        <f t="shared" si="149"/>
        <v>850PKE</v>
      </c>
      <c r="F517" t="str">
        <f>""</f>
        <v/>
      </c>
      <c r="G517" t="str">
        <f>""</f>
        <v/>
      </c>
      <c r="H517" s="1">
        <v>42535</v>
      </c>
      <c r="I517" t="str">
        <f t="shared" si="147"/>
        <v>ACG02686</v>
      </c>
      <c r="J517" t="str">
        <f>"B125380C"</f>
        <v>B125380C</v>
      </c>
      <c r="K517" t="str">
        <f t="shared" si="148"/>
        <v>AS96</v>
      </c>
      <c r="L517" t="s">
        <v>225</v>
      </c>
      <c r="M517">
        <v>127.15</v>
      </c>
    </row>
    <row r="518" spans="1:13" x14ac:dyDescent="0.25">
      <c r="A518" t="str">
        <f t="shared" si="144"/>
        <v>E213</v>
      </c>
      <c r="B518">
        <v>1</v>
      </c>
      <c r="C518" t="str">
        <f t="shared" si="145"/>
        <v>43000</v>
      </c>
      <c r="D518" t="str">
        <f t="shared" si="146"/>
        <v>5740</v>
      </c>
      <c r="E518" t="str">
        <f t="shared" si="149"/>
        <v>850PKE</v>
      </c>
      <c r="F518" t="str">
        <f>""</f>
        <v/>
      </c>
      <c r="G518" t="str">
        <f>""</f>
        <v/>
      </c>
      <c r="H518" s="1">
        <v>42535</v>
      </c>
      <c r="I518" t="str">
        <f t="shared" si="147"/>
        <v>ACG02686</v>
      </c>
      <c r="J518" t="str">
        <f>"B125380D"</f>
        <v>B125380D</v>
      </c>
      <c r="K518" t="str">
        <f t="shared" si="148"/>
        <v>AS96</v>
      </c>
      <c r="L518" t="s">
        <v>225</v>
      </c>
      <c r="M518">
        <v>127.15</v>
      </c>
    </row>
    <row r="519" spans="1:13" x14ac:dyDescent="0.25">
      <c r="A519" t="str">
        <f t="shared" si="144"/>
        <v>E213</v>
      </c>
      <c r="B519">
        <v>1</v>
      </c>
      <c r="C519" t="str">
        <f t="shared" si="145"/>
        <v>43000</v>
      </c>
      <c r="D519" t="str">
        <f t="shared" si="146"/>
        <v>5740</v>
      </c>
      <c r="E519" t="str">
        <f t="shared" si="149"/>
        <v>850PKE</v>
      </c>
      <c r="F519" t="str">
        <f>""</f>
        <v/>
      </c>
      <c r="G519" t="str">
        <f>""</f>
        <v/>
      </c>
      <c r="H519" s="1">
        <v>42535</v>
      </c>
      <c r="I519" t="str">
        <f t="shared" si="147"/>
        <v>ACG02686</v>
      </c>
      <c r="J519" t="str">
        <f>"B125380D"</f>
        <v>B125380D</v>
      </c>
      <c r="K519" t="str">
        <f t="shared" si="148"/>
        <v>AS96</v>
      </c>
      <c r="L519" t="s">
        <v>225</v>
      </c>
      <c r="M519">
        <v>127.15</v>
      </c>
    </row>
    <row r="520" spans="1:13" x14ac:dyDescent="0.25">
      <c r="A520" t="str">
        <f t="shared" si="144"/>
        <v>E213</v>
      </c>
      <c r="B520">
        <v>1</v>
      </c>
      <c r="C520" t="str">
        <f t="shared" si="145"/>
        <v>43000</v>
      </c>
      <c r="D520" t="str">
        <f t="shared" si="146"/>
        <v>5740</v>
      </c>
      <c r="E520" t="str">
        <f t="shared" si="149"/>
        <v>850PKE</v>
      </c>
      <c r="F520" t="str">
        <f>""</f>
        <v/>
      </c>
      <c r="G520" t="str">
        <f>""</f>
        <v/>
      </c>
      <c r="H520" s="1">
        <v>42535</v>
      </c>
      <c r="I520" t="str">
        <f t="shared" si="147"/>
        <v>ACG02686</v>
      </c>
      <c r="J520" t="str">
        <f>"B125380D"</f>
        <v>B125380D</v>
      </c>
      <c r="K520" t="str">
        <f t="shared" si="148"/>
        <v>AS96</v>
      </c>
      <c r="L520" t="s">
        <v>225</v>
      </c>
      <c r="M520">
        <v>127.15</v>
      </c>
    </row>
    <row r="521" spans="1:13" x14ac:dyDescent="0.25">
      <c r="A521" t="str">
        <f t="shared" si="144"/>
        <v>E213</v>
      </c>
      <c r="B521">
        <v>1</v>
      </c>
      <c r="C521" t="str">
        <f t="shared" si="145"/>
        <v>43000</v>
      </c>
      <c r="D521" t="str">
        <f t="shared" si="146"/>
        <v>5740</v>
      </c>
      <c r="E521" t="str">
        <f t="shared" si="149"/>
        <v>850PKE</v>
      </c>
      <c r="F521" t="str">
        <f>""</f>
        <v/>
      </c>
      <c r="G521" t="str">
        <f>""</f>
        <v/>
      </c>
      <c r="H521" s="1">
        <v>42535</v>
      </c>
      <c r="I521" t="str">
        <f t="shared" si="147"/>
        <v>ACG02686</v>
      </c>
      <c r="J521" t="str">
        <f>"B125380D"</f>
        <v>B125380D</v>
      </c>
      <c r="K521" t="str">
        <f t="shared" si="148"/>
        <v>AS96</v>
      </c>
      <c r="L521" t="s">
        <v>225</v>
      </c>
      <c r="M521">
        <v>127.15</v>
      </c>
    </row>
    <row r="522" spans="1:13" x14ac:dyDescent="0.25">
      <c r="A522" t="str">
        <f t="shared" si="144"/>
        <v>E213</v>
      </c>
      <c r="B522">
        <v>1</v>
      </c>
      <c r="C522" t="str">
        <f t="shared" si="145"/>
        <v>43000</v>
      </c>
      <c r="D522" t="str">
        <f t="shared" si="146"/>
        <v>5740</v>
      </c>
      <c r="E522" t="str">
        <f t="shared" si="149"/>
        <v>850PKE</v>
      </c>
      <c r="F522" t="str">
        <f>""</f>
        <v/>
      </c>
      <c r="G522" t="str">
        <f>""</f>
        <v/>
      </c>
      <c r="H522" s="1">
        <v>42535</v>
      </c>
      <c r="I522" t="str">
        <f t="shared" si="147"/>
        <v>ACG02686</v>
      </c>
      <c r="J522" t="str">
        <f>"B125380D"</f>
        <v>B125380D</v>
      </c>
      <c r="K522" t="str">
        <f t="shared" si="148"/>
        <v>AS96</v>
      </c>
      <c r="L522" t="s">
        <v>225</v>
      </c>
      <c r="M522">
        <v>127.15</v>
      </c>
    </row>
    <row r="523" spans="1:13" x14ac:dyDescent="0.25">
      <c r="A523" t="str">
        <f t="shared" ref="A523:A554" si="150">"E216"</f>
        <v>E216</v>
      </c>
      <c r="B523">
        <v>1</v>
      </c>
      <c r="C523" t="str">
        <f>"10200"</f>
        <v>10200</v>
      </c>
      <c r="D523" t="str">
        <f t="shared" ref="D523:D554" si="151">"5620"</f>
        <v>5620</v>
      </c>
      <c r="E523" t="str">
        <f>"094OMS"</f>
        <v>094OMS</v>
      </c>
      <c r="F523" t="str">
        <f>""</f>
        <v/>
      </c>
      <c r="G523" t="str">
        <f>""</f>
        <v/>
      </c>
      <c r="H523" s="1">
        <v>42277</v>
      </c>
      <c r="I523" t="str">
        <f>"I0121273"</f>
        <v>I0121273</v>
      </c>
      <c r="J523" t="str">
        <f>"N188745D"</f>
        <v>N188745D</v>
      </c>
      <c r="K523" t="str">
        <f>"INEI"</f>
        <v>INEI</v>
      </c>
      <c r="L523" t="s">
        <v>1231</v>
      </c>
      <c r="M523" s="2">
        <v>1296.17</v>
      </c>
    </row>
    <row r="524" spans="1:13" x14ac:dyDescent="0.25">
      <c r="A524" t="str">
        <f t="shared" si="150"/>
        <v>E216</v>
      </c>
      <c r="B524">
        <v>1</v>
      </c>
      <c r="C524" t="str">
        <f>"10200"</f>
        <v>10200</v>
      </c>
      <c r="D524" t="str">
        <f t="shared" si="151"/>
        <v>5620</v>
      </c>
      <c r="E524" t="str">
        <f>"094OMS"</f>
        <v>094OMS</v>
      </c>
      <c r="F524" t="str">
        <f>""</f>
        <v/>
      </c>
      <c r="G524" t="str">
        <f>""</f>
        <v/>
      </c>
      <c r="H524" s="1">
        <v>42345</v>
      </c>
      <c r="I524" t="str">
        <f>"225773"</f>
        <v>225773</v>
      </c>
      <c r="J524" t="str">
        <f>""</f>
        <v/>
      </c>
      <c r="K524" t="str">
        <f>"INNI"</f>
        <v>INNI</v>
      </c>
      <c r="L524" t="s">
        <v>226</v>
      </c>
      <c r="M524" s="2">
        <v>4896.9399999999996</v>
      </c>
    </row>
    <row r="525" spans="1:13" x14ac:dyDescent="0.25">
      <c r="A525" t="str">
        <f t="shared" si="150"/>
        <v>E216</v>
      </c>
      <c r="B525">
        <v>1</v>
      </c>
      <c r="C525" t="str">
        <f>"10200"</f>
        <v>10200</v>
      </c>
      <c r="D525" t="str">
        <f t="shared" si="151"/>
        <v>5620</v>
      </c>
      <c r="E525" t="str">
        <f>"094OMS"</f>
        <v>094OMS</v>
      </c>
      <c r="F525" t="str">
        <f>""</f>
        <v/>
      </c>
      <c r="G525" t="str">
        <f>""</f>
        <v/>
      </c>
      <c r="H525" s="1">
        <v>42402</v>
      </c>
      <c r="I525" t="str">
        <f>"229072"</f>
        <v>229072</v>
      </c>
      <c r="J525" t="str">
        <f>""</f>
        <v/>
      </c>
      <c r="K525" t="str">
        <f>"INNI"</f>
        <v>INNI</v>
      </c>
      <c r="L525" t="s">
        <v>92</v>
      </c>
      <c r="M525">
        <v>500</v>
      </c>
    </row>
    <row r="526" spans="1:13" x14ac:dyDescent="0.25">
      <c r="A526" t="str">
        <f t="shared" si="150"/>
        <v>E216</v>
      </c>
      <c r="B526">
        <v>1</v>
      </c>
      <c r="C526" t="str">
        <f>"10200"</f>
        <v>10200</v>
      </c>
      <c r="D526" t="str">
        <f t="shared" si="151"/>
        <v>5620</v>
      </c>
      <c r="E526" t="str">
        <f>"094OMS"</f>
        <v>094OMS</v>
      </c>
      <c r="F526" t="str">
        <f>""</f>
        <v/>
      </c>
      <c r="G526" t="str">
        <f>""</f>
        <v/>
      </c>
      <c r="H526" s="1">
        <v>42542</v>
      </c>
      <c r="I526" t="str">
        <f>"I0132790"</f>
        <v>I0132790</v>
      </c>
      <c r="J526" t="str">
        <f>""</f>
        <v/>
      </c>
      <c r="K526" t="str">
        <f>"INNI"</f>
        <v>INNI</v>
      </c>
      <c r="L526" t="s">
        <v>1996</v>
      </c>
      <c r="M526" s="2">
        <v>3261</v>
      </c>
    </row>
    <row r="527" spans="1:13" x14ac:dyDescent="0.25">
      <c r="A527" t="str">
        <f t="shared" si="150"/>
        <v>E216</v>
      </c>
      <c r="B527">
        <v>1</v>
      </c>
      <c r="C527" t="str">
        <f>"23275"</f>
        <v>23275</v>
      </c>
      <c r="D527" t="str">
        <f t="shared" si="151"/>
        <v>5620</v>
      </c>
      <c r="E527" t="str">
        <f>"063STF"</f>
        <v>063STF</v>
      </c>
      <c r="F527" t="str">
        <f>""</f>
        <v/>
      </c>
      <c r="G527" t="str">
        <f>""</f>
        <v/>
      </c>
      <c r="H527" s="1">
        <v>42194</v>
      </c>
      <c r="I527" t="str">
        <f>"I0119520"</f>
        <v>I0119520</v>
      </c>
      <c r="J527" t="str">
        <f>"N132872D"</f>
        <v>N132872D</v>
      </c>
      <c r="K527" t="str">
        <f t="shared" ref="K527:K553" si="152">"INEI"</f>
        <v>INEI</v>
      </c>
      <c r="L527" t="s">
        <v>2354</v>
      </c>
      <c r="M527">
        <v>978.3</v>
      </c>
    </row>
    <row r="528" spans="1:13" x14ac:dyDescent="0.25">
      <c r="A528" t="str">
        <f t="shared" si="150"/>
        <v>E216</v>
      </c>
      <c r="B528">
        <v>1</v>
      </c>
      <c r="C528" t="str">
        <f t="shared" ref="C528:C559" si="153">"43000"</f>
        <v>43000</v>
      </c>
      <c r="D528" t="str">
        <f t="shared" si="151"/>
        <v>5620</v>
      </c>
      <c r="E528" t="str">
        <f t="shared" ref="E528:E533" si="154">"850LOS"</f>
        <v>850LOS</v>
      </c>
      <c r="F528" t="str">
        <f>""</f>
        <v/>
      </c>
      <c r="G528" t="str">
        <f>""</f>
        <v/>
      </c>
      <c r="H528" s="1">
        <v>42265</v>
      </c>
      <c r="I528" t="str">
        <f>"I0121437"</f>
        <v>I0121437</v>
      </c>
      <c r="J528" t="str">
        <f>"N125348F"</f>
        <v>N125348F</v>
      </c>
      <c r="K528" t="str">
        <f t="shared" si="152"/>
        <v>INEI</v>
      </c>
      <c r="L528" t="s">
        <v>229</v>
      </c>
      <c r="M528" s="2">
        <v>13696.2</v>
      </c>
    </row>
    <row r="529" spans="1:13" x14ac:dyDescent="0.25">
      <c r="A529" t="str">
        <f t="shared" si="150"/>
        <v>E216</v>
      </c>
      <c r="B529">
        <v>1</v>
      </c>
      <c r="C529" t="str">
        <f t="shared" si="153"/>
        <v>43000</v>
      </c>
      <c r="D529" t="str">
        <f t="shared" si="151"/>
        <v>5620</v>
      </c>
      <c r="E529" t="str">
        <f t="shared" si="154"/>
        <v>850LOS</v>
      </c>
      <c r="F529" t="str">
        <f>""</f>
        <v/>
      </c>
      <c r="G529" t="str">
        <f>""</f>
        <v/>
      </c>
      <c r="H529" s="1">
        <v>42265</v>
      </c>
      <c r="I529" t="str">
        <f>"I0121440"</f>
        <v>I0121440</v>
      </c>
      <c r="J529" t="str">
        <f>"N125348F"</f>
        <v>N125348F</v>
      </c>
      <c r="K529" t="str">
        <f t="shared" si="152"/>
        <v>INEI</v>
      </c>
      <c r="L529" t="s">
        <v>229</v>
      </c>
      <c r="M529" s="2">
        <v>1728.33</v>
      </c>
    </row>
    <row r="530" spans="1:13" x14ac:dyDescent="0.25">
      <c r="A530" t="str">
        <f t="shared" si="150"/>
        <v>E216</v>
      </c>
      <c r="B530">
        <v>1</v>
      </c>
      <c r="C530" t="str">
        <f t="shared" si="153"/>
        <v>43000</v>
      </c>
      <c r="D530" t="str">
        <f t="shared" si="151"/>
        <v>5620</v>
      </c>
      <c r="E530" t="str">
        <f t="shared" si="154"/>
        <v>850LOS</v>
      </c>
      <c r="F530" t="str">
        <f>""</f>
        <v/>
      </c>
      <c r="G530" t="str">
        <f>""</f>
        <v/>
      </c>
      <c r="H530" s="1">
        <v>42265</v>
      </c>
      <c r="I530" t="str">
        <f>"I0121443"</f>
        <v>I0121443</v>
      </c>
      <c r="J530" t="str">
        <f>"N125348F"</f>
        <v>N125348F</v>
      </c>
      <c r="K530" t="str">
        <f t="shared" si="152"/>
        <v>INEI</v>
      </c>
      <c r="L530" t="s">
        <v>229</v>
      </c>
      <c r="M530" s="2">
        <v>3693.38</v>
      </c>
    </row>
    <row r="531" spans="1:13" x14ac:dyDescent="0.25">
      <c r="A531" t="str">
        <f t="shared" si="150"/>
        <v>E216</v>
      </c>
      <c r="B531">
        <v>1</v>
      </c>
      <c r="C531" t="str">
        <f t="shared" si="153"/>
        <v>43000</v>
      </c>
      <c r="D531" t="str">
        <f t="shared" si="151"/>
        <v>5620</v>
      </c>
      <c r="E531" t="str">
        <f t="shared" si="154"/>
        <v>850LOS</v>
      </c>
      <c r="F531" t="str">
        <f>""</f>
        <v/>
      </c>
      <c r="G531" t="str">
        <f>""</f>
        <v/>
      </c>
      <c r="H531" s="1">
        <v>42370</v>
      </c>
      <c r="I531" t="str">
        <f>"I0124552"</f>
        <v>I0124552</v>
      </c>
      <c r="J531" t="str">
        <f>"N125348F"</f>
        <v>N125348F</v>
      </c>
      <c r="K531" t="str">
        <f t="shared" si="152"/>
        <v>INEI</v>
      </c>
      <c r="L531" t="s">
        <v>229</v>
      </c>
      <c r="M531" s="2">
        <v>4076.25</v>
      </c>
    </row>
    <row r="532" spans="1:13" x14ac:dyDescent="0.25">
      <c r="A532" t="str">
        <f t="shared" si="150"/>
        <v>E216</v>
      </c>
      <c r="B532">
        <v>1</v>
      </c>
      <c r="C532" t="str">
        <f t="shared" si="153"/>
        <v>43000</v>
      </c>
      <c r="D532" t="str">
        <f t="shared" si="151"/>
        <v>5620</v>
      </c>
      <c r="E532" t="str">
        <f t="shared" si="154"/>
        <v>850LOS</v>
      </c>
      <c r="F532" t="str">
        <f>""</f>
        <v/>
      </c>
      <c r="G532" t="str">
        <f>""</f>
        <v/>
      </c>
      <c r="H532" s="1">
        <v>42430</v>
      </c>
      <c r="I532" t="str">
        <f>"I0127356"</f>
        <v>I0127356</v>
      </c>
      <c r="J532" t="str">
        <f>"N138267F"</f>
        <v>N138267F</v>
      </c>
      <c r="K532" t="str">
        <f t="shared" si="152"/>
        <v>INEI</v>
      </c>
      <c r="L532" t="s">
        <v>3</v>
      </c>
      <c r="M532" s="2">
        <v>14000</v>
      </c>
    </row>
    <row r="533" spans="1:13" x14ac:dyDescent="0.25">
      <c r="A533" t="str">
        <f t="shared" si="150"/>
        <v>E216</v>
      </c>
      <c r="B533">
        <v>1</v>
      </c>
      <c r="C533" t="str">
        <f t="shared" si="153"/>
        <v>43000</v>
      </c>
      <c r="D533" t="str">
        <f t="shared" si="151"/>
        <v>5620</v>
      </c>
      <c r="E533" t="str">
        <f t="shared" si="154"/>
        <v>850LOS</v>
      </c>
      <c r="F533" t="str">
        <f>""</f>
        <v/>
      </c>
      <c r="G533" t="str">
        <f>""</f>
        <v/>
      </c>
      <c r="H533" s="1">
        <v>42551</v>
      </c>
      <c r="I533" t="str">
        <f>"I0133732"</f>
        <v>I0133732</v>
      </c>
      <c r="J533" t="str">
        <f>"N125348F"</f>
        <v>N125348F</v>
      </c>
      <c r="K533" t="str">
        <f t="shared" si="152"/>
        <v>INEI</v>
      </c>
      <c r="L533" t="s">
        <v>229</v>
      </c>
      <c r="M533" s="2">
        <v>1652.24</v>
      </c>
    </row>
    <row r="534" spans="1:13" x14ac:dyDescent="0.25">
      <c r="A534" t="str">
        <f t="shared" si="150"/>
        <v>E216</v>
      </c>
      <c r="B534">
        <v>1</v>
      </c>
      <c r="C534" t="str">
        <f t="shared" si="153"/>
        <v>43000</v>
      </c>
      <c r="D534" t="str">
        <f t="shared" si="151"/>
        <v>5620</v>
      </c>
      <c r="E534" t="str">
        <f t="shared" ref="E534:E546" si="155">"850PAY"</f>
        <v>850PAY</v>
      </c>
      <c r="F534" t="str">
        <f>""</f>
        <v/>
      </c>
      <c r="G534" t="str">
        <f>""</f>
        <v/>
      </c>
      <c r="H534" s="1">
        <v>42194</v>
      </c>
      <c r="I534" t="str">
        <f>"I0119508"</f>
        <v>I0119508</v>
      </c>
      <c r="J534" t="str">
        <f>"N183002F"</f>
        <v>N183002F</v>
      </c>
      <c r="K534" t="str">
        <f t="shared" si="152"/>
        <v>INEI</v>
      </c>
      <c r="L534" t="s">
        <v>1304</v>
      </c>
      <c r="M534">
        <v>825</v>
      </c>
    </row>
    <row r="535" spans="1:13" x14ac:dyDescent="0.25">
      <c r="A535" t="str">
        <f t="shared" si="150"/>
        <v>E216</v>
      </c>
      <c r="B535">
        <v>1</v>
      </c>
      <c r="C535" t="str">
        <f t="shared" si="153"/>
        <v>43000</v>
      </c>
      <c r="D535" t="str">
        <f t="shared" si="151"/>
        <v>5620</v>
      </c>
      <c r="E535" t="str">
        <f t="shared" si="155"/>
        <v>850PAY</v>
      </c>
      <c r="F535" t="str">
        <f>""</f>
        <v/>
      </c>
      <c r="G535" t="str">
        <f>""</f>
        <v/>
      </c>
      <c r="H535" s="1">
        <v>42222</v>
      </c>
      <c r="I535" t="str">
        <f>"I0120255"</f>
        <v>I0120255</v>
      </c>
      <c r="J535" t="str">
        <f>"N125316G"</f>
        <v>N125316G</v>
      </c>
      <c r="K535" t="str">
        <f t="shared" si="152"/>
        <v>INEI</v>
      </c>
      <c r="L535" t="s">
        <v>2596</v>
      </c>
      <c r="M535">
        <v>499.92</v>
      </c>
    </row>
    <row r="536" spans="1:13" x14ac:dyDescent="0.25">
      <c r="A536" t="str">
        <f t="shared" si="150"/>
        <v>E216</v>
      </c>
      <c r="B536">
        <v>1</v>
      </c>
      <c r="C536" t="str">
        <f t="shared" si="153"/>
        <v>43000</v>
      </c>
      <c r="D536" t="str">
        <f t="shared" si="151"/>
        <v>5620</v>
      </c>
      <c r="E536" t="str">
        <f t="shared" si="155"/>
        <v>850PAY</v>
      </c>
      <c r="F536" t="str">
        <f>""</f>
        <v/>
      </c>
      <c r="G536" t="str">
        <f>""</f>
        <v/>
      </c>
      <c r="H536" s="1">
        <v>42229</v>
      </c>
      <c r="I536" t="str">
        <f>"I0120414"</f>
        <v>I0120414</v>
      </c>
      <c r="J536" t="str">
        <f>"N125316G"</f>
        <v>N125316G</v>
      </c>
      <c r="K536" t="str">
        <f t="shared" si="152"/>
        <v>INEI</v>
      </c>
      <c r="L536" t="s">
        <v>2596</v>
      </c>
      <c r="M536">
        <v>896.83</v>
      </c>
    </row>
    <row r="537" spans="1:13" x14ac:dyDescent="0.25">
      <c r="A537" t="str">
        <f t="shared" si="150"/>
        <v>E216</v>
      </c>
      <c r="B537">
        <v>1</v>
      </c>
      <c r="C537" t="str">
        <f t="shared" si="153"/>
        <v>43000</v>
      </c>
      <c r="D537" t="str">
        <f t="shared" si="151"/>
        <v>5620</v>
      </c>
      <c r="E537" t="str">
        <f t="shared" si="155"/>
        <v>850PAY</v>
      </c>
      <c r="F537" t="str">
        <f>""</f>
        <v/>
      </c>
      <c r="G537" t="str">
        <f>""</f>
        <v/>
      </c>
      <c r="H537" s="1">
        <v>42240</v>
      </c>
      <c r="I537" t="str">
        <f>"I0120707"</f>
        <v>I0120707</v>
      </c>
      <c r="J537" t="str">
        <f>"N125316F"</f>
        <v>N125316F</v>
      </c>
      <c r="K537" t="str">
        <f t="shared" si="152"/>
        <v>INEI</v>
      </c>
      <c r="L537" t="s">
        <v>2596</v>
      </c>
      <c r="M537">
        <v>896.83</v>
      </c>
    </row>
    <row r="538" spans="1:13" x14ac:dyDescent="0.25">
      <c r="A538" t="str">
        <f t="shared" si="150"/>
        <v>E216</v>
      </c>
      <c r="B538">
        <v>1</v>
      </c>
      <c r="C538" t="str">
        <f t="shared" si="153"/>
        <v>43000</v>
      </c>
      <c r="D538" t="str">
        <f t="shared" si="151"/>
        <v>5620</v>
      </c>
      <c r="E538" t="str">
        <f t="shared" si="155"/>
        <v>850PAY</v>
      </c>
      <c r="F538" t="str">
        <f>""</f>
        <v/>
      </c>
      <c r="G538" t="str">
        <f>""</f>
        <v/>
      </c>
      <c r="H538" s="1">
        <v>42240</v>
      </c>
      <c r="I538" t="str">
        <f>"I0120708"</f>
        <v>I0120708</v>
      </c>
      <c r="J538" t="str">
        <f>"N125316F"</f>
        <v>N125316F</v>
      </c>
      <c r="K538" t="str">
        <f t="shared" si="152"/>
        <v>INEI</v>
      </c>
      <c r="L538" t="s">
        <v>2596</v>
      </c>
      <c r="M538">
        <v>499.75</v>
      </c>
    </row>
    <row r="539" spans="1:13" x14ac:dyDescent="0.25">
      <c r="A539" t="str">
        <f t="shared" si="150"/>
        <v>E216</v>
      </c>
      <c r="B539">
        <v>1</v>
      </c>
      <c r="C539" t="str">
        <f t="shared" si="153"/>
        <v>43000</v>
      </c>
      <c r="D539" t="str">
        <f t="shared" si="151"/>
        <v>5620</v>
      </c>
      <c r="E539" t="str">
        <f t="shared" si="155"/>
        <v>850PAY</v>
      </c>
      <c r="F539" t="str">
        <f>""</f>
        <v/>
      </c>
      <c r="G539" t="str">
        <f>""</f>
        <v/>
      </c>
      <c r="H539" s="1">
        <v>42250</v>
      </c>
      <c r="I539" t="str">
        <f>"I0121009"</f>
        <v>I0121009</v>
      </c>
      <c r="J539" t="str">
        <f t="shared" ref="J539:J545" si="156">"N125316G"</f>
        <v>N125316G</v>
      </c>
      <c r="K539" t="str">
        <f t="shared" si="152"/>
        <v>INEI</v>
      </c>
      <c r="L539" t="s">
        <v>2596</v>
      </c>
      <c r="M539">
        <v>896.78</v>
      </c>
    </row>
    <row r="540" spans="1:13" x14ac:dyDescent="0.25">
      <c r="A540" t="str">
        <f t="shared" si="150"/>
        <v>E216</v>
      </c>
      <c r="B540">
        <v>1</v>
      </c>
      <c r="C540" t="str">
        <f t="shared" si="153"/>
        <v>43000</v>
      </c>
      <c r="D540" t="str">
        <f t="shared" si="151"/>
        <v>5620</v>
      </c>
      <c r="E540" t="str">
        <f t="shared" si="155"/>
        <v>850PAY</v>
      </c>
      <c r="F540" t="str">
        <f>""</f>
        <v/>
      </c>
      <c r="G540" t="str">
        <f>""</f>
        <v/>
      </c>
      <c r="H540" s="1">
        <v>42282</v>
      </c>
      <c r="I540" t="str">
        <f>"I0121935"</f>
        <v>I0121935</v>
      </c>
      <c r="J540" t="str">
        <f t="shared" si="156"/>
        <v>N125316G</v>
      </c>
      <c r="K540" t="str">
        <f t="shared" si="152"/>
        <v>INEI</v>
      </c>
      <c r="L540" t="s">
        <v>2596</v>
      </c>
      <c r="M540">
        <v>896.78</v>
      </c>
    </row>
    <row r="541" spans="1:13" x14ac:dyDescent="0.25">
      <c r="A541" t="str">
        <f t="shared" si="150"/>
        <v>E216</v>
      </c>
      <c r="B541">
        <v>1</v>
      </c>
      <c r="C541" t="str">
        <f t="shared" si="153"/>
        <v>43000</v>
      </c>
      <c r="D541" t="str">
        <f t="shared" si="151"/>
        <v>5620</v>
      </c>
      <c r="E541" t="str">
        <f t="shared" si="155"/>
        <v>850PAY</v>
      </c>
      <c r="F541" t="str">
        <f>""</f>
        <v/>
      </c>
      <c r="G541" t="str">
        <f>""</f>
        <v/>
      </c>
      <c r="H541" s="1">
        <v>42314</v>
      </c>
      <c r="I541" t="str">
        <f>"I0122937"</f>
        <v>I0122937</v>
      </c>
      <c r="J541" t="str">
        <f t="shared" si="156"/>
        <v>N125316G</v>
      </c>
      <c r="K541" t="str">
        <f t="shared" si="152"/>
        <v>INEI</v>
      </c>
      <c r="L541" t="s">
        <v>2596</v>
      </c>
      <c r="M541">
        <v>815.25</v>
      </c>
    </row>
    <row r="542" spans="1:13" x14ac:dyDescent="0.25">
      <c r="A542" t="str">
        <f t="shared" si="150"/>
        <v>E216</v>
      </c>
      <c r="B542">
        <v>1</v>
      </c>
      <c r="C542" t="str">
        <f t="shared" si="153"/>
        <v>43000</v>
      </c>
      <c r="D542" t="str">
        <f t="shared" si="151"/>
        <v>5620</v>
      </c>
      <c r="E542" t="str">
        <f t="shared" si="155"/>
        <v>850PAY</v>
      </c>
      <c r="F542" t="str">
        <f>""</f>
        <v/>
      </c>
      <c r="G542" t="str">
        <f>""</f>
        <v/>
      </c>
      <c r="H542" s="1">
        <v>42342</v>
      </c>
      <c r="I542" t="str">
        <f>"I0123558"</f>
        <v>I0123558</v>
      </c>
      <c r="J542" t="str">
        <f t="shared" si="156"/>
        <v>N125316G</v>
      </c>
      <c r="K542" t="str">
        <f t="shared" si="152"/>
        <v>INEI</v>
      </c>
      <c r="L542" t="s">
        <v>2596</v>
      </c>
      <c r="M542">
        <v>815.25</v>
      </c>
    </row>
    <row r="543" spans="1:13" x14ac:dyDescent="0.25">
      <c r="A543" t="str">
        <f t="shared" si="150"/>
        <v>E216</v>
      </c>
      <c r="B543">
        <v>1</v>
      </c>
      <c r="C543" t="str">
        <f t="shared" si="153"/>
        <v>43000</v>
      </c>
      <c r="D543" t="str">
        <f t="shared" si="151"/>
        <v>5620</v>
      </c>
      <c r="E543" t="str">
        <f t="shared" si="155"/>
        <v>850PAY</v>
      </c>
      <c r="F543" t="str">
        <f>""</f>
        <v/>
      </c>
      <c r="G543" t="str">
        <f>""</f>
        <v/>
      </c>
      <c r="H543" s="1">
        <v>42409</v>
      </c>
      <c r="I543" t="str">
        <f>"I0125712"</f>
        <v>I0125712</v>
      </c>
      <c r="J543" t="str">
        <f t="shared" si="156"/>
        <v>N125316G</v>
      </c>
      <c r="K543" t="str">
        <f t="shared" si="152"/>
        <v>INEI</v>
      </c>
      <c r="L543" t="s">
        <v>2596</v>
      </c>
      <c r="M543">
        <v>815.25</v>
      </c>
    </row>
    <row r="544" spans="1:13" x14ac:dyDescent="0.25">
      <c r="A544" t="str">
        <f t="shared" si="150"/>
        <v>E216</v>
      </c>
      <c r="B544">
        <v>1</v>
      </c>
      <c r="C544" t="str">
        <f t="shared" si="153"/>
        <v>43000</v>
      </c>
      <c r="D544" t="str">
        <f t="shared" si="151"/>
        <v>5620</v>
      </c>
      <c r="E544" t="str">
        <f t="shared" si="155"/>
        <v>850PAY</v>
      </c>
      <c r="F544" t="str">
        <f>""</f>
        <v/>
      </c>
      <c r="G544" t="str">
        <f>""</f>
        <v/>
      </c>
      <c r="H544" s="1">
        <v>42417</v>
      </c>
      <c r="I544" t="str">
        <f>"I0125896"</f>
        <v>I0125896</v>
      </c>
      <c r="J544" t="str">
        <f t="shared" si="156"/>
        <v>N125316G</v>
      </c>
      <c r="K544" t="str">
        <f t="shared" si="152"/>
        <v>INEI</v>
      </c>
      <c r="L544" t="s">
        <v>2596</v>
      </c>
      <c r="M544">
        <v>815.25</v>
      </c>
    </row>
    <row r="545" spans="1:13" x14ac:dyDescent="0.25">
      <c r="A545" t="str">
        <f t="shared" si="150"/>
        <v>E216</v>
      </c>
      <c r="B545">
        <v>1</v>
      </c>
      <c r="C545" t="str">
        <f t="shared" si="153"/>
        <v>43000</v>
      </c>
      <c r="D545" t="str">
        <f t="shared" si="151"/>
        <v>5620</v>
      </c>
      <c r="E545" t="str">
        <f t="shared" si="155"/>
        <v>850PAY</v>
      </c>
      <c r="F545" t="str">
        <f>""</f>
        <v/>
      </c>
      <c r="G545" t="str">
        <f>""</f>
        <v/>
      </c>
      <c r="H545" s="1">
        <v>42437</v>
      </c>
      <c r="I545" t="str">
        <f>"I0126721"</f>
        <v>I0126721</v>
      </c>
      <c r="J545" t="str">
        <f t="shared" si="156"/>
        <v>N125316G</v>
      </c>
      <c r="K545" t="str">
        <f t="shared" si="152"/>
        <v>INEI</v>
      </c>
      <c r="L545" t="s">
        <v>2596</v>
      </c>
      <c r="M545">
        <v>815.25</v>
      </c>
    </row>
    <row r="546" spans="1:13" x14ac:dyDescent="0.25">
      <c r="A546" t="str">
        <f t="shared" si="150"/>
        <v>E216</v>
      </c>
      <c r="B546">
        <v>1</v>
      </c>
      <c r="C546" t="str">
        <f t="shared" si="153"/>
        <v>43000</v>
      </c>
      <c r="D546" t="str">
        <f t="shared" si="151"/>
        <v>5620</v>
      </c>
      <c r="E546" t="str">
        <f t="shared" si="155"/>
        <v>850PAY</v>
      </c>
      <c r="F546" t="str">
        <f>""</f>
        <v/>
      </c>
      <c r="G546" t="str">
        <f>""</f>
        <v/>
      </c>
      <c r="H546" s="1">
        <v>42551</v>
      </c>
      <c r="I546" t="str">
        <f>"I0134284"</f>
        <v>I0134284</v>
      </c>
      <c r="J546" t="str">
        <f>"F227764B"</f>
        <v>F227764B</v>
      </c>
      <c r="K546" t="str">
        <f t="shared" si="152"/>
        <v>INEI</v>
      </c>
      <c r="L546" t="s">
        <v>229</v>
      </c>
      <c r="M546" s="2">
        <v>7826.4</v>
      </c>
    </row>
    <row r="547" spans="1:13" x14ac:dyDescent="0.25">
      <c r="A547" t="str">
        <f t="shared" si="150"/>
        <v>E216</v>
      </c>
      <c r="B547">
        <v>1</v>
      </c>
      <c r="C547" t="str">
        <f t="shared" si="153"/>
        <v>43000</v>
      </c>
      <c r="D547" t="str">
        <f t="shared" si="151"/>
        <v>5620</v>
      </c>
      <c r="E547" t="str">
        <f t="shared" ref="E547:E554" si="157">"850PKE"</f>
        <v>850PKE</v>
      </c>
      <c r="F547" t="str">
        <f>""</f>
        <v/>
      </c>
      <c r="G547" t="str">
        <f>""</f>
        <v/>
      </c>
      <c r="H547" s="1">
        <v>42551</v>
      </c>
      <c r="I547" t="str">
        <f>"I0133735"</f>
        <v>I0133735</v>
      </c>
      <c r="J547" t="str">
        <f>"N227767A"</f>
        <v>N227767A</v>
      </c>
      <c r="K547" t="str">
        <f t="shared" si="152"/>
        <v>INEI</v>
      </c>
      <c r="L547" t="s">
        <v>229</v>
      </c>
      <c r="M547">
        <v>543.5</v>
      </c>
    </row>
    <row r="548" spans="1:13" x14ac:dyDescent="0.25">
      <c r="A548" t="str">
        <f t="shared" si="150"/>
        <v>E216</v>
      </c>
      <c r="B548">
        <v>1</v>
      </c>
      <c r="C548" t="str">
        <f t="shared" si="153"/>
        <v>43000</v>
      </c>
      <c r="D548" t="str">
        <f t="shared" si="151"/>
        <v>5620</v>
      </c>
      <c r="E548" t="str">
        <f t="shared" si="157"/>
        <v>850PKE</v>
      </c>
      <c r="F548" t="str">
        <f>""</f>
        <v/>
      </c>
      <c r="G548" t="str">
        <f>""</f>
        <v/>
      </c>
      <c r="H548" s="1">
        <v>42551</v>
      </c>
      <c r="I548" t="str">
        <f>"I0134280"</f>
        <v>I0134280</v>
      </c>
      <c r="J548" t="str">
        <f t="shared" ref="J548:J553" si="158">"N227766B"</f>
        <v>N227766B</v>
      </c>
      <c r="K548" t="str">
        <f t="shared" si="152"/>
        <v>INEI</v>
      </c>
      <c r="L548" t="s">
        <v>229</v>
      </c>
      <c r="M548" s="2">
        <v>1956.6</v>
      </c>
    </row>
    <row r="549" spans="1:13" x14ac:dyDescent="0.25">
      <c r="A549" t="str">
        <f t="shared" si="150"/>
        <v>E216</v>
      </c>
      <c r="B549">
        <v>1</v>
      </c>
      <c r="C549" t="str">
        <f t="shared" si="153"/>
        <v>43000</v>
      </c>
      <c r="D549" t="str">
        <f t="shared" si="151"/>
        <v>5620</v>
      </c>
      <c r="E549" t="str">
        <f t="shared" si="157"/>
        <v>850PKE</v>
      </c>
      <c r="F549" t="str">
        <f>""</f>
        <v/>
      </c>
      <c r="G549" t="str">
        <f>""</f>
        <v/>
      </c>
      <c r="H549" s="1">
        <v>42551</v>
      </c>
      <c r="I549" t="str">
        <f>"I0134280"</f>
        <v>I0134280</v>
      </c>
      <c r="J549" t="str">
        <f t="shared" si="158"/>
        <v>N227766B</v>
      </c>
      <c r="K549" t="str">
        <f t="shared" si="152"/>
        <v>INEI</v>
      </c>
      <c r="L549" t="s">
        <v>229</v>
      </c>
      <c r="M549" s="2">
        <v>4348</v>
      </c>
    </row>
    <row r="550" spans="1:13" x14ac:dyDescent="0.25">
      <c r="A550" t="str">
        <f t="shared" si="150"/>
        <v>E216</v>
      </c>
      <c r="B550">
        <v>1</v>
      </c>
      <c r="C550" t="str">
        <f t="shared" si="153"/>
        <v>43000</v>
      </c>
      <c r="D550" t="str">
        <f t="shared" si="151"/>
        <v>5620</v>
      </c>
      <c r="E550" t="str">
        <f t="shared" si="157"/>
        <v>850PKE</v>
      </c>
      <c r="F550" t="str">
        <f>""</f>
        <v/>
      </c>
      <c r="G550" t="str">
        <f>""</f>
        <v/>
      </c>
      <c r="H550" s="1">
        <v>42551</v>
      </c>
      <c r="I550" t="str">
        <f>"I0134280"</f>
        <v>I0134280</v>
      </c>
      <c r="J550" t="str">
        <f t="shared" si="158"/>
        <v>N227766B</v>
      </c>
      <c r="K550" t="str">
        <f t="shared" si="152"/>
        <v>INEI</v>
      </c>
      <c r="L550" t="s">
        <v>229</v>
      </c>
      <c r="M550">
        <v>326.10000000000002</v>
      </c>
    </row>
    <row r="551" spans="1:13" x14ac:dyDescent="0.25">
      <c r="A551" t="str">
        <f t="shared" si="150"/>
        <v>E216</v>
      </c>
      <c r="B551">
        <v>1</v>
      </c>
      <c r="C551" t="str">
        <f t="shared" si="153"/>
        <v>43000</v>
      </c>
      <c r="D551" t="str">
        <f t="shared" si="151"/>
        <v>5620</v>
      </c>
      <c r="E551" t="str">
        <f t="shared" si="157"/>
        <v>850PKE</v>
      </c>
      <c r="F551" t="str">
        <f>""</f>
        <v/>
      </c>
      <c r="G551" t="str">
        <f>""</f>
        <v/>
      </c>
      <c r="H551" s="1">
        <v>42551</v>
      </c>
      <c r="I551" t="str">
        <f>"I0134280"</f>
        <v>I0134280</v>
      </c>
      <c r="J551" t="str">
        <f t="shared" si="158"/>
        <v>N227766B</v>
      </c>
      <c r="K551" t="str">
        <f t="shared" si="152"/>
        <v>INEI</v>
      </c>
      <c r="L551" t="s">
        <v>229</v>
      </c>
      <c r="M551" s="2">
        <v>1087</v>
      </c>
    </row>
    <row r="552" spans="1:13" x14ac:dyDescent="0.25">
      <c r="A552" t="str">
        <f t="shared" si="150"/>
        <v>E216</v>
      </c>
      <c r="B552">
        <v>1</v>
      </c>
      <c r="C552" t="str">
        <f t="shared" si="153"/>
        <v>43000</v>
      </c>
      <c r="D552" t="str">
        <f t="shared" si="151"/>
        <v>5620</v>
      </c>
      <c r="E552" t="str">
        <f t="shared" si="157"/>
        <v>850PKE</v>
      </c>
      <c r="F552" t="str">
        <f>""</f>
        <v/>
      </c>
      <c r="G552" t="str">
        <f>""</f>
        <v/>
      </c>
      <c r="H552" s="1">
        <v>42551</v>
      </c>
      <c r="I552" t="str">
        <f>"I0134280"</f>
        <v>I0134280</v>
      </c>
      <c r="J552" t="str">
        <f t="shared" si="158"/>
        <v>N227766B</v>
      </c>
      <c r="K552" t="str">
        <f t="shared" si="152"/>
        <v>INEI</v>
      </c>
      <c r="L552" t="s">
        <v>229</v>
      </c>
      <c r="M552" s="2">
        <v>1521.8</v>
      </c>
    </row>
    <row r="553" spans="1:13" x14ac:dyDescent="0.25">
      <c r="A553" t="str">
        <f t="shared" si="150"/>
        <v>E216</v>
      </c>
      <c r="B553">
        <v>1</v>
      </c>
      <c r="C553" t="str">
        <f t="shared" si="153"/>
        <v>43000</v>
      </c>
      <c r="D553" t="str">
        <f t="shared" si="151"/>
        <v>5620</v>
      </c>
      <c r="E553" t="str">
        <f t="shared" si="157"/>
        <v>850PKE</v>
      </c>
      <c r="F553" t="str">
        <f>""</f>
        <v/>
      </c>
      <c r="G553" t="str">
        <f>""</f>
        <v/>
      </c>
      <c r="H553" s="1">
        <v>42551</v>
      </c>
      <c r="I553" t="str">
        <f>"I0134289"</f>
        <v>I0134289</v>
      </c>
      <c r="J553" t="str">
        <f t="shared" si="158"/>
        <v>N227766B</v>
      </c>
      <c r="K553" t="str">
        <f t="shared" si="152"/>
        <v>INEI</v>
      </c>
      <c r="L553" t="s">
        <v>229</v>
      </c>
      <c r="M553" s="2">
        <v>3261</v>
      </c>
    </row>
    <row r="554" spans="1:13" x14ac:dyDescent="0.25">
      <c r="A554" t="str">
        <f t="shared" si="150"/>
        <v>E216</v>
      </c>
      <c r="B554">
        <v>1</v>
      </c>
      <c r="C554" t="str">
        <f t="shared" si="153"/>
        <v>43000</v>
      </c>
      <c r="D554" t="str">
        <f t="shared" si="151"/>
        <v>5620</v>
      </c>
      <c r="E554" t="str">
        <f t="shared" si="157"/>
        <v>850PKE</v>
      </c>
      <c r="F554" t="str">
        <f>""</f>
        <v/>
      </c>
      <c r="G554" t="str">
        <f>""</f>
        <v/>
      </c>
      <c r="H554" s="1">
        <v>42551</v>
      </c>
      <c r="I554" t="str">
        <f>"J0023344"</f>
        <v>J0023344</v>
      </c>
      <c r="J554" t="str">
        <f>""</f>
        <v/>
      </c>
      <c r="K554" t="str">
        <f>"J089"</f>
        <v>J089</v>
      </c>
      <c r="L554" t="s">
        <v>2935</v>
      </c>
      <c r="M554" s="2">
        <v>9239.5</v>
      </c>
    </row>
    <row r="555" spans="1:13" x14ac:dyDescent="0.25">
      <c r="A555" t="str">
        <f t="shared" ref="A555:A581" si="159">"E216"</f>
        <v>E216</v>
      </c>
      <c r="B555">
        <v>1</v>
      </c>
      <c r="C555" t="str">
        <f t="shared" si="153"/>
        <v>43000</v>
      </c>
      <c r="D555" t="str">
        <f t="shared" ref="D555:D581" si="160">"5740"</f>
        <v>5740</v>
      </c>
      <c r="E555" t="str">
        <f t="shared" ref="E555:E562" si="161">"850LOS"</f>
        <v>850LOS</v>
      </c>
      <c r="F555" t="str">
        <f>""</f>
        <v/>
      </c>
      <c r="G555" t="str">
        <f>""</f>
        <v/>
      </c>
      <c r="H555" s="1">
        <v>42503</v>
      </c>
      <c r="I555" t="str">
        <f>"J0021555"</f>
        <v>J0021555</v>
      </c>
      <c r="J555" t="str">
        <f>""</f>
        <v/>
      </c>
      <c r="K555" t="str">
        <f>"J096"</f>
        <v>J096</v>
      </c>
      <c r="L555" t="s">
        <v>2938</v>
      </c>
      <c r="M555">
        <v>267.25</v>
      </c>
    </row>
    <row r="556" spans="1:13" x14ac:dyDescent="0.25">
      <c r="A556" t="str">
        <f t="shared" si="159"/>
        <v>E216</v>
      </c>
      <c r="B556">
        <v>1</v>
      </c>
      <c r="C556" t="str">
        <f t="shared" si="153"/>
        <v>43000</v>
      </c>
      <c r="D556" t="str">
        <f t="shared" si="160"/>
        <v>5740</v>
      </c>
      <c r="E556" t="str">
        <f t="shared" si="161"/>
        <v>850LOS</v>
      </c>
      <c r="F556" t="str">
        <f>""</f>
        <v/>
      </c>
      <c r="G556" t="str">
        <f>""</f>
        <v/>
      </c>
      <c r="H556" s="1">
        <v>42535</v>
      </c>
      <c r="I556" t="str">
        <f>"ACG02686"</f>
        <v>ACG02686</v>
      </c>
      <c r="J556" t="str">
        <f>"N125348F"</f>
        <v>N125348F</v>
      </c>
      <c r="K556" t="str">
        <f>"AS96"</f>
        <v>AS96</v>
      </c>
      <c r="L556" t="s">
        <v>229</v>
      </c>
      <c r="M556" s="2">
        <v>4076.25</v>
      </c>
    </row>
    <row r="557" spans="1:13" x14ac:dyDescent="0.25">
      <c r="A557" t="str">
        <f t="shared" si="159"/>
        <v>E216</v>
      </c>
      <c r="B557">
        <v>1</v>
      </c>
      <c r="C557" t="str">
        <f t="shared" si="153"/>
        <v>43000</v>
      </c>
      <c r="D557" t="str">
        <f t="shared" si="160"/>
        <v>5740</v>
      </c>
      <c r="E557" t="str">
        <f t="shared" si="161"/>
        <v>850LOS</v>
      </c>
      <c r="F557" t="str">
        <f>""</f>
        <v/>
      </c>
      <c r="G557" t="str">
        <f>""</f>
        <v/>
      </c>
      <c r="H557" s="1">
        <v>42535</v>
      </c>
      <c r="I557" t="str">
        <f>"ACG02686"</f>
        <v>ACG02686</v>
      </c>
      <c r="J557" t="str">
        <f>"N125348F"</f>
        <v>N125348F</v>
      </c>
      <c r="K557" t="str">
        <f>"AS96"</f>
        <v>AS96</v>
      </c>
      <c r="L557" t="s">
        <v>229</v>
      </c>
      <c r="M557" s="2">
        <v>3693.38</v>
      </c>
    </row>
    <row r="558" spans="1:13" x14ac:dyDescent="0.25">
      <c r="A558" t="str">
        <f t="shared" si="159"/>
        <v>E216</v>
      </c>
      <c r="B558">
        <v>1</v>
      </c>
      <c r="C558" t="str">
        <f t="shared" si="153"/>
        <v>43000</v>
      </c>
      <c r="D558" t="str">
        <f t="shared" si="160"/>
        <v>5740</v>
      </c>
      <c r="E558" t="str">
        <f t="shared" si="161"/>
        <v>850LOS</v>
      </c>
      <c r="F558" t="str">
        <f>""</f>
        <v/>
      </c>
      <c r="G558" t="str">
        <f>""</f>
        <v/>
      </c>
      <c r="H558" s="1">
        <v>42535</v>
      </c>
      <c r="I558" t="str">
        <f>"ACG02686"</f>
        <v>ACG02686</v>
      </c>
      <c r="J558" t="str">
        <f>"N125348F"</f>
        <v>N125348F</v>
      </c>
      <c r="K558" t="str">
        <f>"AS96"</f>
        <v>AS96</v>
      </c>
      <c r="L558" t="s">
        <v>229</v>
      </c>
      <c r="M558" s="2">
        <v>13696.2</v>
      </c>
    </row>
    <row r="559" spans="1:13" x14ac:dyDescent="0.25">
      <c r="A559" t="str">
        <f t="shared" si="159"/>
        <v>E216</v>
      </c>
      <c r="B559">
        <v>1</v>
      </c>
      <c r="C559" t="str">
        <f t="shared" si="153"/>
        <v>43000</v>
      </c>
      <c r="D559" t="str">
        <f t="shared" si="160"/>
        <v>5740</v>
      </c>
      <c r="E559" t="str">
        <f t="shared" si="161"/>
        <v>850LOS</v>
      </c>
      <c r="F559" t="str">
        <f>""</f>
        <v/>
      </c>
      <c r="G559" t="str">
        <f>""</f>
        <v/>
      </c>
      <c r="H559" s="1">
        <v>42535</v>
      </c>
      <c r="I559" t="str">
        <f>"ACG02686"</f>
        <v>ACG02686</v>
      </c>
      <c r="J559" t="str">
        <f>"N125348F"</f>
        <v>N125348F</v>
      </c>
      <c r="K559" t="str">
        <f>"AS96"</f>
        <v>AS96</v>
      </c>
      <c r="L559" t="s">
        <v>229</v>
      </c>
      <c r="M559" s="2">
        <v>1728.33</v>
      </c>
    </row>
    <row r="560" spans="1:13" x14ac:dyDescent="0.25">
      <c r="A560" t="str">
        <f t="shared" si="159"/>
        <v>E216</v>
      </c>
      <c r="B560">
        <v>1</v>
      </c>
      <c r="C560" t="str">
        <f t="shared" ref="C560:C576" si="162">"43000"</f>
        <v>43000</v>
      </c>
      <c r="D560" t="str">
        <f t="shared" si="160"/>
        <v>5740</v>
      </c>
      <c r="E560" t="str">
        <f t="shared" si="161"/>
        <v>850LOS</v>
      </c>
      <c r="F560" t="str">
        <f>""</f>
        <v/>
      </c>
      <c r="G560" t="str">
        <f>""</f>
        <v/>
      </c>
      <c r="H560" s="1">
        <v>42535</v>
      </c>
      <c r="I560" t="str">
        <f>"ACG02686"</f>
        <v>ACG02686</v>
      </c>
      <c r="J560" t="str">
        <f>"N138267F"</f>
        <v>N138267F</v>
      </c>
      <c r="K560" t="str">
        <f>"AS96"</f>
        <v>AS96</v>
      </c>
      <c r="L560" t="s">
        <v>3</v>
      </c>
      <c r="M560" s="2">
        <v>14000</v>
      </c>
    </row>
    <row r="561" spans="1:13" x14ac:dyDescent="0.25">
      <c r="A561" t="str">
        <f t="shared" si="159"/>
        <v>E216</v>
      </c>
      <c r="B561">
        <v>1</v>
      </c>
      <c r="C561" t="str">
        <f t="shared" si="162"/>
        <v>43000</v>
      </c>
      <c r="D561" t="str">
        <f t="shared" si="160"/>
        <v>5740</v>
      </c>
      <c r="E561" t="str">
        <f t="shared" si="161"/>
        <v>850LOS</v>
      </c>
      <c r="F561" t="str">
        <f>""</f>
        <v/>
      </c>
      <c r="G561" t="str">
        <f>""</f>
        <v/>
      </c>
      <c r="H561" s="1">
        <v>42551</v>
      </c>
      <c r="I561" t="str">
        <f>"I0134988"</f>
        <v>I0134988</v>
      </c>
      <c r="J561" t="str">
        <f>""</f>
        <v/>
      </c>
      <c r="K561" t="str">
        <f>"INNI"</f>
        <v>INNI</v>
      </c>
      <c r="L561" t="s">
        <v>2937</v>
      </c>
      <c r="M561">
        <v>760.9</v>
      </c>
    </row>
    <row r="562" spans="1:13" x14ac:dyDescent="0.25">
      <c r="A562" t="str">
        <f t="shared" si="159"/>
        <v>E216</v>
      </c>
      <c r="B562">
        <v>1</v>
      </c>
      <c r="C562" t="str">
        <f t="shared" si="162"/>
        <v>43000</v>
      </c>
      <c r="D562" t="str">
        <f t="shared" si="160"/>
        <v>5740</v>
      </c>
      <c r="E562" t="str">
        <f t="shared" si="161"/>
        <v>850LOS</v>
      </c>
      <c r="F562" t="str">
        <f>""</f>
        <v/>
      </c>
      <c r="G562" t="str">
        <f>""</f>
        <v/>
      </c>
      <c r="H562" s="1">
        <v>42551</v>
      </c>
      <c r="I562" t="str">
        <f>"J0023323"</f>
        <v>J0023323</v>
      </c>
      <c r="J562" t="str">
        <f>""</f>
        <v/>
      </c>
      <c r="K562" t="str">
        <f>"J089"</f>
        <v>J089</v>
      </c>
      <c r="L562" t="s">
        <v>2936</v>
      </c>
      <c r="M562" s="2">
        <v>1652.24</v>
      </c>
    </row>
    <row r="563" spans="1:13" x14ac:dyDescent="0.25">
      <c r="A563" t="str">
        <f t="shared" si="159"/>
        <v>E216</v>
      </c>
      <c r="B563">
        <v>1</v>
      </c>
      <c r="C563" t="str">
        <f t="shared" si="162"/>
        <v>43000</v>
      </c>
      <c r="D563" t="str">
        <f t="shared" si="160"/>
        <v>5740</v>
      </c>
      <c r="E563" t="str">
        <f t="shared" ref="E563:E575" si="163">"850PAY"</f>
        <v>850PAY</v>
      </c>
      <c r="F563" t="str">
        <f>""</f>
        <v/>
      </c>
      <c r="G563" t="str">
        <f>""</f>
        <v/>
      </c>
      <c r="H563" s="1">
        <v>42535</v>
      </c>
      <c r="I563" t="str">
        <f t="shared" ref="I563:I574" si="164">"ACG02686"</f>
        <v>ACG02686</v>
      </c>
      <c r="J563" t="str">
        <f>"N125316F"</f>
        <v>N125316F</v>
      </c>
      <c r="K563" t="str">
        <f t="shared" ref="K563:K574" si="165">"AS96"</f>
        <v>AS96</v>
      </c>
      <c r="L563" t="s">
        <v>2596</v>
      </c>
      <c r="M563">
        <v>896.83</v>
      </c>
    </row>
    <row r="564" spans="1:13" x14ac:dyDescent="0.25">
      <c r="A564" t="str">
        <f t="shared" si="159"/>
        <v>E216</v>
      </c>
      <c r="B564">
        <v>1</v>
      </c>
      <c r="C564" t="str">
        <f t="shared" si="162"/>
        <v>43000</v>
      </c>
      <c r="D564" t="str">
        <f t="shared" si="160"/>
        <v>5740</v>
      </c>
      <c r="E564" t="str">
        <f t="shared" si="163"/>
        <v>850PAY</v>
      </c>
      <c r="F564" t="str">
        <f>""</f>
        <v/>
      </c>
      <c r="G564" t="str">
        <f>""</f>
        <v/>
      </c>
      <c r="H564" s="1">
        <v>42535</v>
      </c>
      <c r="I564" t="str">
        <f t="shared" si="164"/>
        <v>ACG02686</v>
      </c>
      <c r="J564" t="str">
        <f>"N125316F"</f>
        <v>N125316F</v>
      </c>
      <c r="K564" t="str">
        <f t="shared" si="165"/>
        <v>AS96</v>
      </c>
      <c r="L564" t="s">
        <v>2596</v>
      </c>
      <c r="M564">
        <v>499.75</v>
      </c>
    </row>
    <row r="565" spans="1:13" x14ac:dyDescent="0.25">
      <c r="A565" t="str">
        <f t="shared" si="159"/>
        <v>E216</v>
      </c>
      <c r="B565">
        <v>1</v>
      </c>
      <c r="C565" t="str">
        <f t="shared" si="162"/>
        <v>43000</v>
      </c>
      <c r="D565" t="str">
        <f t="shared" si="160"/>
        <v>5740</v>
      </c>
      <c r="E565" t="str">
        <f t="shared" si="163"/>
        <v>850PAY</v>
      </c>
      <c r="F565" t="str">
        <f>""</f>
        <v/>
      </c>
      <c r="G565" t="str">
        <f>""</f>
        <v/>
      </c>
      <c r="H565" s="1">
        <v>42535</v>
      </c>
      <c r="I565" t="str">
        <f t="shared" si="164"/>
        <v>ACG02686</v>
      </c>
      <c r="J565" t="str">
        <f t="shared" ref="J565:J573" si="166">"N125316G"</f>
        <v>N125316G</v>
      </c>
      <c r="K565" t="str">
        <f t="shared" si="165"/>
        <v>AS96</v>
      </c>
      <c r="L565" t="s">
        <v>2596</v>
      </c>
      <c r="M565">
        <v>896.78</v>
      </c>
    </row>
    <row r="566" spans="1:13" x14ac:dyDescent="0.25">
      <c r="A566" t="str">
        <f t="shared" si="159"/>
        <v>E216</v>
      </c>
      <c r="B566">
        <v>1</v>
      </c>
      <c r="C566" t="str">
        <f t="shared" si="162"/>
        <v>43000</v>
      </c>
      <c r="D566" t="str">
        <f t="shared" si="160"/>
        <v>5740</v>
      </c>
      <c r="E566" t="str">
        <f t="shared" si="163"/>
        <v>850PAY</v>
      </c>
      <c r="F566" t="str">
        <f>""</f>
        <v/>
      </c>
      <c r="G566" t="str">
        <f>""</f>
        <v/>
      </c>
      <c r="H566" s="1">
        <v>42535</v>
      </c>
      <c r="I566" t="str">
        <f t="shared" si="164"/>
        <v>ACG02686</v>
      </c>
      <c r="J566" t="str">
        <f t="shared" si="166"/>
        <v>N125316G</v>
      </c>
      <c r="K566" t="str">
        <f t="shared" si="165"/>
        <v>AS96</v>
      </c>
      <c r="L566" t="s">
        <v>2596</v>
      </c>
      <c r="M566">
        <v>815.25</v>
      </c>
    </row>
    <row r="567" spans="1:13" x14ac:dyDescent="0.25">
      <c r="A567" t="str">
        <f t="shared" si="159"/>
        <v>E216</v>
      </c>
      <c r="B567">
        <v>1</v>
      </c>
      <c r="C567" t="str">
        <f t="shared" si="162"/>
        <v>43000</v>
      </c>
      <c r="D567" t="str">
        <f t="shared" si="160"/>
        <v>5740</v>
      </c>
      <c r="E567" t="str">
        <f t="shared" si="163"/>
        <v>850PAY</v>
      </c>
      <c r="F567" t="str">
        <f>""</f>
        <v/>
      </c>
      <c r="G567" t="str">
        <f>""</f>
        <v/>
      </c>
      <c r="H567" s="1">
        <v>42535</v>
      </c>
      <c r="I567" t="str">
        <f t="shared" si="164"/>
        <v>ACG02686</v>
      </c>
      <c r="J567" t="str">
        <f t="shared" si="166"/>
        <v>N125316G</v>
      </c>
      <c r="K567" t="str">
        <f t="shared" si="165"/>
        <v>AS96</v>
      </c>
      <c r="L567" t="s">
        <v>2596</v>
      </c>
      <c r="M567">
        <v>815.25</v>
      </c>
    </row>
    <row r="568" spans="1:13" x14ac:dyDescent="0.25">
      <c r="A568" t="str">
        <f t="shared" si="159"/>
        <v>E216</v>
      </c>
      <c r="B568">
        <v>1</v>
      </c>
      <c r="C568" t="str">
        <f t="shared" si="162"/>
        <v>43000</v>
      </c>
      <c r="D568" t="str">
        <f t="shared" si="160"/>
        <v>5740</v>
      </c>
      <c r="E568" t="str">
        <f t="shared" si="163"/>
        <v>850PAY</v>
      </c>
      <c r="F568" t="str">
        <f>""</f>
        <v/>
      </c>
      <c r="G568" t="str">
        <f>""</f>
        <v/>
      </c>
      <c r="H568" s="1">
        <v>42535</v>
      </c>
      <c r="I568" t="str">
        <f t="shared" si="164"/>
        <v>ACG02686</v>
      </c>
      <c r="J568" t="str">
        <f t="shared" si="166"/>
        <v>N125316G</v>
      </c>
      <c r="K568" t="str">
        <f t="shared" si="165"/>
        <v>AS96</v>
      </c>
      <c r="L568" t="s">
        <v>2596</v>
      </c>
      <c r="M568">
        <v>815.25</v>
      </c>
    </row>
    <row r="569" spans="1:13" x14ac:dyDescent="0.25">
      <c r="A569" t="str">
        <f t="shared" si="159"/>
        <v>E216</v>
      </c>
      <c r="B569">
        <v>1</v>
      </c>
      <c r="C569" t="str">
        <f t="shared" si="162"/>
        <v>43000</v>
      </c>
      <c r="D569" t="str">
        <f t="shared" si="160"/>
        <v>5740</v>
      </c>
      <c r="E569" t="str">
        <f t="shared" si="163"/>
        <v>850PAY</v>
      </c>
      <c r="F569" t="str">
        <f>""</f>
        <v/>
      </c>
      <c r="G569" t="str">
        <f>""</f>
        <v/>
      </c>
      <c r="H569" s="1">
        <v>42535</v>
      </c>
      <c r="I569" t="str">
        <f t="shared" si="164"/>
        <v>ACG02686</v>
      </c>
      <c r="J569" t="str">
        <f t="shared" si="166"/>
        <v>N125316G</v>
      </c>
      <c r="K569" t="str">
        <f t="shared" si="165"/>
        <v>AS96</v>
      </c>
      <c r="L569" t="s">
        <v>2596</v>
      </c>
      <c r="M569">
        <v>499.92</v>
      </c>
    </row>
    <row r="570" spans="1:13" x14ac:dyDescent="0.25">
      <c r="A570" t="str">
        <f t="shared" si="159"/>
        <v>E216</v>
      </c>
      <c r="B570">
        <v>1</v>
      </c>
      <c r="C570" t="str">
        <f t="shared" si="162"/>
        <v>43000</v>
      </c>
      <c r="D570" t="str">
        <f t="shared" si="160"/>
        <v>5740</v>
      </c>
      <c r="E570" t="str">
        <f t="shared" si="163"/>
        <v>850PAY</v>
      </c>
      <c r="F570" t="str">
        <f>""</f>
        <v/>
      </c>
      <c r="G570" t="str">
        <f>""</f>
        <v/>
      </c>
      <c r="H570" s="1">
        <v>42535</v>
      </c>
      <c r="I570" t="str">
        <f t="shared" si="164"/>
        <v>ACG02686</v>
      </c>
      <c r="J570" t="str">
        <f t="shared" si="166"/>
        <v>N125316G</v>
      </c>
      <c r="K570" t="str">
        <f t="shared" si="165"/>
        <v>AS96</v>
      </c>
      <c r="L570" t="s">
        <v>2596</v>
      </c>
      <c r="M570">
        <v>896.78</v>
      </c>
    </row>
    <row r="571" spans="1:13" x14ac:dyDescent="0.25">
      <c r="A571" t="str">
        <f t="shared" si="159"/>
        <v>E216</v>
      </c>
      <c r="B571">
        <v>1</v>
      </c>
      <c r="C571" t="str">
        <f t="shared" si="162"/>
        <v>43000</v>
      </c>
      <c r="D571" t="str">
        <f t="shared" si="160"/>
        <v>5740</v>
      </c>
      <c r="E571" t="str">
        <f t="shared" si="163"/>
        <v>850PAY</v>
      </c>
      <c r="F571" t="str">
        <f>""</f>
        <v/>
      </c>
      <c r="G571" t="str">
        <f>""</f>
        <v/>
      </c>
      <c r="H571" s="1">
        <v>42535</v>
      </c>
      <c r="I571" t="str">
        <f t="shared" si="164"/>
        <v>ACG02686</v>
      </c>
      <c r="J571" t="str">
        <f t="shared" si="166"/>
        <v>N125316G</v>
      </c>
      <c r="K571" t="str">
        <f t="shared" si="165"/>
        <v>AS96</v>
      </c>
      <c r="L571" t="s">
        <v>2596</v>
      </c>
      <c r="M571">
        <v>815.25</v>
      </c>
    </row>
    <row r="572" spans="1:13" x14ac:dyDescent="0.25">
      <c r="A572" t="str">
        <f t="shared" si="159"/>
        <v>E216</v>
      </c>
      <c r="B572">
        <v>1</v>
      </c>
      <c r="C572" t="str">
        <f t="shared" si="162"/>
        <v>43000</v>
      </c>
      <c r="D572" t="str">
        <f t="shared" si="160"/>
        <v>5740</v>
      </c>
      <c r="E572" t="str">
        <f t="shared" si="163"/>
        <v>850PAY</v>
      </c>
      <c r="F572" t="str">
        <f>""</f>
        <v/>
      </c>
      <c r="G572" t="str">
        <f>""</f>
        <v/>
      </c>
      <c r="H572" s="1">
        <v>42535</v>
      </c>
      <c r="I572" t="str">
        <f t="shared" si="164"/>
        <v>ACG02686</v>
      </c>
      <c r="J572" t="str">
        <f t="shared" si="166"/>
        <v>N125316G</v>
      </c>
      <c r="K572" t="str">
        <f t="shared" si="165"/>
        <v>AS96</v>
      </c>
      <c r="L572" t="s">
        <v>2596</v>
      </c>
      <c r="M572">
        <v>815.25</v>
      </c>
    </row>
    <row r="573" spans="1:13" x14ac:dyDescent="0.25">
      <c r="A573" t="str">
        <f t="shared" si="159"/>
        <v>E216</v>
      </c>
      <c r="B573">
        <v>1</v>
      </c>
      <c r="C573" t="str">
        <f t="shared" si="162"/>
        <v>43000</v>
      </c>
      <c r="D573" t="str">
        <f t="shared" si="160"/>
        <v>5740</v>
      </c>
      <c r="E573" t="str">
        <f t="shared" si="163"/>
        <v>850PAY</v>
      </c>
      <c r="F573" t="str">
        <f>""</f>
        <v/>
      </c>
      <c r="G573" t="str">
        <f>""</f>
        <v/>
      </c>
      <c r="H573" s="1">
        <v>42535</v>
      </c>
      <c r="I573" t="str">
        <f t="shared" si="164"/>
        <v>ACG02686</v>
      </c>
      <c r="J573" t="str">
        <f t="shared" si="166"/>
        <v>N125316G</v>
      </c>
      <c r="K573" t="str">
        <f t="shared" si="165"/>
        <v>AS96</v>
      </c>
      <c r="L573" t="s">
        <v>2596</v>
      </c>
      <c r="M573">
        <v>896.83</v>
      </c>
    </row>
    <row r="574" spans="1:13" x14ac:dyDescent="0.25">
      <c r="A574" t="str">
        <f t="shared" si="159"/>
        <v>E216</v>
      </c>
      <c r="B574">
        <v>1</v>
      </c>
      <c r="C574" t="str">
        <f t="shared" si="162"/>
        <v>43000</v>
      </c>
      <c r="D574" t="str">
        <f t="shared" si="160"/>
        <v>5740</v>
      </c>
      <c r="E574" t="str">
        <f t="shared" si="163"/>
        <v>850PAY</v>
      </c>
      <c r="F574" t="str">
        <f>""</f>
        <v/>
      </c>
      <c r="G574" t="str">
        <f>""</f>
        <v/>
      </c>
      <c r="H574" s="1">
        <v>42535</v>
      </c>
      <c r="I574" t="str">
        <f t="shared" si="164"/>
        <v>ACG02686</v>
      </c>
      <c r="J574" t="str">
        <f>"N183002F"</f>
        <v>N183002F</v>
      </c>
      <c r="K574" t="str">
        <f t="shared" si="165"/>
        <v>AS96</v>
      </c>
      <c r="L574" t="s">
        <v>1304</v>
      </c>
      <c r="M574">
        <v>825</v>
      </c>
    </row>
    <row r="575" spans="1:13" x14ac:dyDescent="0.25">
      <c r="A575" t="str">
        <f t="shared" si="159"/>
        <v>E216</v>
      </c>
      <c r="B575">
        <v>1</v>
      </c>
      <c r="C575" t="str">
        <f t="shared" si="162"/>
        <v>43000</v>
      </c>
      <c r="D575" t="str">
        <f t="shared" si="160"/>
        <v>5740</v>
      </c>
      <c r="E575" t="str">
        <f t="shared" si="163"/>
        <v>850PAY</v>
      </c>
      <c r="F575" t="str">
        <f>""</f>
        <v/>
      </c>
      <c r="G575" t="str">
        <f>""</f>
        <v/>
      </c>
      <c r="H575" s="1">
        <v>42551</v>
      </c>
      <c r="I575" t="str">
        <f>"J0022960"</f>
        <v>J0022960</v>
      </c>
      <c r="J575" t="str">
        <f>""</f>
        <v/>
      </c>
      <c r="K575" t="str">
        <f>"J079"</f>
        <v>J079</v>
      </c>
      <c r="L575" t="s">
        <v>2822</v>
      </c>
      <c r="M575" s="2">
        <v>7826.4</v>
      </c>
    </row>
    <row r="576" spans="1:13" x14ac:dyDescent="0.25">
      <c r="A576" t="str">
        <f t="shared" si="159"/>
        <v>E216</v>
      </c>
      <c r="B576">
        <v>1</v>
      </c>
      <c r="C576" t="str">
        <f t="shared" si="162"/>
        <v>43000</v>
      </c>
      <c r="D576" t="str">
        <f t="shared" si="160"/>
        <v>5740</v>
      </c>
      <c r="E576" t="str">
        <f>"850PKE"</f>
        <v>850PKE</v>
      </c>
      <c r="F576" t="str">
        <f>""</f>
        <v/>
      </c>
      <c r="G576" t="str">
        <f>""</f>
        <v/>
      </c>
      <c r="H576" s="1">
        <v>42551</v>
      </c>
      <c r="I576" t="str">
        <f>"J0022960"</f>
        <v>J0022960</v>
      </c>
      <c r="J576" t="str">
        <f>""</f>
        <v/>
      </c>
      <c r="K576" t="str">
        <f>"J079"</f>
        <v>J079</v>
      </c>
      <c r="L576" t="s">
        <v>2822</v>
      </c>
      <c r="M576" s="2">
        <v>13044</v>
      </c>
    </row>
    <row r="577" spans="1:13" x14ac:dyDescent="0.25">
      <c r="A577" t="str">
        <f t="shared" si="159"/>
        <v>E216</v>
      </c>
      <c r="B577">
        <v>1</v>
      </c>
      <c r="C577" t="str">
        <f>"43007"</f>
        <v>43007</v>
      </c>
      <c r="D577" t="str">
        <f t="shared" si="160"/>
        <v>5740</v>
      </c>
      <c r="E577" t="str">
        <f>"850LOS"</f>
        <v>850LOS</v>
      </c>
      <c r="F577" t="str">
        <f>""</f>
        <v/>
      </c>
      <c r="G577" t="str">
        <f>""</f>
        <v/>
      </c>
      <c r="H577" s="1">
        <v>42551</v>
      </c>
      <c r="I577" t="str">
        <f>"PRK00138"</f>
        <v>PRK00138</v>
      </c>
      <c r="J577" t="str">
        <f>""</f>
        <v/>
      </c>
      <c r="K577" t="str">
        <f>"AS89"</f>
        <v>AS89</v>
      </c>
      <c r="L577" t="s">
        <v>2934</v>
      </c>
      <c r="M577">
        <v>760.9</v>
      </c>
    </row>
    <row r="578" spans="1:13" x14ac:dyDescent="0.25">
      <c r="A578" t="str">
        <f t="shared" si="159"/>
        <v>E216</v>
      </c>
      <c r="B578">
        <v>1</v>
      </c>
      <c r="C578" t="str">
        <f>"43007"</f>
        <v>43007</v>
      </c>
      <c r="D578" t="str">
        <f t="shared" si="160"/>
        <v>5740</v>
      </c>
      <c r="E578" t="str">
        <f>"850PAY"</f>
        <v>850PAY</v>
      </c>
      <c r="F578" t="str">
        <f>""</f>
        <v/>
      </c>
      <c r="G578" t="str">
        <f>""</f>
        <v/>
      </c>
      <c r="H578" s="1">
        <v>42551</v>
      </c>
      <c r="I578" t="str">
        <f>"PRK00138"</f>
        <v>PRK00138</v>
      </c>
      <c r="J578" t="str">
        <f>""</f>
        <v/>
      </c>
      <c r="K578" t="str">
        <f>"AS89"</f>
        <v>AS89</v>
      </c>
      <c r="L578" t="s">
        <v>2933</v>
      </c>
      <c r="M578" s="2">
        <v>7826.4</v>
      </c>
    </row>
    <row r="579" spans="1:13" x14ac:dyDescent="0.25">
      <c r="A579" t="str">
        <f t="shared" si="159"/>
        <v>E216</v>
      </c>
      <c r="B579">
        <v>1</v>
      </c>
      <c r="C579" t="str">
        <f>"43007"</f>
        <v>43007</v>
      </c>
      <c r="D579" t="str">
        <f t="shared" si="160"/>
        <v>5740</v>
      </c>
      <c r="E579" t="str">
        <f>"850PKE"</f>
        <v>850PKE</v>
      </c>
      <c r="F579" t="str">
        <f>""</f>
        <v/>
      </c>
      <c r="G579" t="str">
        <f>""</f>
        <v/>
      </c>
      <c r="H579" s="1">
        <v>42265</v>
      </c>
      <c r="I579" t="str">
        <f>"I0121398"</f>
        <v>I0121398</v>
      </c>
      <c r="J579" t="str">
        <f>"F218292"</f>
        <v>F218292</v>
      </c>
      <c r="K579" t="str">
        <f>"ICEC"</f>
        <v>ICEC</v>
      </c>
      <c r="L579" t="s">
        <v>229</v>
      </c>
      <c r="M579" s="2">
        <v>3534.11</v>
      </c>
    </row>
    <row r="580" spans="1:13" x14ac:dyDescent="0.25">
      <c r="A580" t="str">
        <f t="shared" si="159"/>
        <v>E216</v>
      </c>
      <c r="B580">
        <v>1</v>
      </c>
      <c r="C580" t="str">
        <f>"43007"</f>
        <v>43007</v>
      </c>
      <c r="D580" t="str">
        <f t="shared" si="160"/>
        <v>5740</v>
      </c>
      <c r="E580" t="str">
        <f>"850PKE"</f>
        <v>850PKE</v>
      </c>
      <c r="F580" t="str">
        <f>""</f>
        <v/>
      </c>
      <c r="G580" t="str">
        <f>""</f>
        <v/>
      </c>
      <c r="H580" s="1">
        <v>42551</v>
      </c>
      <c r="I580" t="str">
        <f>"PRK00138"</f>
        <v>PRK00138</v>
      </c>
      <c r="J580" t="str">
        <f>""</f>
        <v/>
      </c>
      <c r="K580" t="str">
        <f>"AS89"</f>
        <v>AS89</v>
      </c>
      <c r="L580" t="s">
        <v>2932</v>
      </c>
      <c r="M580" s="2">
        <v>3261</v>
      </c>
    </row>
    <row r="581" spans="1:13" x14ac:dyDescent="0.25">
      <c r="A581" t="str">
        <f t="shared" si="159"/>
        <v>E216</v>
      </c>
      <c r="B581">
        <v>1</v>
      </c>
      <c r="C581" t="str">
        <f>"43007"</f>
        <v>43007</v>
      </c>
      <c r="D581" t="str">
        <f t="shared" si="160"/>
        <v>5740</v>
      </c>
      <c r="E581" t="str">
        <f>"850PKE"</f>
        <v>850PKE</v>
      </c>
      <c r="F581" t="str">
        <f>""</f>
        <v/>
      </c>
      <c r="G581" t="str">
        <f>""</f>
        <v/>
      </c>
      <c r="H581" s="1">
        <v>42551</v>
      </c>
      <c r="I581" t="str">
        <f>"PRK00138"</f>
        <v>PRK00138</v>
      </c>
      <c r="J581" t="str">
        <f>""</f>
        <v/>
      </c>
      <c r="K581" t="str">
        <f>"AS89"</f>
        <v>AS89</v>
      </c>
      <c r="L581" t="s">
        <v>2931</v>
      </c>
      <c r="M581">
        <v>543.5</v>
      </c>
    </row>
    <row r="582" spans="1:13" x14ac:dyDescent="0.25">
      <c r="A582" t="str">
        <f t="shared" ref="A582:A613" si="167">"E217"</f>
        <v>E217</v>
      </c>
      <c r="B582">
        <v>1</v>
      </c>
      <c r="C582" t="str">
        <f t="shared" ref="C582:C613" si="168">"43000"</f>
        <v>43000</v>
      </c>
      <c r="D582" t="str">
        <f t="shared" ref="D582:D611" si="169">"5620"</f>
        <v>5620</v>
      </c>
      <c r="E582" t="str">
        <f t="shared" ref="E582:E600" si="170">"850LOS"</f>
        <v>850LOS</v>
      </c>
      <c r="F582" t="str">
        <f>""</f>
        <v/>
      </c>
      <c r="G582" t="str">
        <f>""</f>
        <v/>
      </c>
      <c r="H582" s="1">
        <v>42236</v>
      </c>
      <c r="I582" t="str">
        <f>"CMG00951"</f>
        <v>CMG00951</v>
      </c>
      <c r="J582" t="str">
        <f>""</f>
        <v/>
      </c>
      <c r="K582" t="str">
        <f t="shared" ref="K582:K600" si="171">"CM89"</f>
        <v>CM89</v>
      </c>
      <c r="L582" t="s">
        <v>2930</v>
      </c>
      <c r="M582">
        <v>257.02</v>
      </c>
    </row>
    <row r="583" spans="1:13" x14ac:dyDescent="0.25">
      <c r="A583" t="str">
        <f t="shared" si="167"/>
        <v>E217</v>
      </c>
      <c r="B583">
        <v>1</v>
      </c>
      <c r="C583" t="str">
        <f t="shared" si="168"/>
        <v>43000</v>
      </c>
      <c r="D583" t="str">
        <f t="shared" si="169"/>
        <v>5620</v>
      </c>
      <c r="E583" t="str">
        <f t="shared" si="170"/>
        <v>850LOS</v>
      </c>
      <c r="F583" t="str">
        <f>""</f>
        <v/>
      </c>
      <c r="G583" t="str">
        <f>""</f>
        <v/>
      </c>
      <c r="H583" s="1">
        <v>42236</v>
      </c>
      <c r="I583" t="str">
        <f>"CMG00951"</f>
        <v>CMG00951</v>
      </c>
      <c r="J583" t="str">
        <f>""</f>
        <v/>
      </c>
      <c r="K583" t="str">
        <f t="shared" si="171"/>
        <v>CM89</v>
      </c>
      <c r="L583" t="s">
        <v>2930</v>
      </c>
      <c r="M583">
        <v>171.44</v>
      </c>
    </row>
    <row r="584" spans="1:13" x14ac:dyDescent="0.25">
      <c r="A584" t="str">
        <f t="shared" si="167"/>
        <v>E217</v>
      </c>
      <c r="B584">
        <v>1</v>
      </c>
      <c r="C584" t="str">
        <f t="shared" si="168"/>
        <v>43000</v>
      </c>
      <c r="D584" t="str">
        <f t="shared" si="169"/>
        <v>5620</v>
      </c>
      <c r="E584" t="str">
        <f t="shared" si="170"/>
        <v>850LOS</v>
      </c>
      <c r="F584" t="str">
        <f>""</f>
        <v/>
      </c>
      <c r="G584" t="str">
        <f>""</f>
        <v/>
      </c>
      <c r="H584" s="1">
        <v>42270</v>
      </c>
      <c r="I584" t="str">
        <f>"CMG00956"</f>
        <v>CMG00956</v>
      </c>
      <c r="J584" t="str">
        <f>""</f>
        <v/>
      </c>
      <c r="K584" t="str">
        <f t="shared" si="171"/>
        <v>CM89</v>
      </c>
      <c r="L584" t="s">
        <v>2929</v>
      </c>
      <c r="M584">
        <v>255.23</v>
      </c>
    </row>
    <row r="585" spans="1:13" x14ac:dyDescent="0.25">
      <c r="A585" t="str">
        <f t="shared" si="167"/>
        <v>E217</v>
      </c>
      <c r="B585">
        <v>1</v>
      </c>
      <c r="C585" t="str">
        <f t="shared" si="168"/>
        <v>43000</v>
      </c>
      <c r="D585" t="str">
        <f t="shared" si="169"/>
        <v>5620</v>
      </c>
      <c r="E585" t="str">
        <f t="shared" si="170"/>
        <v>850LOS</v>
      </c>
      <c r="F585" t="str">
        <f>""</f>
        <v/>
      </c>
      <c r="G585" t="str">
        <f>""</f>
        <v/>
      </c>
      <c r="H585" s="1">
        <v>42270</v>
      </c>
      <c r="I585" t="str">
        <f>"CMG00956"</f>
        <v>CMG00956</v>
      </c>
      <c r="J585" t="str">
        <f>""</f>
        <v/>
      </c>
      <c r="K585" t="str">
        <f t="shared" si="171"/>
        <v>CM89</v>
      </c>
      <c r="L585" t="s">
        <v>2929</v>
      </c>
      <c r="M585">
        <v>170.43</v>
      </c>
    </row>
    <row r="586" spans="1:13" x14ac:dyDescent="0.25">
      <c r="A586" t="str">
        <f t="shared" si="167"/>
        <v>E217</v>
      </c>
      <c r="B586">
        <v>1</v>
      </c>
      <c r="C586" t="str">
        <f t="shared" si="168"/>
        <v>43000</v>
      </c>
      <c r="D586" t="str">
        <f t="shared" si="169"/>
        <v>5620</v>
      </c>
      <c r="E586" t="str">
        <f t="shared" si="170"/>
        <v>850LOS</v>
      </c>
      <c r="F586" t="str">
        <f>""</f>
        <v/>
      </c>
      <c r="G586" t="str">
        <f>""</f>
        <v/>
      </c>
      <c r="H586" s="1">
        <v>42297</v>
      </c>
      <c r="I586" t="str">
        <f>"CMG00961"</f>
        <v>CMG00961</v>
      </c>
      <c r="J586" t="str">
        <f>""</f>
        <v/>
      </c>
      <c r="K586" t="str">
        <f t="shared" si="171"/>
        <v>CM89</v>
      </c>
      <c r="L586" t="s">
        <v>2928</v>
      </c>
      <c r="M586">
        <v>903</v>
      </c>
    </row>
    <row r="587" spans="1:13" x14ac:dyDescent="0.25">
      <c r="A587" t="str">
        <f t="shared" si="167"/>
        <v>E217</v>
      </c>
      <c r="B587">
        <v>1</v>
      </c>
      <c r="C587" t="str">
        <f t="shared" si="168"/>
        <v>43000</v>
      </c>
      <c r="D587" t="str">
        <f t="shared" si="169"/>
        <v>5620</v>
      </c>
      <c r="E587" t="str">
        <f t="shared" si="170"/>
        <v>850LOS</v>
      </c>
      <c r="F587" t="str">
        <f>""</f>
        <v/>
      </c>
      <c r="G587" t="str">
        <f>""</f>
        <v/>
      </c>
      <c r="H587" s="1">
        <v>42297</v>
      </c>
      <c r="I587" t="str">
        <f>"CMG00961"</f>
        <v>CMG00961</v>
      </c>
      <c r="J587" t="str">
        <f>""</f>
        <v/>
      </c>
      <c r="K587" t="str">
        <f t="shared" si="171"/>
        <v>CM89</v>
      </c>
      <c r="L587" t="s">
        <v>2928</v>
      </c>
      <c r="M587" s="2">
        <v>4058.44</v>
      </c>
    </row>
    <row r="588" spans="1:13" x14ac:dyDescent="0.25">
      <c r="A588" t="str">
        <f t="shared" si="167"/>
        <v>E217</v>
      </c>
      <c r="B588">
        <v>1</v>
      </c>
      <c r="C588" t="str">
        <f t="shared" si="168"/>
        <v>43000</v>
      </c>
      <c r="D588" t="str">
        <f t="shared" si="169"/>
        <v>5620</v>
      </c>
      <c r="E588" t="str">
        <f t="shared" si="170"/>
        <v>850LOS</v>
      </c>
      <c r="F588" t="str">
        <f>""</f>
        <v/>
      </c>
      <c r="G588" t="str">
        <f>""</f>
        <v/>
      </c>
      <c r="H588" s="1">
        <v>42303</v>
      </c>
      <c r="I588" t="str">
        <f>"CMG00962"</f>
        <v>CMG00962</v>
      </c>
      <c r="J588" t="str">
        <f>""</f>
        <v/>
      </c>
      <c r="K588" t="str">
        <f t="shared" si="171"/>
        <v>CM89</v>
      </c>
      <c r="L588" t="s">
        <v>2927</v>
      </c>
      <c r="M588">
        <v>462.4</v>
      </c>
    </row>
    <row r="589" spans="1:13" x14ac:dyDescent="0.25">
      <c r="A589" t="str">
        <f t="shared" si="167"/>
        <v>E217</v>
      </c>
      <c r="B589">
        <v>1</v>
      </c>
      <c r="C589" t="str">
        <f t="shared" si="168"/>
        <v>43000</v>
      </c>
      <c r="D589" t="str">
        <f t="shared" si="169"/>
        <v>5620</v>
      </c>
      <c r="E589" t="str">
        <f t="shared" si="170"/>
        <v>850LOS</v>
      </c>
      <c r="F589" t="str">
        <f>""</f>
        <v/>
      </c>
      <c r="G589" t="str">
        <f>""</f>
        <v/>
      </c>
      <c r="H589" s="1">
        <v>42331</v>
      </c>
      <c r="I589" t="str">
        <f>"CMG00967"</f>
        <v>CMG00967</v>
      </c>
      <c r="J589" t="str">
        <f>""</f>
        <v/>
      </c>
      <c r="K589" t="str">
        <f t="shared" si="171"/>
        <v>CM89</v>
      </c>
      <c r="L589" t="s">
        <v>2926</v>
      </c>
      <c r="M589">
        <v>571.33000000000004</v>
      </c>
    </row>
    <row r="590" spans="1:13" x14ac:dyDescent="0.25">
      <c r="A590" t="str">
        <f t="shared" si="167"/>
        <v>E217</v>
      </c>
      <c r="B590">
        <v>1</v>
      </c>
      <c r="C590" t="str">
        <f t="shared" si="168"/>
        <v>43000</v>
      </c>
      <c r="D590" t="str">
        <f t="shared" si="169"/>
        <v>5620</v>
      </c>
      <c r="E590" t="str">
        <f t="shared" si="170"/>
        <v>850LOS</v>
      </c>
      <c r="F590" t="str">
        <f>""</f>
        <v/>
      </c>
      <c r="G590" t="str">
        <f>""</f>
        <v/>
      </c>
      <c r="H590" s="1">
        <v>42331</v>
      </c>
      <c r="I590" t="str">
        <f>"CMG00967"</f>
        <v>CMG00967</v>
      </c>
      <c r="J590" t="str">
        <f>""</f>
        <v/>
      </c>
      <c r="K590" t="str">
        <f t="shared" si="171"/>
        <v>CM89</v>
      </c>
      <c r="L590" t="s">
        <v>2926</v>
      </c>
      <c r="M590">
        <v>238.74</v>
      </c>
    </row>
    <row r="591" spans="1:13" x14ac:dyDescent="0.25">
      <c r="A591" t="str">
        <f t="shared" si="167"/>
        <v>E217</v>
      </c>
      <c r="B591">
        <v>1</v>
      </c>
      <c r="C591" t="str">
        <f t="shared" si="168"/>
        <v>43000</v>
      </c>
      <c r="D591" t="str">
        <f t="shared" si="169"/>
        <v>5620</v>
      </c>
      <c r="E591" t="str">
        <f t="shared" si="170"/>
        <v>850LOS</v>
      </c>
      <c r="F591" t="str">
        <f>""</f>
        <v/>
      </c>
      <c r="G591" t="str">
        <f>""</f>
        <v/>
      </c>
      <c r="H591" s="1">
        <v>42359</v>
      </c>
      <c r="I591" t="str">
        <f>"CMG00974"</f>
        <v>CMG00974</v>
      </c>
      <c r="J591" t="str">
        <f>""</f>
        <v/>
      </c>
      <c r="K591" t="str">
        <f t="shared" si="171"/>
        <v>CM89</v>
      </c>
      <c r="L591" t="s">
        <v>2926</v>
      </c>
      <c r="M591">
        <v>255.9</v>
      </c>
    </row>
    <row r="592" spans="1:13" x14ac:dyDescent="0.25">
      <c r="A592" t="str">
        <f t="shared" si="167"/>
        <v>E217</v>
      </c>
      <c r="B592">
        <v>1</v>
      </c>
      <c r="C592" t="str">
        <f t="shared" si="168"/>
        <v>43000</v>
      </c>
      <c r="D592" t="str">
        <f t="shared" si="169"/>
        <v>5620</v>
      </c>
      <c r="E592" t="str">
        <f t="shared" si="170"/>
        <v>850LOS</v>
      </c>
      <c r="F592" t="str">
        <f>""</f>
        <v/>
      </c>
      <c r="G592" t="str">
        <f>""</f>
        <v/>
      </c>
      <c r="H592" s="1">
        <v>42359</v>
      </c>
      <c r="I592" t="str">
        <f>"CMG00974"</f>
        <v>CMG00974</v>
      </c>
      <c r="J592" t="str">
        <f>""</f>
        <v/>
      </c>
      <c r="K592" t="str">
        <f t="shared" si="171"/>
        <v>CM89</v>
      </c>
      <c r="L592" t="s">
        <v>2926</v>
      </c>
      <c r="M592">
        <v>326.77999999999997</v>
      </c>
    </row>
    <row r="593" spans="1:13" x14ac:dyDescent="0.25">
      <c r="A593" t="str">
        <f t="shared" si="167"/>
        <v>E217</v>
      </c>
      <c r="B593">
        <v>1</v>
      </c>
      <c r="C593" t="str">
        <f t="shared" si="168"/>
        <v>43000</v>
      </c>
      <c r="D593" t="str">
        <f t="shared" si="169"/>
        <v>5620</v>
      </c>
      <c r="E593" t="str">
        <f t="shared" si="170"/>
        <v>850LOS</v>
      </c>
      <c r="F593" t="str">
        <f>""</f>
        <v/>
      </c>
      <c r="G593" t="str">
        <f>""</f>
        <v/>
      </c>
      <c r="H593" s="1">
        <v>42388</v>
      </c>
      <c r="I593" t="str">
        <f>"CMG00978"</f>
        <v>CMG00978</v>
      </c>
      <c r="J593" t="str">
        <f>""</f>
        <v/>
      </c>
      <c r="K593" t="str">
        <f t="shared" si="171"/>
        <v>CM89</v>
      </c>
      <c r="L593" t="s">
        <v>2925</v>
      </c>
      <c r="M593">
        <v>151.12</v>
      </c>
    </row>
    <row r="594" spans="1:13" x14ac:dyDescent="0.25">
      <c r="A594" t="str">
        <f t="shared" si="167"/>
        <v>E217</v>
      </c>
      <c r="B594">
        <v>1</v>
      </c>
      <c r="C594" t="str">
        <f t="shared" si="168"/>
        <v>43000</v>
      </c>
      <c r="D594" t="str">
        <f t="shared" si="169"/>
        <v>5620</v>
      </c>
      <c r="E594" t="str">
        <f t="shared" si="170"/>
        <v>850LOS</v>
      </c>
      <c r="F594" t="str">
        <f>""</f>
        <v/>
      </c>
      <c r="G594" t="str">
        <f>""</f>
        <v/>
      </c>
      <c r="H594" s="1">
        <v>42388</v>
      </c>
      <c r="I594" t="str">
        <f>"CMG00978"</f>
        <v>CMG00978</v>
      </c>
      <c r="J594" t="str">
        <f>""</f>
        <v/>
      </c>
      <c r="K594" t="str">
        <f t="shared" si="171"/>
        <v>CM89</v>
      </c>
      <c r="L594" t="s">
        <v>2925</v>
      </c>
      <c r="M594" s="2">
        <v>1135.77</v>
      </c>
    </row>
    <row r="595" spans="1:13" x14ac:dyDescent="0.25">
      <c r="A595" t="str">
        <f t="shared" si="167"/>
        <v>E217</v>
      </c>
      <c r="B595">
        <v>1</v>
      </c>
      <c r="C595" t="str">
        <f t="shared" si="168"/>
        <v>43000</v>
      </c>
      <c r="D595" t="str">
        <f t="shared" si="169"/>
        <v>5620</v>
      </c>
      <c r="E595" t="str">
        <f t="shared" si="170"/>
        <v>850LOS</v>
      </c>
      <c r="F595" t="str">
        <f>""</f>
        <v/>
      </c>
      <c r="G595" t="str">
        <f>""</f>
        <v/>
      </c>
      <c r="H595" s="1">
        <v>42418</v>
      </c>
      <c r="I595" t="str">
        <f>"CMG00984"</f>
        <v>CMG00984</v>
      </c>
      <c r="J595" t="str">
        <f>""</f>
        <v/>
      </c>
      <c r="K595" t="str">
        <f t="shared" si="171"/>
        <v>CM89</v>
      </c>
      <c r="L595" t="s">
        <v>2924</v>
      </c>
      <c r="M595">
        <v>396.68</v>
      </c>
    </row>
    <row r="596" spans="1:13" x14ac:dyDescent="0.25">
      <c r="A596" t="str">
        <f t="shared" si="167"/>
        <v>E217</v>
      </c>
      <c r="B596">
        <v>1</v>
      </c>
      <c r="C596" t="str">
        <f t="shared" si="168"/>
        <v>43000</v>
      </c>
      <c r="D596" t="str">
        <f t="shared" si="169"/>
        <v>5620</v>
      </c>
      <c r="E596" t="str">
        <f t="shared" si="170"/>
        <v>850LOS</v>
      </c>
      <c r="F596" t="str">
        <f>""</f>
        <v/>
      </c>
      <c r="G596" t="str">
        <f>""</f>
        <v/>
      </c>
      <c r="H596" s="1">
        <v>42418</v>
      </c>
      <c r="I596" t="str">
        <f>"CMG00984"</f>
        <v>CMG00984</v>
      </c>
      <c r="J596" t="str">
        <f>""</f>
        <v/>
      </c>
      <c r="K596" t="str">
        <f t="shared" si="171"/>
        <v>CM89</v>
      </c>
      <c r="L596" t="s">
        <v>2924</v>
      </c>
      <c r="M596">
        <v>846.1</v>
      </c>
    </row>
    <row r="597" spans="1:13" x14ac:dyDescent="0.25">
      <c r="A597" t="str">
        <f t="shared" si="167"/>
        <v>E217</v>
      </c>
      <c r="B597">
        <v>1</v>
      </c>
      <c r="C597" t="str">
        <f t="shared" si="168"/>
        <v>43000</v>
      </c>
      <c r="D597" t="str">
        <f t="shared" si="169"/>
        <v>5620</v>
      </c>
      <c r="E597" t="str">
        <f t="shared" si="170"/>
        <v>850LOS</v>
      </c>
      <c r="F597" t="str">
        <f>""</f>
        <v/>
      </c>
      <c r="G597" t="str">
        <f>""</f>
        <v/>
      </c>
      <c r="H597" s="1">
        <v>42460</v>
      </c>
      <c r="I597" t="str">
        <f>"CMG00989"</f>
        <v>CMG00989</v>
      </c>
      <c r="J597" t="str">
        <f>""</f>
        <v/>
      </c>
      <c r="K597" t="str">
        <f t="shared" si="171"/>
        <v>CM89</v>
      </c>
      <c r="L597" t="s">
        <v>2923</v>
      </c>
      <c r="M597">
        <v>680.28</v>
      </c>
    </row>
    <row r="598" spans="1:13" x14ac:dyDescent="0.25">
      <c r="A598" t="str">
        <f t="shared" si="167"/>
        <v>E217</v>
      </c>
      <c r="B598">
        <v>1</v>
      </c>
      <c r="C598" t="str">
        <f t="shared" si="168"/>
        <v>43000</v>
      </c>
      <c r="D598" t="str">
        <f t="shared" si="169"/>
        <v>5620</v>
      </c>
      <c r="E598" t="str">
        <f t="shared" si="170"/>
        <v>850LOS</v>
      </c>
      <c r="F598" t="str">
        <f>""</f>
        <v/>
      </c>
      <c r="G598" t="str">
        <f>""</f>
        <v/>
      </c>
      <c r="H598" s="1">
        <v>42460</v>
      </c>
      <c r="I598" t="str">
        <f>"CMG00989"</f>
        <v>CMG00989</v>
      </c>
      <c r="J598" t="str">
        <f>""</f>
        <v/>
      </c>
      <c r="K598" t="str">
        <f t="shared" si="171"/>
        <v>CM89</v>
      </c>
      <c r="L598" t="s">
        <v>2923</v>
      </c>
      <c r="M598">
        <v>320.42</v>
      </c>
    </row>
    <row r="599" spans="1:13" x14ac:dyDescent="0.25">
      <c r="A599" t="str">
        <f t="shared" si="167"/>
        <v>E217</v>
      </c>
      <c r="B599">
        <v>1</v>
      </c>
      <c r="C599" t="str">
        <f t="shared" si="168"/>
        <v>43000</v>
      </c>
      <c r="D599" t="str">
        <f t="shared" si="169"/>
        <v>5620</v>
      </c>
      <c r="E599" t="str">
        <f t="shared" si="170"/>
        <v>850LOS</v>
      </c>
      <c r="F599" t="str">
        <f>""</f>
        <v/>
      </c>
      <c r="G599" t="str">
        <f>""</f>
        <v/>
      </c>
      <c r="H599" s="1">
        <v>42474</v>
      </c>
      <c r="I599" t="str">
        <f>"CMG00992"</f>
        <v>CMG00992</v>
      </c>
      <c r="J599" t="str">
        <f>""</f>
        <v/>
      </c>
      <c r="K599" t="str">
        <f t="shared" si="171"/>
        <v>CM89</v>
      </c>
      <c r="L599" t="s">
        <v>2922</v>
      </c>
      <c r="M599">
        <v>206.41</v>
      </c>
    </row>
    <row r="600" spans="1:13" x14ac:dyDescent="0.25">
      <c r="A600" t="str">
        <f t="shared" si="167"/>
        <v>E217</v>
      </c>
      <c r="B600">
        <v>1</v>
      </c>
      <c r="C600" t="str">
        <f t="shared" si="168"/>
        <v>43000</v>
      </c>
      <c r="D600" t="str">
        <f t="shared" si="169"/>
        <v>5620</v>
      </c>
      <c r="E600" t="str">
        <f t="shared" si="170"/>
        <v>850LOS</v>
      </c>
      <c r="F600" t="str">
        <f>""</f>
        <v/>
      </c>
      <c r="G600" t="str">
        <f>""</f>
        <v/>
      </c>
      <c r="H600" s="1">
        <v>42510</v>
      </c>
      <c r="I600" t="str">
        <f>"CMG00999"</f>
        <v>CMG00999</v>
      </c>
      <c r="J600" t="str">
        <f>""</f>
        <v/>
      </c>
      <c r="K600" t="str">
        <f t="shared" si="171"/>
        <v>CM89</v>
      </c>
      <c r="L600" t="s">
        <v>2918</v>
      </c>
      <c r="M600">
        <v>766.93</v>
      </c>
    </row>
    <row r="601" spans="1:13" x14ac:dyDescent="0.25">
      <c r="A601" t="str">
        <f t="shared" si="167"/>
        <v>E217</v>
      </c>
      <c r="B601">
        <v>1</v>
      </c>
      <c r="C601" t="str">
        <f t="shared" si="168"/>
        <v>43000</v>
      </c>
      <c r="D601" t="str">
        <f t="shared" si="169"/>
        <v>5620</v>
      </c>
      <c r="E601" t="str">
        <f t="shared" ref="E601:E611" si="172">"850PAY"</f>
        <v>850PAY</v>
      </c>
      <c r="F601" t="str">
        <f>""</f>
        <v/>
      </c>
      <c r="G601" t="str">
        <f>""</f>
        <v/>
      </c>
      <c r="H601" s="1">
        <v>42269</v>
      </c>
      <c r="I601" t="str">
        <f>"J0017384"</f>
        <v>J0017384</v>
      </c>
      <c r="J601" t="str">
        <f>""</f>
        <v/>
      </c>
      <c r="K601" t="str">
        <f t="shared" ref="K601:K608" si="173">"J089"</f>
        <v>J089</v>
      </c>
      <c r="L601" t="s">
        <v>1187</v>
      </c>
      <c r="M601">
        <v>589.54999999999995</v>
      </c>
    </row>
    <row r="602" spans="1:13" x14ac:dyDescent="0.25">
      <c r="A602" t="str">
        <f t="shared" si="167"/>
        <v>E217</v>
      </c>
      <c r="B602">
        <v>1</v>
      </c>
      <c r="C602" t="str">
        <f t="shared" si="168"/>
        <v>43000</v>
      </c>
      <c r="D602" t="str">
        <f t="shared" si="169"/>
        <v>5620</v>
      </c>
      <c r="E602" t="str">
        <f t="shared" si="172"/>
        <v>850PAY</v>
      </c>
      <c r="F602" t="str">
        <f>""</f>
        <v/>
      </c>
      <c r="G602" t="str">
        <f>""</f>
        <v/>
      </c>
      <c r="H602" s="1">
        <v>42271</v>
      </c>
      <c r="I602" t="str">
        <f>"J0017405"</f>
        <v>J0017405</v>
      </c>
      <c r="J602" t="str">
        <f>""</f>
        <v/>
      </c>
      <c r="K602" t="str">
        <f t="shared" si="173"/>
        <v>J089</v>
      </c>
      <c r="L602" t="s">
        <v>1187</v>
      </c>
      <c r="M602">
        <v>733.08</v>
      </c>
    </row>
    <row r="603" spans="1:13" x14ac:dyDescent="0.25">
      <c r="A603" t="str">
        <f t="shared" si="167"/>
        <v>E217</v>
      </c>
      <c r="B603">
        <v>1</v>
      </c>
      <c r="C603" t="str">
        <f t="shared" si="168"/>
        <v>43000</v>
      </c>
      <c r="D603" t="str">
        <f t="shared" si="169"/>
        <v>5620</v>
      </c>
      <c r="E603" t="str">
        <f t="shared" si="172"/>
        <v>850PAY</v>
      </c>
      <c r="F603" t="str">
        <f>""</f>
        <v/>
      </c>
      <c r="G603" t="str">
        <f>""</f>
        <v/>
      </c>
      <c r="H603" s="1">
        <v>42339</v>
      </c>
      <c r="I603" t="str">
        <f>"J0018361"</f>
        <v>J0018361</v>
      </c>
      <c r="J603" t="str">
        <f>""</f>
        <v/>
      </c>
      <c r="K603" t="str">
        <f t="shared" si="173"/>
        <v>J089</v>
      </c>
      <c r="L603" t="s">
        <v>1187</v>
      </c>
      <c r="M603">
        <v>531.74</v>
      </c>
    </row>
    <row r="604" spans="1:13" x14ac:dyDescent="0.25">
      <c r="A604" t="str">
        <f t="shared" si="167"/>
        <v>E217</v>
      </c>
      <c r="B604">
        <v>1</v>
      </c>
      <c r="C604" t="str">
        <f t="shared" si="168"/>
        <v>43000</v>
      </c>
      <c r="D604" t="str">
        <f t="shared" si="169"/>
        <v>5620</v>
      </c>
      <c r="E604" t="str">
        <f t="shared" si="172"/>
        <v>850PAY</v>
      </c>
      <c r="F604" t="str">
        <f>""</f>
        <v/>
      </c>
      <c r="G604" t="str">
        <f>""</f>
        <v/>
      </c>
      <c r="H604" s="1">
        <v>42345</v>
      </c>
      <c r="I604" t="str">
        <f>"J0018747"</f>
        <v>J0018747</v>
      </c>
      <c r="J604" t="str">
        <f>""</f>
        <v/>
      </c>
      <c r="K604" t="str">
        <f t="shared" si="173"/>
        <v>J089</v>
      </c>
      <c r="L604" t="s">
        <v>1187</v>
      </c>
      <c r="M604" s="2">
        <v>1013.38</v>
      </c>
    </row>
    <row r="605" spans="1:13" x14ac:dyDescent="0.25">
      <c r="A605" t="str">
        <f t="shared" si="167"/>
        <v>E217</v>
      </c>
      <c r="B605">
        <v>1</v>
      </c>
      <c r="C605" t="str">
        <f t="shared" si="168"/>
        <v>43000</v>
      </c>
      <c r="D605" t="str">
        <f t="shared" si="169"/>
        <v>5620</v>
      </c>
      <c r="E605" t="str">
        <f t="shared" si="172"/>
        <v>850PAY</v>
      </c>
      <c r="F605" t="str">
        <f>""</f>
        <v/>
      </c>
      <c r="G605" t="str">
        <f>""</f>
        <v/>
      </c>
      <c r="H605" s="1">
        <v>42360</v>
      </c>
      <c r="I605" t="str">
        <f>"J0019012"</f>
        <v>J0019012</v>
      </c>
      <c r="J605" t="str">
        <f>""</f>
        <v/>
      </c>
      <c r="K605" t="str">
        <f t="shared" si="173"/>
        <v>J089</v>
      </c>
      <c r="L605" t="s">
        <v>1187</v>
      </c>
      <c r="M605" s="2">
        <v>1207.04</v>
      </c>
    </row>
    <row r="606" spans="1:13" x14ac:dyDescent="0.25">
      <c r="A606" t="str">
        <f t="shared" si="167"/>
        <v>E217</v>
      </c>
      <c r="B606">
        <v>1</v>
      </c>
      <c r="C606" t="str">
        <f t="shared" si="168"/>
        <v>43000</v>
      </c>
      <c r="D606" t="str">
        <f t="shared" si="169"/>
        <v>5620</v>
      </c>
      <c r="E606" t="str">
        <f t="shared" si="172"/>
        <v>850PAY</v>
      </c>
      <c r="F606" t="str">
        <f>""</f>
        <v/>
      </c>
      <c r="G606" t="str">
        <f>""</f>
        <v/>
      </c>
      <c r="H606" s="1">
        <v>42382</v>
      </c>
      <c r="I606" t="str">
        <f>"J0019276"</f>
        <v>J0019276</v>
      </c>
      <c r="J606" t="str">
        <f>""</f>
        <v/>
      </c>
      <c r="K606" t="str">
        <f t="shared" si="173"/>
        <v>J089</v>
      </c>
      <c r="L606" t="s">
        <v>1187</v>
      </c>
      <c r="M606">
        <v>968.09</v>
      </c>
    </row>
    <row r="607" spans="1:13" x14ac:dyDescent="0.25">
      <c r="A607" t="str">
        <f t="shared" si="167"/>
        <v>E217</v>
      </c>
      <c r="B607">
        <v>1</v>
      </c>
      <c r="C607" t="str">
        <f t="shared" si="168"/>
        <v>43000</v>
      </c>
      <c r="D607" t="str">
        <f t="shared" si="169"/>
        <v>5620</v>
      </c>
      <c r="E607" t="str">
        <f t="shared" si="172"/>
        <v>850PAY</v>
      </c>
      <c r="F607" t="str">
        <f>""</f>
        <v/>
      </c>
      <c r="G607" t="str">
        <f>""</f>
        <v/>
      </c>
      <c r="H607" s="1">
        <v>42405</v>
      </c>
      <c r="I607" t="str">
        <f>"J0019545"</f>
        <v>J0019545</v>
      </c>
      <c r="J607" t="str">
        <f>""</f>
        <v/>
      </c>
      <c r="K607" t="str">
        <f t="shared" si="173"/>
        <v>J089</v>
      </c>
      <c r="L607" t="s">
        <v>1187</v>
      </c>
      <c r="M607" s="2">
        <v>1560.6</v>
      </c>
    </row>
    <row r="608" spans="1:13" x14ac:dyDescent="0.25">
      <c r="A608" t="str">
        <f t="shared" si="167"/>
        <v>E217</v>
      </c>
      <c r="B608">
        <v>1</v>
      </c>
      <c r="C608" t="str">
        <f t="shared" si="168"/>
        <v>43000</v>
      </c>
      <c r="D608" t="str">
        <f t="shared" si="169"/>
        <v>5620</v>
      </c>
      <c r="E608" t="str">
        <f t="shared" si="172"/>
        <v>850PAY</v>
      </c>
      <c r="F608" t="str">
        <f>""</f>
        <v/>
      </c>
      <c r="G608" t="str">
        <f>""</f>
        <v/>
      </c>
      <c r="H608" s="1">
        <v>42445</v>
      </c>
      <c r="I608" t="str">
        <f>"J0020132"</f>
        <v>J0020132</v>
      </c>
      <c r="J608" t="str">
        <f>""</f>
        <v/>
      </c>
      <c r="K608" t="str">
        <f t="shared" si="173"/>
        <v>J089</v>
      </c>
      <c r="L608" t="s">
        <v>1187</v>
      </c>
      <c r="M608" s="2">
        <v>1035.44</v>
      </c>
    </row>
    <row r="609" spans="1:13" x14ac:dyDescent="0.25">
      <c r="A609" t="str">
        <f t="shared" si="167"/>
        <v>E217</v>
      </c>
      <c r="B609">
        <v>1</v>
      </c>
      <c r="C609" t="str">
        <f t="shared" si="168"/>
        <v>43000</v>
      </c>
      <c r="D609" t="str">
        <f t="shared" si="169"/>
        <v>5620</v>
      </c>
      <c r="E609" t="str">
        <f t="shared" si="172"/>
        <v>850PAY</v>
      </c>
      <c r="F609" t="str">
        <f>""</f>
        <v/>
      </c>
      <c r="G609" t="str">
        <f>""</f>
        <v/>
      </c>
      <c r="H609" s="1">
        <v>42460</v>
      </c>
      <c r="I609" t="str">
        <f>"CMG00989"</f>
        <v>CMG00989</v>
      </c>
      <c r="J609" t="str">
        <f>""</f>
        <v/>
      </c>
      <c r="K609" t="str">
        <f>"CM89"</f>
        <v>CM89</v>
      </c>
      <c r="L609" t="s">
        <v>2923</v>
      </c>
      <c r="M609">
        <v>609.21</v>
      </c>
    </row>
    <row r="610" spans="1:13" x14ac:dyDescent="0.25">
      <c r="A610" t="str">
        <f t="shared" si="167"/>
        <v>E217</v>
      </c>
      <c r="B610">
        <v>1</v>
      </c>
      <c r="C610" t="str">
        <f t="shared" si="168"/>
        <v>43000</v>
      </c>
      <c r="D610" t="str">
        <f t="shared" si="169"/>
        <v>5620</v>
      </c>
      <c r="E610" t="str">
        <f t="shared" si="172"/>
        <v>850PAY</v>
      </c>
      <c r="F610" t="str">
        <f>""</f>
        <v/>
      </c>
      <c r="G610" t="str">
        <f>""</f>
        <v/>
      </c>
      <c r="H610" s="1">
        <v>42474</v>
      </c>
      <c r="I610" t="str">
        <f>"CMG00992"</f>
        <v>CMG00992</v>
      </c>
      <c r="J610" t="str">
        <f>""</f>
        <v/>
      </c>
      <c r="K610" t="str">
        <f>"CM89"</f>
        <v>CM89</v>
      </c>
      <c r="L610" t="s">
        <v>2922</v>
      </c>
      <c r="M610" s="2">
        <v>1333.5</v>
      </c>
    </row>
    <row r="611" spans="1:13" x14ac:dyDescent="0.25">
      <c r="A611" t="str">
        <f t="shared" si="167"/>
        <v>E217</v>
      </c>
      <c r="B611">
        <v>1</v>
      </c>
      <c r="C611" t="str">
        <f t="shared" si="168"/>
        <v>43000</v>
      </c>
      <c r="D611" t="str">
        <f t="shared" si="169"/>
        <v>5620</v>
      </c>
      <c r="E611" t="str">
        <f t="shared" si="172"/>
        <v>850PAY</v>
      </c>
      <c r="F611" t="str">
        <f>""</f>
        <v/>
      </c>
      <c r="G611" t="str">
        <f>""</f>
        <v/>
      </c>
      <c r="H611" s="1">
        <v>42491</v>
      </c>
      <c r="I611" t="str">
        <f>"J0020985"</f>
        <v>J0020985</v>
      </c>
      <c r="J611" t="str">
        <f>""</f>
        <v/>
      </c>
      <c r="K611" t="str">
        <f>"CD20"</f>
        <v>CD20</v>
      </c>
      <c r="L611" t="s">
        <v>2921</v>
      </c>
      <c r="M611" s="2">
        <v>1042.94</v>
      </c>
    </row>
    <row r="612" spans="1:13" x14ac:dyDescent="0.25">
      <c r="A612" t="str">
        <f t="shared" si="167"/>
        <v>E217</v>
      </c>
      <c r="B612">
        <v>1</v>
      </c>
      <c r="C612" t="str">
        <f t="shared" si="168"/>
        <v>43000</v>
      </c>
      <c r="D612" t="str">
        <f t="shared" ref="D612:D650" si="174">"5740"</f>
        <v>5740</v>
      </c>
      <c r="E612" t="str">
        <f t="shared" ref="E612:E636" si="175">"850LOS"</f>
        <v>850LOS</v>
      </c>
      <c r="F612" t="str">
        <f>""</f>
        <v/>
      </c>
      <c r="G612" t="str">
        <f>""</f>
        <v/>
      </c>
      <c r="H612" s="1">
        <v>42474</v>
      </c>
      <c r="I612" t="str">
        <f>"CMG00992"</f>
        <v>CMG00992</v>
      </c>
      <c r="J612" t="str">
        <f>""</f>
        <v/>
      </c>
      <c r="K612" t="str">
        <f>"CM89"</f>
        <v>CM89</v>
      </c>
      <c r="L612" t="s">
        <v>2922</v>
      </c>
      <c r="M612" s="2">
        <v>1234.01</v>
      </c>
    </row>
    <row r="613" spans="1:13" x14ac:dyDescent="0.25">
      <c r="A613" t="str">
        <f t="shared" si="167"/>
        <v>E217</v>
      </c>
      <c r="B613">
        <v>1</v>
      </c>
      <c r="C613" t="str">
        <f t="shared" si="168"/>
        <v>43000</v>
      </c>
      <c r="D613" t="str">
        <f t="shared" si="174"/>
        <v>5740</v>
      </c>
      <c r="E613" t="str">
        <f t="shared" si="175"/>
        <v>850LOS</v>
      </c>
      <c r="F613" t="str">
        <f>""</f>
        <v/>
      </c>
      <c r="G613" t="str">
        <f>""</f>
        <v/>
      </c>
      <c r="H613" s="1">
        <v>42510</v>
      </c>
      <c r="I613" t="str">
        <f>"CMG00999"</f>
        <v>CMG00999</v>
      </c>
      <c r="J613" t="str">
        <f>""</f>
        <v/>
      </c>
      <c r="K613" t="str">
        <f>"CM89"</f>
        <v>CM89</v>
      </c>
      <c r="L613" t="s">
        <v>2918</v>
      </c>
      <c r="M613">
        <v>204.11</v>
      </c>
    </row>
    <row r="614" spans="1:13" x14ac:dyDescent="0.25">
      <c r="A614" t="str">
        <f t="shared" ref="A614:A650" si="176">"E217"</f>
        <v>E217</v>
      </c>
      <c r="B614">
        <v>1</v>
      </c>
      <c r="C614" t="str">
        <f t="shared" ref="C614:C645" si="177">"43000"</f>
        <v>43000</v>
      </c>
      <c r="D614" t="str">
        <f t="shared" si="174"/>
        <v>5740</v>
      </c>
      <c r="E614" t="str">
        <f t="shared" si="175"/>
        <v>850LOS</v>
      </c>
      <c r="F614" t="str">
        <f>""</f>
        <v/>
      </c>
      <c r="G614" t="str">
        <f>""</f>
        <v/>
      </c>
      <c r="H614" s="1">
        <v>42535</v>
      </c>
      <c r="I614" t="str">
        <f t="shared" ref="I614:I632" si="178">"ACG02686"</f>
        <v>ACG02686</v>
      </c>
      <c r="J614" t="str">
        <f>"CMG00951"</f>
        <v>CMG00951</v>
      </c>
      <c r="K614" t="str">
        <f t="shared" ref="K614:K632" si="179">"AS96"</f>
        <v>AS96</v>
      </c>
      <c r="L614" t="s">
        <v>2930</v>
      </c>
      <c r="M614">
        <v>171.44</v>
      </c>
    </row>
    <row r="615" spans="1:13" x14ac:dyDescent="0.25">
      <c r="A615" t="str">
        <f t="shared" si="176"/>
        <v>E217</v>
      </c>
      <c r="B615">
        <v>1</v>
      </c>
      <c r="C615" t="str">
        <f t="shared" si="177"/>
        <v>43000</v>
      </c>
      <c r="D615" t="str">
        <f t="shared" si="174"/>
        <v>5740</v>
      </c>
      <c r="E615" t="str">
        <f t="shared" si="175"/>
        <v>850LOS</v>
      </c>
      <c r="F615" t="str">
        <f>""</f>
        <v/>
      </c>
      <c r="G615" t="str">
        <f>""</f>
        <v/>
      </c>
      <c r="H615" s="1">
        <v>42535</v>
      </c>
      <c r="I615" t="str">
        <f t="shared" si="178"/>
        <v>ACG02686</v>
      </c>
      <c r="J615" t="str">
        <f>"CMG00951"</f>
        <v>CMG00951</v>
      </c>
      <c r="K615" t="str">
        <f t="shared" si="179"/>
        <v>AS96</v>
      </c>
      <c r="L615" t="s">
        <v>2930</v>
      </c>
      <c r="M615">
        <v>257.02</v>
      </c>
    </row>
    <row r="616" spans="1:13" x14ac:dyDescent="0.25">
      <c r="A616" t="str">
        <f t="shared" si="176"/>
        <v>E217</v>
      </c>
      <c r="B616">
        <v>1</v>
      </c>
      <c r="C616" t="str">
        <f t="shared" si="177"/>
        <v>43000</v>
      </c>
      <c r="D616" t="str">
        <f t="shared" si="174"/>
        <v>5740</v>
      </c>
      <c r="E616" t="str">
        <f t="shared" si="175"/>
        <v>850LOS</v>
      </c>
      <c r="F616" t="str">
        <f>""</f>
        <v/>
      </c>
      <c r="G616" t="str">
        <f>""</f>
        <v/>
      </c>
      <c r="H616" s="1">
        <v>42535</v>
      </c>
      <c r="I616" t="str">
        <f t="shared" si="178"/>
        <v>ACG02686</v>
      </c>
      <c r="J616" t="str">
        <f>"CMG00956"</f>
        <v>CMG00956</v>
      </c>
      <c r="K616" t="str">
        <f t="shared" si="179"/>
        <v>AS96</v>
      </c>
      <c r="L616" t="s">
        <v>2929</v>
      </c>
      <c r="M616">
        <v>255.23</v>
      </c>
    </row>
    <row r="617" spans="1:13" x14ac:dyDescent="0.25">
      <c r="A617" t="str">
        <f t="shared" si="176"/>
        <v>E217</v>
      </c>
      <c r="B617">
        <v>1</v>
      </c>
      <c r="C617" t="str">
        <f t="shared" si="177"/>
        <v>43000</v>
      </c>
      <c r="D617" t="str">
        <f t="shared" si="174"/>
        <v>5740</v>
      </c>
      <c r="E617" t="str">
        <f t="shared" si="175"/>
        <v>850LOS</v>
      </c>
      <c r="F617" t="str">
        <f>""</f>
        <v/>
      </c>
      <c r="G617" t="str">
        <f>""</f>
        <v/>
      </c>
      <c r="H617" s="1">
        <v>42535</v>
      </c>
      <c r="I617" t="str">
        <f t="shared" si="178"/>
        <v>ACG02686</v>
      </c>
      <c r="J617" t="str">
        <f>"CMG00956"</f>
        <v>CMG00956</v>
      </c>
      <c r="K617" t="str">
        <f t="shared" si="179"/>
        <v>AS96</v>
      </c>
      <c r="L617" t="s">
        <v>2929</v>
      </c>
      <c r="M617">
        <v>170.43</v>
      </c>
    </row>
    <row r="618" spans="1:13" x14ac:dyDescent="0.25">
      <c r="A618" t="str">
        <f t="shared" si="176"/>
        <v>E217</v>
      </c>
      <c r="B618">
        <v>1</v>
      </c>
      <c r="C618" t="str">
        <f t="shared" si="177"/>
        <v>43000</v>
      </c>
      <c r="D618" t="str">
        <f t="shared" si="174"/>
        <v>5740</v>
      </c>
      <c r="E618" t="str">
        <f t="shared" si="175"/>
        <v>850LOS</v>
      </c>
      <c r="F618" t="str">
        <f>""</f>
        <v/>
      </c>
      <c r="G618" t="str">
        <f>""</f>
        <v/>
      </c>
      <c r="H618" s="1">
        <v>42535</v>
      </c>
      <c r="I618" t="str">
        <f t="shared" si="178"/>
        <v>ACG02686</v>
      </c>
      <c r="J618" t="str">
        <f>"CMG00961"</f>
        <v>CMG00961</v>
      </c>
      <c r="K618" t="str">
        <f t="shared" si="179"/>
        <v>AS96</v>
      </c>
      <c r="L618" t="s">
        <v>2928</v>
      </c>
      <c r="M618" s="2">
        <v>4058.44</v>
      </c>
    </row>
    <row r="619" spans="1:13" x14ac:dyDescent="0.25">
      <c r="A619" t="str">
        <f t="shared" si="176"/>
        <v>E217</v>
      </c>
      <c r="B619">
        <v>1</v>
      </c>
      <c r="C619" t="str">
        <f t="shared" si="177"/>
        <v>43000</v>
      </c>
      <c r="D619" t="str">
        <f t="shared" si="174"/>
        <v>5740</v>
      </c>
      <c r="E619" t="str">
        <f t="shared" si="175"/>
        <v>850LOS</v>
      </c>
      <c r="F619" t="str">
        <f>""</f>
        <v/>
      </c>
      <c r="G619" t="str">
        <f>""</f>
        <v/>
      </c>
      <c r="H619" s="1">
        <v>42535</v>
      </c>
      <c r="I619" t="str">
        <f t="shared" si="178"/>
        <v>ACG02686</v>
      </c>
      <c r="J619" t="str">
        <f>"CMG00961"</f>
        <v>CMG00961</v>
      </c>
      <c r="K619" t="str">
        <f t="shared" si="179"/>
        <v>AS96</v>
      </c>
      <c r="L619" t="s">
        <v>2928</v>
      </c>
      <c r="M619">
        <v>903</v>
      </c>
    </row>
    <row r="620" spans="1:13" x14ac:dyDescent="0.25">
      <c r="A620" t="str">
        <f t="shared" si="176"/>
        <v>E217</v>
      </c>
      <c r="B620">
        <v>1</v>
      </c>
      <c r="C620" t="str">
        <f t="shared" si="177"/>
        <v>43000</v>
      </c>
      <c r="D620" t="str">
        <f t="shared" si="174"/>
        <v>5740</v>
      </c>
      <c r="E620" t="str">
        <f t="shared" si="175"/>
        <v>850LOS</v>
      </c>
      <c r="F620" t="str">
        <f>""</f>
        <v/>
      </c>
      <c r="G620" t="str">
        <f>""</f>
        <v/>
      </c>
      <c r="H620" s="1">
        <v>42535</v>
      </c>
      <c r="I620" t="str">
        <f t="shared" si="178"/>
        <v>ACG02686</v>
      </c>
      <c r="J620" t="str">
        <f>"CMG00962"</f>
        <v>CMG00962</v>
      </c>
      <c r="K620" t="str">
        <f t="shared" si="179"/>
        <v>AS96</v>
      </c>
      <c r="L620" t="s">
        <v>2927</v>
      </c>
      <c r="M620">
        <v>462.4</v>
      </c>
    </row>
    <row r="621" spans="1:13" x14ac:dyDescent="0.25">
      <c r="A621" t="str">
        <f t="shared" si="176"/>
        <v>E217</v>
      </c>
      <c r="B621">
        <v>1</v>
      </c>
      <c r="C621" t="str">
        <f t="shared" si="177"/>
        <v>43000</v>
      </c>
      <c r="D621" t="str">
        <f t="shared" si="174"/>
        <v>5740</v>
      </c>
      <c r="E621" t="str">
        <f t="shared" si="175"/>
        <v>850LOS</v>
      </c>
      <c r="F621" t="str">
        <f>""</f>
        <v/>
      </c>
      <c r="G621" t="str">
        <f>""</f>
        <v/>
      </c>
      <c r="H621" s="1">
        <v>42535</v>
      </c>
      <c r="I621" t="str">
        <f t="shared" si="178"/>
        <v>ACG02686</v>
      </c>
      <c r="J621" t="str">
        <f>"CMG00967"</f>
        <v>CMG00967</v>
      </c>
      <c r="K621" t="str">
        <f t="shared" si="179"/>
        <v>AS96</v>
      </c>
      <c r="L621" t="s">
        <v>2926</v>
      </c>
      <c r="M621">
        <v>571.33000000000004</v>
      </c>
    </row>
    <row r="622" spans="1:13" x14ac:dyDescent="0.25">
      <c r="A622" t="str">
        <f t="shared" si="176"/>
        <v>E217</v>
      </c>
      <c r="B622">
        <v>1</v>
      </c>
      <c r="C622" t="str">
        <f t="shared" si="177"/>
        <v>43000</v>
      </c>
      <c r="D622" t="str">
        <f t="shared" si="174"/>
        <v>5740</v>
      </c>
      <c r="E622" t="str">
        <f t="shared" si="175"/>
        <v>850LOS</v>
      </c>
      <c r="F622" t="str">
        <f>""</f>
        <v/>
      </c>
      <c r="G622" t="str">
        <f>""</f>
        <v/>
      </c>
      <c r="H622" s="1">
        <v>42535</v>
      </c>
      <c r="I622" t="str">
        <f t="shared" si="178"/>
        <v>ACG02686</v>
      </c>
      <c r="J622" t="str">
        <f>"CMG00967"</f>
        <v>CMG00967</v>
      </c>
      <c r="K622" t="str">
        <f t="shared" si="179"/>
        <v>AS96</v>
      </c>
      <c r="L622" t="s">
        <v>2926</v>
      </c>
      <c r="M622">
        <v>238.74</v>
      </c>
    </row>
    <row r="623" spans="1:13" x14ac:dyDescent="0.25">
      <c r="A623" t="str">
        <f t="shared" si="176"/>
        <v>E217</v>
      </c>
      <c r="B623">
        <v>1</v>
      </c>
      <c r="C623" t="str">
        <f t="shared" si="177"/>
        <v>43000</v>
      </c>
      <c r="D623" t="str">
        <f t="shared" si="174"/>
        <v>5740</v>
      </c>
      <c r="E623" t="str">
        <f t="shared" si="175"/>
        <v>850LOS</v>
      </c>
      <c r="F623" t="str">
        <f>""</f>
        <v/>
      </c>
      <c r="G623" t="str">
        <f>""</f>
        <v/>
      </c>
      <c r="H623" s="1">
        <v>42535</v>
      </c>
      <c r="I623" t="str">
        <f t="shared" si="178"/>
        <v>ACG02686</v>
      </c>
      <c r="J623" t="str">
        <f>"CMG00974"</f>
        <v>CMG00974</v>
      </c>
      <c r="K623" t="str">
        <f t="shared" si="179"/>
        <v>AS96</v>
      </c>
      <c r="L623" t="s">
        <v>2926</v>
      </c>
      <c r="M623">
        <v>255.9</v>
      </c>
    </row>
    <row r="624" spans="1:13" x14ac:dyDescent="0.25">
      <c r="A624" t="str">
        <f t="shared" si="176"/>
        <v>E217</v>
      </c>
      <c r="B624">
        <v>1</v>
      </c>
      <c r="C624" t="str">
        <f t="shared" si="177"/>
        <v>43000</v>
      </c>
      <c r="D624" t="str">
        <f t="shared" si="174"/>
        <v>5740</v>
      </c>
      <c r="E624" t="str">
        <f t="shared" si="175"/>
        <v>850LOS</v>
      </c>
      <c r="F624" t="str">
        <f>""</f>
        <v/>
      </c>
      <c r="G624" t="str">
        <f>""</f>
        <v/>
      </c>
      <c r="H624" s="1">
        <v>42535</v>
      </c>
      <c r="I624" t="str">
        <f t="shared" si="178"/>
        <v>ACG02686</v>
      </c>
      <c r="J624" t="str">
        <f>"CMG00974"</f>
        <v>CMG00974</v>
      </c>
      <c r="K624" t="str">
        <f t="shared" si="179"/>
        <v>AS96</v>
      </c>
      <c r="L624" t="s">
        <v>2926</v>
      </c>
      <c r="M624">
        <v>326.77999999999997</v>
      </c>
    </row>
    <row r="625" spans="1:13" x14ac:dyDescent="0.25">
      <c r="A625" t="str">
        <f t="shared" si="176"/>
        <v>E217</v>
      </c>
      <c r="B625">
        <v>1</v>
      </c>
      <c r="C625" t="str">
        <f t="shared" si="177"/>
        <v>43000</v>
      </c>
      <c r="D625" t="str">
        <f t="shared" si="174"/>
        <v>5740</v>
      </c>
      <c r="E625" t="str">
        <f t="shared" si="175"/>
        <v>850LOS</v>
      </c>
      <c r="F625" t="str">
        <f>""</f>
        <v/>
      </c>
      <c r="G625" t="str">
        <f>""</f>
        <v/>
      </c>
      <c r="H625" s="1">
        <v>42535</v>
      </c>
      <c r="I625" t="str">
        <f t="shared" si="178"/>
        <v>ACG02686</v>
      </c>
      <c r="J625" t="str">
        <f>"CMG00978"</f>
        <v>CMG00978</v>
      </c>
      <c r="K625" t="str">
        <f t="shared" si="179"/>
        <v>AS96</v>
      </c>
      <c r="L625" t="s">
        <v>2925</v>
      </c>
      <c r="M625">
        <v>151.12</v>
      </c>
    </row>
    <row r="626" spans="1:13" x14ac:dyDescent="0.25">
      <c r="A626" t="str">
        <f t="shared" si="176"/>
        <v>E217</v>
      </c>
      <c r="B626">
        <v>1</v>
      </c>
      <c r="C626" t="str">
        <f t="shared" si="177"/>
        <v>43000</v>
      </c>
      <c r="D626" t="str">
        <f t="shared" si="174"/>
        <v>5740</v>
      </c>
      <c r="E626" t="str">
        <f t="shared" si="175"/>
        <v>850LOS</v>
      </c>
      <c r="F626" t="str">
        <f>""</f>
        <v/>
      </c>
      <c r="G626" t="str">
        <f>""</f>
        <v/>
      </c>
      <c r="H626" s="1">
        <v>42535</v>
      </c>
      <c r="I626" t="str">
        <f t="shared" si="178"/>
        <v>ACG02686</v>
      </c>
      <c r="J626" t="str">
        <f>"CMG00978"</f>
        <v>CMG00978</v>
      </c>
      <c r="K626" t="str">
        <f t="shared" si="179"/>
        <v>AS96</v>
      </c>
      <c r="L626" t="s">
        <v>2925</v>
      </c>
      <c r="M626" s="2">
        <v>1135.77</v>
      </c>
    </row>
    <row r="627" spans="1:13" x14ac:dyDescent="0.25">
      <c r="A627" t="str">
        <f t="shared" si="176"/>
        <v>E217</v>
      </c>
      <c r="B627">
        <v>1</v>
      </c>
      <c r="C627" t="str">
        <f t="shared" si="177"/>
        <v>43000</v>
      </c>
      <c r="D627" t="str">
        <f t="shared" si="174"/>
        <v>5740</v>
      </c>
      <c r="E627" t="str">
        <f t="shared" si="175"/>
        <v>850LOS</v>
      </c>
      <c r="F627" t="str">
        <f>""</f>
        <v/>
      </c>
      <c r="G627" t="str">
        <f>""</f>
        <v/>
      </c>
      <c r="H627" s="1">
        <v>42535</v>
      </c>
      <c r="I627" t="str">
        <f t="shared" si="178"/>
        <v>ACG02686</v>
      </c>
      <c r="J627" t="str">
        <f>"CMG00984"</f>
        <v>CMG00984</v>
      </c>
      <c r="K627" t="str">
        <f t="shared" si="179"/>
        <v>AS96</v>
      </c>
      <c r="L627" t="s">
        <v>2924</v>
      </c>
      <c r="M627">
        <v>396.68</v>
      </c>
    </row>
    <row r="628" spans="1:13" x14ac:dyDescent="0.25">
      <c r="A628" t="str">
        <f t="shared" si="176"/>
        <v>E217</v>
      </c>
      <c r="B628">
        <v>1</v>
      </c>
      <c r="C628" t="str">
        <f t="shared" si="177"/>
        <v>43000</v>
      </c>
      <c r="D628" t="str">
        <f t="shared" si="174"/>
        <v>5740</v>
      </c>
      <c r="E628" t="str">
        <f t="shared" si="175"/>
        <v>850LOS</v>
      </c>
      <c r="F628" t="str">
        <f>""</f>
        <v/>
      </c>
      <c r="G628" t="str">
        <f>""</f>
        <v/>
      </c>
      <c r="H628" s="1">
        <v>42535</v>
      </c>
      <c r="I628" t="str">
        <f t="shared" si="178"/>
        <v>ACG02686</v>
      </c>
      <c r="J628" t="str">
        <f>"CMG00984"</f>
        <v>CMG00984</v>
      </c>
      <c r="K628" t="str">
        <f t="shared" si="179"/>
        <v>AS96</v>
      </c>
      <c r="L628" t="s">
        <v>2924</v>
      </c>
      <c r="M628">
        <v>846.1</v>
      </c>
    </row>
    <row r="629" spans="1:13" x14ac:dyDescent="0.25">
      <c r="A629" t="str">
        <f t="shared" si="176"/>
        <v>E217</v>
      </c>
      <c r="B629">
        <v>1</v>
      </c>
      <c r="C629" t="str">
        <f t="shared" si="177"/>
        <v>43000</v>
      </c>
      <c r="D629" t="str">
        <f t="shared" si="174"/>
        <v>5740</v>
      </c>
      <c r="E629" t="str">
        <f t="shared" si="175"/>
        <v>850LOS</v>
      </c>
      <c r="F629" t="str">
        <f>""</f>
        <v/>
      </c>
      <c r="G629" t="str">
        <f>""</f>
        <v/>
      </c>
      <c r="H629" s="1">
        <v>42535</v>
      </c>
      <c r="I629" t="str">
        <f t="shared" si="178"/>
        <v>ACG02686</v>
      </c>
      <c r="J629" t="str">
        <f>"CMG00989"</f>
        <v>CMG00989</v>
      </c>
      <c r="K629" t="str">
        <f t="shared" si="179"/>
        <v>AS96</v>
      </c>
      <c r="L629" t="s">
        <v>2923</v>
      </c>
      <c r="M629">
        <v>680.28</v>
      </c>
    </row>
    <row r="630" spans="1:13" x14ac:dyDescent="0.25">
      <c r="A630" t="str">
        <f t="shared" si="176"/>
        <v>E217</v>
      </c>
      <c r="B630">
        <v>1</v>
      </c>
      <c r="C630" t="str">
        <f t="shared" si="177"/>
        <v>43000</v>
      </c>
      <c r="D630" t="str">
        <f t="shared" si="174"/>
        <v>5740</v>
      </c>
      <c r="E630" t="str">
        <f t="shared" si="175"/>
        <v>850LOS</v>
      </c>
      <c r="F630" t="str">
        <f>""</f>
        <v/>
      </c>
      <c r="G630" t="str">
        <f>""</f>
        <v/>
      </c>
      <c r="H630" s="1">
        <v>42535</v>
      </c>
      <c r="I630" t="str">
        <f t="shared" si="178"/>
        <v>ACG02686</v>
      </c>
      <c r="J630" t="str">
        <f>"CMG00989"</f>
        <v>CMG00989</v>
      </c>
      <c r="K630" t="str">
        <f t="shared" si="179"/>
        <v>AS96</v>
      </c>
      <c r="L630" t="s">
        <v>2923</v>
      </c>
      <c r="M630">
        <v>320.42</v>
      </c>
    </row>
    <row r="631" spans="1:13" x14ac:dyDescent="0.25">
      <c r="A631" t="str">
        <f t="shared" si="176"/>
        <v>E217</v>
      </c>
      <c r="B631">
        <v>1</v>
      </c>
      <c r="C631" t="str">
        <f t="shared" si="177"/>
        <v>43000</v>
      </c>
      <c r="D631" t="str">
        <f t="shared" si="174"/>
        <v>5740</v>
      </c>
      <c r="E631" t="str">
        <f t="shared" si="175"/>
        <v>850LOS</v>
      </c>
      <c r="F631" t="str">
        <f>""</f>
        <v/>
      </c>
      <c r="G631" t="str">
        <f>""</f>
        <v/>
      </c>
      <c r="H631" s="1">
        <v>42535</v>
      </c>
      <c r="I631" t="str">
        <f t="shared" si="178"/>
        <v>ACG02686</v>
      </c>
      <c r="J631" t="str">
        <f>"CMG00992"</f>
        <v>CMG00992</v>
      </c>
      <c r="K631" t="str">
        <f t="shared" si="179"/>
        <v>AS96</v>
      </c>
      <c r="L631" t="s">
        <v>2922</v>
      </c>
      <c r="M631">
        <v>206.41</v>
      </c>
    </row>
    <row r="632" spans="1:13" x14ac:dyDescent="0.25">
      <c r="A632" t="str">
        <f t="shared" si="176"/>
        <v>E217</v>
      </c>
      <c r="B632">
        <v>1</v>
      </c>
      <c r="C632" t="str">
        <f t="shared" si="177"/>
        <v>43000</v>
      </c>
      <c r="D632" t="str">
        <f t="shared" si="174"/>
        <v>5740</v>
      </c>
      <c r="E632" t="str">
        <f t="shared" si="175"/>
        <v>850LOS</v>
      </c>
      <c r="F632" t="str">
        <f>""</f>
        <v/>
      </c>
      <c r="G632" t="str">
        <f>""</f>
        <v/>
      </c>
      <c r="H632" s="1">
        <v>42535</v>
      </c>
      <c r="I632" t="str">
        <f t="shared" si="178"/>
        <v>ACG02686</v>
      </c>
      <c r="J632" t="str">
        <f>"CMG00999"</f>
        <v>CMG00999</v>
      </c>
      <c r="K632" t="str">
        <f t="shared" si="179"/>
        <v>AS96</v>
      </c>
      <c r="L632" t="s">
        <v>2918</v>
      </c>
      <c r="M632">
        <v>766.93</v>
      </c>
    </row>
    <row r="633" spans="1:13" x14ac:dyDescent="0.25">
      <c r="A633" t="str">
        <f t="shared" si="176"/>
        <v>E217</v>
      </c>
      <c r="B633">
        <v>1</v>
      </c>
      <c r="C633" t="str">
        <f t="shared" si="177"/>
        <v>43000</v>
      </c>
      <c r="D633" t="str">
        <f t="shared" si="174"/>
        <v>5740</v>
      </c>
      <c r="E633" t="str">
        <f t="shared" si="175"/>
        <v>850LOS</v>
      </c>
      <c r="F633" t="str">
        <f>""</f>
        <v/>
      </c>
      <c r="G633" t="str">
        <f>""</f>
        <v/>
      </c>
      <c r="H633" s="1">
        <v>42548</v>
      </c>
      <c r="I633" t="str">
        <f>"CMG01003"</f>
        <v>CMG01003</v>
      </c>
      <c r="J633" t="str">
        <f>""</f>
        <v/>
      </c>
      <c r="K633" t="str">
        <f>"CM89"</f>
        <v>CM89</v>
      </c>
      <c r="L633" t="s">
        <v>2920</v>
      </c>
      <c r="M633">
        <v>434.15</v>
      </c>
    </row>
    <row r="634" spans="1:13" x14ac:dyDescent="0.25">
      <c r="A634" t="str">
        <f t="shared" si="176"/>
        <v>E217</v>
      </c>
      <c r="B634">
        <v>1</v>
      </c>
      <c r="C634" t="str">
        <f t="shared" si="177"/>
        <v>43000</v>
      </c>
      <c r="D634" t="str">
        <f t="shared" si="174"/>
        <v>5740</v>
      </c>
      <c r="E634" t="str">
        <f t="shared" si="175"/>
        <v>850LOS</v>
      </c>
      <c r="F634" t="str">
        <f>""</f>
        <v/>
      </c>
      <c r="G634" t="str">
        <f>""</f>
        <v/>
      </c>
      <c r="H634" s="1">
        <v>42548</v>
      </c>
      <c r="I634" t="str">
        <f>"CMG01003"</f>
        <v>CMG01003</v>
      </c>
      <c r="J634" t="str">
        <f>""</f>
        <v/>
      </c>
      <c r="K634" t="str">
        <f>"CM89"</f>
        <v>CM89</v>
      </c>
      <c r="L634" t="s">
        <v>2920</v>
      </c>
      <c r="M634">
        <v>212.08</v>
      </c>
    </row>
    <row r="635" spans="1:13" x14ac:dyDescent="0.25">
      <c r="A635" t="str">
        <f t="shared" si="176"/>
        <v>E217</v>
      </c>
      <c r="B635">
        <v>1</v>
      </c>
      <c r="C635" t="str">
        <f t="shared" si="177"/>
        <v>43000</v>
      </c>
      <c r="D635" t="str">
        <f t="shared" si="174"/>
        <v>5740</v>
      </c>
      <c r="E635" t="str">
        <f t="shared" si="175"/>
        <v>850LOS</v>
      </c>
      <c r="F635" t="str">
        <f>""</f>
        <v/>
      </c>
      <c r="G635" t="str">
        <f>""</f>
        <v/>
      </c>
      <c r="H635" s="1">
        <v>42551</v>
      </c>
      <c r="I635" t="str">
        <f>"CMG01008"</f>
        <v>CMG01008</v>
      </c>
      <c r="J635" t="str">
        <f>""</f>
        <v/>
      </c>
      <c r="K635" t="str">
        <f>"CM89"</f>
        <v>CM89</v>
      </c>
      <c r="L635" t="s">
        <v>2919</v>
      </c>
      <c r="M635">
        <v>666.55</v>
      </c>
    </row>
    <row r="636" spans="1:13" x14ac:dyDescent="0.25">
      <c r="A636" t="str">
        <f t="shared" si="176"/>
        <v>E217</v>
      </c>
      <c r="B636">
        <v>1</v>
      </c>
      <c r="C636" t="str">
        <f t="shared" si="177"/>
        <v>43000</v>
      </c>
      <c r="D636" t="str">
        <f t="shared" si="174"/>
        <v>5740</v>
      </c>
      <c r="E636" t="str">
        <f t="shared" si="175"/>
        <v>850LOS</v>
      </c>
      <c r="F636" t="str">
        <f>""</f>
        <v/>
      </c>
      <c r="G636" t="str">
        <f>""</f>
        <v/>
      </c>
      <c r="H636" s="1">
        <v>42551</v>
      </c>
      <c r="I636" t="str">
        <f>"CMG01008"</f>
        <v>CMG01008</v>
      </c>
      <c r="J636" t="str">
        <f>""</f>
        <v/>
      </c>
      <c r="K636" t="str">
        <f>"CM89"</f>
        <v>CM89</v>
      </c>
      <c r="L636" t="s">
        <v>2919</v>
      </c>
      <c r="M636">
        <v>170.56</v>
      </c>
    </row>
    <row r="637" spans="1:13" x14ac:dyDescent="0.25">
      <c r="A637" t="str">
        <f t="shared" si="176"/>
        <v>E217</v>
      </c>
      <c r="B637">
        <v>1</v>
      </c>
      <c r="C637" t="str">
        <f t="shared" si="177"/>
        <v>43000</v>
      </c>
      <c r="D637" t="str">
        <f t="shared" si="174"/>
        <v>5740</v>
      </c>
      <c r="E637" t="str">
        <f t="shared" ref="E637:E650" si="180">"850PAY"</f>
        <v>850PAY</v>
      </c>
      <c r="F637" t="str">
        <f>""</f>
        <v/>
      </c>
      <c r="G637" t="str">
        <f>""</f>
        <v/>
      </c>
      <c r="H637" s="1">
        <v>42510</v>
      </c>
      <c r="I637" t="str">
        <f>"CMG00999"</f>
        <v>CMG00999</v>
      </c>
      <c r="J637" t="str">
        <f>""</f>
        <v/>
      </c>
      <c r="K637" t="str">
        <f>"CM89"</f>
        <v>CM89</v>
      </c>
      <c r="L637" t="s">
        <v>2918</v>
      </c>
      <c r="M637" s="2">
        <v>1739.69</v>
      </c>
    </row>
    <row r="638" spans="1:13" x14ac:dyDescent="0.25">
      <c r="A638" t="str">
        <f t="shared" si="176"/>
        <v>E217</v>
      </c>
      <c r="B638">
        <v>1</v>
      </c>
      <c r="C638" t="str">
        <f t="shared" si="177"/>
        <v>43000</v>
      </c>
      <c r="D638" t="str">
        <f t="shared" si="174"/>
        <v>5740</v>
      </c>
      <c r="E638" t="str">
        <f t="shared" si="180"/>
        <v>850PAY</v>
      </c>
      <c r="F638" t="str">
        <f>""</f>
        <v/>
      </c>
      <c r="G638" t="str">
        <f>""</f>
        <v/>
      </c>
      <c r="H638" s="1">
        <v>42535</v>
      </c>
      <c r="I638" t="str">
        <f t="shared" ref="I638:I648" si="181">"ACG02686"</f>
        <v>ACG02686</v>
      </c>
      <c r="J638" t="str">
        <f>"CMG00989"</f>
        <v>CMG00989</v>
      </c>
      <c r="K638" t="str">
        <f t="shared" ref="K638:K648" si="182">"AS96"</f>
        <v>AS96</v>
      </c>
      <c r="L638" t="s">
        <v>2923</v>
      </c>
      <c r="M638">
        <v>609.21</v>
      </c>
    </row>
    <row r="639" spans="1:13" x14ac:dyDescent="0.25">
      <c r="A639" t="str">
        <f t="shared" si="176"/>
        <v>E217</v>
      </c>
      <c r="B639">
        <v>1</v>
      </c>
      <c r="C639" t="str">
        <f t="shared" si="177"/>
        <v>43000</v>
      </c>
      <c r="D639" t="str">
        <f t="shared" si="174"/>
        <v>5740</v>
      </c>
      <c r="E639" t="str">
        <f t="shared" si="180"/>
        <v>850PAY</v>
      </c>
      <c r="F639" t="str">
        <f>""</f>
        <v/>
      </c>
      <c r="G639" t="str">
        <f>""</f>
        <v/>
      </c>
      <c r="H639" s="1">
        <v>42535</v>
      </c>
      <c r="I639" t="str">
        <f t="shared" si="181"/>
        <v>ACG02686</v>
      </c>
      <c r="J639" t="str">
        <f>"CMG00992"</f>
        <v>CMG00992</v>
      </c>
      <c r="K639" t="str">
        <f t="shared" si="182"/>
        <v>AS96</v>
      </c>
      <c r="L639" t="s">
        <v>2922</v>
      </c>
      <c r="M639" s="2">
        <v>1333.5</v>
      </c>
    </row>
    <row r="640" spans="1:13" x14ac:dyDescent="0.25">
      <c r="A640" t="str">
        <f t="shared" si="176"/>
        <v>E217</v>
      </c>
      <c r="B640">
        <v>1</v>
      </c>
      <c r="C640" t="str">
        <f t="shared" si="177"/>
        <v>43000</v>
      </c>
      <c r="D640" t="str">
        <f t="shared" si="174"/>
        <v>5740</v>
      </c>
      <c r="E640" t="str">
        <f t="shared" si="180"/>
        <v>850PAY</v>
      </c>
      <c r="F640" t="str">
        <f>""</f>
        <v/>
      </c>
      <c r="G640" t="str">
        <f>""</f>
        <v/>
      </c>
      <c r="H640" s="1">
        <v>42535</v>
      </c>
      <c r="I640" t="str">
        <f t="shared" si="181"/>
        <v>ACG02686</v>
      </c>
      <c r="J640" t="str">
        <f>"J0017384"</f>
        <v>J0017384</v>
      </c>
      <c r="K640" t="str">
        <f t="shared" si="182"/>
        <v>AS96</v>
      </c>
      <c r="L640" t="s">
        <v>1187</v>
      </c>
      <c r="M640">
        <v>589.54999999999995</v>
      </c>
    </row>
    <row r="641" spans="1:13" x14ac:dyDescent="0.25">
      <c r="A641" t="str">
        <f t="shared" si="176"/>
        <v>E217</v>
      </c>
      <c r="B641">
        <v>1</v>
      </c>
      <c r="C641" t="str">
        <f t="shared" si="177"/>
        <v>43000</v>
      </c>
      <c r="D641" t="str">
        <f t="shared" si="174"/>
        <v>5740</v>
      </c>
      <c r="E641" t="str">
        <f t="shared" si="180"/>
        <v>850PAY</v>
      </c>
      <c r="F641" t="str">
        <f>""</f>
        <v/>
      </c>
      <c r="G641" t="str">
        <f>""</f>
        <v/>
      </c>
      <c r="H641" s="1">
        <v>42535</v>
      </c>
      <c r="I641" t="str">
        <f t="shared" si="181"/>
        <v>ACG02686</v>
      </c>
      <c r="J641" t="str">
        <f>"J0017405"</f>
        <v>J0017405</v>
      </c>
      <c r="K641" t="str">
        <f t="shared" si="182"/>
        <v>AS96</v>
      </c>
      <c r="L641" t="s">
        <v>1187</v>
      </c>
      <c r="M641">
        <v>733.08</v>
      </c>
    </row>
    <row r="642" spans="1:13" x14ac:dyDescent="0.25">
      <c r="A642" t="str">
        <f t="shared" si="176"/>
        <v>E217</v>
      </c>
      <c r="B642">
        <v>1</v>
      </c>
      <c r="C642" t="str">
        <f t="shared" si="177"/>
        <v>43000</v>
      </c>
      <c r="D642" t="str">
        <f t="shared" si="174"/>
        <v>5740</v>
      </c>
      <c r="E642" t="str">
        <f t="shared" si="180"/>
        <v>850PAY</v>
      </c>
      <c r="F642" t="str">
        <f>""</f>
        <v/>
      </c>
      <c r="G642" t="str">
        <f>""</f>
        <v/>
      </c>
      <c r="H642" s="1">
        <v>42535</v>
      </c>
      <c r="I642" t="str">
        <f t="shared" si="181"/>
        <v>ACG02686</v>
      </c>
      <c r="J642" t="str">
        <f>"J0018361"</f>
        <v>J0018361</v>
      </c>
      <c r="K642" t="str">
        <f t="shared" si="182"/>
        <v>AS96</v>
      </c>
      <c r="L642" t="s">
        <v>1187</v>
      </c>
      <c r="M642">
        <v>531.74</v>
      </c>
    </row>
    <row r="643" spans="1:13" x14ac:dyDescent="0.25">
      <c r="A643" t="str">
        <f t="shared" si="176"/>
        <v>E217</v>
      </c>
      <c r="B643">
        <v>1</v>
      </c>
      <c r="C643" t="str">
        <f t="shared" si="177"/>
        <v>43000</v>
      </c>
      <c r="D643" t="str">
        <f t="shared" si="174"/>
        <v>5740</v>
      </c>
      <c r="E643" t="str">
        <f t="shared" si="180"/>
        <v>850PAY</v>
      </c>
      <c r="F643" t="str">
        <f>""</f>
        <v/>
      </c>
      <c r="G643" t="str">
        <f>""</f>
        <v/>
      </c>
      <c r="H643" s="1">
        <v>42535</v>
      </c>
      <c r="I643" t="str">
        <f t="shared" si="181"/>
        <v>ACG02686</v>
      </c>
      <c r="J643" t="str">
        <f>"J0018747"</f>
        <v>J0018747</v>
      </c>
      <c r="K643" t="str">
        <f t="shared" si="182"/>
        <v>AS96</v>
      </c>
      <c r="L643" t="s">
        <v>1187</v>
      </c>
      <c r="M643" s="2">
        <v>1013.38</v>
      </c>
    </row>
    <row r="644" spans="1:13" x14ac:dyDescent="0.25">
      <c r="A644" t="str">
        <f t="shared" si="176"/>
        <v>E217</v>
      </c>
      <c r="B644">
        <v>1</v>
      </c>
      <c r="C644" t="str">
        <f t="shared" si="177"/>
        <v>43000</v>
      </c>
      <c r="D644" t="str">
        <f t="shared" si="174"/>
        <v>5740</v>
      </c>
      <c r="E644" t="str">
        <f t="shared" si="180"/>
        <v>850PAY</v>
      </c>
      <c r="F644" t="str">
        <f>""</f>
        <v/>
      </c>
      <c r="G644" t="str">
        <f>""</f>
        <v/>
      </c>
      <c r="H644" s="1">
        <v>42535</v>
      </c>
      <c r="I644" t="str">
        <f t="shared" si="181"/>
        <v>ACG02686</v>
      </c>
      <c r="J644" t="str">
        <f>"J0019012"</f>
        <v>J0019012</v>
      </c>
      <c r="K644" t="str">
        <f t="shared" si="182"/>
        <v>AS96</v>
      </c>
      <c r="L644" t="s">
        <v>1187</v>
      </c>
      <c r="M644" s="2">
        <v>1207.04</v>
      </c>
    </row>
    <row r="645" spans="1:13" x14ac:dyDescent="0.25">
      <c r="A645" t="str">
        <f t="shared" si="176"/>
        <v>E217</v>
      </c>
      <c r="B645">
        <v>1</v>
      </c>
      <c r="C645" t="str">
        <f t="shared" si="177"/>
        <v>43000</v>
      </c>
      <c r="D645" t="str">
        <f t="shared" si="174"/>
        <v>5740</v>
      </c>
      <c r="E645" t="str">
        <f t="shared" si="180"/>
        <v>850PAY</v>
      </c>
      <c r="F645" t="str">
        <f>""</f>
        <v/>
      </c>
      <c r="G645" t="str">
        <f>""</f>
        <v/>
      </c>
      <c r="H645" s="1">
        <v>42535</v>
      </c>
      <c r="I645" t="str">
        <f t="shared" si="181"/>
        <v>ACG02686</v>
      </c>
      <c r="J645" t="str">
        <f>"J0019276"</f>
        <v>J0019276</v>
      </c>
      <c r="K645" t="str">
        <f t="shared" si="182"/>
        <v>AS96</v>
      </c>
      <c r="L645" t="s">
        <v>1187</v>
      </c>
      <c r="M645">
        <v>968.09</v>
      </c>
    </row>
    <row r="646" spans="1:13" x14ac:dyDescent="0.25">
      <c r="A646" t="str">
        <f t="shared" si="176"/>
        <v>E217</v>
      </c>
      <c r="B646">
        <v>1</v>
      </c>
      <c r="C646" t="str">
        <f t="shared" ref="C646:C655" si="183">"43000"</f>
        <v>43000</v>
      </c>
      <c r="D646" t="str">
        <f t="shared" si="174"/>
        <v>5740</v>
      </c>
      <c r="E646" t="str">
        <f t="shared" si="180"/>
        <v>850PAY</v>
      </c>
      <c r="F646" t="str">
        <f>""</f>
        <v/>
      </c>
      <c r="G646" t="str">
        <f>""</f>
        <v/>
      </c>
      <c r="H646" s="1">
        <v>42535</v>
      </c>
      <c r="I646" t="str">
        <f t="shared" si="181"/>
        <v>ACG02686</v>
      </c>
      <c r="J646" t="str">
        <f>"J0019545"</f>
        <v>J0019545</v>
      </c>
      <c r="K646" t="str">
        <f t="shared" si="182"/>
        <v>AS96</v>
      </c>
      <c r="L646" t="s">
        <v>1187</v>
      </c>
      <c r="M646" s="2">
        <v>1560.6</v>
      </c>
    </row>
    <row r="647" spans="1:13" x14ac:dyDescent="0.25">
      <c r="A647" t="str">
        <f t="shared" si="176"/>
        <v>E217</v>
      </c>
      <c r="B647">
        <v>1</v>
      </c>
      <c r="C647" t="str">
        <f t="shared" si="183"/>
        <v>43000</v>
      </c>
      <c r="D647" t="str">
        <f t="shared" si="174"/>
        <v>5740</v>
      </c>
      <c r="E647" t="str">
        <f t="shared" si="180"/>
        <v>850PAY</v>
      </c>
      <c r="F647" t="str">
        <f>""</f>
        <v/>
      </c>
      <c r="G647" t="str">
        <f>""</f>
        <v/>
      </c>
      <c r="H647" s="1">
        <v>42535</v>
      </c>
      <c r="I647" t="str">
        <f t="shared" si="181"/>
        <v>ACG02686</v>
      </c>
      <c r="J647" t="str">
        <f>"J0020132"</f>
        <v>J0020132</v>
      </c>
      <c r="K647" t="str">
        <f t="shared" si="182"/>
        <v>AS96</v>
      </c>
      <c r="L647" t="s">
        <v>1187</v>
      </c>
      <c r="M647" s="2">
        <v>1035.44</v>
      </c>
    </row>
    <row r="648" spans="1:13" x14ac:dyDescent="0.25">
      <c r="A648" t="str">
        <f t="shared" si="176"/>
        <v>E217</v>
      </c>
      <c r="B648">
        <v>1</v>
      </c>
      <c r="C648" t="str">
        <f t="shared" si="183"/>
        <v>43000</v>
      </c>
      <c r="D648" t="str">
        <f t="shared" si="174"/>
        <v>5740</v>
      </c>
      <c r="E648" t="str">
        <f t="shared" si="180"/>
        <v>850PAY</v>
      </c>
      <c r="F648" t="str">
        <f>""</f>
        <v/>
      </c>
      <c r="G648" t="str">
        <f>""</f>
        <v/>
      </c>
      <c r="H648" s="1">
        <v>42535</v>
      </c>
      <c r="I648" t="str">
        <f t="shared" si="181"/>
        <v>ACG02686</v>
      </c>
      <c r="J648" t="str">
        <f>"J0020985"</f>
        <v>J0020985</v>
      </c>
      <c r="K648" t="str">
        <f t="shared" si="182"/>
        <v>AS96</v>
      </c>
      <c r="L648" t="s">
        <v>2921</v>
      </c>
      <c r="M648" s="2">
        <v>1042.94</v>
      </c>
    </row>
    <row r="649" spans="1:13" x14ac:dyDescent="0.25">
      <c r="A649" t="str">
        <f t="shared" si="176"/>
        <v>E217</v>
      </c>
      <c r="B649">
        <v>1</v>
      </c>
      <c r="C649" t="str">
        <f t="shared" si="183"/>
        <v>43000</v>
      </c>
      <c r="D649" t="str">
        <f t="shared" si="174"/>
        <v>5740</v>
      </c>
      <c r="E649" t="str">
        <f t="shared" si="180"/>
        <v>850PAY</v>
      </c>
      <c r="F649" t="str">
        <f>""</f>
        <v/>
      </c>
      <c r="G649" t="str">
        <f>""</f>
        <v/>
      </c>
      <c r="H649" s="1">
        <v>42548</v>
      </c>
      <c r="I649" t="str">
        <f>"CMG01003"</f>
        <v>CMG01003</v>
      </c>
      <c r="J649" t="str">
        <f>""</f>
        <v/>
      </c>
      <c r="K649" t="str">
        <f>"CM89"</f>
        <v>CM89</v>
      </c>
      <c r="L649" t="s">
        <v>2920</v>
      </c>
      <c r="M649" s="2">
        <v>1713.37</v>
      </c>
    </row>
    <row r="650" spans="1:13" x14ac:dyDescent="0.25">
      <c r="A650" t="str">
        <f t="shared" si="176"/>
        <v>E217</v>
      </c>
      <c r="B650">
        <v>1</v>
      </c>
      <c r="C650" t="str">
        <f t="shared" si="183"/>
        <v>43000</v>
      </c>
      <c r="D650" t="str">
        <f t="shared" si="174"/>
        <v>5740</v>
      </c>
      <c r="E650" t="str">
        <f t="shared" si="180"/>
        <v>850PAY</v>
      </c>
      <c r="F650" t="str">
        <f>""</f>
        <v/>
      </c>
      <c r="G650" t="str">
        <f>""</f>
        <v/>
      </c>
      <c r="H650" s="1">
        <v>42551</v>
      </c>
      <c r="I650" t="str">
        <f>"CMG01008"</f>
        <v>CMG01008</v>
      </c>
      <c r="J650" t="str">
        <f>""</f>
        <v/>
      </c>
      <c r="K650" t="str">
        <f>"CM89"</f>
        <v>CM89</v>
      </c>
      <c r="L650" t="s">
        <v>2919</v>
      </c>
      <c r="M650" s="2">
        <v>1201.6400000000001</v>
      </c>
    </row>
    <row r="651" spans="1:13" x14ac:dyDescent="0.25">
      <c r="A651" t="str">
        <f>"E218"</f>
        <v>E218</v>
      </c>
      <c r="B651">
        <v>1</v>
      </c>
      <c r="C651" t="str">
        <f t="shared" si="183"/>
        <v>43000</v>
      </c>
      <c r="D651" t="str">
        <f>"5620"</f>
        <v>5620</v>
      </c>
      <c r="E651" t="str">
        <f>"850PKE"</f>
        <v>850PKE</v>
      </c>
      <c r="F651" t="str">
        <f>""</f>
        <v/>
      </c>
      <c r="G651" t="str">
        <f>""</f>
        <v/>
      </c>
      <c r="H651" s="1">
        <v>42360</v>
      </c>
      <c r="I651" t="str">
        <f>"I0124424"</f>
        <v>I0124424</v>
      </c>
      <c r="J651" t="str">
        <f>"B125380D"</f>
        <v>B125380D</v>
      </c>
      <c r="K651" t="str">
        <f>"INNI"</f>
        <v>INNI</v>
      </c>
      <c r="L651" t="s">
        <v>225</v>
      </c>
      <c r="M651">
        <v>127.15</v>
      </c>
    </row>
    <row r="652" spans="1:13" x14ac:dyDescent="0.25">
      <c r="A652" t="str">
        <f>"E218"</f>
        <v>E218</v>
      </c>
      <c r="B652">
        <v>1</v>
      </c>
      <c r="C652" t="str">
        <f t="shared" si="183"/>
        <v>43000</v>
      </c>
      <c r="D652" t="str">
        <f>"5620"</f>
        <v>5620</v>
      </c>
      <c r="E652" t="str">
        <f>"850PKE"</f>
        <v>850PKE</v>
      </c>
      <c r="F652" t="str">
        <f>""</f>
        <v/>
      </c>
      <c r="G652" t="str">
        <f>""</f>
        <v/>
      </c>
      <c r="H652" s="1">
        <v>42360</v>
      </c>
      <c r="I652" t="str">
        <f>"I0124424"</f>
        <v>I0124424</v>
      </c>
      <c r="J652" t="str">
        <f>"B125380D"</f>
        <v>B125380D</v>
      </c>
      <c r="K652" t="str">
        <f>"INNI"</f>
        <v>INNI</v>
      </c>
      <c r="L652" t="s">
        <v>225</v>
      </c>
      <c r="M652">
        <v>127.15</v>
      </c>
    </row>
    <row r="653" spans="1:13" x14ac:dyDescent="0.25">
      <c r="A653" t="str">
        <f>"E218"</f>
        <v>E218</v>
      </c>
      <c r="B653">
        <v>1</v>
      </c>
      <c r="C653" t="str">
        <f t="shared" si="183"/>
        <v>43000</v>
      </c>
      <c r="D653" t="str">
        <f>"5620"</f>
        <v>5620</v>
      </c>
      <c r="E653" t="str">
        <f>"850PKE"</f>
        <v>850PKE</v>
      </c>
      <c r="F653" t="str">
        <f>""</f>
        <v/>
      </c>
      <c r="G653" t="str">
        <f>""</f>
        <v/>
      </c>
      <c r="H653" s="1">
        <v>42360</v>
      </c>
      <c r="I653" t="str">
        <f>"I0124425"</f>
        <v>I0124425</v>
      </c>
      <c r="J653" t="str">
        <f>"B125380D"</f>
        <v>B125380D</v>
      </c>
      <c r="K653" t="str">
        <f>"INNI"</f>
        <v>INNI</v>
      </c>
      <c r="L653" t="s">
        <v>225</v>
      </c>
      <c r="M653">
        <v>254.3</v>
      </c>
    </row>
    <row r="654" spans="1:13" x14ac:dyDescent="0.25">
      <c r="A654" t="str">
        <f>"E218"</f>
        <v>E218</v>
      </c>
      <c r="B654">
        <v>1</v>
      </c>
      <c r="C654" t="str">
        <f t="shared" si="183"/>
        <v>43000</v>
      </c>
      <c r="D654" t="str">
        <f>"5740"</f>
        <v>5740</v>
      </c>
      <c r="E654" t="str">
        <f>"850PKE"</f>
        <v>850PKE</v>
      </c>
      <c r="F654" t="str">
        <f>""</f>
        <v/>
      </c>
      <c r="G654" t="str">
        <f>""</f>
        <v/>
      </c>
      <c r="H654" s="1">
        <v>42535</v>
      </c>
      <c r="I654" t="str">
        <f>"ACG02686"</f>
        <v>ACG02686</v>
      </c>
      <c r="J654" t="str">
        <f>"B125380D"</f>
        <v>B125380D</v>
      </c>
      <c r="K654" t="str">
        <f>"AS96"</f>
        <v>AS96</v>
      </c>
      <c r="L654" t="s">
        <v>225</v>
      </c>
      <c r="M654">
        <v>254.3</v>
      </c>
    </row>
    <row r="655" spans="1:13" x14ac:dyDescent="0.25">
      <c r="A655" t="str">
        <f>"E218"</f>
        <v>E218</v>
      </c>
      <c r="B655">
        <v>1</v>
      </c>
      <c r="C655" t="str">
        <f t="shared" si="183"/>
        <v>43000</v>
      </c>
      <c r="D655" t="str">
        <f>"5740"</f>
        <v>5740</v>
      </c>
      <c r="E655" t="str">
        <f>"850PKE"</f>
        <v>850PKE</v>
      </c>
      <c r="F655" t="str">
        <f>""</f>
        <v/>
      </c>
      <c r="G655" t="str">
        <f>""</f>
        <v/>
      </c>
      <c r="H655" s="1">
        <v>42535</v>
      </c>
      <c r="I655" t="str">
        <f>"ACG02686"</f>
        <v>ACG02686</v>
      </c>
      <c r="J655" t="str">
        <f>"B125380D"</f>
        <v>B125380D</v>
      </c>
      <c r="K655" t="str">
        <f>"AS96"</f>
        <v>AS96</v>
      </c>
      <c r="L655" t="s">
        <v>225</v>
      </c>
      <c r="M655">
        <v>127.15</v>
      </c>
    </row>
    <row r="656" spans="1:13" x14ac:dyDescent="0.25">
      <c r="A656" t="str">
        <f>"E220"</f>
        <v>E220</v>
      </c>
      <c r="B656">
        <v>1</v>
      </c>
      <c r="C656" t="str">
        <f>"23275"</f>
        <v>23275</v>
      </c>
      <c r="D656" t="str">
        <f>"5620"</f>
        <v>5620</v>
      </c>
      <c r="E656" t="str">
        <f>"063STF"</f>
        <v>063STF</v>
      </c>
      <c r="F656" t="str">
        <f>""</f>
        <v/>
      </c>
      <c r="G656" t="str">
        <f>""</f>
        <v/>
      </c>
      <c r="H656" s="1">
        <v>42401</v>
      </c>
      <c r="I656" t="str">
        <f>"J0019403"</f>
        <v>J0019403</v>
      </c>
      <c r="J656" t="str">
        <f>""</f>
        <v/>
      </c>
      <c r="K656" t="str">
        <f>"J096"</f>
        <v>J096</v>
      </c>
      <c r="L656" t="s">
        <v>2917</v>
      </c>
      <c r="M656">
        <v>357</v>
      </c>
    </row>
    <row r="657" spans="1:13" x14ac:dyDescent="0.25">
      <c r="A657" t="str">
        <f>"E222"</f>
        <v>E222</v>
      </c>
      <c r="B657">
        <v>1</v>
      </c>
      <c r="C657" t="str">
        <f>"43007"</f>
        <v>43007</v>
      </c>
      <c r="D657" t="str">
        <f>"5740"</f>
        <v>5740</v>
      </c>
      <c r="E657" t="str">
        <f>"850PKE"</f>
        <v>850PKE</v>
      </c>
      <c r="F657" t="str">
        <f>""</f>
        <v/>
      </c>
      <c r="G657" t="str">
        <f>""</f>
        <v/>
      </c>
      <c r="H657" s="1">
        <v>42265</v>
      </c>
      <c r="I657" t="str">
        <f>"I0121399"</f>
        <v>I0121399</v>
      </c>
      <c r="J657" t="str">
        <f>"F210975"</f>
        <v>F210975</v>
      </c>
      <c r="K657" t="str">
        <f>"ICEC"</f>
        <v>ICEC</v>
      </c>
      <c r="L657" t="s">
        <v>229</v>
      </c>
      <c r="M657">
        <v>978.3</v>
      </c>
    </row>
    <row r="658" spans="1:13" x14ac:dyDescent="0.25">
      <c r="A658" t="str">
        <f t="shared" ref="A658:A667" si="184">"E230"</f>
        <v>E230</v>
      </c>
      <c r="B658">
        <v>1</v>
      </c>
      <c r="C658" t="str">
        <f>"10200"</f>
        <v>10200</v>
      </c>
      <c r="D658" t="str">
        <f t="shared" ref="D658:D666" si="185">"5620"</f>
        <v>5620</v>
      </c>
      <c r="E658" t="str">
        <f>"094OMS"</f>
        <v>094OMS</v>
      </c>
      <c r="F658" t="str">
        <f>""</f>
        <v/>
      </c>
      <c r="G658" t="str">
        <f>""</f>
        <v/>
      </c>
      <c r="H658" s="1">
        <v>42247</v>
      </c>
      <c r="I658" t="str">
        <f>"PCD00740"</f>
        <v>PCD00740</v>
      </c>
      <c r="J658" t="str">
        <f>""</f>
        <v/>
      </c>
      <c r="K658" t="str">
        <f>"AS89"</f>
        <v>AS89</v>
      </c>
      <c r="L658" t="s">
        <v>2916</v>
      </c>
      <c r="M658">
        <v>260.88</v>
      </c>
    </row>
    <row r="659" spans="1:13" x14ac:dyDescent="0.25">
      <c r="A659" t="str">
        <f t="shared" si="184"/>
        <v>E230</v>
      </c>
      <c r="B659">
        <v>1</v>
      </c>
      <c r="C659" t="str">
        <f t="shared" ref="C659:C665" si="186">"23275"</f>
        <v>23275</v>
      </c>
      <c r="D659" t="str">
        <f t="shared" si="185"/>
        <v>5620</v>
      </c>
      <c r="E659" t="str">
        <f t="shared" ref="E659:E665" si="187">"063STF"</f>
        <v>063STF</v>
      </c>
      <c r="F659" t="str">
        <f>""</f>
        <v/>
      </c>
      <c r="G659" t="str">
        <f>""</f>
        <v/>
      </c>
      <c r="H659" s="1">
        <v>42377</v>
      </c>
      <c r="I659" t="str">
        <f>"I0124684"</f>
        <v>I0124684</v>
      </c>
      <c r="J659" t="str">
        <f>"N193452"</f>
        <v>N193452</v>
      </c>
      <c r="K659" t="str">
        <f>"INEI"</f>
        <v>INEI</v>
      </c>
      <c r="L659" t="s">
        <v>1994</v>
      </c>
      <c r="M659" s="2">
        <v>7093.42</v>
      </c>
    </row>
    <row r="660" spans="1:13" x14ac:dyDescent="0.25">
      <c r="A660" t="str">
        <f t="shared" si="184"/>
        <v>E230</v>
      </c>
      <c r="B660">
        <v>1</v>
      </c>
      <c r="C660" t="str">
        <f t="shared" si="186"/>
        <v>23275</v>
      </c>
      <c r="D660" t="str">
        <f t="shared" si="185"/>
        <v>5620</v>
      </c>
      <c r="E660" t="str">
        <f t="shared" si="187"/>
        <v>063STF</v>
      </c>
      <c r="F660" t="str">
        <f>""</f>
        <v/>
      </c>
      <c r="G660" t="str">
        <f>""</f>
        <v/>
      </c>
      <c r="H660" s="1">
        <v>42461</v>
      </c>
      <c r="I660" t="str">
        <f>"I0127432"</f>
        <v>I0127432</v>
      </c>
      <c r="J660" t="str">
        <f>"N193452"</f>
        <v>N193452</v>
      </c>
      <c r="K660" t="str">
        <f>"INEI"</f>
        <v>INEI</v>
      </c>
      <c r="L660" t="s">
        <v>1994</v>
      </c>
      <c r="M660">
        <v>862</v>
      </c>
    </row>
    <row r="661" spans="1:13" x14ac:dyDescent="0.25">
      <c r="A661" t="str">
        <f t="shared" si="184"/>
        <v>E230</v>
      </c>
      <c r="B661">
        <v>1</v>
      </c>
      <c r="C661" t="str">
        <f t="shared" si="186"/>
        <v>23275</v>
      </c>
      <c r="D661" t="str">
        <f t="shared" si="185"/>
        <v>5620</v>
      </c>
      <c r="E661" t="str">
        <f t="shared" si="187"/>
        <v>063STF</v>
      </c>
      <c r="F661" t="str">
        <f>""</f>
        <v/>
      </c>
      <c r="G661" t="str">
        <f>""</f>
        <v/>
      </c>
      <c r="H661" s="1">
        <v>42461</v>
      </c>
      <c r="I661" t="str">
        <f>"I0127433"</f>
        <v>I0127433</v>
      </c>
      <c r="J661" t="str">
        <f>"N193452"</f>
        <v>N193452</v>
      </c>
      <c r="K661" t="str">
        <f>"INEI"</f>
        <v>INEI</v>
      </c>
      <c r="L661" t="s">
        <v>1994</v>
      </c>
      <c r="M661" s="2">
        <v>1623.08</v>
      </c>
    </row>
    <row r="662" spans="1:13" x14ac:dyDescent="0.25">
      <c r="A662" t="str">
        <f t="shared" si="184"/>
        <v>E230</v>
      </c>
      <c r="B662">
        <v>1</v>
      </c>
      <c r="C662" t="str">
        <f t="shared" si="186"/>
        <v>23275</v>
      </c>
      <c r="D662" t="str">
        <f t="shared" si="185"/>
        <v>5620</v>
      </c>
      <c r="E662" t="str">
        <f t="shared" si="187"/>
        <v>063STF</v>
      </c>
      <c r="F662" t="str">
        <f>""</f>
        <v/>
      </c>
      <c r="G662" t="str">
        <f>""</f>
        <v/>
      </c>
      <c r="H662" s="1">
        <v>42490</v>
      </c>
      <c r="I662" t="str">
        <f>"PCD00780"</f>
        <v>PCD00780</v>
      </c>
      <c r="J662" t="str">
        <f>""</f>
        <v/>
      </c>
      <c r="K662" t="str">
        <f>"AS89"</f>
        <v>AS89</v>
      </c>
      <c r="L662" t="s">
        <v>2915</v>
      </c>
      <c r="M662">
        <v>234.6</v>
      </c>
    </row>
    <row r="663" spans="1:13" x14ac:dyDescent="0.25">
      <c r="A663" t="str">
        <f t="shared" si="184"/>
        <v>E230</v>
      </c>
      <c r="B663">
        <v>1</v>
      </c>
      <c r="C663" t="str">
        <f t="shared" si="186"/>
        <v>23275</v>
      </c>
      <c r="D663" t="str">
        <f t="shared" si="185"/>
        <v>5620</v>
      </c>
      <c r="E663" t="str">
        <f t="shared" si="187"/>
        <v>063STF</v>
      </c>
      <c r="F663" t="str">
        <f>""</f>
        <v/>
      </c>
      <c r="G663" t="str">
        <f>""</f>
        <v/>
      </c>
      <c r="H663" s="1">
        <v>42501</v>
      </c>
      <c r="I663" t="str">
        <f>"I0129624"</f>
        <v>I0129624</v>
      </c>
      <c r="J663" t="str">
        <f>"N193452"</f>
        <v>N193452</v>
      </c>
      <c r="K663" t="str">
        <f>"INEI"</f>
        <v>INEI</v>
      </c>
      <c r="L663" t="s">
        <v>1994</v>
      </c>
      <c r="M663" s="2">
        <v>1534.25</v>
      </c>
    </row>
    <row r="664" spans="1:13" x14ac:dyDescent="0.25">
      <c r="A664" t="str">
        <f t="shared" si="184"/>
        <v>E230</v>
      </c>
      <c r="B664">
        <v>1</v>
      </c>
      <c r="C664" t="str">
        <f t="shared" si="186"/>
        <v>23275</v>
      </c>
      <c r="D664" t="str">
        <f t="shared" si="185"/>
        <v>5620</v>
      </c>
      <c r="E664" t="str">
        <f t="shared" si="187"/>
        <v>063STF</v>
      </c>
      <c r="F664" t="str">
        <f>""</f>
        <v/>
      </c>
      <c r="G664" t="str">
        <f>""</f>
        <v/>
      </c>
      <c r="H664" s="1">
        <v>42538</v>
      </c>
      <c r="I664" t="str">
        <f>"I0132438"</f>
        <v>I0132438</v>
      </c>
      <c r="J664" t="str">
        <f>"N193452"</f>
        <v>N193452</v>
      </c>
      <c r="K664" t="str">
        <f>"INEI"</f>
        <v>INEI</v>
      </c>
      <c r="L664" t="s">
        <v>1994</v>
      </c>
      <c r="M664">
        <v>508.44</v>
      </c>
    </row>
    <row r="665" spans="1:13" x14ac:dyDescent="0.25">
      <c r="A665" t="str">
        <f t="shared" si="184"/>
        <v>E230</v>
      </c>
      <c r="B665">
        <v>1</v>
      </c>
      <c r="C665" t="str">
        <f t="shared" si="186"/>
        <v>23275</v>
      </c>
      <c r="D665" t="str">
        <f t="shared" si="185"/>
        <v>5620</v>
      </c>
      <c r="E665" t="str">
        <f t="shared" si="187"/>
        <v>063STF</v>
      </c>
      <c r="F665" t="str">
        <f>""</f>
        <v/>
      </c>
      <c r="G665" t="str">
        <f>""</f>
        <v/>
      </c>
      <c r="H665" s="1">
        <v>42550</v>
      </c>
      <c r="I665" t="str">
        <f>"I0133551"</f>
        <v>I0133551</v>
      </c>
      <c r="J665" t="str">
        <f>"N193452"</f>
        <v>N193452</v>
      </c>
      <c r="K665" t="str">
        <f>"INEI"</f>
        <v>INEI</v>
      </c>
      <c r="L665" t="s">
        <v>1994</v>
      </c>
      <c r="M665">
        <v>709.15</v>
      </c>
    </row>
    <row r="666" spans="1:13" x14ac:dyDescent="0.25">
      <c r="A666" t="str">
        <f t="shared" si="184"/>
        <v>E230</v>
      </c>
      <c r="B666">
        <v>1</v>
      </c>
      <c r="C666" t="str">
        <f>"43000"</f>
        <v>43000</v>
      </c>
      <c r="D666" t="str">
        <f t="shared" si="185"/>
        <v>5620</v>
      </c>
      <c r="E666" t="str">
        <f>"850PKE"</f>
        <v>850PKE</v>
      </c>
      <c r="F666" t="str">
        <f>""</f>
        <v/>
      </c>
      <c r="G666" t="str">
        <f>""</f>
        <v/>
      </c>
      <c r="H666" s="1">
        <v>42544</v>
      </c>
      <c r="I666" t="str">
        <f>"I0133055"</f>
        <v>I0133055</v>
      </c>
      <c r="J666" t="str">
        <f>"B125380D"</f>
        <v>B125380D</v>
      </c>
      <c r="K666" t="str">
        <f>"INNI"</f>
        <v>INNI</v>
      </c>
      <c r="L666" t="s">
        <v>225</v>
      </c>
      <c r="M666">
        <v>127.15</v>
      </c>
    </row>
    <row r="667" spans="1:13" x14ac:dyDescent="0.25">
      <c r="A667" t="str">
        <f t="shared" si="184"/>
        <v>E230</v>
      </c>
      <c r="B667">
        <v>1</v>
      </c>
      <c r="C667" t="str">
        <f>"43000"</f>
        <v>43000</v>
      </c>
      <c r="D667" t="str">
        <f>"5740"</f>
        <v>5740</v>
      </c>
      <c r="E667" t="str">
        <f>"850PKE"</f>
        <v>850PKE</v>
      </c>
      <c r="F667" t="str">
        <f>""</f>
        <v/>
      </c>
      <c r="G667" t="str">
        <f>""</f>
        <v/>
      </c>
      <c r="H667" s="1">
        <v>42551</v>
      </c>
      <c r="I667" t="str">
        <f>"J0022843"</f>
        <v>J0022843</v>
      </c>
      <c r="J667" t="str">
        <f>""</f>
        <v/>
      </c>
      <c r="K667" t="str">
        <f>"J079"</f>
        <v>J079</v>
      </c>
      <c r="L667" t="s">
        <v>2914</v>
      </c>
      <c r="M667">
        <v>127.15</v>
      </c>
    </row>
    <row r="668" spans="1:13" x14ac:dyDescent="0.25">
      <c r="A668" t="str">
        <f t="shared" ref="A668:A700" si="188">"E231"</f>
        <v>E231</v>
      </c>
      <c r="B668">
        <v>1</v>
      </c>
      <c r="C668" t="str">
        <f t="shared" ref="C668:C679" si="189">"10200"</f>
        <v>10200</v>
      </c>
      <c r="D668" t="str">
        <f t="shared" ref="D668:D688" si="190">"5620"</f>
        <v>5620</v>
      </c>
      <c r="E668" t="str">
        <f t="shared" ref="E668:E679" si="191">"094OMS"</f>
        <v>094OMS</v>
      </c>
      <c r="F668" t="str">
        <f>""</f>
        <v/>
      </c>
      <c r="G668" t="str">
        <f>""</f>
        <v/>
      </c>
      <c r="H668" s="1">
        <v>42186</v>
      </c>
      <c r="I668" t="str">
        <f>"PHY00656"</f>
        <v>PHY00656</v>
      </c>
      <c r="J668" t="str">
        <f t="shared" ref="J668:J679" si="192">"FPOLICE"</f>
        <v>FPOLICE</v>
      </c>
      <c r="K668" t="str">
        <f t="shared" ref="K668:K692" si="193">"AS89"</f>
        <v>AS89</v>
      </c>
      <c r="L668" t="s">
        <v>2570</v>
      </c>
      <c r="M668" s="2">
        <v>1709.02</v>
      </c>
    </row>
    <row r="669" spans="1:13" x14ac:dyDescent="0.25">
      <c r="A669" t="str">
        <f t="shared" si="188"/>
        <v>E231</v>
      </c>
      <c r="B669">
        <v>1</v>
      </c>
      <c r="C669" t="str">
        <f t="shared" si="189"/>
        <v>10200</v>
      </c>
      <c r="D669" t="str">
        <f t="shared" si="190"/>
        <v>5620</v>
      </c>
      <c r="E669" t="str">
        <f t="shared" si="191"/>
        <v>094OMS</v>
      </c>
      <c r="F669" t="str">
        <f>""</f>
        <v/>
      </c>
      <c r="G669" t="str">
        <f>""</f>
        <v/>
      </c>
      <c r="H669" s="1">
        <v>42217</v>
      </c>
      <c r="I669" t="str">
        <f>"PHY00657"</f>
        <v>PHY00657</v>
      </c>
      <c r="J669" t="str">
        <f t="shared" si="192"/>
        <v>FPOLICE</v>
      </c>
      <c r="K669" t="str">
        <f t="shared" si="193"/>
        <v>AS89</v>
      </c>
      <c r="L669" t="s">
        <v>2570</v>
      </c>
      <c r="M669" s="2">
        <v>2134.4299999999998</v>
      </c>
    </row>
    <row r="670" spans="1:13" x14ac:dyDescent="0.25">
      <c r="A670" t="str">
        <f t="shared" si="188"/>
        <v>E231</v>
      </c>
      <c r="B670">
        <v>1</v>
      </c>
      <c r="C670" t="str">
        <f t="shared" si="189"/>
        <v>10200</v>
      </c>
      <c r="D670" t="str">
        <f t="shared" si="190"/>
        <v>5620</v>
      </c>
      <c r="E670" t="str">
        <f t="shared" si="191"/>
        <v>094OMS</v>
      </c>
      <c r="F670" t="str">
        <f>""</f>
        <v/>
      </c>
      <c r="G670" t="str">
        <f>""</f>
        <v/>
      </c>
      <c r="H670" s="1">
        <v>42248</v>
      </c>
      <c r="I670" t="str">
        <f>"PHY00658"</f>
        <v>PHY00658</v>
      </c>
      <c r="J670" t="str">
        <f t="shared" si="192"/>
        <v>FPOLICE</v>
      </c>
      <c r="K670" t="str">
        <f t="shared" si="193"/>
        <v>AS89</v>
      </c>
      <c r="L670" t="s">
        <v>2570</v>
      </c>
      <c r="M670" s="2">
        <v>1715.43</v>
      </c>
    </row>
    <row r="671" spans="1:13" x14ac:dyDescent="0.25">
      <c r="A671" t="str">
        <f t="shared" si="188"/>
        <v>E231</v>
      </c>
      <c r="B671">
        <v>1</v>
      </c>
      <c r="C671" t="str">
        <f t="shared" si="189"/>
        <v>10200</v>
      </c>
      <c r="D671" t="str">
        <f t="shared" si="190"/>
        <v>5620</v>
      </c>
      <c r="E671" t="str">
        <f t="shared" si="191"/>
        <v>094OMS</v>
      </c>
      <c r="F671" t="str">
        <f>""</f>
        <v/>
      </c>
      <c r="G671" t="str">
        <f>""</f>
        <v/>
      </c>
      <c r="H671" s="1">
        <v>42278</v>
      </c>
      <c r="I671" t="str">
        <f>"PHY00659"</f>
        <v>PHY00659</v>
      </c>
      <c r="J671" t="str">
        <f t="shared" si="192"/>
        <v>FPOLICE</v>
      </c>
      <c r="K671" t="str">
        <f t="shared" si="193"/>
        <v>AS89</v>
      </c>
      <c r="L671" t="s">
        <v>2570</v>
      </c>
      <c r="M671" s="2">
        <v>1888.76</v>
      </c>
    </row>
    <row r="672" spans="1:13" x14ac:dyDescent="0.25">
      <c r="A672" t="str">
        <f t="shared" si="188"/>
        <v>E231</v>
      </c>
      <c r="B672">
        <v>1</v>
      </c>
      <c r="C672" t="str">
        <f t="shared" si="189"/>
        <v>10200</v>
      </c>
      <c r="D672" t="str">
        <f t="shared" si="190"/>
        <v>5620</v>
      </c>
      <c r="E672" t="str">
        <f t="shared" si="191"/>
        <v>094OMS</v>
      </c>
      <c r="F672" t="str">
        <f>""</f>
        <v/>
      </c>
      <c r="G672" t="str">
        <f>""</f>
        <v/>
      </c>
      <c r="H672" s="1">
        <v>42309</v>
      </c>
      <c r="I672" t="str">
        <f>"PHY00660"</f>
        <v>PHY00660</v>
      </c>
      <c r="J672" t="str">
        <f t="shared" si="192"/>
        <v>FPOLICE</v>
      </c>
      <c r="K672" t="str">
        <f t="shared" si="193"/>
        <v>AS89</v>
      </c>
      <c r="L672" t="s">
        <v>2570</v>
      </c>
      <c r="M672" s="2">
        <v>2251.2800000000002</v>
      </c>
    </row>
    <row r="673" spans="1:13" x14ac:dyDescent="0.25">
      <c r="A673" t="str">
        <f t="shared" si="188"/>
        <v>E231</v>
      </c>
      <c r="B673">
        <v>1</v>
      </c>
      <c r="C673" t="str">
        <f t="shared" si="189"/>
        <v>10200</v>
      </c>
      <c r="D673" t="str">
        <f t="shared" si="190"/>
        <v>5620</v>
      </c>
      <c r="E673" t="str">
        <f t="shared" si="191"/>
        <v>094OMS</v>
      </c>
      <c r="F673" t="str">
        <f>""</f>
        <v/>
      </c>
      <c r="G673" t="str">
        <f>""</f>
        <v/>
      </c>
      <c r="H673" s="1">
        <v>42339</v>
      </c>
      <c r="I673" t="str">
        <f>"PHY00661"</f>
        <v>PHY00661</v>
      </c>
      <c r="J673" t="str">
        <f t="shared" si="192"/>
        <v>FPOLICE</v>
      </c>
      <c r="K673" t="str">
        <f t="shared" si="193"/>
        <v>AS89</v>
      </c>
      <c r="L673" t="s">
        <v>2570</v>
      </c>
      <c r="M673" s="2">
        <v>2364.27</v>
      </c>
    </row>
    <row r="674" spans="1:13" x14ac:dyDescent="0.25">
      <c r="A674" t="str">
        <f t="shared" si="188"/>
        <v>E231</v>
      </c>
      <c r="B674">
        <v>1</v>
      </c>
      <c r="C674" t="str">
        <f t="shared" si="189"/>
        <v>10200</v>
      </c>
      <c r="D674" t="str">
        <f t="shared" si="190"/>
        <v>5620</v>
      </c>
      <c r="E674" t="str">
        <f t="shared" si="191"/>
        <v>094OMS</v>
      </c>
      <c r="F674" t="str">
        <f>""</f>
        <v/>
      </c>
      <c r="G674" t="str">
        <f>""</f>
        <v/>
      </c>
      <c r="H674" s="1">
        <v>42370</v>
      </c>
      <c r="I674" t="str">
        <f>"PHY00662"</f>
        <v>PHY00662</v>
      </c>
      <c r="J674" t="str">
        <f t="shared" si="192"/>
        <v>FPOLICE</v>
      </c>
      <c r="K674" t="str">
        <f t="shared" si="193"/>
        <v>AS89</v>
      </c>
      <c r="L674" t="s">
        <v>2570</v>
      </c>
      <c r="M674" s="2">
        <v>1897.75</v>
      </c>
    </row>
    <row r="675" spans="1:13" x14ac:dyDescent="0.25">
      <c r="A675" t="str">
        <f t="shared" si="188"/>
        <v>E231</v>
      </c>
      <c r="B675">
        <v>1</v>
      </c>
      <c r="C675" t="str">
        <f t="shared" si="189"/>
        <v>10200</v>
      </c>
      <c r="D675" t="str">
        <f t="shared" si="190"/>
        <v>5620</v>
      </c>
      <c r="E675" t="str">
        <f t="shared" si="191"/>
        <v>094OMS</v>
      </c>
      <c r="F675" t="str">
        <f>""</f>
        <v/>
      </c>
      <c r="G675" t="str">
        <f>""</f>
        <v/>
      </c>
      <c r="H675" s="1">
        <v>42401</v>
      </c>
      <c r="I675" t="str">
        <f>"PHY00663"</f>
        <v>PHY00663</v>
      </c>
      <c r="J675" t="str">
        <f t="shared" si="192"/>
        <v>FPOLICE</v>
      </c>
      <c r="K675" t="str">
        <f t="shared" si="193"/>
        <v>AS89</v>
      </c>
      <c r="L675" t="s">
        <v>2570</v>
      </c>
      <c r="M675" s="2">
        <v>2178.9499999999998</v>
      </c>
    </row>
    <row r="676" spans="1:13" x14ac:dyDescent="0.25">
      <c r="A676" t="str">
        <f t="shared" si="188"/>
        <v>E231</v>
      </c>
      <c r="B676">
        <v>1</v>
      </c>
      <c r="C676" t="str">
        <f t="shared" si="189"/>
        <v>10200</v>
      </c>
      <c r="D676" t="str">
        <f t="shared" si="190"/>
        <v>5620</v>
      </c>
      <c r="E676" t="str">
        <f t="shared" si="191"/>
        <v>094OMS</v>
      </c>
      <c r="F676" t="str">
        <f>""</f>
        <v/>
      </c>
      <c r="G676" t="str">
        <f>""</f>
        <v/>
      </c>
      <c r="H676" s="1">
        <v>42430</v>
      </c>
      <c r="I676" t="str">
        <f>"PHY00664"</f>
        <v>PHY00664</v>
      </c>
      <c r="J676" t="str">
        <f t="shared" si="192"/>
        <v>FPOLICE</v>
      </c>
      <c r="K676" t="str">
        <f t="shared" si="193"/>
        <v>AS89</v>
      </c>
      <c r="L676" t="s">
        <v>2570</v>
      </c>
      <c r="M676" s="2">
        <v>1940.55</v>
      </c>
    </row>
    <row r="677" spans="1:13" x14ac:dyDescent="0.25">
      <c r="A677" t="str">
        <f t="shared" si="188"/>
        <v>E231</v>
      </c>
      <c r="B677">
        <v>1</v>
      </c>
      <c r="C677" t="str">
        <f t="shared" si="189"/>
        <v>10200</v>
      </c>
      <c r="D677" t="str">
        <f t="shared" si="190"/>
        <v>5620</v>
      </c>
      <c r="E677" t="str">
        <f t="shared" si="191"/>
        <v>094OMS</v>
      </c>
      <c r="F677" t="str">
        <f>""</f>
        <v/>
      </c>
      <c r="G677" t="str">
        <f>""</f>
        <v/>
      </c>
      <c r="H677" s="1">
        <v>42461</v>
      </c>
      <c r="I677" t="str">
        <f>"PHY00665"</f>
        <v>PHY00665</v>
      </c>
      <c r="J677" t="str">
        <f t="shared" si="192"/>
        <v>FPOLICE</v>
      </c>
      <c r="K677" t="str">
        <f t="shared" si="193"/>
        <v>AS89</v>
      </c>
      <c r="L677" t="s">
        <v>2570</v>
      </c>
      <c r="M677" s="2">
        <v>2202.4899999999998</v>
      </c>
    </row>
    <row r="678" spans="1:13" x14ac:dyDescent="0.25">
      <c r="A678" t="str">
        <f t="shared" si="188"/>
        <v>E231</v>
      </c>
      <c r="B678">
        <v>1</v>
      </c>
      <c r="C678" t="str">
        <f t="shared" si="189"/>
        <v>10200</v>
      </c>
      <c r="D678" t="str">
        <f t="shared" si="190"/>
        <v>5620</v>
      </c>
      <c r="E678" t="str">
        <f t="shared" si="191"/>
        <v>094OMS</v>
      </c>
      <c r="F678" t="str">
        <f>""</f>
        <v/>
      </c>
      <c r="G678" t="str">
        <f>""</f>
        <v/>
      </c>
      <c r="H678" s="1">
        <v>42491</v>
      </c>
      <c r="I678" t="str">
        <f>"PHY00666"</f>
        <v>PHY00666</v>
      </c>
      <c r="J678" t="str">
        <f t="shared" si="192"/>
        <v>FPOLICE</v>
      </c>
      <c r="K678" t="str">
        <f t="shared" si="193"/>
        <v>AS89</v>
      </c>
      <c r="L678" t="s">
        <v>2570</v>
      </c>
      <c r="M678" s="2">
        <v>1941.84</v>
      </c>
    </row>
    <row r="679" spans="1:13" x14ac:dyDescent="0.25">
      <c r="A679" t="str">
        <f t="shared" si="188"/>
        <v>E231</v>
      </c>
      <c r="B679">
        <v>1</v>
      </c>
      <c r="C679" t="str">
        <f t="shared" si="189"/>
        <v>10200</v>
      </c>
      <c r="D679" t="str">
        <f t="shared" si="190"/>
        <v>5620</v>
      </c>
      <c r="E679" t="str">
        <f t="shared" si="191"/>
        <v>094OMS</v>
      </c>
      <c r="F679" t="str">
        <f>""</f>
        <v/>
      </c>
      <c r="G679" t="str">
        <f>""</f>
        <v/>
      </c>
      <c r="H679" s="1">
        <v>42522</v>
      </c>
      <c r="I679" t="str">
        <f>"PHY00667"</f>
        <v>PHY00667</v>
      </c>
      <c r="J679" t="str">
        <f t="shared" si="192"/>
        <v>FPOLICE</v>
      </c>
      <c r="K679" t="str">
        <f t="shared" si="193"/>
        <v>AS89</v>
      </c>
      <c r="L679" t="s">
        <v>2570</v>
      </c>
      <c r="M679" s="2">
        <v>1996.62</v>
      </c>
    </row>
    <row r="680" spans="1:13" x14ac:dyDescent="0.25">
      <c r="A680" t="str">
        <f t="shared" si="188"/>
        <v>E231</v>
      </c>
      <c r="B680">
        <v>1</v>
      </c>
      <c r="C680" t="str">
        <f>"23275"</f>
        <v>23275</v>
      </c>
      <c r="D680" t="str">
        <f t="shared" si="190"/>
        <v>5620</v>
      </c>
      <c r="E680" t="str">
        <f>"063STF"</f>
        <v>063STF</v>
      </c>
      <c r="F680" t="str">
        <f>""</f>
        <v/>
      </c>
      <c r="G680" t="str">
        <f>""</f>
        <v/>
      </c>
      <c r="H680" s="1">
        <v>42278</v>
      </c>
      <c r="I680" t="str">
        <f>"PHY00659"</f>
        <v>PHY00659</v>
      </c>
      <c r="J680" t="str">
        <f>"FUNIVSHU"</f>
        <v>FUNIVSHU</v>
      </c>
      <c r="K680" t="str">
        <f t="shared" si="193"/>
        <v>AS89</v>
      </c>
      <c r="L680" t="s">
        <v>2570</v>
      </c>
      <c r="M680" s="2">
        <v>2842.04</v>
      </c>
    </row>
    <row r="681" spans="1:13" x14ac:dyDescent="0.25">
      <c r="A681" t="str">
        <f t="shared" si="188"/>
        <v>E231</v>
      </c>
      <c r="B681">
        <v>1</v>
      </c>
      <c r="C681" t="str">
        <f t="shared" ref="C681:C700" si="194">"43000"</f>
        <v>43000</v>
      </c>
      <c r="D681" t="str">
        <f t="shared" si="190"/>
        <v>5620</v>
      </c>
      <c r="E681" t="str">
        <f t="shared" ref="E681:E700" si="195">"850LOS"</f>
        <v>850LOS</v>
      </c>
      <c r="F681" t="str">
        <f>""</f>
        <v/>
      </c>
      <c r="G681" t="str">
        <f>""</f>
        <v/>
      </c>
      <c r="H681" s="1">
        <v>42186</v>
      </c>
      <c r="I681" t="str">
        <f>"PHY00656"</f>
        <v>PHY00656</v>
      </c>
      <c r="J681" t="str">
        <f t="shared" ref="J681:J700" si="196">"FPARKING"</f>
        <v>FPARKING</v>
      </c>
      <c r="K681" t="str">
        <f t="shared" si="193"/>
        <v>AS89</v>
      </c>
      <c r="L681" t="s">
        <v>2570</v>
      </c>
      <c r="M681">
        <v>633.44000000000005</v>
      </c>
    </row>
    <row r="682" spans="1:13" x14ac:dyDescent="0.25">
      <c r="A682" t="str">
        <f t="shared" si="188"/>
        <v>E231</v>
      </c>
      <c r="B682">
        <v>1</v>
      </c>
      <c r="C682" t="str">
        <f t="shared" si="194"/>
        <v>43000</v>
      </c>
      <c r="D682" t="str">
        <f t="shared" si="190"/>
        <v>5620</v>
      </c>
      <c r="E682" t="str">
        <f t="shared" si="195"/>
        <v>850LOS</v>
      </c>
      <c r="F682" t="str">
        <f>""</f>
        <v/>
      </c>
      <c r="G682" t="str">
        <f>""</f>
        <v/>
      </c>
      <c r="H682" s="1">
        <v>42217</v>
      </c>
      <c r="I682" t="str">
        <f>"PHY00657"</f>
        <v>PHY00657</v>
      </c>
      <c r="J682" t="str">
        <f t="shared" si="196"/>
        <v>FPARKING</v>
      </c>
      <c r="K682" t="str">
        <f t="shared" si="193"/>
        <v>AS89</v>
      </c>
      <c r="L682" t="s">
        <v>2570</v>
      </c>
      <c r="M682">
        <v>904.93</v>
      </c>
    </row>
    <row r="683" spans="1:13" x14ac:dyDescent="0.25">
      <c r="A683" t="str">
        <f t="shared" si="188"/>
        <v>E231</v>
      </c>
      <c r="B683">
        <v>1</v>
      </c>
      <c r="C683" t="str">
        <f t="shared" si="194"/>
        <v>43000</v>
      </c>
      <c r="D683" t="str">
        <f t="shared" si="190"/>
        <v>5620</v>
      </c>
      <c r="E683" t="str">
        <f t="shared" si="195"/>
        <v>850LOS</v>
      </c>
      <c r="F683" t="str">
        <f>""</f>
        <v/>
      </c>
      <c r="G683" t="str">
        <f>""</f>
        <v/>
      </c>
      <c r="H683" s="1">
        <v>42248</v>
      </c>
      <c r="I683" t="str">
        <f>"PHY00658"</f>
        <v>PHY00658</v>
      </c>
      <c r="J683" t="str">
        <f t="shared" si="196"/>
        <v>FPARKING</v>
      </c>
      <c r="K683" t="str">
        <f t="shared" si="193"/>
        <v>AS89</v>
      </c>
      <c r="L683" t="s">
        <v>2570</v>
      </c>
      <c r="M683">
        <v>935.36</v>
      </c>
    </row>
    <row r="684" spans="1:13" x14ac:dyDescent="0.25">
      <c r="A684" t="str">
        <f t="shared" si="188"/>
        <v>E231</v>
      </c>
      <c r="B684">
        <v>1</v>
      </c>
      <c r="C684" t="str">
        <f t="shared" si="194"/>
        <v>43000</v>
      </c>
      <c r="D684" t="str">
        <f t="shared" si="190"/>
        <v>5620</v>
      </c>
      <c r="E684" t="str">
        <f t="shared" si="195"/>
        <v>850LOS</v>
      </c>
      <c r="F684" t="str">
        <f>""</f>
        <v/>
      </c>
      <c r="G684" t="str">
        <f>""</f>
        <v/>
      </c>
      <c r="H684" s="1">
        <v>42278</v>
      </c>
      <c r="I684" t="str">
        <f>"PHY00659"</f>
        <v>PHY00659</v>
      </c>
      <c r="J684" t="str">
        <f t="shared" si="196"/>
        <v>FPARKING</v>
      </c>
      <c r="K684" t="str">
        <f t="shared" si="193"/>
        <v>AS89</v>
      </c>
      <c r="L684" t="s">
        <v>2570</v>
      </c>
      <c r="M684">
        <v>864.8</v>
      </c>
    </row>
    <row r="685" spans="1:13" x14ac:dyDescent="0.25">
      <c r="A685" t="str">
        <f t="shared" si="188"/>
        <v>E231</v>
      </c>
      <c r="B685">
        <v>1</v>
      </c>
      <c r="C685" t="str">
        <f t="shared" si="194"/>
        <v>43000</v>
      </c>
      <c r="D685" t="str">
        <f t="shared" si="190"/>
        <v>5620</v>
      </c>
      <c r="E685" t="str">
        <f t="shared" si="195"/>
        <v>850LOS</v>
      </c>
      <c r="F685" t="str">
        <f>""</f>
        <v/>
      </c>
      <c r="G685" t="str">
        <f>""</f>
        <v/>
      </c>
      <c r="H685" s="1">
        <v>42309</v>
      </c>
      <c r="I685" t="str">
        <f>"PHY00660"</f>
        <v>PHY00660</v>
      </c>
      <c r="J685" t="str">
        <f t="shared" si="196"/>
        <v>FPARKING</v>
      </c>
      <c r="K685" t="str">
        <f t="shared" si="193"/>
        <v>AS89</v>
      </c>
      <c r="L685" t="s">
        <v>2570</v>
      </c>
      <c r="M685">
        <v>755.74</v>
      </c>
    </row>
    <row r="686" spans="1:13" x14ac:dyDescent="0.25">
      <c r="A686" t="str">
        <f t="shared" si="188"/>
        <v>E231</v>
      </c>
      <c r="B686">
        <v>1</v>
      </c>
      <c r="C686" t="str">
        <f t="shared" si="194"/>
        <v>43000</v>
      </c>
      <c r="D686" t="str">
        <f t="shared" si="190"/>
        <v>5620</v>
      </c>
      <c r="E686" t="str">
        <f t="shared" si="195"/>
        <v>850LOS</v>
      </c>
      <c r="F686" t="str">
        <f>""</f>
        <v/>
      </c>
      <c r="G686" t="str">
        <f>""</f>
        <v/>
      </c>
      <c r="H686" s="1">
        <v>42339</v>
      </c>
      <c r="I686" t="str">
        <f>"PHY00661"</f>
        <v>PHY00661</v>
      </c>
      <c r="J686" t="str">
        <f t="shared" si="196"/>
        <v>FPARKING</v>
      </c>
      <c r="K686" t="str">
        <f t="shared" si="193"/>
        <v>AS89</v>
      </c>
      <c r="L686" t="s">
        <v>2570</v>
      </c>
      <c r="M686">
        <v>783.95</v>
      </c>
    </row>
    <row r="687" spans="1:13" x14ac:dyDescent="0.25">
      <c r="A687" t="str">
        <f t="shared" si="188"/>
        <v>E231</v>
      </c>
      <c r="B687">
        <v>1</v>
      </c>
      <c r="C687" t="str">
        <f t="shared" si="194"/>
        <v>43000</v>
      </c>
      <c r="D687" t="str">
        <f t="shared" si="190"/>
        <v>5620</v>
      </c>
      <c r="E687" t="str">
        <f t="shared" si="195"/>
        <v>850LOS</v>
      </c>
      <c r="F687" t="str">
        <f>""</f>
        <v/>
      </c>
      <c r="G687" t="str">
        <f>""</f>
        <v/>
      </c>
      <c r="H687" s="1">
        <v>42370</v>
      </c>
      <c r="I687" t="str">
        <f>"PHY00662"</f>
        <v>PHY00662</v>
      </c>
      <c r="J687" t="str">
        <f t="shared" si="196"/>
        <v>FPARKING</v>
      </c>
      <c r="K687" t="str">
        <f t="shared" si="193"/>
        <v>AS89</v>
      </c>
      <c r="L687" t="s">
        <v>2570</v>
      </c>
      <c r="M687">
        <v>867.77</v>
      </c>
    </row>
    <row r="688" spans="1:13" x14ac:dyDescent="0.25">
      <c r="A688" t="str">
        <f t="shared" si="188"/>
        <v>E231</v>
      </c>
      <c r="B688">
        <v>1</v>
      </c>
      <c r="C688" t="str">
        <f t="shared" si="194"/>
        <v>43000</v>
      </c>
      <c r="D688" t="str">
        <f t="shared" si="190"/>
        <v>5620</v>
      </c>
      <c r="E688" t="str">
        <f t="shared" si="195"/>
        <v>850LOS</v>
      </c>
      <c r="F688" t="str">
        <f>""</f>
        <v/>
      </c>
      <c r="G688" t="str">
        <f>""</f>
        <v/>
      </c>
      <c r="H688" s="1">
        <v>42401</v>
      </c>
      <c r="I688" t="str">
        <f>"PHY00663"</f>
        <v>PHY00663</v>
      </c>
      <c r="J688" t="str">
        <f t="shared" si="196"/>
        <v>FPARKING</v>
      </c>
      <c r="K688" t="str">
        <f t="shared" si="193"/>
        <v>AS89</v>
      </c>
      <c r="L688" t="s">
        <v>2570</v>
      </c>
      <c r="M688">
        <v>803.29</v>
      </c>
    </row>
    <row r="689" spans="1:13" x14ac:dyDescent="0.25">
      <c r="A689" t="str">
        <f t="shared" si="188"/>
        <v>E231</v>
      </c>
      <c r="B689">
        <v>1</v>
      </c>
      <c r="C689" t="str">
        <f t="shared" si="194"/>
        <v>43000</v>
      </c>
      <c r="D689" t="str">
        <f t="shared" ref="D689:D700" si="197">"5740"</f>
        <v>5740</v>
      </c>
      <c r="E689" t="str">
        <f t="shared" si="195"/>
        <v>850LOS</v>
      </c>
      <c r="F689" t="str">
        <f>""</f>
        <v/>
      </c>
      <c r="G689" t="str">
        <f>""</f>
        <v/>
      </c>
      <c r="H689" s="1">
        <v>42430</v>
      </c>
      <c r="I689" t="str">
        <f>"PHY00664"</f>
        <v>PHY00664</v>
      </c>
      <c r="J689" t="str">
        <f t="shared" si="196"/>
        <v>FPARKING</v>
      </c>
      <c r="K689" t="str">
        <f t="shared" si="193"/>
        <v>AS89</v>
      </c>
      <c r="L689" t="s">
        <v>2570</v>
      </c>
      <c r="M689">
        <v>996.12</v>
      </c>
    </row>
    <row r="690" spans="1:13" x14ac:dyDescent="0.25">
      <c r="A690" t="str">
        <f t="shared" si="188"/>
        <v>E231</v>
      </c>
      <c r="B690">
        <v>1</v>
      </c>
      <c r="C690" t="str">
        <f t="shared" si="194"/>
        <v>43000</v>
      </c>
      <c r="D690" t="str">
        <f t="shared" si="197"/>
        <v>5740</v>
      </c>
      <c r="E690" t="str">
        <f t="shared" si="195"/>
        <v>850LOS</v>
      </c>
      <c r="F690" t="str">
        <f>""</f>
        <v/>
      </c>
      <c r="G690" t="str">
        <f>""</f>
        <v/>
      </c>
      <c r="H690" s="1">
        <v>42461</v>
      </c>
      <c r="I690" t="str">
        <f>"PHY00665"</f>
        <v>PHY00665</v>
      </c>
      <c r="J690" t="str">
        <f t="shared" si="196"/>
        <v>FPARKING</v>
      </c>
      <c r="K690" t="str">
        <f t="shared" si="193"/>
        <v>AS89</v>
      </c>
      <c r="L690" t="s">
        <v>2570</v>
      </c>
      <c r="M690">
        <v>834.85</v>
      </c>
    </row>
    <row r="691" spans="1:13" x14ac:dyDescent="0.25">
      <c r="A691" t="str">
        <f t="shared" si="188"/>
        <v>E231</v>
      </c>
      <c r="B691">
        <v>1</v>
      </c>
      <c r="C691" t="str">
        <f t="shared" si="194"/>
        <v>43000</v>
      </c>
      <c r="D691" t="str">
        <f t="shared" si="197"/>
        <v>5740</v>
      </c>
      <c r="E691" t="str">
        <f t="shared" si="195"/>
        <v>850LOS</v>
      </c>
      <c r="F691" t="str">
        <f>""</f>
        <v/>
      </c>
      <c r="G691" t="str">
        <f>""</f>
        <v/>
      </c>
      <c r="H691" s="1">
        <v>42491</v>
      </c>
      <c r="I691" t="str">
        <f>"PHY00666"</f>
        <v>PHY00666</v>
      </c>
      <c r="J691" t="str">
        <f t="shared" si="196"/>
        <v>FPARKING</v>
      </c>
      <c r="K691" t="str">
        <f t="shared" si="193"/>
        <v>AS89</v>
      </c>
      <c r="L691" t="s">
        <v>2570</v>
      </c>
      <c r="M691" s="2">
        <v>1089</v>
      </c>
    </row>
    <row r="692" spans="1:13" x14ac:dyDescent="0.25">
      <c r="A692" t="str">
        <f t="shared" si="188"/>
        <v>E231</v>
      </c>
      <c r="B692">
        <v>1</v>
      </c>
      <c r="C692" t="str">
        <f t="shared" si="194"/>
        <v>43000</v>
      </c>
      <c r="D692" t="str">
        <f t="shared" si="197"/>
        <v>5740</v>
      </c>
      <c r="E692" t="str">
        <f t="shared" si="195"/>
        <v>850LOS</v>
      </c>
      <c r="F692" t="str">
        <f>""</f>
        <v/>
      </c>
      <c r="G692" t="str">
        <f>""</f>
        <v/>
      </c>
      <c r="H692" s="1">
        <v>42522</v>
      </c>
      <c r="I692" t="str">
        <f>"PHY00667"</f>
        <v>PHY00667</v>
      </c>
      <c r="J692" t="str">
        <f t="shared" si="196"/>
        <v>FPARKING</v>
      </c>
      <c r="K692" t="str">
        <f t="shared" si="193"/>
        <v>AS89</v>
      </c>
      <c r="L692" t="s">
        <v>2570</v>
      </c>
      <c r="M692" s="2">
        <v>1044.76</v>
      </c>
    </row>
    <row r="693" spans="1:13" x14ac:dyDescent="0.25">
      <c r="A693" t="str">
        <f t="shared" si="188"/>
        <v>E231</v>
      </c>
      <c r="B693">
        <v>1</v>
      </c>
      <c r="C693" t="str">
        <f t="shared" si="194"/>
        <v>43000</v>
      </c>
      <c r="D693" t="str">
        <f t="shared" si="197"/>
        <v>5740</v>
      </c>
      <c r="E693" t="str">
        <f t="shared" si="195"/>
        <v>850LOS</v>
      </c>
      <c r="F693" t="str">
        <f>""</f>
        <v/>
      </c>
      <c r="G693" t="str">
        <f>""</f>
        <v/>
      </c>
      <c r="H693" s="1">
        <v>42535</v>
      </c>
      <c r="I693" t="str">
        <f t="shared" ref="I693:I700" si="198">"ACG02686"</f>
        <v>ACG02686</v>
      </c>
      <c r="J693" t="str">
        <f t="shared" si="196"/>
        <v>FPARKING</v>
      </c>
      <c r="K693" t="str">
        <f t="shared" ref="K693:K700" si="199">"AS96"</f>
        <v>AS96</v>
      </c>
      <c r="L693" t="s">
        <v>2570</v>
      </c>
      <c r="M693">
        <v>867.77</v>
      </c>
    </row>
    <row r="694" spans="1:13" x14ac:dyDescent="0.25">
      <c r="A694" t="str">
        <f t="shared" si="188"/>
        <v>E231</v>
      </c>
      <c r="B694">
        <v>1</v>
      </c>
      <c r="C694" t="str">
        <f t="shared" si="194"/>
        <v>43000</v>
      </c>
      <c r="D694" t="str">
        <f t="shared" si="197"/>
        <v>5740</v>
      </c>
      <c r="E694" t="str">
        <f t="shared" si="195"/>
        <v>850LOS</v>
      </c>
      <c r="F694" t="str">
        <f>""</f>
        <v/>
      </c>
      <c r="G694" t="str">
        <f>""</f>
        <v/>
      </c>
      <c r="H694" s="1">
        <v>42535</v>
      </c>
      <c r="I694" t="str">
        <f t="shared" si="198"/>
        <v>ACG02686</v>
      </c>
      <c r="J694" t="str">
        <f t="shared" si="196"/>
        <v>FPARKING</v>
      </c>
      <c r="K694" t="str">
        <f t="shared" si="199"/>
        <v>AS96</v>
      </c>
      <c r="L694" t="s">
        <v>2570</v>
      </c>
      <c r="M694">
        <v>904.93</v>
      </c>
    </row>
    <row r="695" spans="1:13" x14ac:dyDescent="0.25">
      <c r="A695" t="str">
        <f t="shared" si="188"/>
        <v>E231</v>
      </c>
      <c r="B695">
        <v>1</v>
      </c>
      <c r="C695" t="str">
        <f t="shared" si="194"/>
        <v>43000</v>
      </c>
      <c r="D695" t="str">
        <f t="shared" si="197"/>
        <v>5740</v>
      </c>
      <c r="E695" t="str">
        <f t="shared" si="195"/>
        <v>850LOS</v>
      </c>
      <c r="F695" t="str">
        <f>""</f>
        <v/>
      </c>
      <c r="G695" t="str">
        <f>""</f>
        <v/>
      </c>
      <c r="H695" s="1">
        <v>42535</v>
      </c>
      <c r="I695" t="str">
        <f t="shared" si="198"/>
        <v>ACG02686</v>
      </c>
      <c r="J695" t="str">
        <f t="shared" si="196"/>
        <v>FPARKING</v>
      </c>
      <c r="K695" t="str">
        <f t="shared" si="199"/>
        <v>AS96</v>
      </c>
      <c r="L695" t="s">
        <v>2570</v>
      </c>
      <c r="M695">
        <v>935.36</v>
      </c>
    </row>
    <row r="696" spans="1:13" x14ac:dyDescent="0.25">
      <c r="A696" t="str">
        <f t="shared" si="188"/>
        <v>E231</v>
      </c>
      <c r="B696">
        <v>1</v>
      </c>
      <c r="C696" t="str">
        <f t="shared" si="194"/>
        <v>43000</v>
      </c>
      <c r="D696" t="str">
        <f t="shared" si="197"/>
        <v>5740</v>
      </c>
      <c r="E696" t="str">
        <f t="shared" si="195"/>
        <v>850LOS</v>
      </c>
      <c r="F696" t="str">
        <f>""</f>
        <v/>
      </c>
      <c r="G696" t="str">
        <f>""</f>
        <v/>
      </c>
      <c r="H696" s="1">
        <v>42535</v>
      </c>
      <c r="I696" t="str">
        <f t="shared" si="198"/>
        <v>ACG02686</v>
      </c>
      <c r="J696" t="str">
        <f t="shared" si="196"/>
        <v>FPARKING</v>
      </c>
      <c r="K696" t="str">
        <f t="shared" si="199"/>
        <v>AS96</v>
      </c>
      <c r="L696" t="s">
        <v>2570</v>
      </c>
      <c r="M696">
        <v>864.8</v>
      </c>
    </row>
    <row r="697" spans="1:13" x14ac:dyDescent="0.25">
      <c r="A697" t="str">
        <f t="shared" si="188"/>
        <v>E231</v>
      </c>
      <c r="B697">
        <v>1</v>
      </c>
      <c r="C697" t="str">
        <f t="shared" si="194"/>
        <v>43000</v>
      </c>
      <c r="D697" t="str">
        <f t="shared" si="197"/>
        <v>5740</v>
      </c>
      <c r="E697" t="str">
        <f t="shared" si="195"/>
        <v>850LOS</v>
      </c>
      <c r="F697" t="str">
        <f>""</f>
        <v/>
      </c>
      <c r="G697" t="str">
        <f>""</f>
        <v/>
      </c>
      <c r="H697" s="1">
        <v>42535</v>
      </c>
      <c r="I697" t="str">
        <f t="shared" si="198"/>
        <v>ACG02686</v>
      </c>
      <c r="J697" t="str">
        <f t="shared" si="196"/>
        <v>FPARKING</v>
      </c>
      <c r="K697" t="str">
        <f t="shared" si="199"/>
        <v>AS96</v>
      </c>
      <c r="L697" t="s">
        <v>2570</v>
      </c>
      <c r="M697">
        <v>803.29</v>
      </c>
    </row>
    <row r="698" spans="1:13" x14ac:dyDescent="0.25">
      <c r="A698" t="str">
        <f t="shared" si="188"/>
        <v>E231</v>
      </c>
      <c r="B698">
        <v>1</v>
      </c>
      <c r="C698" t="str">
        <f t="shared" si="194"/>
        <v>43000</v>
      </c>
      <c r="D698" t="str">
        <f t="shared" si="197"/>
        <v>5740</v>
      </c>
      <c r="E698" t="str">
        <f t="shared" si="195"/>
        <v>850LOS</v>
      </c>
      <c r="F698" t="str">
        <f>""</f>
        <v/>
      </c>
      <c r="G698" t="str">
        <f>""</f>
        <v/>
      </c>
      <c r="H698" s="1">
        <v>42535</v>
      </c>
      <c r="I698" t="str">
        <f t="shared" si="198"/>
        <v>ACG02686</v>
      </c>
      <c r="J698" t="str">
        <f t="shared" si="196"/>
        <v>FPARKING</v>
      </c>
      <c r="K698" t="str">
        <f t="shared" si="199"/>
        <v>AS96</v>
      </c>
      <c r="L698" t="s">
        <v>2570</v>
      </c>
      <c r="M698">
        <v>755.74</v>
      </c>
    </row>
    <row r="699" spans="1:13" x14ac:dyDescent="0.25">
      <c r="A699" t="str">
        <f t="shared" si="188"/>
        <v>E231</v>
      </c>
      <c r="B699">
        <v>1</v>
      </c>
      <c r="C699" t="str">
        <f t="shared" si="194"/>
        <v>43000</v>
      </c>
      <c r="D699" t="str">
        <f t="shared" si="197"/>
        <v>5740</v>
      </c>
      <c r="E699" t="str">
        <f t="shared" si="195"/>
        <v>850LOS</v>
      </c>
      <c r="F699" t="str">
        <f>""</f>
        <v/>
      </c>
      <c r="G699" t="str">
        <f>""</f>
        <v/>
      </c>
      <c r="H699" s="1">
        <v>42535</v>
      </c>
      <c r="I699" t="str">
        <f t="shared" si="198"/>
        <v>ACG02686</v>
      </c>
      <c r="J699" t="str">
        <f t="shared" si="196"/>
        <v>FPARKING</v>
      </c>
      <c r="K699" t="str">
        <f t="shared" si="199"/>
        <v>AS96</v>
      </c>
      <c r="L699" t="s">
        <v>2570</v>
      </c>
      <c r="M699">
        <v>633.44000000000005</v>
      </c>
    </row>
    <row r="700" spans="1:13" x14ac:dyDescent="0.25">
      <c r="A700" t="str">
        <f t="shared" si="188"/>
        <v>E231</v>
      </c>
      <c r="B700">
        <v>1</v>
      </c>
      <c r="C700" t="str">
        <f t="shared" si="194"/>
        <v>43000</v>
      </c>
      <c r="D700" t="str">
        <f t="shared" si="197"/>
        <v>5740</v>
      </c>
      <c r="E700" t="str">
        <f t="shared" si="195"/>
        <v>850LOS</v>
      </c>
      <c r="F700" t="str">
        <f>""</f>
        <v/>
      </c>
      <c r="G700" t="str">
        <f>""</f>
        <v/>
      </c>
      <c r="H700" s="1">
        <v>42535</v>
      </c>
      <c r="I700" t="str">
        <f t="shared" si="198"/>
        <v>ACG02686</v>
      </c>
      <c r="J700" t="str">
        <f t="shared" si="196"/>
        <v>FPARKING</v>
      </c>
      <c r="K700" t="str">
        <f t="shared" si="199"/>
        <v>AS96</v>
      </c>
      <c r="L700" t="s">
        <v>2570</v>
      </c>
      <c r="M700">
        <v>783.95</v>
      </c>
    </row>
    <row r="701" spans="1:13" x14ac:dyDescent="0.25">
      <c r="A701" t="str">
        <f t="shared" ref="A701:A706" si="200">"E232"</f>
        <v>E232</v>
      </c>
      <c r="B701">
        <v>1</v>
      </c>
      <c r="C701" t="str">
        <f>"10200"</f>
        <v>10200</v>
      </c>
      <c r="D701" t="str">
        <f t="shared" ref="D701:D725" si="201">"5620"</f>
        <v>5620</v>
      </c>
      <c r="E701" t="str">
        <f>"094OMS"</f>
        <v>094OMS</v>
      </c>
      <c r="F701" t="str">
        <f>""</f>
        <v/>
      </c>
      <c r="G701" t="str">
        <f>""</f>
        <v/>
      </c>
      <c r="H701" s="1">
        <v>42277</v>
      </c>
      <c r="I701" t="str">
        <f>"PRK00126"</f>
        <v>PRK00126</v>
      </c>
      <c r="J701" t="str">
        <f>"7000"</f>
        <v>7000</v>
      </c>
      <c r="K701" t="str">
        <f t="shared" ref="K701:K707" si="202">"AS89"</f>
        <v>AS89</v>
      </c>
      <c r="L701" t="s">
        <v>445</v>
      </c>
      <c r="M701">
        <v>144.94999999999999</v>
      </c>
    </row>
    <row r="702" spans="1:13" x14ac:dyDescent="0.25">
      <c r="A702" t="str">
        <f t="shared" si="200"/>
        <v>E232</v>
      </c>
      <c r="B702">
        <v>1</v>
      </c>
      <c r="C702" t="str">
        <f>"10200"</f>
        <v>10200</v>
      </c>
      <c r="D702" t="str">
        <f t="shared" si="201"/>
        <v>5620</v>
      </c>
      <c r="E702" t="str">
        <f>"094OMS"</f>
        <v>094OMS</v>
      </c>
      <c r="F702" t="str">
        <f>""</f>
        <v/>
      </c>
      <c r="G702" t="str">
        <f>""</f>
        <v/>
      </c>
      <c r="H702" s="1">
        <v>42308</v>
      </c>
      <c r="I702" t="str">
        <f>"PRK00127"</f>
        <v>PRK00127</v>
      </c>
      <c r="J702" t="str">
        <f>"7093"</f>
        <v>7093</v>
      </c>
      <c r="K702" t="str">
        <f t="shared" si="202"/>
        <v>AS89</v>
      </c>
      <c r="L702" t="s">
        <v>1682</v>
      </c>
      <c r="M702">
        <v>198</v>
      </c>
    </row>
    <row r="703" spans="1:13" x14ac:dyDescent="0.25">
      <c r="A703" t="str">
        <f t="shared" si="200"/>
        <v>E232</v>
      </c>
      <c r="B703">
        <v>1</v>
      </c>
      <c r="C703" t="str">
        <f>"10200"</f>
        <v>10200</v>
      </c>
      <c r="D703" t="str">
        <f t="shared" si="201"/>
        <v>5620</v>
      </c>
      <c r="E703" t="str">
        <f>"094OMS"</f>
        <v>094OMS</v>
      </c>
      <c r="F703" t="str">
        <f>""</f>
        <v/>
      </c>
      <c r="G703" t="str">
        <f>""</f>
        <v/>
      </c>
      <c r="H703" s="1">
        <v>42400</v>
      </c>
      <c r="I703" t="str">
        <f>"PRK00130"</f>
        <v>PRK00130</v>
      </c>
      <c r="J703" t="str">
        <f>"AP31379"</f>
        <v>AP31379</v>
      </c>
      <c r="K703" t="str">
        <f t="shared" si="202"/>
        <v>AS89</v>
      </c>
      <c r="L703" t="s">
        <v>2773</v>
      </c>
      <c r="M703">
        <v>147.6</v>
      </c>
    </row>
    <row r="704" spans="1:13" x14ac:dyDescent="0.25">
      <c r="A704" t="str">
        <f t="shared" si="200"/>
        <v>E232</v>
      </c>
      <c r="B704">
        <v>1</v>
      </c>
      <c r="C704" t="str">
        <f>"10200"</f>
        <v>10200</v>
      </c>
      <c r="D704" t="str">
        <f t="shared" si="201"/>
        <v>5620</v>
      </c>
      <c r="E704" t="str">
        <f>"094OMS"</f>
        <v>094OMS</v>
      </c>
      <c r="F704" t="str">
        <f>""</f>
        <v/>
      </c>
      <c r="G704" t="str">
        <f>""</f>
        <v/>
      </c>
      <c r="H704" s="1">
        <v>42490</v>
      </c>
      <c r="I704" t="str">
        <f>"PRK00133"</f>
        <v>PRK00133</v>
      </c>
      <c r="J704" t="str">
        <f>"7483"</f>
        <v>7483</v>
      </c>
      <c r="K704" t="str">
        <f t="shared" si="202"/>
        <v>AS89</v>
      </c>
      <c r="L704" t="s">
        <v>1682</v>
      </c>
      <c r="M704">
        <v>231</v>
      </c>
    </row>
    <row r="705" spans="1:13" x14ac:dyDescent="0.25">
      <c r="A705" t="str">
        <f t="shared" si="200"/>
        <v>E232</v>
      </c>
      <c r="B705">
        <v>1</v>
      </c>
      <c r="C705" t="str">
        <f>"23275"</f>
        <v>23275</v>
      </c>
      <c r="D705" t="str">
        <f t="shared" si="201"/>
        <v>5620</v>
      </c>
      <c r="E705" t="str">
        <f>"063STF"</f>
        <v>063STF</v>
      </c>
      <c r="F705" t="str">
        <f>""</f>
        <v/>
      </c>
      <c r="G705" t="str">
        <f>""</f>
        <v/>
      </c>
      <c r="H705" s="1">
        <v>42277</v>
      </c>
      <c r="I705" t="str">
        <f>"PRK00126"</f>
        <v>PRK00126</v>
      </c>
      <c r="J705" t="str">
        <f>""</f>
        <v/>
      </c>
      <c r="K705" t="str">
        <f t="shared" si="202"/>
        <v>AS89</v>
      </c>
      <c r="L705" t="s">
        <v>748</v>
      </c>
      <c r="M705">
        <v>790</v>
      </c>
    </row>
    <row r="706" spans="1:13" x14ac:dyDescent="0.25">
      <c r="A706" t="str">
        <f t="shared" si="200"/>
        <v>E232</v>
      </c>
      <c r="B706">
        <v>1</v>
      </c>
      <c r="C706" t="str">
        <f>"23275"</f>
        <v>23275</v>
      </c>
      <c r="D706" t="str">
        <f t="shared" si="201"/>
        <v>5620</v>
      </c>
      <c r="E706" t="str">
        <f>"063STF"</f>
        <v>063STF</v>
      </c>
      <c r="F706" t="str">
        <f>""</f>
        <v/>
      </c>
      <c r="G706" t="str">
        <f>""</f>
        <v/>
      </c>
      <c r="H706" s="1">
        <v>42277</v>
      </c>
      <c r="I706" t="str">
        <f>"PRK00126"</f>
        <v>PRK00126</v>
      </c>
      <c r="J706" t="str">
        <f>""</f>
        <v/>
      </c>
      <c r="K706" t="str">
        <f t="shared" si="202"/>
        <v>AS89</v>
      </c>
      <c r="L706" t="s">
        <v>2772</v>
      </c>
      <c r="M706">
        <v>718</v>
      </c>
    </row>
    <row r="707" spans="1:13" x14ac:dyDescent="0.25">
      <c r="A707" t="str">
        <f>"E240"</f>
        <v>E240</v>
      </c>
      <c r="B707">
        <v>1</v>
      </c>
      <c r="C707" t="str">
        <f>"10200"</f>
        <v>10200</v>
      </c>
      <c r="D707" t="str">
        <f t="shared" si="201"/>
        <v>5620</v>
      </c>
      <c r="E707" t="str">
        <f>"094OMS"</f>
        <v>094OMS</v>
      </c>
      <c r="F707" t="str">
        <f>""</f>
        <v/>
      </c>
      <c r="G707" t="str">
        <f>""</f>
        <v/>
      </c>
      <c r="H707" s="1">
        <v>42398</v>
      </c>
      <c r="I707" t="str">
        <f>"PCD00764"</f>
        <v>PCD00764</v>
      </c>
      <c r="J707" t="str">
        <f>""</f>
        <v/>
      </c>
      <c r="K707" t="str">
        <f t="shared" si="202"/>
        <v>AS89</v>
      </c>
      <c r="L707" t="s">
        <v>2913</v>
      </c>
      <c r="M707">
        <v>135.88</v>
      </c>
    </row>
    <row r="708" spans="1:13" x14ac:dyDescent="0.25">
      <c r="A708" t="str">
        <f>"E240"</f>
        <v>E240</v>
      </c>
      <c r="B708">
        <v>1</v>
      </c>
      <c r="C708" t="str">
        <f>"23275"</f>
        <v>23275</v>
      </c>
      <c r="D708" t="str">
        <f t="shared" si="201"/>
        <v>5620</v>
      </c>
      <c r="E708" t="str">
        <f>"063STF"</f>
        <v>063STF</v>
      </c>
      <c r="F708" t="str">
        <f>""</f>
        <v/>
      </c>
      <c r="G708" t="str">
        <f>""</f>
        <v/>
      </c>
      <c r="H708" s="1">
        <v>42551</v>
      </c>
      <c r="I708" t="str">
        <f>"J0022860"</f>
        <v>J0022860</v>
      </c>
      <c r="J708" t="str">
        <f>""</f>
        <v/>
      </c>
      <c r="K708" t="str">
        <f>"J096"</f>
        <v>J096</v>
      </c>
      <c r="L708" t="s">
        <v>2912</v>
      </c>
      <c r="M708">
        <v>187.08</v>
      </c>
    </row>
    <row r="709" spans="1:13" x14ac:dyDescent="0.25">
      <c r="A709" t="str">
        <f>"E241"</f>
        <v>E241</v>
      </c>
      <c r="B709">
        <v>1</v>
      </c>
      <c r="C709" t="str">
        <f>"10200"</f>
        <v>10200</v>
      </c>
      <c r="D709" t="str">
        <f t="shared" si="201"/>
        <v>5620</v>
      </c>
      <c r="E709" t="str">
        <f>"094OMS"</f>
        <v>094OMS</v>
      </c>
      <c r="F709" t="str">
        <f>""</f>
        <v/>
      </c>
      <c r="G709" t="str">
        <f>""</f>
        <v/>
      </c>
      <c r="H709" s="1">
        <v>42277</v>
      </c>
      <c r="I709" t="str">
        <f>"PCD00745"</f>
        <v>PCD00745</v>
      </c>
      <c r="J709" t="str">
        <f>""</f>
        <v/>
      </c>
      <c r="K709" t="str">
        <f>"AS89"</f>
        <v>AS89</v>
      </c>
      <c r="L709" t="s">
        <v>2911</v>
      </c>
      <c r="M709">
        <v>101</v>
      </c>
    </row>
    <row r="710" spans="1:13" x14ac:dyDescent="0.25">
      <c r="A710" t="str">
        <f>"E241"</f>
        <v>E241</v>
      </c>
      <c r="B710">
        <v>1</v>
      </c>
      <c r="C710" t="str">
        <f>"23275"</f>
        <v>23275</v>
      </c>
      <c r="D710" t="str">
        <f t="shared" si="201"/>
        <v>5620</v>
      </c>
      <c r="E710" t="str">
        <f>"063STF"</f>
        <v>063STF</v>
      </c>
      <c r="F710" t="str">
        <f>""</f>
        <v/>
      </c>
      <c r="G710" t="str">
        <f>""</f>
        <v/>
      </c>
      <c r="H710" s="1">
        <v>42551</v>
      </c>
      <c r="I710" t="str">
        <f>"SPU00173"</f>
        <v>SPU00173</v>
      </c>
      <c r="J710" t="str">
        <f>""</f>
        <v/>
      </c>
      <c r="K710" t="str">
        <f>"AS89"</f>
        <v>AS89</v>
      </c>
      <c r="L710" t="s">
        <v>2910</v>
      </c>
      <c r="M710" s="2">
        <v>2022.4</v>
      </c>
    </row>
    <row r="711" spans="1:13" x14ac:dyDescent="0.25">
      <c r="A711" t="str">
        <f>"E242"</f>
        <v>E242</v>
      </c>
      <c r="B711">
        <v>1</v>
      </c>
      <c r="C711" t="str">
        <f>"10200"</f>
        <v>10200</v>
      </c>
      <c r="D711" t="str">
        <f t="shared" si="201"/>
        <v>5620</v>
      </c>
      <c r="E711" t="str">
        <f>"094OMS"</f>
        <v>094OMS</v>
      </c>
      <c r="F711" t="str">
        <f>""</f>
        <v/>
      </c>
      <c r="G711" t="str">
        <f>""</f>
        <v/>
      </c>
      <c r="H711" s="1">
        <v>42429</v>
      </c>
      <c r="I711" t="str">
        <f>"MOV00433"</f>
        <v>MOV00433</v>
      </c>
      <c r="J711" t="str">
        <f>"977172"</f>
        <v>977172</v>
      </c>
      <c r="K711" t="str">
        <f>"AS89"</f>
        <v>AS89</v>
      </c>
      <c r="L711" t="s">
        <v>282</v>
      </c>
      <c r="M711">
        <v>105</v>
      </c>
    </row>
    <row r="712" spans="1:13" x14ac:dyDescent="0.25">
      <c r="A712" t="str">
        <f>"E244"</f>
        <v>E244</v>
      </c>
      <c r="B712">
        <v>1</v>
      </c>
      <c r="C712" t="str">
        <f>"23275"</f>
        <v>23275</v>
      </c>
      <c r="D712" t="str">
        <f t="shared" si="201"/>
        <v>5620</v>
      </c>
      <c r="E712" t="str">
        <f>"063STF"</f>
        <v>063STF</v>
      </c>
      <c r="F712" t="str">
        <f>""</f>
        <v/>
      </c>
      <c r="G712" t="str">
        <f>""</f>
        <v/>
      </c>
      <c r="H712" s="1">
        <v>42521</v>
      </c>
      <c r="I712" t="str">
        <f>"PCD00785"</f>
        <v>PCD00785</v>
      </c>
      <c r="J712" t="str">
        <f>""</f>
        <v/>
      </c>
      <c r="K712" t="str">
        <f>"AS89"</f>
        <v>AS89</v>
      </c>
      <c r="L712" t="s">
        <v>2909</v>
      </c>
      <c r="M712" s="2">
        <v>2060.59</v>
      </c>
    </row>
    <row r="713" spans="1:13" x14ac:dyDescent="0.25">
      <c r="A713" t="str">
        <f t="shared" ref="A713:A724" si="203">"E247"</f>
        <v>E247</v>
      </c>
      <c r="B713">
        <v>1</v>
      </c>
      <c r="C713" t="str">
        <f t="shared" ref="C713:C724" si="204">"10200"</f>
        <v>10200</v>
      </c>
      <c r="D713" t="str">
        <f t="shared" si="201"/>
        <v>5620</v>
      </c>
      <c r="E713" t="str">
        <f t="shared" ref="E713:E724" si="205">"094OMS"</f>
        <v>094OMS</v>
      </c>
      <c r="F713" t="str">
        <f>""</f>
        <v/>
      </c>
      <c r="G713" t="str">
        <f>""</f>
        <v/>
      </c>
      <c r="H713" s="1">
        <v>42236</v>
      </c>
      <c r="I713" t="str">
        <f>"I0120657"</f>
        <v>I0120657</v>
      </c>
      <c r="J713" t="str">
        <f t="shared" ref="J713:J723" si="206">"N218295B"</f>
        <v>N218295B</v>
      </c>
      <c r="K713" t="str">
        <f t="shared" ref="K713:K723" si="207">"INEI"</f>
        <v>INEI</v>
      </c>
      <c r="L713" t="s">
        <v>2303</v>
      </c>
      <c r="M713">
        <v>403.71</v>
      </c>
    </row>
    <row r="714" spans="1:13" x14ac:dyDescent="0.25">
      <c r="A714" t="str">
        <f t="shared" si="203"/>
        <v>E247</v>
      </c>
      <c r="B714">
        <v>1</v>
      </c>
      <c r="C714" t="str">
        <f t="shared" si="204"/>
        <v>10200</v>
      </c>
      <c r="D714" t="str">
        <f t="shared" si="201"/>
        <v>5620</v>
      </c>
      <c r="E714" t="str">
        <f t="shared" si="205"/>
        <v>094OMS</v>
      </c>
      <c r="F714" t="str">
        <f>""</f>
        <v/>
      </c>
      <c r="G714" t="str">
        <f>""</f>
        <v/>
      </c>
      <c r="H714" s="1">
        <v>42279</v>
      </c>
      <c r="I714" t="str">
        <f>"I0121878"</f>
        <v>I0121878</v>
      </c>
      <c r="J714" t="str">
        <f t="shared" si="206"/>
        <v>N218295B</v>
      </c>
      <c r="K714" t="str">
        <f t="shared" si="207"/>
        <v>INEI</v>
      </c>
      <c r="L714" t="s">
        <v>2303</v>
      </c>
      <c r="M714">
        <v>330.28</v>
      </c>
    </row>
    <row r="715" spans="1:13" x14ac:dyDescent="0.25">
      <c r="A715" t="str">
        <f t="shared" si="203"/>
        <v>E247</v>
      </c>
      <c r="B715">
        <v>1</v>
      </c>
      <c r="C715" t="str">
        <f t="shared" si="204"/>
        <v>10200</v>
      </c>
      <c r="D715" t="str">
        <f t="shared" si="201"/>
        <v>5620</v>
      </c>
      <c r="E715" t="str">
        <f t="shared" si="205"/>
        <v>094OMS</v>
      </c>
      <c r="F715" t="str">
        <f>""</f>
        <v/>
      </c>
      <c r="G715" t="str">
        <f>""</f>
        <v/>
      </c>
      <c r="H715" s="1">
        <v>42298</v>
      </c>
      <c r="I715" t="str">
        <f>"I0122344"</f>
        <v>I0122344</v>
      </c>
      <c r="J715" t="str">
        <f t="shared" si="206"/>
        <v>N218295B</v>
      </c>
      <c r="K715" t="str">
        <f t="shared" si="207"/>
        <v>INEI</v>
      </c>
      <c r="L715" t="s">
        <v>2303</v>
      </c>
      <c r="M715">
        <v>289.04000000000002</v>
      </c>
    </row>
    <row r="716" spans="1:13" x14ac:dyDescent="0.25">
      <c r="A716" t="str">
        <f t="shared" si="203"/>
        <v>E247</v>
      </c>
      <c r="B716">
        <v>1</v>
      </c>
      <c r="C716" t="str">
        <f t="shared" si="204"/>
        <v>10200</v>
      </c>
      <c r="D716" t="str">
        <f t="shared" si="201"/>
        <v>5620</v>
      </c>
      <c r="E716" t="str">
        <f t="shared" si="205"/>
        <v>094OMS</v>
      </c>
      <c r="F716" t="str">
        <f>""</f>
        <v/>
      </c>
      <c r="G716" t="str">
        <f>""</f>
        <v/>
      </c>
      <c r="H716" s="1">
        <v>42327</v>
      </c>
      <c r="I716" t="str">
        <f>"I0123164"</f>
        <v>I0123164</v>
      </c>
      <c r="J716" t="str">
        <f t="shared" si="206"/>
        <v>N218295B</v>
      </c>
      <c r="K716" t="str">
        <f t="shared" si="207"/>
        <v>INEI</v>
      </c>
      <c r="L716" t="s">
        <v>2303</v>
      </c>
      <c r="M716">
        <v>312.87</v>
      </c>
    </row>
    <row r="717" spans="1:13" x14ac:dyDescent="0.25">
      <c r="A717" t="str">
        <f t="shared" si="203"/>
        <v>E247</v>
      </c>
      <c r="B717">
        <v>1</v>
      </c>
      <c r="C717" t="str">
        <f t="shared" si="204"/>
        <v>10200</v>
      </c>
      <c r="D717" t="str">
        <f t="shared" si="201"/>
        <v>5620</v>
      </c>
      <c r="E717" t="str">
        <f t="shared" si="205"/>
        <v>094OMS</v>
      </c>
      <c r="F717" t="str">
        <f>""</f>
        <v/>
      </c>
      <c r="G717" t="str">
        <f>""</f>
        <v/>
      </c>
      <c r="H717" s="1">
        <v>42354</v>
      </c>
      <c r="I717" t="str">
        <f>"I0123973"</f>
        <v>I0123973</v>
      </c>
      <c r="J717" t="str">
        <f t="shared" si="206"/>
        <v>N218295B</v>
      </c>
      <c r="K717" t="str">
        <f t="shared" si="207"/>
        <v>INEI</v>
      </c>
      <c r="L717" t="s">
        <v>2303</v>
      </c>
      <c r="M717">
        <v>199.86</v>
      </c>
    </row>
    <row r="718" spans="1:13" x14ac:dyDescent="0.25">
      <c r="A718" t="str">
        <f t="shared" si="203"/>
        <v>E247</v>
      </c>
      <c r="B718">
        <v>1</v>
      </c>
      <c r="C718" t="str">
        <f t="shared" si="204"/>
        <v>10200</v>
      </c>
      <c r="D718" t="str">
        <f t="shared" si="201"/>
        <v>5620</v>
      </c>
      <c r="E718" t="str">
        <f t="shared" si="205"/>
        <v>094OMS</v>
      </c>
      <c r="F718" t="str">
        <f>""</f>
        <v/>
      </c>
      <c r="G718" t="str">
        <f>""</f>
        <v/>
      </c>
      <c r="H718" s="1">
        <v>42395</v>
      </c>
      <c r="I718" t="str">
        <f>"I0125239"</f>
        <v>I0125239</v>
      </c>
      <c r="J718" t="str">
        <f t="shared" si="206"/>
        <v>N218295B</v>
      </c>
      <c r="K718" t="str">
        <f t="shared" si="207"/>
        <v>INEI</v>
      </c>
      <c r="L718" t="s">
        <v>2303</v>
      </c>
      <c r="M718">
        <v>254.24</v>
      </c>
    </row>
    <row r="719" spans="1:13" x14ac:dyDescent="0.25">
      <c r="A719" t="str">
        <f t="shared" si="203"/>
        <v>E247</v>
      </c>
      <c r="B719">
        <v>1</v>
      </c>
      <c r="C719" t="str">
        <f t="shared" si="204"/>
        <v>10200</v>
      </c>
      <c r="D719" t="str">
        <f t="shared" si="201"/>
        <v>5620</v>
      </c>
      <c r="E719" t="str">
        <f t="shared" si="205"/>
        <v>094OMS</v>
      </c>
      <c r="F719" t="str">
        <f>""</f>
        <v/>
      </c>
      <c r="G719" t="str">
        <f>""</f>
        <v/>
      </c>
      <c r="H719" s="1">
        <v>42419</v>
      </c>
      <c r="I719" t="str">
        <f>"I0126045"</f>
        <v>I0126045</v>
      </c>
      <c r="J719" t="str">
        <f t="shared" si="206"/>
        <v>N218295B</v>
      </c>
      <c r="K719" t="str">
        <f t="shared" si="207"/>
        <v>INEI</v>
      </c>
      <c r="L719" t="s">
        <v>2303</v>
      </c>
      <c r="M719">
        <v>262.93</v>
      </c>
    </row>
    <row r="720" spans="1:13" x14ac:dyDescent="0.25">
      <c r="A720" t="str">
        <f t="shared" si="203"/>
        <v>E247</v>
      </c>
      <c r="B720">
        <v>1</v>
      </c>
      <c r="C720" t="str">
        <f t="shared" si="204"/>
        <v>10200</v>
      </c>
      <c r="D720" t="str">
        <f t="shared" si="201"/>
        <v>5620</v>
      </c>
      <c r="E720" t="str">
        <f t="shared" si="205"/>
        <v>094OMS</v>
      </c>
      <c r="F720" t="str">
        <f>""</f>
        <v/>
      </c>
      <c r="G720" t="str">
        <f>""</f>
        <v/>
      </c>
      <c r="H720" s="1">
        <v>42451</v>
      </c>
      <c r="I720" t="str">
        <f>"I0127133"</f>
        <v>I0127133</v>
      </c>
      <c r="J720" t="str">
        <f t="shared" si="206"/>
        <v>N218295B</v>
      </c>
      <c r="K720" t="str">
        <f t="shared" si="207"/>
        <v>INEI</v>
      </c>
      <c r="L720" t="s">
        <v>2303</v>
      </c>
      <c r="M720">
        <v>298.75</v>
      </c>
    </row>
    <row r="721" spans="1:13" x14ac:dyDescent="0.25">
      <c r="A721" t="str">
        <f t="shared" si="203"/>
        <v>E247</v>
      </c>
      <c r="B721">
        <v>1</v>
      </c>
      <c r="C721" t="str">
        <f t="shared" si="204"/>
        <v>10200</v>
      </c>
      <c r="D721" t="str">
        <f t="shared" si="201"/>
        <v>5620</v>
      </c>
      <c r="E721" t="str">
        <f t="shared" si="205"/>
        <v>094OMS</v>
      </c>
      <c r="F721" t="str">
        <f>""</f>
        <v/>
      </c>
      <c r="G721" t="str">
        <f>""</f>
        <v/>
      </c>
      <c r="H721" s="1">
        <v>42486</v>
      </c>
      <c r="I721" t="str">
        <f>"I0128619"</f>
        <v>I0128619</v>
      </c>
      <c r="J721" t="str">
        <f t="shared" si="206"/>
        <v>N218295B</v>
      </c>
      <c r="K721" t="str">
        <f t="shared" si="207"/>
        <v>INEI</v>
      </c>
      <c r="L721" t="s">
        <v>2303</v>
      </c>
      <c r="M721">
        <v>334.63</v>
      </c>
    </row>
    <row r="722" spans="1:13" x14ac:dyDescent="0.25">
      <c r="A722" t="str">
        <f t="shared" si="203"/>
        <v>E247</v>
      </c>
      <c r="B722">
        <v>1</v>
      </c>
      <c r="C722" t="str">
        <f t="shared" si="204"/>
        <v>10200</v>
      </c>
      <c r="D722" t="str">
        <f t="shared" si="201"/>
        <v>5620</v>
      </c>
      <c r="E722" t="str">
        <f t="shared" si="205"/>
        <v>094OMS</v>
      </c>
      <c r="F722" t="str">
        <f>""</f>
        <v/>
      </c>
      <c r="G722" t="str">
        <f>""</f>
        <v/>
      </c>
      <c r="H722" s="1">
        <v>42513</v>
      </c>
      <c r="I722" t="str">
        <f>"I0130378"</f>
        <v>I0130378</v>
      </c>
      <c r="J722" t="str">
        <f t="shared" si="206"/>
        <v>N218295B</v>
      </c>
      <c r="K722" t="str">
        <f t="shared" si="207"/>
        <v>INEI</v>
      </c>
      <c r="L722" t="s">
        <v>2303</v>
      </c>
      <c r="M722">
        <v>236.52</v>
      </c>
    </row>
    <row r="723" spans="1:13" x14ac:dyDescent="0.25">
      <c r="A723" t="str">
        <f t="shared" si="203"/>
        <v>E247</v>
      </c>
      <c r="B723">
        <v>1</v>
      </c>
      <c r="C723" t="str">
        <f t="shared" si="204"/>
        <v>10200</v>
      </c>
      <c r="D723" t="str">
        <f t="shared" si="201"/>
        <v>5620</v>
      </c>
      <c r="E723" t="str">
        <f t="shared" si="205"/>
        <v>094OMS</v>
      </c>
      <c r="F723" t="str">
        <f>""</f>
        <v/>
      </c>
      <c r="G723" t="str">
        <f>""</f>
        <v/>
      </c>
      <c r="H723" s="1">
        <v>42541</v>
      </c>
      <c r="I723" t="str">
        <f>"I0132533"</f>
        <v>I0132533</v>
      </c>
      <c r="J723" t="str">
        <f t="shared" si="206"/>
        <v>N218295B</v>
      </c>
      <c r="K723" t="str">
        <f t="shared" si="207"/>
        <v>INEI</v>
      </c>
      <c r="L723" t="s">
        <v>2303</v>
      </c>
      <c r="M723">
        <v>332.15</v>
      </c>
    </row>
    <row r="724" spans="1:13" x14ac:dyDescent="0.25">
      <c r="A724" t="str">
        <f t="shared" si="203"/>
        <v>E247</v>
      </c>
      <c r="B724">
        <v>1</v>
      </c>
      <c r="C724" t="str">
        <f t="shared" si="204"/>
        <v>10200</v>
      </c>
      <c r="D724" t="str">
        <f t="shared" si="201"/>
        <v>5620</v>
      </c>
      <c r="E724" t="str">
        <f t="shared" si="205"/>
        <v>094OMS</v>
      </c>
      <c r="F724" t="str">
        <f>""</f>
        <v/>
      </c>
      <c r="G724" t="str">
        <f>""</f>
        <v/>
      </c>
      <c r="H724" s="1">
        <v>42551</v>
      </c>
      <c r="I724" t="str">
        <f>"ACG02764"</f>
        <v>ACG02764</v>
      </c>
      <c r="J724" t="str">
        <f>"I0135491"</f>
        <v>I0135491</v>
      </c>
      <c r="K724" t="str">
        <f>"AS89"</f>
        <v>AS89</v>
      </c>
      <c r="L724" t="s">
        <v>2908</v>
      </c>
      <c r="M724">
        <v>271.31</v>
      </c>
    </row>
    <row r="725" spans="1:13" x14ac:dyDescent="0.25">
      <c r="A725" t="str">
        <f>"E256"</f>
        <v>E256</v>
      </c>
      <c r="B725">
        <v>1</v>
      </c>
      <c r="C725" t="str">
        <f>"43000"</f>
        <v>43000</v>
      </c>
      <c r="D725" t="str">
        <f t="shared" si="201"/>
        <v>5620</v>
      </c>
      <c r="E725" t="str">
        <f>"850LOS"</f>
        <v>850LOS</v>
      </c>
      <c r="F725" t="str">
        <f>"PKOLOT"</f>
        <v>PKOLOT</v>
      </c>
      <c r="G725" t="str">
        <f>""</f>
        <v/>
      </c>
      <c r="H725" s="1">
        <v>42426</v>
      </c>
      <c r="I725" t="str">
        <f>"J0019838"</f>
        <v>J0019838</v>
      </c>
      <c r="J725" t="str">
        <f>""</f>
        <v/>
      </c>
      <c r="K725" t="str">
        <f>"J096"</f>
        <v>J096</v>
      </c>
      <c r="L725" t="s">
        <v>2907</v>
      </c>
      <c r="M725">
        <v>140</v>
      </c>
    </row>
    <row r="726" spans="1:13" x14ac:dyDescent="0.25">
      <c r="A726" t="str">
        <f>"E256"</f>
        <v>E256</v>
      </c>
      <c r="B726">
        <v>1</v>
      </c>
      <c r="C726" t="str">
        <f>"43000"</f>
        <v>43000</v>
      </c>
      <c r="D726" t="str">
        <f>"5740"</f>
        <v>5740</v>
      </c>
      <c r="E726" t="str">
        <f>"850LOS"</f>
        <v>850LOS</v>
      </c>
      <c r="F726" t="str">
        <f>"PKOLOT"</f>
        <v>PKOLOT</v>
      </c>
      <c r="G726" t="str">
        <f>""</f>
        <v/>
      </c>
      <c r="H726" s="1">
        <v>42535</v>
      </c>
      <c r="I726" t="str">
        <f>"ACG02686"</f>
        <v>ACG02686</v>
      </c>
      <c r="J726" t="str">
        <f>"J0019838"</f>
        <v>J0019838</v>
      </c>
      <c r="K726" t="str">
        <f>"AS96"</f>
        <v>AS96</v>
      </c>
      <c r="L726" t="s">
        <v>2907</v>
      </c>
      <c r="M726">
        <v>140</v>
      </c>
    </row>
    <row r="727" spans="1:13" x14ac:dyDescent="0.25">
      <c r="A727" t="str">
        <f t="shared" ref="A727:A743" si="208">"E257"</f>
        <v>E257</v>
      </c>
      <c r="B727">
        <v>1</v>
      </c>
      <c r="C727" t="str">
        <f t="shared" ref="C727:C740" si="209">"10200"</f>
        <v>10200</v>
      </c>
      <c r="D727" t="str">
        <f t="shared" ref="D727:D741" si="210">"5620"</f>
        <v>5620</v>
      </c>
      <c r="E727" t="str">
        <f t="shared" ref="E727:E740" si="211">"094OMS"</f>
        <v>094OMS</v>
      </c>
      <c r="F727" t="str">
        <f>""</f>
        <v/>
      </c>
      <c r="G727" t="str">
        <f>""</f>
        <v/>
      </c>
      <c r="H727" s="1">
        <v>42247</v>
      </c>
      <c r="I727" t="str">
        <f>"PCD00740"</f>
        <v>PCD00740</v>
      </c>
      <c r="J727" t="str">
        <f>""</f>
        <v/>
      </c>
      <c r="K727" t="str">
        <f t="shared" ref="K727:K736" si="212">"AS89"</f>
        <v>AS89</v>
      </c>
      <c r="L727" t="s">
        <v>2906</v>
      </c>
      <c r="M727">
        <v>549</v>
      </c>
    </row>
    <row r="728" spans="1:13" x14ac:dyDescent="0.25">
      <c r="A728" t="str">
        <f t="shared" si="208"/>
        <v>E257</v>
      </c>
      <c r="B728">
        <v>1</v>
      </c>
      <c r="C728" t="str">
        <f t="shared" si="209"/>
        <v>10200</v>
      </c>
      <c r="D728" t="str">
        <f t="shared" si="210"/>
        <v>5620</v>
      </c>
      <c r="E728" t="str">
        <f t="shared" si="211"/>
        <v>094OMS</v>
      </c>
      <c r="F728" t="str">
        <f>""</f>
        <v/>
      </c>
      <c r="G728" t="str">
        <f>""</f>
        <v/>
      </c>
      <c r="H728" s="1">
        <v>42247</v>
      </c>
      <c r="I728" t="str">
        <f>"PCD00740"</f>
        <v>PCD00740</v>
      </c>
      <c r="J728" t="str">
        <f>""</f>
        <v/>
      </c>
      <c r="K728" t="str">
        <f t="shared" si="212"/>
        <v>AS89</v>
      </c>
      <c r="L728" t="s">
        <v>2905</v>
      </c>
      <c r="M728">
        <v>341.32</v>
      </c>
    </row>
    <row r="729" spans="1:13" x14ac:dyDescent="0.25">
      <c r="A729" t="str">
        <f t="shared" si="208"/>
        <v>E257</v>
      </c>
      <c r="B729">
        <v>1</v>
      </c>
      <c r="C729" t="str">
        <f t="shared" si="209"/>
        <v>10200</v>
      </c>
      <c r="D729" t="str">
        <f t="shared" si="210"/>
        <v>5620</v>
      </c>
      <c r="E729" t="str">
        <f t="shared" si="211"/>
        <v>094OMS</v>
      </c>
      <c r="F729" t="str">
        <f>""</f>
        <v/>
      </c>
      <c r="G729" t="str">
        <f>""</f>
        <v/>
      </c>
      <c r="H729" s="1">
        <v>42277</v>
      </c>
      <c r="I729" t="str">
        <f>"PCD00745"</f>
        <v>PCD00745</v>
      </c>
      <c r="J729" t="str">
        <f>""</f>
        <v/>
      </c>
      <c r="K729" t="str">
        <f t="shared" si="212"/>
        <v>AS89</v>
      </c>
      <c r="L729" t="s">
        <v>2904</v>
      </c>
      <c r="M729">
        <v>272.08</v>
      </c>
    </row>
    <row r="730" spans="1:13" x14ac:dyDescent="0.25">
      <c r="A730" t="str">
        <f t="shared" si="208"/>
        <v>E257</v>
      </c>
      <c r="B730">
        <v>1</v>
      </c>
      <c r="C730" t="str">
        <f t="shared" si="209"/>
        <v>10200</v>
      </c>
      <c r="D730" t="str">
        <f t="shared" si="210"/>
        <v>5620</v>
      </c>
      <c r="E730" t="str">
        <f t="shared" si="211"/>
        <v>094OMS</v>
      </c>
      <c r="F730" t="str">
        <f>""</f>
        <v/>
      </c>
      <c r="G730" t="str">
        <f>""</f>
        <v/>
      </c>
      <c r="H730" s="1">
        <v>42277</v>
      </c>
      <c r="I730" t="str">
        <f>"PCD00745"</f>
        <v>PCD00745</v>
      </c>
      <c r="J730" t="str">
        <f>""</f>
        <v/>
      </c>
      <c r="K730" t="str">
        <f t="shared" si="212"/>
        <v>AS89</v>
      </c>
      <c r="L730" t="s">
        <v>2903</v>
      </c>
      <c r="M730" s="2">
        <v>1631.17</v>
      </c>
    </row>
    <row r="731" spans="1:13" x14ac:dyDescent="0.25">
      <c r="A731" t="str">
        <f t="shared" si="208"/>
        <v>E257</v>
      </c>
      <c r="B731">
        <v>1</v>
      </c>
      <c r="C731" t="str">
        <f t="shared" si="209"/>
        <v>10200</v>
      </c>
      <c r="D731" t="str">
        <f t="shared" si="210"/>
        <v>5620</v>
      </c>
      <c r="E731" t="str">
        <f t="shared" si="211"/>
        <v>094OMS</v>
      </c>
      <c r="F731" t="str">
        <f>""</f>
        <v/>
      </c>
      <c r="G731" t="str">
        <f>""</f>
        <v/>
      </c>
      <c r="H731" s="1">
        <v>42369</v>
      </c>
      <c r="I731" t="str">
        <f>"PCD00760"</f>
        <v>PCD00760</v>
      </c>
      <c r="J731" t="str">
        <f>""</f>
        <v/>
      </c>
      <c r="K731" t="str">
        <f t="shared" si="212"/>
        <v>AS89</v>
      </c>
      <c r="L731" t="s">
        <v>2902</v>
      </c>
      <c r="M731">
        <v>615.97</v>
      </c>
    </row>
    <row r="732" spans="1:13" x14ac:dyDescent="0.25">
      <c r="A732" t="str">
        <f t="shared" si="208"/>
        <v>E257</v>
      </c>
      <c r="B732">
        <v>1</v>
      </c>
      <c r="C732" t="str">
        <f t="shared" si="209"/>
        <v>10200</v>
      </c>
      <c r="D732" t="str">
        <f t="shared" si="210"/>
        <v>5620</v>
      </c>
      <c r="E732" t="str">
        <f t="shared" si="211"/>
        <v>094OMS</v>
      </c>
      <c r="F732" t="str">
        <f>""</f>
        <v/>
      </c>
      <c r="G732" t="str">
        <f>""</f>
        <v/>
      </c>
      <c r="H732" s="1">
        <v>42369</v>
      </c>
      <c r="I732" t="str">
        <f>"PCD00760"</f>
        <v>PCD00760</v>
      </c>
      <c r="J732" t="str">
        <f>""</f>
        <v/>
      </c>
      <c r="K732" t="str">
        <f t="shared" si="212"/>
        <v>AS89</v>
      </c>
      <c r="L732" t="s">
        <v>2901</v>
      </c>
      <c r="M732">
        <v>105.05</v>
      </c>
    </row>
    <row r="733" spans="1:13" x14ac:dyDescent="0.25">
      <c r="A733" t="str">
        <f t="shared" si="208"/>
        <v>E257</v>
      </c>
      <c r="B733">
        <v>1</v>
      </c>
      <c r="C733" t="str">
        <f t="shared" si="209"/>
        <v>10200</v>
      </c>
      <c r="D733" t="str">
        <f t="shared" si="210"/>
        <v>5620</v>
      </c>
      <c r="E733" t="str">
        <f t="shared" si="211"/>
        <v>094OMS</v>
      </c>
      <c r="F733" t="str">
        <f>""</f>
        <v/>
      </c>
      <c r="G733" t="str">
        <f>""</f>
        <v/>
      </c>
      <c r="H733" s="1">
        <v>42400</v>
      </c>
      <c r="I733" t="str">
        <f>"PCD00765"</f>
        <v>PCD00765</v>
      </c>
      <c r="J733" t="str">
        <f>""</f>
        <v/>
      </c>
      <c r="K733" t="str">
        <f t="shared" si="212"/>
        <v>AS89</v>
      </c>
      <c r="L733" t="s">
        <v>2900</v>
      </c>
      <c r="M733">
        <v>179.87</v>
      </c>
    </row>
    <row r="734" spans="1:13" x14ac:dyDescent="0.25">
      <c r="A734" t="str">
        <f t="shared" si="208"/>
        <v>E257</v>
      </c>
      <c r="B734">
        <v>1</v>
      </c>
      <c r="C734" t="str">
        <f t="shared" si="209"/>
        <v>10200</v>
      </c>
      <c r="D734" t="str">
        <f t="shared" si="210"/>
        <v>5620</v>
      </c>
      <c r="E734" t="str">
        <f t="shared" si="211"/>
        <v>094OMS</v>
      </c>
      <c r="F734" t="str">
        <f>""</f>
        <v/>
      </c>
      <c r="G734" t="str">
        <f>""</f>
        <v/>
      </c>
      <c r="H734" s="1">
        <v>42400</v>
      </c>
      <c r="I734" t="str">
        <f>"PCD00765"</f>
        <v>PCD00765</v>
      </c>
      <c r="J734" t="str">
        <f>""</f>
        <v/>
      </c>
      <c r="K734" t="str">
        <f t="shared" si="212"/>
        <v>AS89</v>
      </c>
      <c r="L734" t="s">
        <v>2895</v>
      </c>
      <c r="M734">
        <v>187.83</v>
      </c>
    </row>
    <row r="735" spans="1:13" x14ac:dyDescent="0.25">
      <c r="A735" t="str">
        <f t="shared" si="208"/>
        <v>E257</v>
      </c>
      <c r="B735">
        <v>1</v>
      </c>
      <c r="C735" t="str">
        <f t="shared" si="209"/>
        <v>10200</v>
      </c>
      <c r="D735" t="str">
        <f t="shared" si="210"/>
        <v>5620</v>
      </c>
      <c r="E735" t="str">
        <f t="shared" si="211"/>
        <v>094OMS</v>
      </c>
      <c r="F735" t="str">
        <f>""</f>
        <v/>
      </c>
      <c r="G735" t="str">
        <f>""</f>
        <v/>
      </c>
      <c r="H735" s="1">
        <v>42460</v>
      </c>
      <c r="I735" t="str">
        <f>"PCD00775"</f>
        <v>PCD00775</v>
      </c>
      <c r="J735" t="str">
        <f>""</f>
        <v/>
      </c>
      <c r="K735" t="str">
        <f t="shared" si="212"/>
        <v>AS89</v>
      </c>
      <c r="L735" t="s">
        <v>2899</v>
      </c>
      <c r="M735">
        <v>105.19</v>
      </c>
    </row>
    <row r="736" spans="1:13" x14ac:dyDescent="0.25">
      <c r="A736" t="str">
        <f t="shared" si="208"/>
        <v>E257</v>
      </c>
      <c r="B736">
        <v>1</v>
      </c>
      <c r="C736" t="str">
        <f t="shared" si="209"/>
        <v>10200</v>
      </c>
      <c r="D736" t="str">
        <f t="shared" si="210"/>
        <v>5620</v>
      </c>
      <c r="E736" t="str">
        <f t="shared" si="211"/>
        <v>094OMS</v>
      </c>
      <c r="F736" t="str">
        <f>""</f>
        <v/>
      </c>
      <c r="G736" t="str">
        <f>""</f>
        <v/>
      </c>
      <c r="H736" s="1">
        <v>42460</v>
      </c>
      <c r="I736" t="str">
        <f>"PCD00775"</f>
        <v>PCD00775</v>
      </c>
      <c r="J736" t="str">
        <f>""</f>
        <v/>
      </c>
      <c r="K736" t="str">
        <f t="shared" si="212"/>
        <v>AS89</v>
      </c>
      <c r="L736" t="s">
        <v>2898</v>
      </c>
      <c r="M736" s="2">
        <v>1209.1300000000001</v>
      </c>
    </row>
    <row r="737" spans="1:13" x14ac:dyDescent="0.25">
      <c r="A737" t="str">
        <f t="shared" si="208"/>
        <v>E257</v>
      </c>
      <c r="B737">
        <v>1</v>
      </c>
      <c r="C737" t="str">
        <f t="shared" si="209"/>
        <v>10200</v>
      </c>
      <c r="D737" t="str">
        <f t="shared" si="210"/>
        <v>5620</v>
      </c>
      <c r="E737" t="str">
        <f t="shared" si="211"/>
        <v>094OMS</v>
      </c>
      <c r="F737" t="str">
        <f>""</f>
        <v/>
      </c>
      <c r="G737" t="str">
        <f>""</f>
        <v/>
      </c>
      <c r="H737" s="1">
        <v>42549</v>
      </c>
      <c r="I737" t="str">
        <f>"I0133466"</f>
        <v>I0133466</v>
      </c>
      <c r="J737" t="str">
        <f>""</f>
        <v/>
      </c>
      <c r="K737" t="str">
        <f>"INNI"</f>
        <v>INNI</v>
      </c>
      <c r="L737" t="s">
        <v>2897</v>
      </c>
      <c r="M737" s="2">
        <v>4041.96</v>
      </c>
    </row>
    <row r="738" spans="1:13" x14ac:dyDescent="0.25">
      <c r="A738" t="str">
        <f t="shared" si="208"/>
        <v>E257</v>
      </c>
      <c r="B738">
        <v>1</v>
      </c>
      <c r="C738" t="str">
        <f t="shared" si="209"/>
        <v>10200</v>
      </c>
      <c r="D738" t="str">
        <f t="shared" si="210"/>
        <v>5620</v>
      </c>
      <c r="E738" t="str">
        <f t="shared" si="211"/>
        <v>094OMS</v>
      </c>
      <c r="F738" t="str">
        <f>""</f>
        <v/>
      </c>
      <c r="G738" t="str">
        <f>""</f>
        <v/>
      </c>
      <c r="H738" s="1">
        <v>42549</v>
      </c>
      <c r="I738" t="str">
        <f>"I0133467"</f>
        <v>I0133467</v>
      </c>
      <c r="J738" t="str">
        <f>""</f>
        <v/>
      </c>
      <c r="K738" t="str">
        <f>"INNI"</f>
        <v>INNI</v>
      </c>
      <c r="L738" t="s">
        <v>2897</v>
      </c>
      <c r="M738" s="2">
        <v>1237.17</v>
      </c>
    </row>
    <row r="739" spans="1:13" x14ac:dyDescent="0.25">
      <c r="A739" t="str">
        <f t="shared" si="208"/>
        <v>E257</v>
      </c>
      <c r="B739">
        <v>1</v>
      </c>
      <c r="C739" t="str">
        <f t="shared" si="209"/>
        <v>10200</v>
      </c>
      <c r="D739" t="str">
        <f t="shared" si="210"/>
        <v>5620</v>
      </c>
      <c r="E739" t="str">
        <f t="shared" si="211"/>
        <v>094OMS</v>
      </c>
      <c r="F739" t="str">
        <f>""</f>
        <v/>
      </c>
      <c r="G739" t="str">
        <f>""</f>
        <v/>
      </c>
      <c r="H739" s="1">
        <v>42550</v>
      </c>
      <c r="I739" t="str">
        <f>"I0133530"</f>
        <v>I0133530</v>
      </c>
      <c r="J739" t="str">
        <f>""</f>
        <v/>
      </c>
      <c r="K739" t="str">
        <f>"INNI"</f>
        <v>INNI</v>
      </c>
      <c r="L739" t="s">
        <v>2897</v>
      </c>
      <c r="M739">
        <v>422.73</v>
      </c>
    </row>
    <row r="740" spans="1:13" x14ac:dyDescent="0.25">
      <c r="A740" t="str">
        <f t="shared" si="208"/>
        <v>E257</v>
      </c>
      <c r="B740">
        <v>1</v>
      </c>
      <c r="C740" t="str">
        <f t="shared" si="209"/>
        <v>10200</v>
      </c>
      <c r="D740" t="str">
        <f t="shared" si="210"/>
        <v>5620</v>
      </c>
      <c r="E740" t="str">
        <f t="shared" si="211"/>
        <v>094OMS</v>
      </c>
      <c r="F740" t="str">
        <f>""</f>
        <v/>
      </c>
      <c r="G740" t="str">
        <f>""</f>
        <v/>
      </c>
      <c r="H740" s="1">
        <v>42551</v>
      </c>
      <c r="I740" t="str">
        <f>"PCD00791"</f>
        <v>PCD00791</v>
      </c>
      <c r="J740" t="str">
        <f>""</f>
        <v/>
      </c>
      <c r="K740" t="str">
        <f>"AS89"</f>
        <v>AS89</v>
      </c>
      <c r="L740" t="s">
        <v>2896</v>
      </c>
      <c r="M740">
        <v>478.76</v>
      </c>
    </row>
    <row r="741" spans="1:13" x14ac:dyDescent="0.25">
      <c r="A741" t="str">
        <f t="shared" si="208"/>
        <v>E257</v>
      </c>
      <c r="B741">
        <v>1</v>
      </c>
      <c r="C741" t="str">
        <f>"43000"</f>
        <v>43000</v>
      </c>
      <c r="D741" t="str">
        <f t="shared" si="210"/>
        <v>5620</v>
      </c>
      <c r="E741" t="str">
        <f>"850PKE"</f>
        <v>850PKE</v>
      </c>
      <c r="F741" t="str">
        <f>""</f>
        <v/>
      </c>
      <c r="G741" t="str">
        <f>""</f>
        <v/>
      </c>
      <c r="H741" s="1">
        <v>42369</v>
      </c>
      <c r="I741" t="str">
        <f>"PCD00760"</f>
        <v>PCD00760</v>
      </c>
      <c r="J741" t="str">
        <f>""</f>
        <v/>
      </c>
      <c r="K741" t="str">
        <f>"AS89"</f>
        <v>AS89</v>
      </c>
      <c r="L741" t="s">
        <v>2894</v>
      </c>
      <c r="M741">
        <v>274.83999999999997</v>
      </c>
    </row>
    <row r="742" spans="1:13" x14ac:dyDescent="0.25">
      <c r="A742" t="str">
        <f t="shared" si="208"/>
        <v>E257</v>
      </c>
      <c r="B742">
        <v>1</v>
      </c>
      <c r="C742" t="str">
        <f>"43000"</f>
        <v>43000</v>
      </c>
      <c r="D742" t="str">
        <f>"5740"</f>
        <v>5740</v>
      </c>
      <c r="E742" t="str">
        <f>"850LOS"</f>
        <v>850LOS</v>
      </c>
      <c r="F742" t="str">
        <f>""</f>
        <v/>
      </c>
      <c r="G742" t="str">
        <f>""</f>
        <v/>
      </c>
      <c r="H742" s="1">
        <v>42551</v>
      </c>
      <c r="I742" t="str">
        <f>"PCD00791"</f>
        <v>PCD00791</v>
      </c>
      <c r="J742" t="str">
        <f>""</f>
        <v/>
      </c>
      <c r="K742" t="str">
        <f>"AS89"</f>
        <v>AS89</v>
      </c>
      <c r="L742" t="s">
        <v>2896</v>
      </c>
      <c r="M742">
        <v>304.11</v>
      </c>
    </row>
    <row r="743" spans="1:13" x14ac:dyDescent="0.25">
      <c r="A743" t="str">
        <f t="shared" si="208"/>
        <v>E257</v>
      </c>
      <c r="B743">
        <v>1</v>
      </c>
      <c r="C743" t="str">
        <f>"43000"</f>
        <v>43000</v>
      </c>
      <c r="D743" t="str">
        <f>"5740"</f>
        <v>5740</v>
      </c>
      <c r="E743" t="str">
        <f>"850PKE"</f>
        <v>850PKE</v>
      </c>
      <c r="F743" t="str">
        <f>""</f>
        <v/>
      </c>
      <c r="G743" t="str">
        <f>""</f>
        <v/>
      </c>
      <c r="H743" s="1">
        <v>42535</v>
      </c>
      <c r="I743" t="str">
        <f>"ACG02686"</f>
        <v>ACG02686</v>
      </c>
      <c r="J743" t="str">
        <f>"PCD00760"</f>
        <v>PCD00760</v>
      </c>
      <c r="K743" t="str">
        <f>"AS96"</f>
        <v>AS96</v>
      </c>
      <c r="L743" t="s">
        <v>2894</v>
      </c>
      <c r="M743">
        <v>274.83999999999997</v>
      </c>
    </row>
    <row r="744" spans="1:13" x14ac:dyDescent="0.25">
      <c r="A744" t="str">
        <f>"E260"</f>
        <v>E260</v>
      </c>
      <c r="B744">
        <v>1</v>
      </c>
      <c r="C744" t="str">
        <f>"43000"</f>
        <v>43000</v>
      </c>
      <c r="D744" t="str">
        <f>"5620"</f>
        <v>5620</v>
      </c>
      <c r="E744" t="str">
        <f>"850LOS"</f>
        <v>850LOS</v>
      </c>
      <c r="F744" t="str">
        <f>""</f>
        <v/>
      </c>
      <c r="G744" t="str">
        <f>""</f>
        <v/>
      </c>
      <c r="H744" s="1">
        <v>42308</v>
      </c>
      <c r="I744" t="str">
        <f>"ACG02642"</f>
        <v>ACG02642</v>
      </c>
      <c r="J744" t="str">
        <f>""</f>
        <v/>
      </c>
      <c r="K744" t="str">
        <f>"AS96"</f>
        <v>AS96</v>
      </c>
      <c r="L744" t="s">
        <v>2774</v>
      </c>
      <c r="M744">
        <v>263.8</v>
      </c>
    </row>
    <row r="745" spans="1:13" x14ac:dyDescent="0.25">
      <c r="A745" t="str">
        <f>"E260"</f>
        <v>E260</v>
      </c>
      <c r="B745">
        <v>1</v>
      </c>
      <c r="C745" t="str">
        <f>"43000"</f>
        <v>43000</v>
      </c>
      <c r="D745" t="str">
        <f>"5740"</f>
        <v>5740</v>
      </c>
      <c r="E745" t="str">
        <f>"850LOS"</f>
        <v>850LOS</v>
      </c>
      <c r="F745" t="str">
        <f>""</f>
        <v/>
      </c>
      <c r="G745" t="str">
        <f>""</f>
        <v/>
      </c>
      <c r="H745" s="1">
        <v>42535</v>
      </c>
      <c r="I745" t="str">
        <f>"ACG02686"</f>
        <v>ACG02686</v>
      </c>
      <c r="J745" t="str">
        <f>"ACG02642"</f>
        <v>ACG02642</v>
      </c>
      <c r="K745" t="str">
        <f>"AS96"</f>
        <v>AS96</v>
      </c>
      <c r="L745" t="s">
        <v>2774</v>
      </c>
      <c r="M745">
        <v>263.8</v>
      </c>
    </row>
    <row r="746" spans="1:13" x14ac:dyDescent="0.25">
      <c r="A746" t="str">
        <f>"E261"</f>
        <v>E261</v>
      </c>
      <c r="B746">
        <v>1</v>
      </c>
      <c r="C746" t="str">
        <f>"10200"</f>
        <v>10200</v>
      </c>
      <c r="D746" t="str">
        <f t="shared" ref="D746:D753" si="213">"5620"</f>
        <v>5620</v>
      </c>
      <c r="E746" t="str">
        <f>"094OMS"</f>
        <v>094OMS</v>
      </c>
      <c r="F746" t="str">
        <f>""</f>
        <v/>
      </c>
      <c r="G746" t="str">
        <f>""</f>
        <v/>
      </c>
      <c r="H746" s="1">
        <v>42398</v>
      </c>
      <c r="I746" t="str">
        <f>"PCD00764"</f>
        <v>PCD00764</v>
      </c>
      <c r="J746" t="str">
        <f>""</f>
        <v/>
      </c>
      <c r="K746" t="str">
        <f>"AS89"</f>
        <v>AS89</v>
      </c>
      <c r="L746" t="s">
        <v>2893</v>
      </c>
      <c r="M746">
        <v>357.37</v>
      </c>
    </row>
    <row r="747" spans="1:13" x14ac:dyDescent="0.25">
      <c r="A747" t="str">
        <f t="shared" ref="A747:A755" si="214">"E263"</f>
        <v>E263</v>
      </c>
      <c r="B747">
        <v>1</v>
      </c>
      <c r="C747" t="str">
        <f>"10200"</f>
        <v>10200</v>
      </c>
      <c r="D747" t="str">
        <f t="shared" si="213"/>
        <v>5620</v>
      </c>
      <c r="E747" t="str">
        <f>"094OMS"</f>
        <v>094OMS</v>
      </c>
      <c r="F747" t="str">
        <f>""</f>
        <v/>
      </c>
      <c r="G747" t="str">
        <f>""</f>
        <v/>
      </c>
      <c r="H747" s="1">
        <v>42265</v>
      </c>
      <c r="I747" t="str">
        <f>"Q89017"</f>
        <v>Q89017</v>
      </c>
      <c r="J747" t="str">
        <f>""</f>
        <v/>
      </c>
      <c r="K747" t="str">
        <f>"INNI"</f>
        <v>INNI</v>
      </c>
      <c r="L747" t="s">
        <v>2526</v>
      </c>
      <c r="M747">
        <v>175.03</v>
      </c>
    </row>
    <row r="748" spans="1:13" x14ac:dyDescent="0.25">
      <c r="A748" t="str">
        <f t="shared" si="214"/>
        <v>E263</v>
      </c>
      <c r="B748">
        <v>1</v>
      </c>
      <c r="C748" t="str">
        <f>"10200"</f>
        <v>10200</v>
      </c>
      <c r="D748" t="str">
        <f t="shared" si="213"/>
        <v>5620</v>
      </c>
      <c r="E748" t="str">
        <f>"094OMS"</f>
        <v>094OMS</v>
      </c>
      <c r="F748" t="str">
        <f>""</f>
        <v/>
      </c>
      <c r="G748" t="str">
        <f>""</f>
        <v/>
      </c>
      <c r="H748" s="1">
        <v>42272</v>
      </c>
      <c r="I748" t="str">
        <f>"PCD00744"</f>
        <v>PCD00744</v>
      </c>
      <c r="J748" t="str">
        <f>"225765"</f>
        <v>225765</v>
      </c>
      <c r="K748" t="str">
        <f t="shared" ref="K748:K753" si="215">"AS89"</f>
        <v>AS89</v>
      </c>
      <c r="L748" t="s">
        <v>2888</v>
      </c>
      <c r="M748">
        <v>132.88999999999999</v>
      </c>
    </row>
    <row r="749" spans="1:13" x14ac:dyDescent="0.25">
      <c r="A749" t="str">
        <f t="shared" si="214"/>
        <v>E263</v>
      </c>
      <c r="B749">
        <v>1</v>
      </c>
      <c r="C749" t="str">
        <f>"10200"</f>
        <v>10200</v>
      </c>
      <c r="D749" t="str">
        <f t="shared" si="213"/>
        <v>5620</v>
      </c>
      <c r="E749" t="str">
        <f>"094OMS"</f>
        <v>094OMS</v>
      </c>
      <c r="F749" t="str">
        <f>""</f>
        <v/>
      </c>
      <c r="G749" t="str">
        <f>""</f>
        <v/>
      </c>
      <c r="H749" s="1">
        <v>42335</v>
      </c>
      <c r="I749" t="str">
        <f>"PCD00754"</f>
        <v>PCD00754</v>
      </c>
      <c r="J749" t="str">
        <f>"225766"</f>
        <v>225766</v>
      </c>
      <c r="K749" t="str">
        <f t="shared" si="215"/>
        <v>AS89</v>
      </c>
      <c r="L749" t="s">
        <v>2887</v>
      </c>
      <c r="M749">
        <v>190.72</v>
      </c>
    </row>
    <row r="750" spans="1:13" x14ac:dyDescent="0.25">
      <c r="A750" t="str">
        <f t="shared" si="214"/>
        <v>E263</v>
      </c>
      <c r="B750">
        <v>1</v>
      </c>
      <c r="C750" t="str">
        <f>"10200"</f>
        <v>10200</v>
      </c>
      <c r="D750" t="str">
        <f t="shared" si="213"/>
        <v>5620</v>
      </c>
      <c r="E750" t="str">
        <f>"094OMS"</f>
        <v>094OMS</v>
      </c>
      <c r="F750" t="str">
        <f>""</f>
        <v/>
      </c>
      <c r="G750" t="str">
        <f>""</f>
        <v/>
      </c>
      <c r="H750" s="1">
        <v>42460</v>
      </c>
      <c r="I750" t="str">
        <f>"PCD00775"</f>
        <v>PCD00775</v>
      </c>
      <c r="J750" t="str">
        <f>"999958"</f>
        <v>999958</v>
      </c>
      <c r="K750" t="str">
        <f t="shared" si="215"/>
        <v>AS89</v>
      </c>
      <c r="L750" t="s">
        <v>2892</v>
      </c>
      <c r="M750">
        <v>108.11</v>
      </c>
    </row>
    <row r="751" spans="1:13" x14ac:dyDescent="0.25">
      <c r="A751" t="str">
        <f t="shared" si="214"/>
        <v>E263</v>
      </c>
      <c r="B751">
        <v>1</v>
      </c>
      <c r="C751" t="str">
        <f>"23275"</f>
        <v>23275</v>
      </c>
      <c r="D751" t="str">
        <f t="shared" si="213"/>
        <v>5620</v>
      </c>
      <c r="E751" t="str">
        <f>"063STF"</f>
        <v>063STF</v>
      </c>
      <c r="F751" t="str">
        <f>""</f>
        <v/>
      </c>
      <c r="G751" t="str">
        <f>""</f>
        <v/>
      </c>
      <c r="H751" s="1">
        <v>42300</v>
      </c>
      <c r="I751" t="str">
        <f>"PCD00748"</f>
        <v>PCD00748</v>
      </c>
      <c r="J751" t="str">
        <f>"193454"</f>
        <v>193454</v>
      </c>
      <c r="K751" t="str">
        <f t="shared" si="215"/>
        <v>AS89</v>
      </c>
      <c r="L751" t="s">
        <v>2891</v>
      </c>
      <c r="M751">
        <v>129.77000000000001</v>
      </c>
    </row>
    <row r="752" spans="1:13" x14ac:dyDescent="0.25">
      <c r="A752" t="str">
        <f t="shared" si="214"/>
        <v>E263</v>
      </c>
      <c r="B752">
        <v>1</v>
      </c>
      <c r="C752" t="str">
        <f>"43000"</f>
        <v>43000</v>
      </c>
      <c r="D752" t="str">
        <f t="shared" si="213"/>
        <v>5620</v>
      </c>
      <c r="E752" t="str">
        <f t="shared" ref="E752:E762" si="216">"850LOS"</f>
        <v>850LOS</v>
      </c>
      <c r="F752" t="str">
        <f>""</f>
        <v/>
      </c>
      <c r="G752" t="str">
        <f>""</f>
        <v/>
      </c>
      <c r="H752" s="1">
        <v>42426</v>
      </c>
      <c r="I752" t="str">
        <f>"PCD00769"</f>
        <v>PCD00769</v>
      </c>
      <c r="J752" t="str">
        <f>"1000082"</f>
        <v>1000082</v>
      </c>
      <c r="K752" t="str">
        <f t="shared" si="215"/>
        <v>AS89</v>
      </c>
      <c r="L752" t="s">
        <v>2890</v>
      </c>
      <c r="M752">
        <v>122.49</v>
      </c>
    </row>
    <row r="753" spans="1:13" x14ac:dyDescent="0.25">
      <c r="A753" t="str">
        <f t="shared" si="214"/>
        <v>E263</v>
      </c>
      <c r="B753">
        <v>1</v>
      </c>
      <c r="C753" t="str">
        <f>"43000"</f>
        <v>43000</v>
      </c>
      <c r="D753" t="str">
        <f t="shared" si="213"/>
        <v>5620</v>
      </c>
      <c r="E753" t="str">
        <f t="shared" si="216"/>
        <v>850LOS</v>
      </c>
      <c r="F753" t="str">
        <f>""</f>
        <v/>
      </c>
      <c r="G753" t="str">
        <f>""</f>
        <v/>
      </c>
      <c r="H753" s="1">
        <v>42460</v>
      </c>
      <c r="I753" t="str">
        <f>"PCD00775"</f>
        <v>PCD00775</v>
      </c>
      <c r="J753" t="str">
        <f>"1002237"</f>
        <v>1002237</v>
      </c>
      <c r="K753" t="str">
        <f t="shared" si="215"/>
        <v>AS89</v>
      </c>
      <c r="L753" t="s">
        <v>2889</v>
      </c>
      <c r="M753">
        <v>234.4</v>
      </c>
    </row>
    <row r="754" spans="1:13" x14ac:dyDescent="0.25">
      <c r="A754" t="str">
        <f t="shared" si="214"/>
        <v>E263</v>
      </c>
      <c r="B754">
        <v>1</v>
      </c>
      <c r="C754" t="str">
        <f>"43000"</f>
        <v>43000</v>
      </c>
      <c r="D754" t="str">
        <f>"5740"</f>
        <v>5740</v>
      </c>
      <c r="E754" t="str">
        <f t="shared" si="216"/>
        <v>850LOS</v>
      </c>
      <c r="F754" t="str">
        <f>""</f>
        <v/>
      </c>
      <c r="G754" t="str">
        <f>""</f>
        <v/>
      </c>
      <c r="H754" s="1">
        <v>42535</v>
      </c>
      <c r="I754" t="str">
        <f>"ACG02686"</f>
        <v>ACG02686</v>
      </c>
      <c r="J754" t="str">
        <f>"1000082"</f>
        <v>1000082</v>
      </c>
      <c r="K754" t="str">
        <f t="shared" ref="K754:K759" si="217">"AS96"</f>
        <v>AS96</v>
      </c>
      <c r="L754" t="s">
        <v>2890</v>
      </c>
      <c r="M754">
        <v>122.49</v>
      </c>
    </row>
    <row r="755" spans="1:13" x14ac:dyDescent="0.25">
      <c r="A755" t="str">
        <f t="shared" si="214"/>
        <v>E263</v>
      </c>
      <c r="B755">
        <v>1</v>
      </c>
      <c r="C755" t="str">
        <f>"43000"</f>
        <v>43000</v>
      </c>
      <c r="D755" t="str">
        <f>"5740"</f>
        <v>5740</v>
      </c>
      <c r="E755" t="str">
        <f t="shared" si="216"/>
        <v>850LOS</v>
      </c>
      <c r="F755" t="str">
        <f>""</f>
        <v/>
      </c>
      <c r="G755" t="str">
        <f>""</f>
        <v/>
      </c>
      <c r="H755" s="1">
        <v>42535</v>
      </c>
      <c r="I755" t="str">
        <f>"ACG02686"</f>
        <v>ACG02686</v>
      </c>
      <c r="J755" t="str">
        <f>"1002237"</f>
        <v>1002237</v>
      </c>
      <c r="K755" t="str">
        <f t="shared" si="217"/>
        <v>AS96</v>
      </c>
      <c r="L755" t="s">
        <v>2889</v>
      </c>
      <c r="M755">
        <v>234.4</v>
      </c>
    </row>
    <row r="756" spans="1:13" x14ac:dyDescent="0.25">
      <c r="A756" t="str">
        <f t="shared" ref="A756:A762" si="218">"E267"</f>
        <v>E267</v>
      </c>
      <c r="B756">
        <v>1</v>
      </c>
      <c r="C756" t="str">
        <f>"32040"</f>
        <v>32040</v>
      </c>
      <c r="D756" t="str">
        <f>"5620"</f>
        <v>5620</v>
      </c>
      <c r="E756" t="str">
        <f t="shared" si="216"/>
        <v>850LOS</v>
      </c>
      <c r="F756" t="str">
        <f>""</f>
        <v/>
      </c>
      <c r="G756" t="str">
        <f>""</f>
        <v/>
      </c>
      <c r="H756" s="1">
        <v>42293</v>
      </c>
      <c r="I756" t="str">
        <f>"BJV00404"</f>
        <v>BJV00404</v>
      </c>
      <c r="J756" t="str">
        <f>""</f>
        <v/>
      </c>
      <c r="K756" t="str">
        <f t="shared" si="217"/>
        <v>AS96</v>
      </c>
      <c r="L756" t="s">
        <v>2884</v>
      </c>
      <c r="M756">
        <v>464</v>
      </c>
    </row>
    <row r="757" spans="1:13" x14ac:dyDescent="0.25">
      <c r="A757" t="str">
        <f t="shared" si="218"/>
        <v>E267</v>
      </c>
      <c r="B757">
        <v>1</v>
      </c>
      <c r="C757" t="str">
        <f t="shared" ref="C757:C762" si="219">"43000"</f>
        <v>43000</v>
      </c>
      <c r="D757" t="str">
        <f>"5620"</f>
        <v>5620</v>
      </c>
      <c r="E757" t="str">
        <f t="shared" si="216"/>
        <v>850LOS</v>
      </c>
      <c r="F757" t="str">
        <f>""</f>
        <v/>
      </c>
      <c r="G757" t="str">
        <f>""</f>
        <v/>
      </c>
      <c r="H757" s="1">
        <v>42293</v>
      </c>
      <c r="I757" t="str">
        <f>"BJV00404"</f>
        <v>BJV00404</v>
      </c>
      <c r="J757" t="str">
        <f>""</f>
        <v/>
      </c>
      <c r="K757" t="str">
        <f t="shared" si="217"/>
        <v>AS96</v>
      </c>
      <c r="L757" t="s">
        <v>2884</v>
      </c>
      <c r="M757" s="2">
        <v>32632</v>
      </c>
    </row>
    <row r="758" spans="1:13" x14ac:dyDescent="0.25">
      <c r="A758" t="str">
        <f t="shared" si="218"/>
        <v>E267</v>
      </c>
      <c r="B758">
        <v>1</v>
      </c>
      <c r="C758" t="str">
        <f t="shared" si="219"/>
        <v>43000</v>
      </c>
      <c r="D758" t="str">
        <f>"5620"</f>
        <v>5620</v>
      </c>
      <c r="E758" t="str">
        <f t="shared" si="216"/>
        <v>850LOS</v>
      </c>
      <c r="F758" t="str">
        <f>""</f>
        <v/>
      </c>
      <c r="G758" t="str">
        <f>""</f>
        <v/>
      </c>
      <c r="H758" s="1">
        <v>42382</v>
      </c>
      <c r="I758" t="str">
        <f>"BJV00406"</f>
        <v>BJV00406</v>
      </c>
      <c r="J758" t="str">
        <f>""</f>
        <v/>
      </c>
      <c r="K758" t="str">
        <f t="shared" si="217"/>
        <v>AS96</v>
      </c>
      <c r="L758" t="s">
        <v>2883</v>
      </c>
      <c r="M758" s="2">
        <v>16525</v>
      </c>
    </row>
    <row r="759" spans="1:13" x14ac:dyDescent="0.25">
      <c r="A759" t="str">
        <f t="shared" si="218"/>
        <v>E267</v>
      </c>
      <c r="B759">
        <v>1</v>
      </c>
      <c r="C759" t="str">
        <f t="shared" si="219"/>
        <v>43000</v>
      </c>
      <c r="D759" t="str">
        <f>"5620"</f>
        <v>5620</v>
      </c>
      <c r="E759" t="str">
        <f t="shared" si="216"/>
        <v>850LOS</v>
      </c>
      <c r="F759" t="str">
        <f>""</f>
        <v/>
      </c>
      <c r="G759" t="str">
        <f>""</f>
        <v/>
      </c>
      <c r="H759" s="1">
        <v>42486</v>
      </c>
      <c r="I759" t="str">
        <f>"BJV00410"</f>
        <v>BJV00410</v>
      </c>
      <c r="J759" t="str">
        <f>""</f>
        <v/>
      </c>
      <c r="K759" t="str">
        <f t="shared" si="217"/>
        <v>AS96</v>
      </c>
      <c r="L759" t="s">
        <v>2886</v>
      </c>
      <c r="M759" s="2">
        <v>19635</v>
      </c>
    </row>
    <row r="760" spans="1:13" x14ac:dyDescent="0.25">
      <c r="A760" t="str">
        <f t="shared" si="218"/>
        <v>E267</v>
      </c>
      <c r="B760">
        <v>1</v>
      </c>
      <c r="C760" t="str">
        <f t="shared" si="219"/>
        <v>43000</v>
      </c>
      <c r="D760" t="str">
        <f>"5740"</f>
        <v>5740</v>
      </c>
      <c r="E760" t="str">
        <f t="shared" si="216"/>
        <v>850LOS</v>
      </c>
      <c r="F760" t="str">
        <f>""</f>
        <v/>
      </c>
      <c r="G760" t="str">
        <f>""</f>
        <v/>
      </c>
      <c r="H760" s="1">
        <v>42493</v>
      </c>
      <c r="I760" t="str">
        <f>"J0021131"</f>
        <v>J0021131</v>
      </c>
      <c r="J760" t="str">
        <f>""</f>
        <v/>
      </c>
      <c r="K760" t="str">
        <f>"J096"</f>
        <v>J096</v>
      </c>
      <c r="L760" t="s">
        <v>2885</v>
      </c>
      <c r="M760" s="2">
        <v>19635</v>
      </c>
    </row>
    <row r="761" spans="1:13" x14ac:dyDescent="0.25">
      <c r="A761" t="str">
        <f t="shared" si="218"/>
        <v>E267</v>
      </c>
      <c r="B761">
        <v>1</v>
      </c>
      <c r="C761" t="str">
        <f t="shared" si="219"/>
        <v>43000</v>
      </c>
      <c r="D761" t="str">
        <f>"5740"</f>
        <v>5740</v>
      </c>
      <c r="E761" t="str">
        <f t="shared" si="216"/>
        <v>850LOS</v>
      </c>
      <c r="F761" t="str">
        <f>""</f>
        <v/>
      </c>
      <c r="G761" t="str">
        <f>""</f>
        <v/>
      </c>
      <c r="H761" s="1">
        <v>42535</v>
      </c>
      <c r="I761" t="str">
        <f>"ACG02686"</f>
        <v>ACG02686</v>
      </c>
      <c r="J761" t="str">
        <f>"BJV00404"</f>
        <v>BJV00404</v>
      </c>
      <c r="K761" t="str">
        <f>"AS96"</f>
        <v>AS96</v>
      </c>
      <c r="L761" t="s">
        <v>2884</v>
      </c>
      <c r="M761" s="2">
        <v>32632</v>
      </c>
    </row>
    <row r="762" spans="1:13" x14ac:dyDescent="0.25">
      <c r="A762" t="str">
        <f t="shared" si="218"/>
        <v>E267</v>
      </c>
      <c r="B762">
        <v>1</v>
      </c>
      <c r="C762" t="str">
        <f t="shared" si="219"/>
        <v>43000</v>
      </c>
      <c r="D762" t="str">
        <f>"5740"</f>
        <v>5740</v>
      </c>
      <c r="E762" t="str">
        <f t="shared" si="216"/>
        <v>850LOS</v>
      </c>
      <c r="F762" t="str">
        <f>""</f>
        <v/>
      </c>
      <c r="G762" t="str">
        <f>""</f>
        <v/>
      </c>
      <c r="H762" s="1">
        <v>42535</v>
      </c>
      <c r="I762" t="str">
        <f>"ACG02686"</f>
        <v>ACG02686</v>
      </c>
      <c r="J762" t="str">
        <f>"BJV00406"</f>
        <v>BJV00406</v>
      </c>
      <c r="K762" t="str">
        <f>"AS96"</f>
        <v>AS96</v>
      </c>
      <c r="L762" t="s">
        <v>2883</v>
      </c>
      <c r="M762" s="2">
        <v>16525</v>
      </c>
    </row>
    <row r="763" spans="1:13" x14ac:dyDescent="0.25">
      <c r="A763" t="str">
        <f>"E271"</f>
        <v>E271</v>
      </c>
      <c r="B763">
        <v>1</v>
      </c>
      <c r="C763" t="str">
        <f>"43004"</f>
        <v>43004</v>
      </c>
      <c r="D763" t="str">
        <f>"5741"</f>
        <v>5741</v>
      </c>
      <c r="E763" t="str">
        <f>"850ALT"</f>
        <v>850ALT</v>
      </c>
      <c r="F763" t="str">
        <f>""</f>
        <v/>
      </c>
      <c r="G763" t="str">
        <f>""</f>
        <v/>
      </c>
      <c r="H763" s="1">
        <v>42401</v>
      </c>
      <c r="I763" t="str">
        <f>"J0019449"</f>
        <v>J0019449</v>
      </c>
      <c r="J763" t="str">
        <f>""</f>
        <v/>
      </c>
      <c r="K763" t="str">
        <f>"J096"</f>
        <v>J096</v>
      </c>
      <c r="L763" t="s">
        <v>2882</v>
      </c>
      <c r="M763" s="2">
        <v>39338.910000000003</v>
      </c>
    </row>
    <row r="764" spans="1:13" x14ac:dyDescent="0.25">
      <c r="A764" t="str">
        <f>"E276"</f>
        <v>E276</v>
      </c>
      <c r="B764">
        <v>1</v>
      </c>
      <c r="C764" t="str">
        <f>"43000"</f>
        <v>43000</v>
      </c>
      <c r="D764" t="str">
        <f>"5740"</f>
        <v>5740</v>
      </c>
      <c r="E764" t="str">
        <f>"850PKE"</f>
        <v>850PKE</v>
      </c>
      <c r="F764" t="str">
        <f>""</f>
        <v/>
      </c>
      <c r="G764" t="str">
        <f>""</f>
        <v/>
      </c>
      <c r="H764" s="1">
        <v>42551</v>
      </c>
      <c r="I764" t="str">
        <f>"J0023342"</f>
        <v>J0023342</v>
      </c>
      <c r="J764" t="str">
        <f>""</f>
        <v/>
      </c>
      <c r="K764" t="str">
        <f>"J079"</f>
        <v>J079</v>
      </c>
      <c r="L764" t="s">
        <v>2881</v>
      </c>
      <c r="M764" s="2">
        <v>30649.09</v>
      </c>
    </row>
    <row r="765" spans="1:13" x14ac:dyDescent="0.25">
      <c r="A765" t="str">
        <f>"E278"</f>
        <v>E278</v>
      </c>
      <c r="B765">
        <v>1</v>
      </c>
      <c r="C765" t="str">
        <f>"23275"</f>
        <v>23275</v>
      </c>
      <c r="D765" t="str">
        <f t="shared" ref="D765:D772" si="220">"5620"</f>
        <v>5620</v>
      </c>
      <c r="E765" t="str">
        <f>"063STF"</f>
        <v>063STF</v>
      </c>
      <c r="F765" t="str">
        <f>""</f>
        <v/>
      </c>
      <c r="G765" t="str">
        <f>""</f>
        <v/>
      </c>
      <c r="H765" s="1">
        <v>42542</v>
      </c>
      <c r="I765" t="str">
        <f>"HSG00544"</f>
        <v>HSG00544</v>
      </c>
      <c r="J765" t="str">
        <f>""</f>
        <v/>
      </c>
      <c r="K765" t="str">
        <f>"AS96"</f>
        <v>AS96</v>
      </c>
      <c r="L765" t="s">
        <v>2880</v>
      </c>
      <c r="M765">
        <v>703.8</v>
      </c>
    </row>
    <row r="766" spans="1:13" x14ac:dyDescent="0.25">
      <c r="A766" t="str">
        <f>"E278"</f>
        <v>E278</v>
      </c>
      <c r="B766">
        <v>1</v>
      </c>
      <c r="C766" t="str">
        <f>"23275"</f>
        <v>23275</v>
      </c>
      <c r="D766" t="str">
        <f t="shared" si="220"/>
        <v>5620</v>
      </c>
      <c r="E766" t="str">
        <f>"063STF"</f>
        <v>063STF</v>
      </c>
      <c r="F766" t="str">
        <f>""</f>
        <v/>
      </c>
      <c r="G766" t="str">
        <f>""</f>
        <v/>
      </c>
      <c r="H766" s="1">
        <v>42551</v>
      </c>
      <c r="I766" t="str">
        <f>"HSG00547"</f>
        <v>HSG00547</v>
      </c>
      <c r="J766" t="str">
        <f>""</f>
        <v/>
      </c>
      <c r="K766" t="str">
        <f>"AS96"</f>
        <v>AS96</v>
      </c>
      <c r="L766" t="s">
        <v>2879</v>
      </c>
      <c r="M766" s="2">
        <v>12061.64</v>
      </c>
    </row>
    <row r="767" spans="1:13" x14ac:dyDescent="0.25">
      <c r="A767" t="str">
        <f t="shared" ref="A767:A779" si="221">"E279"</f>
        <v>E279</v>
      </c>
      <c r="B767">
        <v>1</v>
      </c>
      <c r="C767" t="str">
        <f>"10200"</f>
        <v>10200</v>
      </c>
      <c r="D767" t="str">
        <f t="shared" si="220"/>
        <v>5620</v>
      </c>
      <c r="E767" t="str">
        <f>"094ALT"</f>
        <v>094ALT</v>
      </c>
      <c r="F767" t="str">
        <f>"EMPBUS"</f>
        <v>EMPBUS</v>
      </c>
      <c r="G767" t="str">
        <f>""</f>
        <v/>
      </c>
      <c r="H767" s="1">
        <v>42551</v>
      </c>
      <c r="I767" t="str">
        <f>"J0022991"</f>
        <v>J0022991</v>
      </c>
      <c r="J767" t="str">
        <f>""</f>
        <v/>
      </c>
      <c r="K767" t="str">
        <f>"J096"</f>
        <v>J096</v>
      </c>
      <c r="L767" t="s">
        <v>2876</v>
      </c>
      <c r="M767" s="2">
        <v>70000</v>
      </c>
    </row>
    <row r="768" spans="1:13" x14ac:dyDescent="0.25">
      <c r="A768" t="str">
        <f t="shared" si="221"/>
        <v>E279</v>
      </c>
      <c r="B768">
        <v>1</v>
      </c>
      <c r="C768" t="str">
        <f>"10200"</f>
        <v>10200</v>
      </c>
      <c r="D768" t="str">
        <f t="shared" si="220"/>
        <v>5620</v>
      </c>
      <c r="E768" t="str">
        <f>"094ALT"</f>
        <v>094ALT</v>
      </c>
      <c r="F768" t="str">
        <f>"EMPBUS"</f>
        <v>EMPBUS</v>
      </c>
      <c r="G768" t="str">
        <f>""</f>
        <v/>
      </c>
      <c r="H768" s="1">
        <v>42551</v>
      </c>
      <c r="I768" t="str">
        <f>"J0023077"</f>
        <v>J0023077</v>
      </c>
      <c r="J768" t="str">
        <f>""</f>
        <v/>
      </c>
      <c r="K768" t="str">
        <f>"J096"</f>
        <v>J096</v>
      </c>
      <c r="L768" t="s">
        <v>2875</v>
      </c>
      <c r="M768" s="2">
        <v>60004.83</v>
      </c>
    </row>
    <row r="769" spans="1:13" x14ac:dyDescent="0.25">
      <c r="A769" t="str">
        <f t="shared" si="221"/>
        <v>E279</v>
      </c>
      <c r="B769">
        <v>1</v>
      </c>
      <c r="C769" t="str">
        <f>"23275"</f>
        <v>23275</v>
      </c>
      <c r="D769" t="str">
        <f t="shared" si="220"/>
        <v>5620</v>
      </c>
      <c r="E769" t="str">
        <f>"063STF"</f>
        <v>063STF</v>
      </c>
      <c r="F769" t="str">
        <f>""</f>
        <v/>
      </c>
      <c r="G769" t="str">
        <f>""</f>
        <v/>
      </c>
      <c r="H769" s="1">
        <v>42187</v>
      </c>
      <c r="I769" t="str">
        <f>"J0016019"</f>
        <v>J0016019</v>
      </c>
      <c r="J769" t="str">
        <f>""</f>
        <v/>
      </c>
      <c r="K769" t="str">
        <f>"J079"</f>
        <v>J079</v>
      </c>
      <c r="L769" t="s">
        <v>2878</v>
      </c>
      <c r="M769" s="2">
        <v>131597</v>
      </c>
    </row>
    <row r="770" spans="1:13" x14ac:dyDescent="0.25">
      <c r="A770" t="str">
        <f t="shared" si="221"/>
        <v>E279</v>
      </c>
      <c r="B770">
        <v>1</v>
      </c>
      <c r="C770" t="str">
        <f>"23275"</f>
        <v>23275</v>
      </c>
      <c r="D770" t="str">
        <f t="shared" si="220"/>
        <v>5620</v>
      </c>
      <c r="E770" t="str">
        <f>"063STF"</f>
        <v>063STF</v>
      </c>
      <c r="F770" t="str">
        <f>""</f>
        <v/>
      </c>
      <c r="G770" t="str">
        <f>""</f>
        <v/>
      </c>
      <c r="H770" s="1">
        <v>42331</v>
      </c>
      <c r="I770" t="str">
        <f>"I0123253"</f>
        <v>I0123253</v>
      </c>
      <c r="J770" t="str">
        <f>"N188442C"</f>
        <v>N188442C</v>
      </c>
      <c r="K770" t="str">
        <f t="shared" ref="K770:K777" si="222">"INEI"</f>
        <v>INEI</v>
      </c>
      <c r="L770" t="s">
        <v>330</v>
      </c>
      <c r="M770" s="2">
        <v>267144</v>
      </c>
    </row>
    <row r="771" spans="1:13" x14ac:dyDescent="0.25">
      <c r="A771" t="str">
        <f t="shared" si="221"/>
        <v>E279</v>
      </c>
      <c r="B771">
        <v>1</v>
      </c>
      <c r="C771" t="str">
        <f>"23275"</f>
        <v>23275</v>
      </c>
      <c r="D771" t="str">
        <f t="shared" si="220"/>
        <v>5620</v>
      </c>
      <c r="E771" t="str">
        <f>"063STF"</f>
        <v>063STF</v>
      </c>
      <c r="F771" t="str">
        <f>""</f>
        <v/>
      </c>
      <c r="G771" t="str">
        <f>""</f>
        <v/>
      </c>
      <c r="H771" s="1">
        <v>42401</v>
      </c>
      <c r="I771" t="str">
        <f>"I0125312"</f>
        <v>I0125312</v>
      </c>
      <c r="J771" t="str">
        <f>"N188442C"</f>
        <v>N188442C</v>
      </c>
      <c r="K771" t="str">
        <f t="shared" si="222"/>
        <v>INEI</v>
      </c>
      <c r="L771" t="s">
        <v>330</v>
      </c>
      <c r="M771" s="2">
        <v>267144</v>
      </c>
    </row>
    <row r="772" spans="1:13" x14ac:dyDescent="0.25">
      <c r="A772" t="str">
        <f t="shared" si="221"/>
        <v>E279</v>
      </c>
      <c r="B772">
        <v>1</v>
      </c>
      <c r="C772" t="str">
        <f>"23275"</f>
        <v>23275</v>
      </c>
      <c r="D772" t="str">
        <f t="shared" si="220"/>
        <v>5620</v>
      </c>
      <c r="E772" t="str">
        <f>"063STF"</f>
        <v>063STF</v>
      </c>
      <c r="F772" t="str">
        <f>""</f>
        <v/>
      </c>
      <c r="G772" t="str">
        <f>""</f>
        <v/>
      </c>
      <c r="H772" s="1">
        <v>42480</v>
      </c>
      <c r="I772" t="str">
        <f>"I0128243"</f>
        <v>I0128243</v>
      </c>
      <c r="J772" t="str">
        <f>"N188442C"</f>
        <v>N188442C</v>
      </c>
      <c r="K772" t="str">
        <f t="shared" si="222"/>
        <v>INEI</v>
      </c>
      <c r="L772" t="s">
        <v>330</v>
      </c>
      <c r="M772" s="2">
        <v>267143</v>
      </c>
    </row>
    <row r="773" spans="1:13" x14ac:dyDescent="0.25">
      <c r="A773" t="str">
        <f t="shared" si="221"/>
        <v>E279</v>
      </c>
      <c r="B773">
        <v>1</v>
      </c>
      <c r="C773" t="str">
        <f t="shared" ref="C773:C779" si="223">"43004"</f>
        <v>43004</v>
      </c>
      <c r="D773" t="str">
        <f t="shared" ref="D773:D779" si="224">"5741"</f>
        <v>5741</v>
      </c>
      <c r="E773" t="str">
        <f t="shared" ref="E773:E778" si="225">"850ALT"</f>
        <v>850ALT</v>
      </c>
      <c r="F773" t="str">
        <f>""</f>
        <v/>
      </c>
      <c r="G773" t="str">
        <f>""</f>
        <v/>
      </c>
      <c r="H773" s="1">
        <v>42331</v>
      </c>
      <c r="I773" t="str">
        <f>"I0123252"</f>
        <v>I0123252</v>
      </c>
      <c r="J773" t="str">
        <f>"F193455"</f>
        <v>F193455</v>
      </c>
      <c r="K773" t="str">
        <f t="shared" si="222"/>
        <v>INEI</v>
      </c>
      <c r="L773" t="s">
        <v>330</v>
      </c>
      <c r="M773" s="2">
        <v>1432</v>
      </c>
    </row>
    <row r="774" spans="1:13" x14ac:dyDescent="0.25">
      <c r="A774" t="str">
        <f t="shared" si="221"/>
        <v>E279</v>
      </c>
      <c r="B774">
        <v>1</v>
      </c>
      <c r="C774" t="str">
        <f t="shared" si="223"/>
        <v>43004</v>
      </c>
      <c r="D774" t="str">
        <f t="shared" si="224"/>
        <v>5741</v>
      </c>
      <c r="E774" t="str">
        <f t="shared" si="225"/>
        <v>850ALT</v>
      </c>
      <c r="F774" t="str">
        <f>""</f>
        <v/>
      </c>
      <c r="G774" t="str">
        <f>""</f>
        <v/>
      </c>
      <c r="H774" s="1">
        <v>42331</v>
      </c>
      <c r="I774" t="str">
        <f>"I0123252"</f>
        <v>I0123252</v>
      </c>
      <c r="J774" t="str">
        <f>"F193455"</f>
        <v>F193455</v>
      </c>
      <c r="K774" t="str">
        <f t="shared" si="222"/>
        <v>INEI</v>
      </c>
      <c r="L774" t="s">
        <v>330</v>
      </c>
      <c r="M774" s="2">
        <v>23887.5</v>
      </c>
    </row>
    <row r="775" spans="1:13" x14ac:dyDescent="0.25">
      <c r="A775" t="str">
        <f t="shared" si="221"/>
        <v>E279</v>
      </c>
      <c r="B775">
        <v>1</v>
      </c>
      <c r="C775" t="str">
        <f t="shared" si="223"/>
        <v>43004</v>
      </c>
      <c r="D775" t="str">
        <f t="shared" si="224"/>
        <v>5741</v>
      </c>
      <c r="E775" t="str">
        <f t="shared" si="225"/>
        <v>850ALT</v>
      </c>
      <c r="F775" t="str">
        <f>""</f>
        <v/>
      </c>
      <c r="G775" t="str">
        <f>""</f>
        <v/>
      </c>
      <c r="H775" s="1">
        <v>42396</v>
      </c>
      <c r="I775" t="str">
        <f>"I0125311"</f>
        <v>I0125311</v>
      </c>
      <c r="J775" t="str">
        <f>"F193455"</f>
        <v>F193455</v>
      </c>
      <c r="K775" t="str">
        <f t="shared" si="222"/>
        <v>INEI</v>
      </c>
      <c r="L775" t="s">
        <v>330</v>
      </c>
      <c r="M775" s="2">
        <v>15925</v>
      </c>
    </row>
    <row r="776" spans="1:13" x14ac:dyDescent="0.25">
      <c r="A776" t="str">
        <f t="shared" si="221"/>
        <v>E279</v>
      </c>
      <c r="B776">
        <v>1</v>
      </c>
      <c r="C776" t="str">
        <f t="shared" si="223"/>
        <v>43004</v>
      </c>
      <c r="D776" t="str">
        <f t="shared" si="224"/>
        <v>5741</v>
      </c>
      <c r="E776" t="str">
        <f t="shared" si="225"/>
        <v>850ALT</v>
      </c>
      <c r="F776" t="str">
        <f>""</f>
        <v/>
      </c>
      <c r="G776" t="str">
        <f>""</f>
        <v/>
      </c>
      <c r="H776" s="1">
        <v>42396</v>
      </c>
      <c r="I776" t="str">
        <f>"I0125311"</f>
        <v>I0125311</v>
      </c>
      <c r="J776" t="str">
        <f>"F193455"</f>
        <v>F193455</v>
      </c>
      <c r="K776" t="str">
        <f t="shared" si="222"/>
        <v>INEI</v>
      </c>
      <c r="L776" t="s">
        <v>330</v>
      </c>
      <c r="M776" s="2">
        <v>23887.5</v>
      </c>
    </row>
    <row r="777" spans="1:13" x14ac:dyDescent="0.25">
      <c r="A777" t="str">
        <f t="shared" si="221"/>
        <v>E279</v>
      </c>
      <c r="B777">
        <v>1</v>
      </c>
      <c r="C777" t="str">
        <f t="shared" si="223"/>
        <v>43004</v>
      </c>
      <c r="D777" t="str">
        <f t="shared" si="224"/>
        <v>5741</v>
      </c>
      <c r="E777" t="str">
        <f t="shared" si="225"/>
        <v>850ALT</v>
      </c>
      <c r="F777" t="str">
        <f>""</f>
        <v/>
      </c>
      <c r="G777" t="str">
        <f>""</f>
        <v/>
      </c>
      <c r="H777" s="1">
        <v>42396</v>
      </c>
      <c r="I777" t="str">
        <f>"I0125311"</f>
        <v>I0125311</v>
      </c>
      <c r="J777" t="str">
        <f>"F193455"</f>
        <v>F193455</v>
      </c>
      <c r="K777" t="str">
        <f t="shared" si="222"/>
        <v>INEI</v>
      </c>
      <c r="L777" t="s">
        <v>330</v>
      </c>
      <c r="M777" s="2">
        <v>23887.5</v>
      </c>
    </row>
    <row r="778" spans="1:13" x14ac:dyDescent="0.25">
      <c r="A778" t="str">
        <f t="shared" si="221"/>
        <v>E279</v>
      </c>
      <c r="B778">
        <v>1</v>
      </c>
      <c r="C778" t="str">
        <f t="shared" si="223"/>
        <v>43004</v>
      </c>
      <c r="D778" t="str">
        <f t="shared" si="224"/>
        <v>5741</v>
      </c>
      <c r="E778" t="str">
        <f t="shared" si="225"/>
        <v>850ALT</v>
      </c>
      <c r="F778" t="str">
        <f>""</f>
        <v/>
      </c>
      <c r="G778" t="str">
        <f>""</f>
        <v/>
      </c>
      <c r="H778" s="1">
        <v>42551</v>
      </c>
      <c r="I778" t="str">
        <f>"ACG02796"</f>
        <v>ACG02796</v>
      </c>
      <c r="J778" t="str">
        <f>"J0022991"</f>
        <v>J0022991</v>
      </c>
      <c r="K778" t="str">
        <f>"AS96"</f>
        <v>AS96</v>
      </c>
      <c r="L778" t="s">
        <v>2877</v>
      </c>
      <c r="M778" s="2">
        <v>60004.83</v>
      </c>
    </row>
    <row r="779" spans="1:13" x14ac:dyDescent="0.25">
      <c r="A779" t="str">
        <f t="shared" si="221"/>
        <v>E279</v>
      </c>
      <c r="B779">
        <v>1</v>
      </c>
      <c r="C779" t="str">
        <f t="shared" si="223"/>
        <v>43004</v>
      </c>
      <c r="D779" t="str">
        <f t="shared" si="224"/>
        <v>5741</v>
      </c>
      <c r="E779" t="str">
        <f>"850LOS"</f>
        <v>850LOS</v>
      </c>
      <c r="F779" t="str">
        <f>""</f>
        <v/>
      </c>
      <c r="G779" t="str">
        <f>""</f>
        <v/>
      </c>
      <c r="H779" s="1">
        <v>42234</v>
      </c>
      <c r="I779" t="str">
        <f>"I0120542"</f>
        <v>I0120542</v>
      </c>
      <c r="J779" t="str">
        <f>"N113803G"</f>
        <v>N113803G</v>
      </c>
      <c r="K779" t="str">
        <f>"INEI"</f>
        <v>INEI</v>
      </c>
      <c r="L779" t="s">
        <v>330</v>
      </c>
      <c r="M779" s="2">
        <v>10298</v>
      </c>
    </row>
    <row r="780" spans="1:13" x14ac:dyDescent="0.25">
      <c r="A780" t="str">
        <f t="shared" ref="A780:A795" si="226">"E351"</f>
        <v>E351</v>
      </c>
      <c r="B780">
        <v>1</v>
      </c>
      <c r="C780" t="str">
        <f t="shared" ref="C780:C792" si="227">"10200"</f>
        <v>10200</v>
      </c>
      <c r="D780" t="str">
        <f t="shared" ref="D780:D793" si="228">"5620"</f>
        <v>5620</v>
      </c>
      <c r="E780" t="str">
        <f t="shared" ref="E780:E792" si="229">"094OMS"</f>
        <v>094OMS</v>
      </c>
      <c r="F780" t="str">
        <f>""</f>
        <v/>
      </c>
      <c r="G780" t="str">
        <f>""</f>
        <v/>
      </c>
      <c r="H780" s="1">
        <v>42278</v>
      </c>
      <c r="I780" t="str">
        <f>"TR008859"</f>
        <v>TR008859</v>
      </c>
      <c r="J780" t="str">
        <f>"TA008151"</f>
        <v>TA008151</v>
      </c>
      <c r="K780" t="str">
        <f>"ITEI"</f>
        <v>ITEI</v>
      </c>
      <c r="L780" t="s">
        <v>2242</v>
      </c>
      <c r="M780">
        <v>824.8</v>
      </c>
    </row>
    <row r="781" spans="1:13" x14ac:dyDescent="0.25">
      <c r="A781" t="str">
        <f t="shared" si="226"/>
        <v>E351</v>
      </c>
      <c r="B781">
        <v>1</v>
      </c>
      <c r="C781" t="str">
        <f t="shared" si="227"/>
        <v>10200</v>
      </c>
      <c r="D781" t="str">
        <f t="shared" si="228"/>
        <v>5620</v>
      </c>
      <c r="E781" t="str">
        <f t="shared" si="229"/>
        <v>094OMS</v>
      </c>
      <c r="F781" t="str">
        <f>""</f>
        <v/>
      </c>
      <c r="G781" t="str">
        <f>""</f>
        <v/>
      </c>
      <c r="H781" s="1">
        <v>42278</v>
      </c>
      <c r="I781" t="str">
        <f>"TR008942"</f>
        <v>TR008942</v>
      </c>
      <c r="J781" t="str">
        <f>"TA007981"</f>
        <v>TA007981</v>
      </c>
      <c r="K781" t="str">
        <f>"INEI"</f>
        <v>INEI</v>
      </c>
      <c r="L781" t="s">
        <v>478</v>
      </c>
      <c r="M781">
        <v>748.75</v>
      </c>
    </row>
    <row r="782" spans="1:13" x14ac:dyDescent="0.25">
      <c r="A782" t="str">
        <f t="shared" si="226"/>
        <v>E351</v>
      </c>
      <c r="B782">
        <v>1</v>
      </c>
      <c r="C782" t="str">
        <f t="shared" si="227"/>
        <v>10200</v>
      </c>
      <c r="D782" t="str">
        <f t="shared" si="228"/>
        <v>5620</v>
      </c>
      <c r="E782" t="str">
        <f t="shared" si="229"/>
        <v>094OMS</v>
      </c>
      <c r="F782" t="str">
        <f>""</f>
        <v/>
      </c>
      <c r="G782" t="str">
        <f>""</f>
        <v/>
      </c>
      <c r="H782" s="1">
        <v>42394</v>
      </c>
      <c r="I782" t="str">
        <f>"TR010551"</f>
        <v>TR010551</v>
      </c>
      <c r="J782" t="str">
        <f>"TA009414"</f>
        <v>TA009414</v>
      </c>
      <c r="K782" t="str">
        <f>"ITEI"</f>
        <v>ITEI</v>
      </c>
      <c r="L782" t="s">
        <v>2242</v>
      </c>
      <c r="M782">
        <v>403</v>
      </c>
    </row>
    <row r="783" spans="1:13" x14ac:dyDescent="0.25">
      <c r="A783" t="str">
        <f t="shared" si="226"/>
        <v>E351</v>
      </c>
      <c r="B783">
        <v>1</v>
      </c>
      <c r="C783" t="str">
        <f t="shared" si="227"/>
        <v>10200</v>
      </c>
      <c r="D783" t="str">
        <f t="shared" si="228"/>
        <v>5620</v>
      </c>
      <c r="E783" t="str">
        <f t="shared" si="229"/>
        <v>094OMS</v>
      </c>
      <c r="F783" t="str">
        <f>""</f>
        <v/>
      </c>
      <c r="G783" t="str">
        <f>""</f>
        <v/>
      </c>
      <c r="H783" s="1">
        <v>42409</v>
      </c>
      <c r="I783" t="str">
        <f>"TR010796"</f>
        <v>TR010796</v>
      </c>
      <c r="J783" t="str">
        <f>"TA009606"</f>
        <v>TA009606</v>
      </c>
      <c r="K783" t="str">
        <f>"INEI"</f>
        <v>INEI</v>
      </c>
      <c r="L783" t="s">
        <v>334</v>
      </c>
      <c r="M783" s="2">
        <v>1211.3499999999999</v>
      </c>
    </row>
    <row r="784" spans="1:13" x14ac:dyDescent="0.25">
      <c r="A784" t="str">
        <f t="shared" si="226"/>
        <v>E351</v>
      </c>
      <c r="B784">
        <v>1</v>
      </c>
      <c r="C784" t="str">
        <f t="shared" si="227"/>
        <v>10200</v>
      </c>
      <c r="D784" t="str">
        <f t="shared" si="228"/>
        <v>5620</v>
      </c>
      <c r="E784" t="str">
        <f t="shared" si="229"/>
        <v>094OMS</v>
      </c>
      <c r="F784" t="str">
        <f>""</f>
        <v/>
      </c>
      <c r="G784" t="str">
        <f>""</f>
        <v/>
      </c>
      <c r="H784" s="1">
        <v>42416</v>
      </c>
      <c r="I784" t="str">
        <f>"TR010868"</f>
        <v>TR010868</v>
      </c>
      <c r="J784" t="str">
        <f>"TA009608"</f>
        <v>TA009608</v>
      </c>
      <c r="K784" t="str">
        <f>"INEI"</f>
        <v>INEI</v>
      </c>
      <c r="L784" t="s">
        <v>823</v>
      </c>
      <c r="M784">
        <v>206.8</v>
      </c>
    </row>
    <row r="785" spans="1:13" x14ac:dyDescent="0.25">
      <c r="A785" t="str">
        <f t="shared" si="226"/>
        <v>E351</v>
      </c>
      <c r="B785">
        <v>1</v>
      </c>
      <c r="C785" t="str">
        <f t="shared" si="227"/>
        <v>10200</v>
      </c>
      <c r="D785" t="str">
        <f t="shared" si="228"/>
        <v>5620</v>
      </c>
      <c r="E785" t="str">
        <f t="shared" si="229"/>
        <v>094OMS</v>
      </c>
      <c r="F785" t="str">
        <f>""</f>
        <v/>
      </c>
      <c r="G785" t="str">
        <f>""</f>
        <v/>
      </c>
      <c r="H785" s="1">
        <v>42490</v>
      </c>
      <c r="I785" t="str">
        <f>"PCD00780"</f>
        <v>PCD00780</v>
      </c>
      <c r="J785" t="str">
        <f>""</f>
        <v/>
      </c>
      <c r="K785" t="str">
        <f>"AS89"</f>
        <v>AS89</v>
      </c>
      <c r="L785" t="s">
        <v>2874</v>
      </c>
      <c r="M785">
        <v>543.9</v>
      </c>
    </row>
    <row r="786" spans="1:13" x14ac:dyDescent="0.25">
      <c r="A786" t="str">
        <f t="shared" si="226"/>
        <v>E351</v>
      </c>
      <c r="B786">
        <v>1</v>
      </c>
      <c r="C786" t="str">
        <f t="shared" si="227"/>
        <v>10200</v>
      </c>
      <c r="D786" t="str">
        <f t="shared" si="228"/>
        <v>5620</v>
      </c>
      <c r="E786" t="str">
        <f t="shared" si="229"/>
        <v>094OMS</v>
      </c>
      <c r="F786" t="str">
        <f>""</f>
        <v/>
      </c>
      <c r="G786" t="str">
        <f>""</f>
        <v/>
      </c>
      <c r="H786" s="1">
        <v>42491</v>
      </c>
      <c r="I786" t="str">
        <f>"TR012019"</f>
        <v>TR012019</v>
      </c>
      <c r="J786" t="str">
        <f>"TA010618"</f>
        <v>TA010618</v>
      </c>
      <c r="K786" t="str">
        <f>"INEI"</f>
        <v>INEI</v>
      </c>
      <c r="L786" t="s">
        <v>2865</v>
      </c>
      <c r="M786">
        <v>425</v>
      </c>
    </row>
    <row r="787" spans="1:13" x14ac:dyDescent="0.25">
      <c r="A787" t="str">
        <f t="shared" si="226"/>
        <v>E351</v>
      </c>
      <c r="B787">
        <v>1</v>
      </c>
      <c r="C787" t="str">
        <f t="shared" si="227"/>
        <v>10200</v>
      </c>
      <c r="D787" t="str">
        <f t="shared" si="228"/>
        <v>5620</v>
      </c>
      <c r="E787" t="str">
        <f t="shared" si="229"/>
        <v>094OMS</v>
      </c>
      <c r="F787" t="str">
        <f>""</f>
        <v/>
      </c>
      <c r="G787" t="str">
        <f>""</f>
        <v/>
      </c>
      <c r="H787" s="1">
        <v>42503</v>
      </c>
      <c r="I787" t="str">
        <f>"TR012279"</f>
        <v>TR012279</v>
      </c>
      <c r="J787" t="str">
        <f>"TA010927"</f>
        <v>TA010927</v>
      </c>
      <c r="K787" t="str">
        <f>"INEI"</f>
        <v>INEI</v>
      </c>
      <c r="L787" t="s">
        <v>334</v>
      </c>
      <c r="M787">
        <v>107</v>
      </c>
    </row>
    <row r="788" spans="1:13" x14ac:dyDescent="0.25">
      <c r="A788" t="str">
        <f t="shared" si="226"/>
        <v>E351</v>
      </c>
      <c r="B788">
        <v>1</v>
      </c>
      <c r="C788" t="str">
        <f t="shared" si="227"/>
        <v>10200</v>
      </c>
      <c r="D788" t="str">
        <f t="shared" si="228"/>
        <v>5620</v>
      </c>
      <c r="E788" t="str">
        <f t="shared" si="229"/>
        <v>094OMS</v>
      </c>
      <c r="F788" t="str">
        <f>""</f>
        <v/>
      </c>
      <c r="G788" t="str">
        <f>""</f>
        <v/>
      </c>
      <c r="H788" s="1">
        <v>42506</v>
      </c>
      <c r="I788" t="str">
        <f>"TR012307"</f>
        <v>TR012307</v>
      </c>
      <c r="J788" t="str">
        <f>"TA010895"</f>
        <v>TA010895</v>
      </c>
      <c r="K788" t="str">
        <f>"INEI"</f>
        <v>INEI</v>
      </c>
      <c r="L788" t="s">
        <v>342</v>
      </c>
      <c r="M788">
        <v>154.41</v>
      </c>
    </row>
    <row r="789" spans="1:13" x14ac:dyDescent="0.25">
      <c r="A789" t="str">
        <f t="shared" si="226"/>
        <v>E351</v>
      </c>
      <c r="B789">
        <v>1</v>
      </c>
      <c r="C789" t="str">
        <f t="shared" si="227"/>
        <v>10200</v>
      </c>
      <c r="D789" t="str">
        <f t="shared" si="228"/>
        <v>5620</v>
      </c>
      <c r="E789" t="str">
        <f t="shared" si="229"/>
        <v>094OMS</v>
      </c>
      <c r="F789" t="str">
        <f>""</f>
        <v/>
      </c>
      <c r="G789" t="str">
        <f>""</f>
        <v/>
      </c>
      <c r="H789" s="1">
        <v>42521</v>
      </c>
      <c r="I789" t="str">
        <f>"PCD00785"</f>
        <v>PCD00785</v>
      </c>
      <c r="J789" t="str">
        <f>""</f>
        <v/>
      </c>
      <c r="K789" t="str">
        <f>"AS89"</f>
        <v>AS89</v>
      </c>
      <c r="L789" t="s">
        <v>2873</v>
      </c>
      <c r="M789">
        <v>141.38</v>
      </c>
    </row>
    <row r="790" spans="1:13" x14ac:dyDescent="0.25">
      <c r="A790" t="str">
        <f t="shared" si="226"/>
        <v>E351</v>
      </c>
      <c r="B790">
        <v>1</v>
      </c>
      <c r="C790" t="str">
        <f t="shared" si="227"/>
        <v>10200</v>
      </c>
      <c r="D790" t="str">
        <f t="shared" si="228"/>
        <v>5620</v>
      </c>
      <c r="E790" t="str">
        <f t="shared" si="229"/>
        <v>094OMS</v>
      </c>
      <c r="F790" t="str">
        <f>""</f>
        <v/>
      </c>
      <c r="G790" t="str">
        <f>""</f>
        <v/>
      </c>
      <c r="H790" s="1">
        <v>42521</v>
      </c>
      <c r="I790" t="str">
        <f>"PCD00785"</f>
        <v>PCD00785</v>
      </c>
      <c r="J790" t="str">
        <f>""</f>
        <v/>
      </c>
      <c r="K790" t="str">
        <f>"AS89"</f>
        <v>AS89</v>
      </c>
      <c r="L790" t="s">
        <v>2872</v>
      </c>
      <c r="M790">
        <v>146.27000000000001</v>
      </c>
    </row>
    <row r="791" spans="1:13" x14ac:dyDescent="0.25">
      <c r="A791" t="str">
        <f t="shared" si="226"/>
        <v>E351</v>
      </c>
      <c r="B791">
        <v>1</v>
      </c>
      <c r="C791" t="str">
        <f t="shared" si="227"/>
        <v>10200</v>
      </c>
      <c r="D791" t="str">
        <f t="shared" si="228"/>
        <v>5620</v>
      </c>
      <c r="E791" t="str">
        <f t="shared" si="229"/>
        <v>094OMS</v>
      </c>
      <c r="F791" t="str">
        <f>""</f>
        <v/>
      </c>
      <c r="G791" t="str">
        <f>""</f>
        <v/>
      </c>
      <c r="H791" s="1">
        <v>42522</v>
      </c>
      <c r="I791" t="str">
        <f>"J0021962"</f>
        <v>J0021962</v>
      </c>
      <c r="J791" t="str">
        <f>""</f>
        <v/>
      </c>
      <c r="K791" t="str">
        <f>"J089"</f>
        <v>J089</v>
      </c>
      <c r="L791" t="s">
        <v>2871</v>
      </c>
      <c r="M791">
        <v>619.4</v>
      </c>
    </row>
    <row r="792" spans="1:13" x14ac:dyDescent="0.25">
      <c r="A792" t="str">
        <f t="shared" si="226"/>
        <v>E351</v>
      </c>
      <c r="B792">
        <v>1</v>
      </c>
      <c r="C792" t="str">
        <f t="shared" si="227"/>
        <v>10200</v>
      </c>
      <c r="D792" t="str">
        <f t="shared" si="228"/>
        <v>5620</v>
      </c>
      <c r="E792" t="str">
        <f t="shared" si="229"/>
        <v>094OMS</v>
      </c>
      <c r="F792" t="str">
        <f>""</f>
        <v/>
      </c>
      <c r="G792" t="str">
        <f>""</f>
        <v/>
      </c>
      <c r="H792" s="1">
        <v>42522</v>
      </c>
      <c r="I792" t="str">
        <f>"J0021962"</f>
        <v>J0021962</v>
      </c>
      <c r="J792" t="str">
        <f>""</f>
        <v/>
      </c>
      <c r="K792" t="str">
        <f>"J089"</f>
        <v>J089</v>
      </c>
      <c r="L792" t="s">
        <v>2870</v>
      </c>
      <c r="M792">
        <v>956.9</v>
      </c>
    </row>
    <row r="793" spans="1:13" x14ac:dyDescent="0.25">
      <c r="A793" t="str">
        <f t="shared" si="226"/>
        <v>E351</v>
      </c>
      <c r="B793">
        <v>1</v>
      </c>
      <c r="C793" t="str">
        <f>"43000"</f>
        <v>43000</v>
      </c>
      <c r="D793" t="str">
        <f t="shared" si="228"/>
        <v>5620</v>
      </c>
      <c r="E793" t="str">
        <f>"850LOS"</f>
        <v>850LOS</v>
      </c>
      <c r="F793" t="str">
        <f>""</f>
        <v/>
      </c>
      <c r="G793" t="str">
        <f>""</f>
        <v/>
      </c>
      <c r="H793" s="1">
        <v>42227</v>
      </c>
      <c r="I793" t="str">
        <f>"TR008449"</f>
        <v>TR008449</v>
      </c>
      <c r="J793" t="str">
        <f>"TA007567"</f>
        <v>TA007567</v>
      </c>
      <c r="K793" t="str">
        <f>"INEI"</f>
        <v>INEI</v>
      </c>
      <c r="L793" t="s">
        <v>284</v>
      </c>
      <c r="M793">
        <v>540.75</v>
      </c>
    </row>
    <row r="794" spans="1:13" x14ac:dyDescent="0.25">
      <c r="A794" t="str">
        <f t="shared" si="226"/>
        <v>E351</v>
      </c>
      <c r="B794">
        <v>1</v>
      </c>
      <c r="C794" t="str">
        <f>"43000"</f>
        <v>43000</v>
      </c>
      <c r="D794" t="str">
        <f>"5740"</f>
        <v>5740</v>
      </c>
      <c r="E794" t="str">
        <f>"850LOS"</f>
        <v>850LOS</v>
      </c>
      <c r="F794" t="str">
        <f>""</f>
        <v/>
      </c>
      <c r="G794" t="str">
        <f>""</f>
        <v/>
      </c>
      <c r="H794" s="1">
        <v>42535</v>
      </c>
      <c r="I794" t="str">
        <f>"ACG02686"</f>
        <v>ACG02686</v>
      </c>
      <c r="J794" t="str">
        <f>"TA007567"</f>
        <v>TA007567</v>
      </c>
      <c r="K794" t="str">
        <f>"AS96"</f>
        <v>AS96</v>
      </c>
      <c r="L794" t="s">
        <v>284</v>
      </c>
      <c r="M794">
        <v>540.75</v>
      </c>
    </row>
    <row r="795" spans="1:13" x14ac:dyDescent="0.25">
      <c r="A795" t="str">
        <f t="shared" si="226"/>
        <v>E351</v>
      </c>
      <c r="B795">
        <v>1</v>
      </c>
      <c r="C795" t="str">
        <f>"43004"</f>
        <v>43004</v>
      </c>
      <c r="D795" t="str">
        <f>"5741"</f>
        <v>5741</v>
      </c>
      <c r="E795" t="str">
        <f>"850ALT"</f>
        <v>850ALT</v>
      </c>
      <c r="F795" t="str">
        <f>""</f>
        <v/>
      </c>
      <c r="G795" t="str">
        <f>""</f>
        <v/>
      </c>
      <c r="H795" s="1">
        <v>42251</v>
      </c>
      <c r="I795" t="str">
        <f>"TR008660"</f>
        <v>TR008660</v>
      </c>
      <c r="J795" t="str">
        <f>"TA007868"</f>
        <v>TA007868</v>
      </c>
      <c r="K795" t="str">
        <f>"INEI"</f>
        <v>INEI</v>
      </c>
      <c r="L795" t="s">
        <v>2562</v>
      </c>
      <c r="M795">
        <v>195</v>
      </c>
    </row>
    <row r="796" spans="1:13" x14ac:dyDescent="0.25">
      <c r="A796" t="str">
        <f>"E353"</f>
        <v>E353</v>
      </c>
      <c r="B796">
        <v>1</v>
      </c>
      <c r="C796" t="str">
        <f>"10200"</f>
        <v>10200</v>
      </c>
      <c r="D796" t="str">
        <f>"5620"</f>
        <v>5620</v>
      </c>
      <c r="E796" t="str">
        <f>"094OMS"</f>
        <v>094OMS</v>
      </c>
      <c r="F796" t="str">
        <f>""</f>
        <v/>
      </c>
      <c r="G796" t="str">
        <f>""</f>
        <v/>
      </c>
      <c r="H796" s="1">
        <v>42464</v>
      </c>
      <c r="I796" t="str">
        <f>"TR011560"</f>
        <v>TR011560</v>
      </c>
      <c r="J796" t="str">
        <f>"TA010431"</f>
        <v>TA010431</v>
      </c>
      <c r="K796" t="str">
        <f>"INEI"</f>
        <v>INEI</v>
      </c>
      <c r="L796" t="s">
        <v>1939</v>
      </c>
      <c r="M796">
        <v>259.2</v>
      </c>
    </row>
    <row r="797" spans="1:13" x14ac:dyDescent="0.25">
      <c r="A797" t="str">
        <f>"E353"</f>
        <v>E353</v>
      </c>
      <c r="B797">
        <v>1</v>
      </c>
      <c r="C797" t="str">
        <f>"10200"</f>
        <v>10200</v>
      </c>
      <c r="D797" t="str">
        <f>"5620"</f>
        <v>5620</v>
      </c>
      <c r="E797" t="str">
        <f>"094OMS"</f>
        <v>094OMS</v>
      </c>
      <c r="F797" t="str">
        <f>""</f>
        <v/>
      </c>
      <c r="G797" t="str">
        <f>""</f>
        <v/>
      </c>
      <c r="H797" s="1">
        <v>42503</v>
      </c>
      <c r="I797" t="str">
        <f>"TR012279"</f>
        <v>TR012279</v>
      </c>
      <c r="J797" t="str">
        <f>"TA010927"</f>
        <v>TA010927</v>
      </c>
      <c r="K797" t="str">
        <f>"INEI"</f>
        <v>INEI</v>
      </c>
      <c r="L797" t="s">
        <v>334</v>
      </c>
      <c r="M797">
        <v>129.6</v>
      </c>
    </row>
    <row r="798" spans="1:13" x14ac:dyDescent="0.25">
      <c r="A798" t="str">
        <f>"E353"</f>
        <v>E353</v>
      </c>
      <c r="B798">
        <v>1</v>
      </c>
      <c r="C798" t="str">
        <f>"43000"</f>
        <v>43000</v>
      </c>
      <c r="D798" t="str">
        <f>"5620"</f>
        <v>5620</v>
      </c>
      <c r="E798" t="str">
        <f>"850LOS"</f>
        <v>850LOS</v>
      </c>
      <c r="F798" t="str">
        <f>""</f>
        <v/>
      </c>
      <c r="G798" t="str">
        <f>""</f>
        <v/>
      </c>
      <c r="H798" s="1">
        <v>42227</v>
      </c>
      <c r="I798" t="str">
        <f>"TR008449"</f>
        <v>TR008449</v>
      </c>
      <c r="J798" t="str">
        <f>"TA007567"</f>
        <v>TA007567</v>
      </c>
      <c r="K798" t="str">
        <f>"INEI"</f>
        <v>INEI</v>
      </c>
      <c r="L798" t="s">
        <v>284</v>
      </c>
      <c r="M798">
        <v>287.5</v>
      </c>
    </row>
    <row r="799" spans="1:13" x14ac:dyDescent="0.25">
      <c r="A799" t="str">
        <f>"E353"</f>
        <v>E353</v>
      </c>
      <c r="B799">
        <v>1</v>
      </c>
      <c r="C799" t="str">
        <f>"43000"</f>
        <v>43000</v>
      </c>
      <c r="D799" t="str">
        <f>"5740"</f>
        <v>5740</v>
      </c>
      <c r="E799" t="str">
        <f>"850LOS"</f>
        <v>850LOS</v>
      </c>
      <c r="F799" t="str">
        <f>""</f>
        <v/>
      </c>
      <c r="G799" t="str">
        <f>""</f>
        <v/>
      </c>
      <c r="H799" s="1">
        <v>42535</v>
      </c>
      <c r="I799" t="str">
        <f>"ACG02686"</f>
        <v>ACG02686</v>
      </c>
      <c r="J799" t="str">
        <f>"TA007567"</f>
        <v>TA007567</v>
      </c>
      <c r="K799" t="str">
        <f>"AS96"</f>
        <v>AS96</v>
      </c>
      <c r="L799" t="s">
        <v>284</v>
      </c>
      <c r="M799">
        <v>287.5</v>
      </c>
    </row>
    <row r="800" spans="1:13" x14ac:dyDescent="0.25">
      <c r="A800" t="str">
        <f t="shared" ref="A800:A805" si="230">"E365"</f>
        <v>E365</v>
      </c>
      <c r="B800">
        <v>1</v>
      </c>
      <c r="C800" t="str">
        <f t="shared" ref="C800:C805" si="231">"23275"</f>
        <v>23275</v>
      </c>
      <c r="D800" t="str">
        <f t="shared" ref="D800:D815" si="232">"5620"</f>
        <v>5620</v>
      </c>
      <c r="E800" t="str">
        <f t="shared" ref="E800:E805" si="233">"063STF"</f>
        <v>063STF</v>
      </c>
      <c r="F800" t="str">
        <f>""</f>
        <v/>
      </c>
      <c r="G800" t="str">
        <f>""</f>
        <v/>
      </c>
      <c r="H800" s="1">
        <v>42346</v>
      </c>
      <c r="I800" t="str">
        <f>"I0123633"</f>
        <v>I0123633</v>
      </c>
      <c r="J800" t="str">
        <f t="shared" ref="J800:J805" si="234">"N193453"</f>
        <v>N193453</v>
      </c>
      <c r="K800" t="str">
        <f t="shared" ref="K800:K805" si="235">"INEI"</f>
        <v>INEI</v>
      </c>
      <c r="L800" t="s">
        <v>1994</v>
      </c>
      <c r="M800" s="2">
        <v>4920.8900000000003</v>
      </c>
    </row>
    <row r="801" spans="1:13" x14ac:dyDescent="0.25">
      <c r="A801" t="str">
        <f t="shared" si="230"/>
        <v>E365</v>
      </c>
      <c r="B801">
        <v>1</v>
      </c>
      <c r="C801" t="str">
        <f t="shared" si="231"/>
        <v>23275</v>
      </c>
      <c r="D801" t="str">
        <f t="shared" si="232"/>
        <v>5620</v>
      </c>
      <c r="E801" t="str">
        <f t="shared" si="233"/>
        <v>063STF</v>
      </c>
      <c r="F801" t="str">
        <f>""</f>
        <v/>
      </c>
      <c r="G801" t="str">
        <f>""</f>
        <v/>
      </c>
      <c r="H801" s="1">
        <v>42346</v>
      </c>
      <c r="I801" t="str">
        <f>"I0123634"</f>
        <v>I0123634</v>
      </c>
      <c r="J801" t="str">
        <f t="shared" si="234"/>
        <v>N193453</v>
      </c>
      <c r="K801" t="str">
        <f t="shared" si="235"/>
        <v>INEI</v>
      </c>
      <c r="L801" t="s">
        <v>1994</v>
      </c>
      <c r="M801" s="2">
        <v>4776.74</v>
      </c>
    </row>
    <row r="802" spans="1:13" x14ac:dyDescent="0.25">
      <c r="A802" t="str">
        <f t="shared" si="230"/>
        <v>E365</v>
      </c>
      <c r="B802">
        <v>1</v>
      </c>
      <c r="C802" t="str">
        <f t="shared" si="231"/>
        <v>23275</v>
      </c>
      <c r="D802" t="str">
        <f t="shared" si="232"/>
        <v>5620</v>
      </c>
      <c r="E802" t="str">
        <f t="shared" si="233"/>
        <v>063STF</v>
      </c>
      <c r="F802" t="str">
        <f>""</f>
        <v/>
      </c>
      <c r="G802" t="str">
        <f>""</f>
        <v/>
      </c>
      <c r="H802" s="1">
        <v>42346</v>
      </c>
      <c r="I802" t="str">
        <f>"I0123635"</f>
        <v>I0123635</v>
      </c>
      <c r="J802" t="str">
        <f t="shared" si="234"/>
        <v>N193453</v>
      </c>
      <c r="K802" t="str">
        <f t="shared" si="235"/>
        <v>INEI</v>
      </c>
      <c r="L802" t="s">
        <v>1994</v>
      </c>
      <c r="M802" s="2">
        <v>4580.91</v>
      </c>
    </row>
    <row r="803" spans="1:13" x14ac:dyDescent="0.25">
      <c r="A803" t="str">
        <f t="shared" si="230"/>
        <v>E365</v>
      </c>
      <c r="B803">
        <v>1</v>
      </c>
      <c r="C803" t="str">
        <f t="shared" si="231"/>
        <v>23275</v>
      </c>
      <c r="D803" t="str">
        <f t="shared" si="232"/>
        <v>5620</v>
      </c>
      <c r="E803" t="str">
        <f t="shared" si="233"/>
        <v>063STF</v>
      </c>
      <c r="F803" t="str">
        <f>""</f>
        <v/>
      </c>
      <c r="G803" t="str">
        <f>""</f>
        <v/>
      </c>
      <c r="H803" s="1">
        <v>42346</v>
      </c>
      <c r="I803" t="str">
        <f>"I0123636"</f>
        <v>I0123636</v>
      </c>
      <c r="J803" t="str">
        <f t="shared" si="234"/>
        <v>N193453</v>
      </c>
      <c r="K803" t="str">
        <f t="shared" si="235"/>
        <v>INEI</v>
      </c>
      <c r="L803" t="s">
        <v>1994</v>
      </c>
      <c r="M803" s="2">
        <v>4580.91</v>
      </c>
    </row>
    <row r="804" spans="1:13" x14ac:dyDescent="0.25">
      <c r="A804" t="str">
        <f t="shared" si="230"/>
        <v>E365</v>
      </c>
      <c r="B804">
        <v>1</v>
      </c>
      <c r="C804" t="str">
        <f t="shared" si="231"/>
        <v>23275</v>
      </c>
      <c r="D804" t="str">
        <f t="shared" si="232"/>
        <v>5620</v>
      </c>
      <c r="E804" t="str">
        <f t="shared" si="233"/>
        <v>063STF</v>
      </c>
      <c r="F804" t="str">
        <f>""</f>
        <v/>
      </c>
      <c r="G804" t="str">
        <f>""</f>
        <v/>
      </c>
      <c r="H804" s="1">
        <v>42346</v>
      </c>
      <c r="I804" t="str">
        <f>"I0123637"</f>
        <v>I0123637</v>
      </c>
      <c r="J804" t="str">
        <f t="shared" si="234"/>
        <v>N193453</v>
      </c>
      <c r="K804" t="str">
        <f t="shared" si="235"/>
        <v>INEI</v>
      </c>
      <c r="L804" t="s">
        <v>1994</v>
      </c>
      <c r="M804" s="2">
        <v>4580.91</v>
      </c>
    </row>
    <row r="805" spans="1:13" x14ac:dyDescent="0.25">
      <c r="A805" t="str">
        <f t="shared" si="230"/>
        <v>E365</v>
      </c>
      <c r="B805">
        <v>1</v>
      </c>
      <c r="C805" t="str">
        <f t="shared" si="231"/>
        <v>23275</v>
      </c>
      <c r="D805" t="str">
        <f t="shared" si="232"/>
        <v>5620</v>
      </c>
      <c r="E805" t="str">
        <f t="shared" si="233"/>
        <v>063STF</v>
      </c>
      <c r="F805" t="str">
        <f>""</f>
        <v/>
      </c>
      <c r="G805" t="str">
        <f>""</f>
        <v/>
      </c>
      <c r="H805" s="1">
        <v>42346</v>
      </c>
      <c r="I805" t="str">
        <f>"I0123638"</f>
        <v>I0123638</v>
      </c>
      <c r="J805" t="str">
        <f t="shared" si="234"/>
        <v>N193453</v>
      </c>
      <c r="K805" t="str">
        <f t="shared" si="235"/>
        <v>INEI</v>
      </c>
      <c r="L805" t="s">
        <v>1994</v>
      </c>
      <c r="M805" s="2">
        <v>4756.8</v>
      </c>
    </row>
    <row r="806" spans="1:13" x14ac:dyDescent="0.25">
      <c r="A806" t="str">
        <f>"E367"</f>
        <v>E367</v>
      </c>
      <c r="B806">
        <v>1</v>
      </c>
      <c r="C806" t="str">
        <f>"43000"</f>
        <v>43000</v>
      </c>
      <c r="D806" t="str">
        <f t="shared" si="232"/>
        <v>5620</v>
      </c>
      <c r="E806" t="str">
        <f>"850LOS"</f>
        <v>850LOS</v>
      </c>
      <c r="F806" t="str">
        <f>""</f>
        <v/>
      </c>
      <c r="G806" t="str">
        <f>""</f>
        <v/>
      </c>
      <c r="H806" s="1">
        <v>42308</v>
      </c>
      <c r="I806" t="str">
        <f>"TRV10192"</f>
        <v>TRV10192</v>
      </c>
      <c r="J806" t="str">
        <f>"TA008310"</f>
        <v>TA008310</v>
      </c>
      <c r="K806" t="str">
        <f>"AS89"</f>
        <v>AS89</v>
      </c>
      <c r="L806" t="s">
        <v>2861</v>
      </c>
      <c r="M806">
        <v>561.20000000000005</v>
      </c>
    </row>
    <row r="807" spans="1:13" x14ac:dyDescent="0.25">
      <c r="A807" t="str">
        <f t="shared" ref="A807:A817" si="236">"E370"</f>
        <v>E370</v>
      </c>
      <c r="B807">
        <v>1</v>
      </c>
      <c r="C807" t="str">
        <f t="shared" ref="C807:C813" si="237">"10200"</f>
        <v>10200</v>
      </c>
      <c r="D807" t="str">
        <f t="shared" si="232"/>
        <v>5620</v>
      </c>
      <c r="E807" t="str">
        <f t="shared" ref="E807:E813" si="238">"094OMS"</f>
        <v>094OMS</v>
      </c>
      <c r="F807" t="str">
        <f>""</f>
        <v/>
      </c>
      <c r="G807" t="str">
        <f>""</f>
        <v/>
      </c>
      <c r="H807" s="1">
        <v>42467</v>
      </c>
      <c r="I807" t="str">
        <f>"TR011642"</f>
        <v>TR011642</v>
      </c>
      <c r="J807" t="str">
        <f>"TA009995"</f>
        <v>TA009995</v>
      </c>
      <c r="K807" t="str">
        <f>"ITEI"</f>
        <v>ITEI</v>
      </c>
      <c r="L807" t="s">
        <v>342</v>
      </c>
      <c r="M807">
        <v>448</v>
      </c>
    </row>
    <row r="808" spans="1:13" x14ac:dyDescent="0.25">
      <c r="A808" t="str">
        <f t="shared" si="236"/>
        <v>E370</v>
      </c>
      <c r="B808">
        <v>1</v>
      </c>
      <c r="C808" t="str">
        <f t="shared" si="237"/>
        <v>10200</v>
      </c>
      <c r="D808" t="str">
        <f t="shared" si="232"/>
        <v>5620</v>
      </c>
      <c r="E808" t="str">
        <f t="shared" si="238"/>
        <v>094OMS</v>
      </c>
      <c r="F808" t="str">
        <f>""</f>
        <v/>
      </c>
      <c r="G808" t="str">
        <f>""</f>
        <v/>
      </c>
      <c r="H808" s="1">
        <v>42490</v>
      </c>
      <c r="I808" t="str">
        <f>"PCD00780"</f>
        <v>PCD00780</v>
      </c>
      <c r="J808" t="str">
        <f>""</f>
        <v/>
      </c>
      <c r="K808" t="str">
        <f>"AS89"</f>
        <v>AS89</v>
      </c>
      <c r="L808" t="s">
        <v>2869</v>
      </c>
      <c r="M808" s="2">
        <v>1146.95</v>
      </c>
    </row>
    <row r="809" spans="1:13" x14ac:dyDescent="0.25">
      <c r="A809" t="str">
        <f t="shared" si="236"/>
        <v>E370</v>
      </c>
      <c r="B809">
        <v>1</v>
      </c>
      <c r="C809" t="str">
        <f t="shared" si="237"/>
        <v>10200</v>
      </c>
      <c r="D809" t="str">
        <f t="shared" si="232"/>
        <v>5620</v>
      </c>
      <c r="E809" t="str">
        <f t="shared" si="238"/>
        <v>094OMS</v>
      </c>
      <c r="F809" t="str">
        <f>""</f>
        <v/>
      </c>
      <c r="G809" t="str">
        <f>""</f>
        <v/>
      </c>
      <c r="H809" s="1">
        <v>42490</v>
      </c>
      <c r="I809" t="str">
        <f>"PCD00780"</f>
        <v>PCD00780</v>
      </c>
      <c r="J809" t="str">
        <f>""</f>
        <v/>
      </c>
      <c r="K809" t="str">
        <f>"AS89"</f>
        <v>AS89</v>
      </c>
      <c r="L809" t="s">
        <v>2866</v>
      </c>
      <c r="M809">
        <v>331.42</v>
      </c>
    </row>
    <row r="810" spans="1:13" x14ac:dyDescent="0.25">
      <c r="A810" t="str">
        <f t="shared" si="236"/>
        <v>E370</v>
      </c>
      <c r="B810">
        <v>1</v>
      </c>
      <c r="C810" t="str">
        <f t="shared" si="237"/>
        <v>10200</v>
      </c>
      <c r="D810" t="str">
        <f t="shared" si="232"/>
        <v>5620</v>
      </c>
      <c r="E810" t="str">
        <f t="shared" si="238"/>
        <v>094OMS</v>
      </c>
      <c r="F810" t="str">
        <f>""</f>
        <v/>
      </c>
      <c r="G810" t="str">
        <f>""</f>
        <v/>
      </c>
      <c r="H810" s="1">
        <v>42490</v>
      </c>
      <c r="I810" t="str">
        <f>"PCD00780"</f>
        <v>PCD00780</v>
      </c>
      <c r="J810" t="str">
        <f>""</f>
        <v/>
      </c>
      <c r="K810" t="str">
        <f>"AS89"</f>
        <v>AS89</v>
      </c>
      <c r="L810" t="s">
        <v>2868</v>
      </c>
      <c r="M810">
        <v>337.87</v>
      </c>
    </row>
    <row r="811" spans="1:13" x14ac:dyDescent="0.25">
      <c r="A811" t="str">
        <f t="shared" si="236"/>
        <v>E370</v>
      </c>
      <c r="B811">
        <v>1</v>
      </c>
      <c r="C811" t="str">
        <f t="shared" si="237"/>
        <v>10200</v>
      </c>
      <c r="D811" t="str">
        <f t="shared" si="232"/>
        <v>5620</v>
      </c>
      <c r="E811" t="str">
        <f t="shared" si="238"/>
        <v>094OMS</v>
      </c>
      <c r="F811" t="str">
        <f>""</f>
        <v/>
      </c>
      <c r="G811" t="str">
        <f>""</f>
        <v/>
      </c>
      <c r="H811" s="1">
        <v>42495</v>
      </c>
      <c r="I811" t="str">
        <f>"TR012146"</f>
        <v>TR012146</v>
      </c>
      <c r="J811" t="str">
        <f>"TA010154"</f>
        <v>TA010154</v>
      </c>
      <c r="K811" t="str">
        <f>"INEI"</f>
        <v>INEI</v>
      </c>
      <c r="L811" t="s">
        <v>2243</v>
      </c>
      <c r="M811">
        <v>236.8</v>
      </c>
    </row>
    <row r="812" spans="1:13" x14ac:dyDescent="0.25">
      <c r="A812" t="str">
        <f t="shared" si="236"/>
        <v>E370</v>
      </c>
      <c r="B812">
        <v>1</v>
      </c>
      <c r="C812" t="str">
        <f t="shared" si="237"/>
        <v>10200</v>
      </c>
      <c r="D812" t="str">
        <f t="shared" si="232"/>
        <v>5620</v>
      </c>
      <c r="E812" t="str">
        <f t="shared" si="238"/>
        <v>094OMS</v>
      </c>
      <c r="F812" t="str">
        <f>""</f>
        <v/>
      </c>
      <c r="G812" t="str">
        <f>""</f>
        <v/>
      </c>
      <c r="H812" s="1">
        <v>42521</v>
      </c>
      <c r="I812" t="str">
        <f>"PCD00785"</f>
        <v>PCD00785</v>
      </c>
      <c r="J812" t="str">
        <f>""</f>
        <v/>
      </c>
      <c r="K812" t="str">
        <f>"AS89"</f>
        <v>AS89</v>
      </c>
      <c r="L812" t="s">
        <v>2867</v>
      </c>
      <c r="M812">
        <v>403.41</v>
      </c>
    </row>
    <row r="813" spans="1:13" x14ac:dyDescent="0.25">
      <c r="A813" t="str">
        <f t="shared" si="236"/>
        <v>E370</v>
      </c>
      <c r="B813">
        <v>1</v>
      </c>
      <c r="C813" t="str">
        <f t="shared" si="237"/>
        <v>10200</v>
      </c>
      <c r="D813" t="str">
        <f t="shared" si="232"/>
        <v>5620</v>
      </c>
      <c r="E813" t="str">
        <f t="shared" si="238"/>
        <v>094OMS</v>
      </c>
      <c r="F813" t="str">
        <f>""</f>
        <v/>
      </c>
      <c r="G813" t="str">
        <f>""</f>
        <v/>
      </c>
      <c r="H813" s="1">
        <v>42542</v>
      </c>
      <c r="I813" t="str">
        <f>"TR012827"</f>
        <v>TR012827</v>
      </c>
      <c r="J813" t="str">
        <f>"TA010844"</f>
        <v>TA010844</v>
      </c>
      <c r="K813" t="str">
        <f>"INEI"</f>
        <v>INEI</v>
      </c>
      <c r="L813" t="s">
        <v>2526</v>
      </c>
      <c r="M813">
        <v>166</v>
      </c>
    </row>
    <row r="814" spans="1:13" x14ac:dyDescent="0.25">
      <c r="A814" t="str">
        <f t="shared" si="236"/>
        <v>E370</v>
      </c>
      <c r="B814">
        <v>1</v>
      </c>
      <c r="C814" t="str">
        <f>"43000"</f>
        <v>43000</v>
      </c>
      <c r="D814" t="str">
        <f t="shared" si="232"/>
        <v>5620</v>
      </c>
      <c r="E814" t="str">
        <f>"850LOS"</f>
        <v>850LOS</v>
      </c>
      <c r="F814" t="str">
        <f>""</f>
        <v/>
      </c>
      <c r="G814" t="str">
        <f>""</f>
        <v/>
      </c>
      <c r="H814" s="1">
        <v>42223</v>
      </c>
      <c r="I814" t="str">
        <f>"TR008412"</f>
        <v>TR008412</v>
      </c>
      <c r="J814" t="str">
        <f>"TA007156"</f>
        <v>TA007156</v>
      </c>
      <c r="K814" t="str">
        <f>"INEI"</f>
        <v>INEI</v>
      </c>
      <c r="L814" t="s">
        <v>2243</v>
      </c>
      <c r="M814">
        <v>352</v>
      </c>
    </row>
    <row r="815" spans="1:13" x14ac:dyDescent="0.25">
      <c r="A815" t="str">
        <f t="shared" si="236"/>
        <v>E370</v>
      </c>
      <c r="B815">
        <v>1</v>
      </c>
      <c r="C815" t="str">
        <f>"43000"</f>
        <v>43000</v>
      </c>
      <c r="D815" t="str">
        <f t="shared" si="232"/>
        <v>5620</v>
      </c>
      <c r="E815" t="str">
        <f>"850LOS"</f>
        <v>850LOS</v>
      </c>
      <c r="F815" t="str">
        <f>""</f>
        <v/>
      </c>
      <c r="G815" t="str">
        <f>""</f>
        <v/>
      </c>
      <c r="H815" s="1">
        <v>42339</v>
      </c>
      <c r="I815" t="str">
        <f>"TR009909"</f>
        <v>TR009909</v>
      </c>
      <c r="J815" t="str">
        <f>"TA008310"</f>
        <v>TA008310</v>
      </c>
      <c r="K815" t="str">
        <f>"INEI"</f>
        <v>INEI</v>
      </c>
      <c r="L815" t="s">
        <v>284</v>
      </c>
      <c r="M815" s="2">
        <v>1113.5999999999999</v>
      </c>
    </row>
    <row r="816" spans="1:13" x14ac:dyDescent="0.25">
      <c r="A816" t="str">
        <f t="shared" si="236"/>
        <v>E370</v>
      </c>
      <c r="B816">
        <v>1</v>
      </c>
      <c r="C816" t="str">
        <f>"43000"</f>
        <v>43000</v>
      </c>
      <c r="D816" t="str">
        <f>"5740"</f>
        <v>5740</v>
      </c>
      <c r="E816" t="str">
        <f>"850LOS"</f>
        <v>850LOS</v>
      </c>
      <c r="F816" t="str">
        <f>""</f>
        <v/>
      </c>
      <c r="G816" t="str">
        <f>""</f>
        <v/>
      </c>
      <c r="H816" s="1">
        <v>42535</v>
      </c>
      <c r="I816" t="str">
        <f>"ACG02686"</f>
        <v>ACG02686</v>
      </c>
      <c r="J816" t="str">
        <f>"TA007156"</f>
        <v>TA007156</v>
      </c>
      <c r="K816" t="str">
        <f>"AS96"</f>
        <v>AS96</v>
      </c>
      <c r="L816" t="s">
        <v>2243</v>
      </c>
      <c r="M816">
        <v>352</v>
      </c>
    </row>
    <row r="817" spans="1:13" x14ac:dyDescent="0.25">
      <c r="A817" t="str">
        <f t="shared" si="236"/>
        <v>E370</v>
      </c>
      <c r="B817">
        <v>1</v>
      </c>
      <c r="C817" t="str">
        <f>"43000"</f>
        <v>43000</v>
      </c>
      <c r="D817" t="str">
        <f>"5740"</f>
        <v>5740</v>
      </c>
      <c r="E817" t="str">
        <f>"850LOS"</f>
        <v>850LOS</v>
      </c>
      <c r="F817" t="str">
        <f>""</f>
        <v/>
      </c>
      <c r="G817" t="str">
        <f>""</f>
        <v/>
      </c>
      <c r="H817" s="1">
        <v>42535</v>
      </c>
      <c r="I817" t="str">
        <f>"ACG02686"</f>
        <v>ACG02686</v>
      </c>
      <c r="J817" t="str">
        <f>"TA008310"</f>
        <v>TA008310</v>
      </c>
      <c r="K817" t="str">
        <f>"AS96"</f>
        <v>AS96</v>
      </c>
      <c r="L817" t="s">
        <v>284</v>
      </c>
      <c r="M817" s="2">
        <v>1113.5999999999999</v>
      </c>
    </row>
    <row r="818" spans="1:13" x14ac:dyDescent="0.25">
      <c r="A818" t="str">
        <f>"E374"</f>
        <v>E374</v>
      </c>
      <c r="B818">
        <v>1</v>
      </c>
      <c r="C818" t="str">
        <f>"10200"</f>
        <v>10200</v>
      </c>
      <c r="D818" t="str">
        <f>"5620"</f>
        <v>5620</v>
      </c>
      <c r="E818" t="str">
        <f>"094OMS"</f>
        <v>094OMS</v>
      </c>
      <c r="F818" t="str">
        <f>""</f>
        <v/>
      </c>
      <c r="G818" t="str">
        <f>""</f>
        <v/>
      </c>
      <c r="H818" s="1">
        <v>42460</v>
      </c>
      <c r="I818" t="str">
        <f>"TRV10197"</f>
        <v>TRV10197</v>
      </c>
      <c r="J818" t="str">
        <f>"TA009995"</f>
        <v>TA009995</v>
      </c>
      <c r="K818" t="str">
        <f>"AS89"</f>
        <v>AS89</v>
      </c>
      <c r="L818" t="s">
        <v>2864</v>
      </c>
      <c r="M818">
        <v>628.20000000000005</v>
      </c>
    </row>
    <row r="819" spans="1:13" x14ac:dyDescent="0.25">
      <c r="A819" t="str">
        <f>"E374"</f>
        <v>E374</v>
      </c>
      <c r="B819">
        <v>1</v>
      </c>
      <c r="C819" t="str">
        <f>"10200"</f>
        <v>10200</v>
      </c>
      <c r="D819" t="str">
        <f>"5620"</f>
        <v>5620</v>
      </c>
      <c r="E819" t="str">
        <f>"094OMS"</f>
        <v>094OMS</v>
      </c>
      <c r="F819" t="str">
        <f>""</f>
        <v/>
      </c>
      <c r="G819" t="str">
        <f>""</f>
        <v/>
      </c>
      <c r="H819" s="1">
        <v>42460</v>
      </c>
      <c r="I819" t="str">
        <f>"PCD00775"</f>
        <v>PCD00775</v>
      </c>
      <c r="J819" t="str">
        <f>""</f>
        <v/>
      </c>
      <c r="K819" t="str">
        <f>"AS89"</f>
        <v>AS89</v>
      </c>
      <c r="L819" t="s">
        <v>2863</v>
      </c>
      <c r="M819">
        <v>375.2</v>
      </c>
    </row>
    <row r="820" spans="1:13" x14ac:dyDescent="0.25">
      <c r="A820" t="str">
        <f>"E374"</f>
        <v>E374</v>
      </c>
      <c r="B820">
        <v>1</v>
      </c>
      <c r="C820" t="str">
        <f>"10200"</f>
        <v>10200</v>
      </c>
      <c r="D820" t="str">
        <f>"5620"</f>
        <v>5620</v>
      </c>
      <c r="E820" t="str">
        <f>"094OMS"</f>
        <v>094OMS</v>
      </c>
      <c r="F820" t="str">
        <f>""</f>
        <v/>
      </c>
      <c r="G820" t="str">
        <f>""</f>
        <v/>
      </c>
      <c r="H820" s="1">
        <v>42490</v>
      </c>
      <c r="I820" t="str">
        <f>"PCD00780"</f>
        <v>PCD00780</v>
      </c>
      <c r="J820" t="str">
        <f>""</f>
        <v/>
      </c>
      <c r="K820" t="str">
        <f>"AS89"</f>
        <v>AS89</v>
      </c>
      <c r="L820" t="s">
        <v>2862</v>
      </c>
      <c r="M820">
        <v>310.7</v>
      </c>
    </row>
    <row r="821" spans="1:13" x14ac:dyDescent="0.25">
      <c r="A821" t="str">
        <f>"E374"</f>
        <v>E374</v>
      </c>
      <c r="B821">
        <v>1</v>
      </c>
      <c r="C821" t="str">
        <f>"43000"</f>
        <v>43000</v>
      </c>
      <c r="D821" t="str">
        <f>"5740"</f>
        <v>5740</v>
      </c>
      <c r="E821" t="str">
        <f>"850LOS"</f>
        <v>850LOS</v>
      </c>
      <c r="F821" t="str">
        <f>""</f>
        <v/>
      </c>
      <c r="G821" t="str">
        <f>""</f>
        <v/>
      </c>
      <c r="H821" s="1">
        <v>42535</v>
      </c>
      <c r="I821" t="str">
        <f>"ACG02686"</f>
        <v>ACG02686</v>
      </c>
      <c r="J821" t="str">
        <f>"TA008310"</f>
        <v>TA008310</v>
      </c>
      <c r="K821" t="str">
        <f>"AS96"</f>
        <v>AS96</v>
      </c>
      <c r="L821" t="s">
        <v>2861</v>
      </c>
      <c r="M821">
        <v>561.20000000000005</v>
      </c>
    </row>
    <row r="822" spans="1:13" x14ac:dyDescent="0.25">
      <c r="A822" t="str">
        <f t="shared" ref="A822:A852" si="239">"E381"</f>
        <v>E381</v>
      </c>
      <c r="B822">
        <v>1</v>
      </c>
      <c r="C822" t="str">
        <f t="shared" ref="C822:C852" si="240">"23275"</f>
        <v>23275</v>
      </c>
      <c r="D822" t="str">
        <f t="shared" ref="D822:D861" si="241">"5620"</f>
        <v>5620</v>
      </c>
      <c r="E822" t="str">
        <f t="shared" ref="E822:E852" si="242">"063STF"</f>
        <v>063STF</v>
      </c>
      <c r="F822" t="str">
        <f>""</f>
        <v/>
      </c>
      <c r="G822" t="str">
        <f>""</f>
        <v/>
      </c>
      <c r="H822" s="1">
        <v>42411</v>
      </c>
      <c r="I822" t="str">
        <f>"I0125247"</f>
        <v>I0125247</v>
      </c>
      <c r="J822" t="str">
        <f t="shared" ref="J822:J852" si="243">"N193453A"</f>
        <v>N193453A</v>
      </c>
      <c r="K822" t="str">
        <f t="shared" ref="K822:K852" si="244">"INEI"</f>
        <v>INEI</v>
      </c>
      <c r="L822" t="s">
        <v>1994</v>
      </c>
      <c r="M822" s="2">
        <v>5100.33</v>
      </c>
    </row>
    <row r="823" spans="1:13" x14ac:dyDescent="0.25">
      <c r="A823" t="str">
        <f t="shared" si="239"/>
        <v>E381</v>
      </c>
      <c r="B823">
        <v>1</v>
      </c>
      <c r="C823" t="str">
        <f t="shared" si="240"/>
        <v>23275</v>
      </c>
      <c r="D823" t="str">
        <f t="shared" si="241"/>
        <v>5620</v>
      </c>
      <c r="E823" t="str">
        <f t="shared" si="242"/>
        <v>063STF</v>
      </c>
      <c r="F823" t="str">
        <f>""</f>
        <v/>
      </c>
      <c r="G823" t="str">
        <f>""</f>
        <v/>
      </c>
      <c r="H823" s="1">
        <v>42411</v>
      </c>
      <c r="I823" t="str">
        <f>"I0123632"</f>
        <v>I0123632</v>
      </c>
      <c r="J823" t="str">
        <f t="shared" si="243"/>
        <v>N193453A</v>
      </c>
      <c r="K823" t="str">
        <f t="shared" si="244"/>
        <v>INEI</v>
      </c>
      <c r="L823" t="s">
        <v>1994</v>
      </c>
      <c r="M823" s="2">
        <v>4792.09</v>
      </c>
    </row>
    <row r="824" spans="1:13" x14ac:dyDescent="0.25">
      <c r="A824" t="str">
        <f t="shared" si="239"/>
        <v>E381</v>
      </c>
      <c r="B824">
        <v>1</v>
      </c>
      <c r="C824" t="str">
        <f t="shared" si="240"/>
        <v>23275</v>
      </c>
      <c r="D824" t="str">
        <f t="shared" si="241"/>
        <v>5620</v>
      </c>
      <c r="E824" t="str">
        <f t="shared" si="242"/>
        <v>063STF</v>
      </c>
      <c r="F824" t="str">
        <f>""</f>
        <v/>
      </c>
      <c r="G824" t="str">
        <f>""</f>
        <v/>
      </c>
      <c r="H824" s="1">
        <v>42411</v>
      </c>
      <c r="I824" t="str">
        <f>"I0125248"</f>
        <v>I0125248</v>
      </c>
      <c r="J824" t="str">
        <f t="shared" si="243"/>
        <v>N193453A</v>
      </c>
      <c r="K824" t="str">
        <f t="shared" si="244"/>
        <v>INEI</v>
      </c>
      <c r="L824" t="s">
        <v>1994</v>
      </c>
      <c r="M824" s="2">
        <v>5059.74</v>
      </c>
    </row>
    <row r="825" spans="1:13" x14ac:dyDescent="0.25">
      <c r="A825" t="str">
        <f t="shared" si="239"/>
        <v>E381</v>
      </c>
      <c r="B825">
        <v>1</v>
      </c>
      <c r="C825" t="str">
        <f t="shared" si="240"/>
        <v>23275</v>
      </c>
      <c r="D825" t="str">
        <f t="shared" si="241"/>
        <v>5620</v>
      </c>
      <c r="E825" t="str">
        <f t="shared" si="242"/>
        <v>063STF</v>
      </c>
      <c r="F825" t="str">
        <f>""</f>
        <v/>
      </c>
      <c r="G825" t="str">
        <f>""</f>
        <v/>
      </c>
      <c r="H825" s="1">
        <v>42411</v>
      </c>
      <c r="I825" t="str">
        <f>"I0125249"</f>
        <v>I0125249</v>
      </c>
      <c r="J825" t="str">
        <f t="shared" si="243"/>
        <v>N193453A</v>
      </c>
      <c r="K825" t="str">
        <f t="shared" si="244"/>
        <v>INEI</v>
      </c>
      <c r="L825" t="s">
        <v>1994</v>
      </c>
      <c r="M825" s="2">
        <v>3015</v>
      </c>
    </row>
    <row r="826" spans="1:13" x14ac:dyDescent="0.25">
      <c r="A826" t="str">
        <f t="shared" si="239"/>
        <v>E381</v>
      </c>
      <c r="B826">
        <v>1</v>
      </c>
      <c r="C826" t="str">
        <f t="shared" si="240"/>
        <v>23275</v>
      </c>
      <c r="D826" t="str">
        <f t="shared" si="241"/>
        <v>5620</v>
      </c>
      <c r="E826" t="str">
        <f t="shared" si="242"/>
        <v>063STF</v>
      </c>
      <c r="F826" t="str">
        <f>""</f>
        <v/>
      </c>
      <c r="G826" t="str">
        <f>""</f>
        <v/>
      </c>
      <c r="H826" s="1">
        <v>42411</v>
      </c>
      <c r="I826" t="str">
        <f>"I0125250"</f>
        <v>I0125250</v>
      </c>
      <c r="J826" t="str">
        <f t="shared" si="243"/>
        <v>N193453A</v>
      </c>
      <c r="K826" t="str">
        <f t="shared" si="244"/>
        <v>INEI</v>
      </c>
      <c r="L826" t="s">
        <v>1994</v>
      </c>
      <c r="M826" s="2">
        <v>4580.91</v>
      </c>
    </row>
    <row r="827" spans="1:13" x14ac:dyDescent="0.25">
      <c r="A827" t="str">
        <f t="shared" si="239"/>
        <v>E381</v>
      </c>
      <c r="B827">
        <v>1</v>
      </c>
      <c r="C827" t="str">
        <f t="shared" si="240"/>
        <v>23275</v>
      </c>
      <c r="D827" t="str">
        <f t="shared" si="241"/>
        <v>5620</v>
      </c>
      <c r="E827" t="str">
        <f t="shared" si="242"/>
        <v>063STF</v>
      </c>
      <c r="F827" t="str">
        <f>""</f>
        <v/>
      </c>
      <c r="G827" t="str">
        <f>""</f>
        <v/>
      </c>
      <c r="H827" s="1">
        <v>42411</v>
      </c>
      <c r="I827" t="str">
        <f>"I0125251"</f>
        <v>I0125251</v>
      </c>
      <c r="J827" t="str">
        <f t="shared" si="243"/>
        <v>N193453A</v>
      </c>
      <c r="K827" t="str">
        <f t="shared" si="244"/>
        <v>INEI</v>
      </c>
      <c r="L827" t="s">
        <v>1994</v>
      </c>
      <c r="M827" s="2">
        <v>4580.91</v>
      </c>
    </row>
    <row r="828" spans="1:13" x14ac:dyDescent="0.25">
      <c r="A828" t="str">
        <f t="shared" si="239"/>
        <v>E381</v>
      </c>
      <c r="B828">
        <v>1</v>
      </c>
      <c r="C828" t="str">
        <f t="shared" si="240"/>
        <v>23275</v>
      </c>
      <c r="D828" t="str">
        <f t="shared" si="241"/>
        <v>5620</v>
      </c>
      <c r="E828" t="str">
        <f t="shared" si="242"/>
        <v>063STF</v>
      </c>
      <c r="F828" t="str">
        <f>""</f>
        <v/>
      </c>
      <c r="G828" t="str">
        <f>""</f>
        <v/>
      </c>
      <c r="H828" s="1">
        <v>42424</v>
      </c>
      <c r="I828" t="str">
        <f>"I0126187"</f>
        <v>I0126187</v>
      </c>
      <c r="J828" t="str">
        <f t="shared" si="243"/>
        <v>N193453A</v>
      </c>
      <c r="K828" t="str">
        <f t="shared" si="244"/>
        <v>INEI</v>
      </c>
      <c r="L828" t="s">
        <v>1994</v>
      </c>
      <c r="M828" s="2">
        <v>1294.32</v>
      </c>
    </row>
    <row r="829" spans="1:13" x14ac:dyDescent="0.25">
      <c r="A829" t="str">
        <f t="shared" si="239"/>
        <v>E381</v>
      </c>
      <c r="B829">
        <v>1</v>
      </c>
      <c r="C829" t="str">
        <f t="shared" si="240"/>
        <v>23275</v>
      </c>
      <c r="D829" t="str">
        <f t="shared" si="241"/>
        <v>5620</v>
      </c>
      <c r="E829" t="str">
        <f t="shared" si="242"/>
        <v>063STF</v>
      </c>
      <c r="F829" t="str">
        <f>""</f>
        <v/>
      </c>
      <c r="G829" t="str">
        <f>""</f>
        <v/>
      </c>
      <c r="H829" s="1">
        <v>42443</v>
      </c>
      <c r="I829" t="str">
        <f>"I0126185"</f>
        <v>I0126185</v>
      </c>
      <c r="J829" t="str">
        <f t="shared" si="243"/>
        <v>N193453A</v>
      </c>
      <c r="K829" t="str">
        <f t="shared" si="244"/>
        <v>INEI</v>
      </c>
      <c r="L829" t="s">
        <v>1994</v>
      </c>
      <c r="M829" s="2">
        <v>5213.7700000000004</v>
      </c>
    </row>
    <row r="830" spans="1:13" x14ac:dyDescent="0.25">
      <c r="A830" t="str">
        <f t="shared" si="239"/>
        <v>E381</v>
      </c>
      <c r="B830">
        <v>1</v>
      </c>
      <c r="C830" t="str">
        <f t="shared" si="240"/>
        <v>23275</v>
      </c>
      <c r="D830" t="str">
        <f t="shared" si="241"/>
        <v>5620</v>
      </c>
      <c r="E830" t="str">
        <f t="shared" si="242"/>
        <v>063STF</v>
      </c>
      <c r="F830" t="str">
        <f>""</f>
        <v/>
      </c>
      <c r="G830" t="str">
        <f>""</f>
        <v/>
      </c>
      <c r="H830" s="1">
        <v>42443</v>
      </c>
      <c r="I830" t="str">
        <f>"I0126186"</f>
        <v>I0126186</v>
      </c>
      <c r="J830" t="str">
        <f t="shared" si="243"/>
        <v>N193453A</v>
      </c>
      <c r="K830" t="str">
        <f t="shared" si="244"/>
        <v>INEI</v>
      </c>
      <c r="L830" t="s">
        <v>1994</v>
      </c>
      <c r="M830" s="2">
        <v>4967.34</v>
      </c>
    </row>
    <row r="831" spans="1:13" x14ac:dyDescent="0.25">
      <c r="A831" t="str">
        <f t="shared" si="239"/>
        <v>E381</v>
      </c>
      <c r="B831">
        <v>1</v>
      </c>
      <c r="C831" t="str">
        <f t="shared" si="240"/>
        <v>23275</v>
      </c>
      <c r="D831" t="str">
        <f t="shared" si="241"/>
        <v>5620</v>
      </c>
      <c r="E831" t="str">
        <f t="shared" si="242"/>
        <v>063STF</v>
      </c>
      <c r="F831" t="str">
        <f>""</f>
        <v/>
      </c>
      <c r="G831" t="str">
        <f>""</f>
        <v/>
      </c>
      <c r="H831" s="1">
        <v>42443</v>
      </c>
      <c r="I831" t="str">
        <f>"I0126189"</f>
        <v>I0126189</v>
      </c>
      <c r="J831" t="str">
        <f t="shared" si="243"/>
        <v>N193453A</v>
      </c>
      <c r="K831" t="str">
        <f t="shared" si="244"/>
        <v>INEI</v>
      </c>
      <c r="L831" t="s">
        <v>1994</v>
      </c>
      <c r="M831" s="2">
        <v>4830.68</v>
      </c>
    </row>
    <row r="832" spans="1:13" x14ac:dyDescent="0.25">
      <c r="A832" t="str">
        <f t="shared" si="239"/>
        <v>E381</v>
      </c>
      <c r="B832">
        <v>1</v>
      </c>
      <c r="C832" t="str">
        <f t="shared" si="240"/>
        <v>23275</v>
      </c>
      <c r="D832" t="str">
        <f t="shared" si="241"/>
        <v>5620</v>
      </c>
      <c r="E832" t="str">
        <f t="shared" si="242"/>
        <v>063STF</v>
      </c>
      <c r="F832" t="str">
        <f>""</f>
        <v/>
      </c>
      <c r="G832" t="str">
        <f>""</f>
        <v/>
      </c>
      <c r="H832" s="1">
        <v>42443</v>
      </c>
      <c r="I832" t="str">
        <f>"I0126188"</f>
        <v>I0126188</v>
      </c>
      <c r="J832" t="str">
        <f t="shared" si="243"/>
        <v>N193453A</v>
      </c>
      <c r="K832" t="str">
        <f t="shared" si="244"/>
        <v>INEI</v>
      </c>
      <c r="L832" t="s">
        <v>1994</v>
      </c>
      <c r="M832" s="2">
        <v>5037.2</v>
      </c>
    </row>
    <row r="833" spans="1:13" x14ac:dyDescent="0.25">
      <c r="A833" t="str">
        <f t="shared" si="239"/>
        <v>E381</v>
      </c>
      <c r="B833">
        <v>1</v>
      </c>
      <c r="C833" t="str">
        <f t="shared" si="240"/>
        <v>23275</v>
      </c>
      <c r="D833" t="str">
        <f t="shared" si="241"/>
        <v>5620</v>
      </c>
      <c r="E833" t="str">
        <f t="shared" si="242"/>
        <v>063STF</v>
      </c>
      <c r="F833" t="str">
        <f>""</f>
        <v/>
      </c>
      <c r="G833" t="str">
        <f>""</f>
        <v/>
      </c>
      <c r="H833" s="1">
        <v>42459</v>
      </c>
      <c r="I833" t="str">
        <f>"I0127434"</f>
        <v>I0127434</v>
      </c>
      <c r="J833" t="str">
        <f t="shared" si="243"/>
        <v>N193453A</v>
      </c>
      <c r="K833" t="str">
        <f t="shared" si="244"/>
        <v>INEI</v>
      </c>
      <c r="L833" t="s">
        <v>1994</v>
      </c>
      <c r="M833" s="2">
        <v>4935.8500000000004</v>
      </c>
    </row>
    <row r="834" spans="1:13" x14ac:dyDescent="0.25">
      <c r="A834" t="str">
        <f t="shared" si="239"/>
        <v>E381</v>
      </c>
      <c r="B834">
        <v>1</v>
      </c>
      <c r="C834" t="str">
        <f t="shared" si="240"/>
        <v>23275</v>
      </c>
      <c r="D834" t="str">
        <f t="shared" si="241"/>
        <v>5620</v>
      </c>
      <c r="E834" t="str">
        <f t="shared" si="242"/>
        <v>063STF</v>
      </c>
      <c r="F834" t="str">
        <f>""</f>
        <v/>
      </c>
      <c r="G834" t="str">
        <f>""</f>
        <v/>
      </c>
      <c r="H834" s="1">
        <v>42459</v>
      </c>
      <c r="I834" t="str">
        <f>"I0127435"</f>
        <v>I0127435</v>
      </c>
      <c r="J834" t="str">
        <f t="shared" si="243"/>
        <v>N193453A</v>
      </c>
      <c r="K834" t="str">
        <f t="shared" si="244"/>
        <v>INEI</v>
      </c>
      <c r="L834" t="s">
        <v>1994</v>
      </c>
      <c r="M834" s="2">
        <v>4949.8599999999997</v>
      </c>
    </row>
    <row r="835" spans="1:13" x14ac:dyDescent="0.25">
      <c r="A835" t="str">
        <f t="shared" si="239"/>
        <v>E381</v>
      </c>
      <c r="B835">
        <v>1</v>
      </c>
      <c r="C835" t="str">
        <f t="shared" si="240"/>
        <v>23275</v>
      </c>
      <c r="D835" t="str">
        <f t="shared" si="241"/>
        <v>5620</v>
      </c>
      <c r="E835" t="str">
        <f t="shared" si="242"/>
        <v>063STF</v>
      </c>
      <c r="F835" t="str">
        <f>""</f>
        <v/>
      </c>
      <c r="G835" t="str">
        <f>""</f>
        <v/>
      </c>
      <c r="H835" s="1">
        <v>42459</v>
      </c>
      <c r="I835" t="str">
        <f>"I0127436"</f>
        <v>I0127436</v>
      </c>
      <c r="J835" t="str">
        <f t="shared" si="243"/>
        <v>N193453A</v>
      </c>
      <c r="K835" t="str">
        <f t="shared" si="244"/>
        <v>INEI</v>
      </c>
      <c r="L835" t="s">
        <v>1994</v>
      </c>
      <c r="M835" s="2">
        <v>4915.57</v>
      </c>
    </row>
    <row r="836" spans="1:13" x14ac:dyDescent="0.25">
      <c r="A836" t="str">
        <f t="shared" si="239"/>
        <v>E381</v>
      </c>
      <c r="B836">
        <v>1</v>
      </c>
      <c r="C836" t="str">
        <f t="shared" si="240"/>
        <v>23275</v>
      </c>
      <c r="D836" t="str">
        <f t="shared" si="241"/>
        <v>5620</v>
      </c>
      <c r="E836" t="str">
        <f t="shared" si="242"/>
        <v>063STF</v>
      </c>
      <c r="F836" t="str">
        <f>""</f>
        <v/>
      </c>
      <c r="G836" t="str">
        <f>""</f>
        <v/>
      </c>
      <c r="H836" s="1">
        <v>42459</v>
      </c>
      <c r="I836" t="str">
        <f>"I0127437"</f>
        <v>I0127437</v>
      </c>
      <c r="J836" t="str">
        <f t="shared" si="243"/>
        <v>N193453A</v>
      </c>
      <c r="K836" t="str">
        <f t="shared" si="244"/>
        <v>INEI</v>
      </c>
      <c r="L836" t="s">
        <v>1994</v>
      </c>
      <c r="M836" s="2">
        <v>4936.8100000000004</v>
      </c>
    </row>
    <row r="837" spans="1:13" x14ac:dyDescent="0.25">
      <c r="A837" t="str">
        <f t="shared" si="239"/>
        <v>E381</v>
      </c>
      <c r="B837">
        <v>1</v>
      </c>
      <c r="C837" t="str">
        <f t="shared" si="240"/>
        <v>23275</v>
      </c>
      <c r="D837" t="str">
        <f t="shared" si="241"/>
        <v>5620</v>
      </c>
      <c r="E837" t="str">
        <f t="shared" si="242"/>
        <v>063STF</v>
      </c>
      <c r="F837" t="str">
        <f>""</f>
        <v/>
      </c>
      <c r="G837" t="str">
        <f>""</f>
        <v/>
      </c>
      <c r="H837" s="1">
        <v>42501</v>
      </c>
      <c r="I837" t="str">
        <f>"I0129615"</f>
        <v>I0129615</v>
      </c>
      <c r="J837" t="str">
        <f t="shared" si="243"/>
        <v>N193453A</v>
      </c>
      <c r="K837" t="str">
        <f t="shared" si="244"/>
        <v>INEI</v>
      </c>
      <c r="L837" t="s">
        <v>1994</v>
      </c>
      <c r="M837" s="2">
        <v>4995.8599999999997</v>
      </c>
    </row>
    <row r="838" spans="1:13" x14ac:dyDescent="0.25">
      <c r="A838" t="str">
        <f t="shared" si="239"/>
        <v>E381</v>
      </c>
      <c r="B838">
        <v>1</v>
      </c>
      <c r="C838" t="str">
        <f t="shared" si="240"/>
        <v>23275</v>
      </c>
      <c r="D838" t="str">
        <f t="shared" si="241"/>
        <v>5620</v>
      </c>
      <c r="E838" t="str">
        <f t="shared" si="242"/>
        <v>063STF</v>
      </c>
      <c r="F838" t="str">
        <f>""</f>
        <v/>
      </c>
      <c r="G838" t="str">
        <f>""</f>
        <v/>
      </c>
      <c r="H838" s="1">
        <v>42501</v>
      </c>
      <c r="I838" t="str">
        <f>"I0129616"</f>
        <v>I0129616</v>
      </c>
      <c r="J838" t="str">
        <f t="shared" si="243"/>
        <v>N193453A</v>
      </c>
      <c r="K838" t="str">
        <f t="shared" si="244"/>
        <v>INEI</v>
      </c>
      <c r="L838" t="s">
        <v>1994</v>
      </c>
      <c r="M838" s="2">
        <v>4863.7700000000004</v>
      </c>
    </row>
    <row r="839" spans="1:13" x14ac:dyDescent="0.25">
      <c r="A839" t="str">
        <f t="shared" si="239"/>
        <v>E381</v>
      </c>
      <c r="B839">
        <v>1</v>
      </c>
      <c r="C839" t="str">
        <f t="shared" si="240"/>
        <v>23275</v>
      </c>
      <c r="D839" t="str">
        <f t="shared" si="241"/>
        <v>5620</v>
      </c>
      <c r="E839" t="str">
        <f t="shared" si="242"/>
        <v>063STF</v>
      </c>
      <c r="F839" t="str">
        <f>""</f>
        <v/>
      </c>
      <c r="G839" t="str">
        <f>""</f>
        <v/>
      </c>
      <c r="H839" s="1">
        <v>42501</v>
      </c>
      <c r="I839" t="str">
        <f>"I0129617"</f>
        <v>I0129617</v>
      </c>
      <c r="J839" t="str">
        <f t="shared" si="243"/>
        <v>N193453A</v>
      </c>
      <c r="K839" t="str">
        <f t="shared" si="244"/>
        <v>INEI</v>
      </c>
      <c r="L839" t="s">
        <v>1994</v>
      </c>
      <c r="M839">
        <v>261.36</v>
      </c>
    </row>
    <row r="840" spans="1:13" x14ac:dyDescent="0.25">
      <c r="A840" t="str">
        <f t="shared" si="239"/>
        <v>E381</v>
      </c>
      <c r="B840">
        <v>1</v>
      </c>
      <c r="C840" t="str">
        <f t="shared" si="240"/>
        <v>23275</v>
      </c>
      <c r="D840" t="str">
        <f t="shared" si="241"/>
        <v>5620</v>
      </c>
      <c r="E840" t="str">
        <f t="shared" si="242"/>
        <v>063STF</v>
      </c>
      <c r="F840" t="str">
        <f>""</f>
        <v/>
      </c>
      <c r="G840" t="str">
        <f>""</f>
        <v/>
      </c>
      <c r="H840" s="1">
        <v>42501</v>
      </c>
      <c r="I840" t="str">
        <f>"I0129618"</f>
        <v>I0129618</v>
      </c>
      <c r="J840" t="str">
        <f t="shared" si="243"/>
        <v>N193453A</v>
      </c>
      <c r="K840" t="str">
        <f t="shared" si="244"/>
        <v>INEI</v>
      </c>
      <c r="L840" t="s">
        <v>1994</v>
      </c>
      <c r="M840" s="2">
        <v>4816.38</v>
      </c>
    </row>
    <row r="841" spans="1:13" x14ac:dyDescent="0.25">
      <c r="A841" t="str">
        <f t="shared" si="239"/>
        <v>E381</v>
      </c>
      <c r="B841">
        <v>1</v>
      </c>
      <c r="C841" t="str">
        <f t="shared" si="240"/>
        <v>23275</v>
      </c>
      <c r="D841" t="str">
        <f t="shared" si="241"/>
        <v>5620</v>
      </c>
      <c r="E841" t="str">
        <f t="shared" si="242"/>
        <v>063STF</v>
      </c>
      <c r="F841" t="str">
        <f>""</f>
        <v/>
      </c>
      <c r="G841" t="str">
        <f>""</f>
        <v/>
      </c>
      <c r="H841" s="1">
        <v>42538</v>
      </c>
      <c r="I841" t="str">
        <f>"I0132442"</f>
        <v>I0132442</v>
      </c>
      <c r="J841" t="str">
        <f t="shared" si="243"/>
        <v>N193453A</v>
      </c>
      <c r="K841" t="str">
        <f t="shared" si="244"/>
        <v>INEI</v>
      </c>
      <c r="L841" t="s">
        <v>1994</v>
      </c>
      <c r="M841" s="2">
        <v>4772.57</v>
      </c>
    </row>
    <row r="842" spans="1:13" x14ac:dyDescent="0.25">
      <c r="A842" t="str">
        <f t="shared" si="239"/>
        <v>E381</v>
      </c>
      <c r="B842">
        <v>1</v>
      </c>
      <c r="C842" t="str">
        <f t="shared" si="240"/>
        <v>23275</v>
      </c>
      <c r="D842" t="str">
        <f t="shared" si="241"/>
        <v>5620</v>
      </c>
      <c r="E842" t="str">
        <f t="shared" si="242"/>
        <v>063STF</v>
      </c>
      <c r="F842" t="str">
        <f>""</f>
        <v/>
      </c>
      <c r="G842" t="str">
        <f>""</f>
        <v/>
      </c>
      <c r="H842" s="1">
        <v>42538</v>
      </c>
      <c r="I842" t="str">
        <f>"I0132443"</f>
        <v>I0132443</v>
      </c>
      <c r="J842" t="str">
        <f t="shared" si="243"/>
        <v>N193453A</v>
      </c>
      <c r="K842" t="str">
        <f t="shared" si="244"/>
        <v>INEI</v>
      </c>
      <c r="L842" t="s">
        <v>1994</v>
      </c>
      <c r="M842" s="2">
        <v>4738.99</v>
      </c>
    </row>
    <row r="843" spans="1:13" x14ac:dyDescent="0.25">
      <c r="A843" t="str">
        <f t="shared" si="239"/>
        <v>E381</v>
      </c>
      <c r="B843">
        <v>1</v>
      </c>
      <c r="C843" t="str">
        <f t="shared" si="240"/>
        <v>23275</v>
      </c>
      <c r="D843" t="str">
        <f t="shared" si="241"/>
        <v>5620</v>
      </c>
      <c r="E843" t="str">
        <f t="shared" si="242"/>
        <v>063STF</v>
      </c>
      <c r="F843" t="str">
        <f>""</f>
        <v/>
      </c>
      <c r="G843" t="str">
        <f>""</f>
        <v/>
      </c>
      <c r="H843" s="1">
        <v>42538</v>
      </c>
      <c r="I843" t="str">
        <f>"I0132444"</f>
        <v>I0132444</v>
      </c>
      <c r="J843" t="str">
        <f t="shared" si="243"/>
        <v>N193453A</v>
      </c>
      <c r="K843" t="str">
        <f t="shared" si="244"/>
        <v>INEI</v>
      </c>
      <c r="L843" t="s">
        <v>1994</v>
      </c>
      <c r="M843" s="2">
        <v>4869.95</v>
      </c>
    </row>
    <row r="844" spans="1:13" x14ac:dyDescent="0.25">
      <c r="A844" t="str">
        <f t="shared" si="239"/>
        <v>E381</v>
      </c>
      <c r="B844">
        <v>1</v>
      </c>
      <c r="C844" t="str">
        <f t="shared" si="240"/>
        <v>23275</v>
      </c>
      <c r="D844" t="str">
        <f t="shared" si="241"/>
        <v>5620</v>
      </c>
      <c r="E844" t="str">
        <f t="shared" si="242"/>
        <v>063STF</v>
      </c>
      <c r="F844" t="str">
        <f>""</f>
        <v/>
      </c>
      <c r="G844" t="str">
        <f>""</f>
        <v/>
      </c>
      <c r="H844" s="1">
        <v>42538</v>
      </c>
      <c r="I844" t="str">
        <f>"I0132445"</f>
        <v>I0132445</v>
      </c>
      <c r="J844" t="str">
        <f t="shared" si="243"/>
        <v>N193453A</v>
      </c>
      <c r="K844" t="str">
        <f t="shared" si="244"/>
        <v>INEI</v>
      </c>
      <c r="L844" t="s">
        <v>1994</v>
      </c>
      <c r="M844" s="2">
        <v>4873.01</v>
      </c>
    </row>
    <row r="845" spans="1:13" x14ac:dyDescent="0.25">
      <c r="A845" t="str">
        <f t="shared" si="239"/>
        <v>E381</v>
      </c>
      <c r="B845">
        <v>1</v>
      </c>
      <c r="C845" t="str">
        <f t="shared" si="240"/>
        <v>23275</v>
      </c>
      <c r="D845" t="str">
        <f t="shared" si="241"/>
        <v>5620</v>
      </c>
      <c r="E845" t="str">
        <f t="shared" si="242"/>
        <v>063STF</v>
      </c>
      <c r="F845" t="str">
        <f>""</f>
        <v/>
      </c>
      <c r="G845" t="str">
        <f>""</f>
        <v/>
      </c>
      <c r="H845" s="1">
        <v>42538</v>
      </c>
      <c r="I845" t="str">
        <f>"I0132446"</f>
        <v>I0132446</v>
      </c>
      <c r="J845" t="str">
        <f t="shared" si="243"/>
        <v>N193453A</v>
      </c>
      <c r="K845" t="str">
        <f t="shared" si="244"/>
        <v>INEI</v>
      </c>
      <c r="L845" t="s">
        <v>1994</v>
      </c>
      <c r="M845" s="2">
        <v>4970.22</v>
      </c>
    </row>
    <row r="846" spans="1:13" x14ac:dyDescent="0.25">
      <c r="A846" t="str">
        <f t="shared" si="239"/>
        <v>E381</v>
      </c>
      <c r="B846">
        <v>1</v>
      </c>
      <c r="C846" t="str">
        <f t="shared" si="240"/>
        <v>23275</v>
      </c>
      <c r="D846" t="str">
        <f t="shared" si="241"/>
        <v>5620</v>
      </c>
      <c r="E846" t="str">
        <f t="shared" si="242"/>
        <v>063STF</v>
      </c>
      <c r="F846" t="str">
        <f>""</f>
        <v/>
      </c>
      <c r="G846" t="str">
        <f>""</f>
        <v/>
      </c>
      <c r="H846" s="1">
        <v>42550</v>
      </c>
      <c r="I846" t="str">
        <f>"I0133553"</f>
        <v>I0133553</v>
      </c>
      <c r="J846" t="str">
        <f t="shared" si="243"/>
        <v>N193453A</v>
      </c>
      <c r="K846" t="str">
        <f t="shared" si="244"/>
        <v>INEI</v>
      </c>
      <c r="L846" t="s">
        <v>1994</v>
      </c>
      <c r="M846" s="2">
        <v>4937.55</v>
      </c>
    </row>
    <row r="847" spans="1:13" x14ac:dyDescent="0.25">
      <c r="A847" t="str">
        <f t="shared" si="239"/>
        <v>E381</v>
      </c>
      <c r="B847">
        <v>1</v>
      </c>
      <c r="C847" t="str">
        <f t="shared" si="240"/>
        <v>23275</v>
      </c>
      <c r="D847" t="str">
        <f t="shared" si="241"/>
        <v>5620</v>
      </c>
      <c r="E847" t="str">
        <f t="shared" si="242"/>
        <v>063STF</v>
      </c>
      <c r="F847" t="str">
        <f>""</f>
        <v/>
      </c>
      <c r="G847" t="str">
        <f>""</f>
        <v/>
      </c>
      <c r="H847" s="1">
        <v>42550</v>
      </c>
      <c r="I847" t="str">
        <f>"I0133554"</f>
        <v>I0133554</v>
      </c>
      <c r="J847" t="str">
        <f t="shared" si="243"/>
        <v>N193453A</v>
      </c>
      <c r="K847" t="str">
        <f t="shared" si="244"/>
        <v>INEI</v>
      </c>
      <c r="L847" t="s">
        <v>1994</v>
      </c>
      <c r="M847" s="2">
        <v>4919.12</v>
      </c>
    </row>
    <row r="848" spans="1:13" x14ac:dyDescent="0.25">
      <c r="A848" t="str">
        <f t="shared" si="239"/>
        <v>E381</v>
      </c>
      <c r="B848">
        <v>1</v>
      </c>
      <c r="C848" t="str">
        <f t="shared" si="240"/>
        <v>23275</v>
      </c>
      <c r="D848" t="str">
        <f t="shared" si="241"/>
        <v>5620</v>
      </c>
      <c r="E848" t="str">
        <f t="shared" si="242"/>
        <v>063STF</v>
      </c>
      <c r="F848" t="str">
        <f>""</f>
        <v/>
      </c>
      <c r="G848" t="str">
        <f>""</f>
        <v/>
      </c>
      <c r="H848" s="1">
        <v>42550</v>
      </c>
      <c r="I848" t="str">
        <f>"I0133555"</f>
        <v>I0133555</v>
      </c>
      <c r="J848" t="str">
        <f t="shared" si="243"/>
        <v>N193453A</v>
      </c>
      <c r="K848" t="str">
        <f t="shared" si="244"/>
        <v>INEI</v>
      </c>
      <c r="L848" t="s">
        <v>1994</v>
      </c>
      <c r="M848" s="2">
        <v>4977.17</v>
      </c>
    </row>
    <row r="849" spans="1:13" x14ac:dyDescent="0.25">
      <c r="A849" t="str">
        <f t="shared" si="239"/>
        <v>E381</v>
      </c>
      <c r="B849">
        <v>1</v>
      </c>
      <c r="C849" t="str">
        <f t="shared" si="240"/>
        <v>23275</v>
      </c>
      <c r="D849" t="str">
        <f t="shared" si="241"/>
        <v>5620</v>
      </c>
      <c r="E849" t="str">
        <f t="shared" si="242"/>
        <v>063STF</v>
      </c>
      <c r="F849" t="str">
        <f>""</f>
        <v/>
      </c>
      <c r="G849" t="str">
        <f>""</f>
        <v/>
      </c>
      <c r="H849" s="1">
        <v>42550</v>
      </c>
      <c r="I849" t="str">
        <f>"I0133557"</f>
        <v>I0133557</v>
      </c>
      <c r="J849" t="str">
        <f t="shared" si="243"/>
        <v>N193453A</v>
      </c>
      <c r="K849" t="str">
        <f t="shared" si="244"/>
        <v>INEI</v>
      </c>
      <c r="L849" t="s">
        <v>1994</v>
      </c>
      <c r="M849" s="2">
        <v>4806.93</v>
      </c>
    </row>
    <row r="850" spans="1:13" x14ac:dyDescent="0.25">
      <c r="A850" t="str">
        <f t="shared" si="239"/>
        <v>E381</v>
      </c>
      <c r="B850">
        <v>1</v>
      </c>
      <c r="C850" t="str">
        <f t="shared" si="240"/>
        <v>23275</v>
      </c>
      <c r="D850" t="str">
        <f t="shared" si="241"/>
        <v>5620</v>
      </c>
      <c r="E850" t="str">
        <f t="shared" si="242"/>
        <v>063STF</v>
      </c>
      <c r="F850" t="str">
        <f>""</f>
        <v/>
      </c>
      <c r="G850" t="str">
        <f>""</f>
        <v/>
      </c>
      <c r="H850" s="1">
        <v>42550</v>
      </c>
      <c r="I850" t="str">
        <f>"I0133558"</f>
        <v>I0133558</v>
      </c>
      <c r="J850" t="str">
        <f t="shared" si="243"/>
        <v>N193453A</v>
      </c>
      <c r="K850" t="str">
        <f t="shared" si="244"/>
        <v>INEI</v>
      </c>
      <c r="L850" t="s">
        <v>1994</v>
      </c>
      <c r="M850" s="2">
        <v>4854.59</v>
      </c>
    </row>
    <row r="851" spans="1:13" x14ac:dyDescent="0.25">
      <c r="A851" t="str">
        <f t="shared" si="239"/>
        <v>E381</v>
      </c>
      <c r="B851">
        <v>1</v>
      </c>
      <c r="C851" t="str">
        <f t="shared" si="240"/>
        <v>23275</v>
      </c>
      <c r="D851" t="str">
        <f t="shared" si="241"/>
        <v>5620</v>
      </c>
      <c r="E851" t="str">
        <f t="shared" si="242"/>
        <v>063STF</v>
      </c>
      <c r="F851" t="str">
        <f>""</f>
        <v/>
      </c>
      <c r="G851" t="str">
        <f>""</f>
        <v/>
      </c>
      <c r="H851" s="1">
        <v>42550</v>
      </c>
      <c r="I851" t="str">
        <f>"I0133559"</f>
        <v>I0133559</v>
      </c>
      <c r="J851" t="str">
        <f t="shared" si="243"/>
        <v>N193453A</v>
      </c>
      <c r="K851" t="str">
        <f t="shared" si="244"/>
        <v>INEI</v>
      </c>
      <c r="L851" t="s">
        <v>1994</v>
      </c>
      <c r="M851" s="2">
        <v>1509.72</v>
      </c>
    </row>
    <row r="852" spans="1:13" x14ac:dyDescent="0.25">
      <c r="A852" t="str">
        <f t="shared" si="239"/>
        <v>E381</v>
      </c>
      <c r="B852">
        <v>1</v>
      </c>
      <c r="C852" t="str">
        <f t="shared" si="240"/>
        <v>23275</v>
      </c>
      <c r="D852" t="str">
        <f t="shared" si="241"/>
        <v>5620</v>
      </c>
      <c r="E852" t="str">
        <f t="shared" si="242"/>
        <v>063STF</v>
      </c>
      <c r="F852" t="str">
        <f>""</f>
        <v/>
      </c>
      <c r="G852" t="str">
        <f>""</f>
        <v/>
      </c>
      <c r="H852" s="1">
        <v>42550</v>
      </c>
      <c r="I852" t="str">
        <f>"I0133563"</f>
        <v>I0133563</v>
      </c>
      <c r="J852" t="str">
        <f t="shared" si="243"/>
        <v>N193453A</v>
      </c>
      <c r="K852" t="str">
        <f t="shared" si="244"/>
        <v>INEI</v>
      </c>
      <c r="L852" t="s">
        <v>1994</v>
      </c>
      <c r="M852" s="2">
        <v>4981.0200000000004</v>
      </c>
    </row>
    <row r="853" spans="1:13" x14ac:dyDescent="0.25">
      <c r="A853" t="str">
        <f>"E399"</f>
        <v>E399</v>
      </c>
      <c r="B853">
        <v>1</v>
      </c>
      <c r="C853" t="str">
        <f>"10200"</f>
        <v>10200</v>
      </c>
      <c r="D853" t="str">
        <f t="shared" si="241"/>
        <v>5620</v>
      </c>
      <c r="E853" t="str">
        <f>"094OMS"</f>
        <v>094OMS</v>
      </c>
      <c r="F853" t="str">
        <f>""</f>
        <v/>
      </c>
      <c r="G853" t="str">
        <f>""</f>
        <v/>
      </c>
      <c r="H853" s="1">
        <v>42308</v>
      </c>
      <c r="I853" t="str">
        <f>"PCD00750"</f>
        <v>PCD00750</v>
      </c>
      <c r="J853" t="str">
        <f>""</f>
        <v/>
      </c>
      <c r="K853" t="str">
        <f>"AS89"</f>
        <v>AS89</v>
      </c>
      <c r="L853" t="s">
        <v>2860</v>
      </c>
      <c r="M853">
        <v>619.4</v>
      </c>
    </row>
    <row r="854" spans="1:13" x14ac:dyDescent="0.25">
      <c r="A854" t="str">
        <f>"E399"</f>
        <v>E399</v>
      </c>
      <c r="B854">
        <v>1</v>
      </c>
      <c r="C854" t="str">
        <f>"10200"</f>
        <v>10200</v>
      </c>
      <c r="D854" t="str">
        <f t="shared" si="241"/>
        <v>5620</v>
      </c>
      <c r="E854" t="str">
        <f>"094OMS"</f>
        <v>094OMS</v>
      </c>
      <c r="F854" t="str">
        <f>""</f>
        <v/>
      </c>
      <c r="G854" t="str">
        <f>""</f>
        <v/>
      </c>
      <c r="H854" s="1">
        <v>42400</v>
      </c>
      <c r="I854" t="str">
        <f>"PCD00765"</f>
        <v>PCD00765</v>
      </c>
      <c r="J854" t="str">
        <f>""</f>
        <v/>
      </c>
      <c r="K854" t="str">
        <f>"AS89"</f>
        <v>AS89</v>
      </c>
      <c r="L854" t="s">
        <v>2859</v>
      </c>
      <c r="M854">
        <v>956.9</v>
      </c>
    </row>
    <row r="855" spans="1:13" x14ac:dyDescent="0.25">
      <c r="A855" t="str">
        <f t="shared" ref="A855:A867" si="245">"E402"</f>
        <v>E402</v>
      </c>
      <c r="B855">
        <v>1</v>
      </c>
      <c r="C855" t="str">
        <f t="shared" ref="C855:C864" si="246">"43000"</f>
        <v>43000</v>
      </c>
      <c r="D855" t="str">
        <f t="shared" si="241"/>
        <v>5620</v>
      </c>
      <c r="E855" t="str">
        <f t="shared" ref="E855:E860" si="247">"850PAY"</f>
        <v>850PAY</v>
      </c>
      <c r="F855" t="str">
        <f>""</f>
        <v/>
      </c>
      <c r="G855" t="str">
        <f>""</f>
        <v/>
      </c>
      <c r="H855" s="1">
        <v>42417</v>
      </c>
      <c r="I855" t="str">
        <f>"I0125889"</f>
        <v>I0125889</v>
      </c>
      <c r="J855" t="str">
        <f t="shared" ref="J855:J860" si="248">"F227763"</f>
        <v>F227763</v>
      </c>
      <c r="K855" t="str">
        <f t="shared" ref="K855:K861" si="249">"INEI"</f>
        <v>INEI</v>
      </c>
      <c r="L855" t="s">
        <v>2596</v>
      </c>
      <c r="M855">
        <v>369.58</v>
      </c>
    </row>
    <row r="856" spans="1:13" x14ac:dyDescent="0.25">
      <c r="A856" t="str">
        <f t="shared" si="245"/>
        <v>E402</v>
      </c>
      <c r="B856">
        <v>1</v>
      </c>
      <c r="C856" t="str">
        <f t="shared" si="246"/>
        <v>43000</v>
      </c>
      <c r="D856" t="str">
        <f t="shared" si="241"/>
        <v>5620</v>
      </c>
      <c r="E856" t="str">
        <f t="shared" si="247"/>
        <v>850PAY</v>
      </c>
      <c r="F856" t="str">
        <f>""</f>
        <v/>
      </c>
      <c r="G856" t="str">
        <f>""</f>
        <v/>
      </c>
      <c r="H856" s="1">
        <v>42417</v>
      </c>
      <c r="I856" t="str">
        <f>"I0125889"</f>
        <v>I0125889</v>
      </c>
      <c r="J856" t="str">
        <f t="shared" si="248"/>
        <v>F227763</v>
      </c>
      <c r="K856" t="str">
        <f t="shared" si="249"/>
        <v>INEI</v>
      </c>
      <c r="L856" t="s">
        <v>2596</v>
      </c>
      <c r="M856">
        <v>163.05000000000001</v>
      </c>
    </row>
    <row r="857" spans="1:13" x14ac:dyDescent="0.25">
      <c r="A857" t="str">
        <f t="shared" si="245"/>
        <v>E402</v>
      </c>
      <c r="B857">
        <v>1</v>
      </c>
      <c r="C857" t="str">
        <f t="shared" si="246"/>
        <v>43000</v>
      </c>
      <c r="D857" t="str">
        <f t="shared" si="241"/>
        <v>5620</v>
      </c>
      <c r="E857" t="str">
        <f t="shared" si="247"/>
        <v>850PAY</v>
      </c>
      <c r="F857" t="str">
        <f>""</f>
        <v/>
      </c>
      <c r="G857" t="str">
        <f>""</f>
        <v/>
      </c>
      <c r="H857" s="1">
        <v>42417</v>
      </c>
      <c r="I857" t="str">
        <f>"I0125889"</f>
        <v>I0125889</v>
      </c>
      <c r="J857" t="str">
        <f t="shared" si="248"/>
        <v>F227763</v>
      </c>
      <c r="K857" t="str">
        <f t="shared" si="249"/>
        <v>INEI</v>
      </c>
      <c r="L857" t="s">
        <v>2596</v>
      </c>
      <c r="M857">
        <v>163.05000000000001</v>
      </c>
    </row>
    <row r="858" spans="1:13" x14ac:dyDescent="0.25">
      <c r="A858" t="str">
        <f t="shared" si="245"/>
        <v>E402</v>
      </c>
      <c r="B858">
        <v>1</v>
      </c>
      <c r="C858" t="str">
        <f t="shared" si="246"/>
        <v>43000</v>
      </c>
      <c r="D858" t="str">
        <f t="shared" si="241"/>
        <v>5620</v>
      </c>
      <c r="E858" t="str">
        <f t="shared" si="247"/>
        <v>850PAY</v>
      </c>
      <c r="F858" t="str">
        <f>""</f>
        <v/>
      </c>
      <c r="G858" t="str">
        <f>""</f>
        <v/>
      </c>
      <c r="H858" s="1">
        <v>42417</v>
      </c>
      <c r="I858" t="str">
        <f>"I0125889"</f>
        <v>I0125889</v>
      </c>
      <c r="J858" t="str">
        <f t="shared" si="248"/>
        <v>F227763</v>
      </c>
      <c r="K858" t="str">
        <f t="shared" si="249"/>
        <v>INEI</v>
      </c>
      <c r="L858" t="s">
        <v>2596</v>
      </c>
      <c r="M858" s="2">
        <v>4837.1499999999996</v>
      </c>
    </row>
    <row r="859" spans="1:13" x14ac:dyDescent="0.25">
      <c r="A859" t="str">
        <f t="shared" si="245"/>
        <v>E402</v>
      </c>
      <c r="B859">
        <v>1</v>
      </c>
      <c r="C859" t="str">
        <f t="shared" si="246"/>
        <v>43000</v>
      </c>
      <c r="D859" t="str">
        <f t="shared" si="241"/>
        <v>5620</v>
      </c>
      <c r="E859" t="str">
        <f t="shared" si="247"/>
        <v>850PAY</v>
      </c>
      <c r="F859" t="str">
        <f>""</f>
        <v/>
      </c>
      <c r="G859" t="str">
        <f>""</f>
        <v/>
      </c>
      <c r="H859" s="1">
        <v>42461</v>
      </c>
      <c r="I859" t="str">
        <f>"I0127443"</f>
        <v>I0127443</v>
      </c>
      <c r="J859" t="str">
        <f t="shared" si="248"/>
        <v>F227763</v>
      </c>
      <c r="K859" t="str">
        <f t="shared" si="249"/>
        <v>INEI</v>
      </c>
      <c r="L859" t="s">
        <v>2596</v>
      </c>
      <c r="M859">
        <v>750</v>
      </c>
    </row>
    <row r="860" spans="1:13" x14ac:dyDescent="0.25">
      <c r="A860" t="str">
        <f t="shared" si="245"/>
        <v>E402</v>
      </c>
      <c r="B860">
        <v>1</v>
      </c>
      <c r="C860" t="str">
        <f t="shared" si="246"/>
        <v>43000</v>
      </c>
      <c r="D860" t="str">
        <f t="shared" si="241"/>
        <v>5620</v>
      </c>
      <c r="E860" t="str">
        <f t="shared" si="247"/>
        <v>850PAY</v>
      </c>
      <c r="F860" t="str">
        <f>""</f>
        <v/>
      </c>
      <c r="G860" t="str">
        <f>""</f>
        <v/>
      </c>
      <c r="H860" s="1">
        <v>42461</v>
      </c>
      <c r="I860" t="str">
        <f>"I0127443"</f>
        <v>I0127443</v>
      </c>
      <c r="J860" t="str">
        <f t="shared" si="248"/>
        <v>F227763</v>
      </c>
      <c r="K860" t="str">
        <f t="shared" si="249"/>
        <v>INEI</v>
      </c>
      <c r="L860" t="s">
        <v>2596</v>
      </c>
      <c r="M860" s="2">
        <v>2500</v>
      </c>
    </row>
    <row r="861" spans="1:13" x14ac:dyDescent="0.25">
      <c r="A861" t="str">
        <f t="shared" si="245"/>
        <v>E402</v>
      </c>
      <c r="B861">
        <v>1</v>
      </c>
      <c r="C861" t="str">
        <f t="shared" si="246"/>
        <v>43000</v>
      </c>
      <c r="D861" t="str">
        <f t="shared" si="241"/>
        <v>5620</v>
      </c>
      <c r="E861" t="str">
        <f>"850PKE"</f>
        <v>850PKE</v>
      </c>
      <c r="F861" t="str">
        <f>""</f>
        <v/>
      </c>
      <c r="G861" t="str">
        <f>""</f>
        <v/>
      </c>
      <c r="H861" s="1">
        <v>42551</v>
      </c>
      <c r="I861" t="str">
        <f>"I0134279"</f>
        <v>I0134279</v>
      </c>
      <c r="J861" t="str">
        <f>"F225776B"</f>
        <v>F225776B</v>
      </c>
      <c r="K861" t="str">
        <f t="shared" si="249"/>
        <v>INEI</v>
      </c>
      <c r="L861" t="s">
        <v>229</v>
      </c>
      <c r="M861">
        <v>543.48</v>
      </c>
    </row>
    <row r="862" spans="1:13" x14ac:dyDescent="0.25">
      <c r="A862" t="str">
        <f t="shared" si="245"/>
        <v>E402</v>
      </c>
      <c r="B862">
        <v>1</v>
      </c>
      <c r="C862" t="str">
        <f t="shared" si="246"/>
        <v>43000</v>
      </c>
      <c r="D862" t="str">
        <f t="shared" ref="D862:D867" si="250">"5740"</f>
        <v>5740</v>
      </c>
      <c r="E862" t="str">
        <f>"850PAY"</f>
        <v>850PAY</v>
      </c>
      <c r="F862" t="str">
        <f>""</f>
        <v/>
      </c>
      <c r="G862" t="str">
        <f>""</f>
        <v/>
      </c>
      <c r="H862" s="1">
        <v>42535</v>
      </c>
      <c r="I862" t="str">
        <f>"ACG02686"</f>
        <v>ACG02686</v>
      </c>
      <c r="J862" t="str">
        <f>"F227763"</f>
        <v>F227763</v>
      </c>
      <c r="K862" t="str">
        <f>"AS96"</f>
        <v>AS96</v>
      </c>
      <c r="L862" t="s">
        <v>2596</v>
      </c>
      <c r="M862" s="2">
        <v>2500</v>
      </c>
    </row>
    <row r="863" spans="1:13" x14ac:dyDescent="0.25">
      <c r="A863" t="str">
        <f t="shared" si="245"/>
        <v>E402</v>
      </c>
      <c r="B863">
        <v>1</v>
      </c>
      <c r="C863" t="str">
        <f t="shared" si="246"/>
        <v>43000</v>
      </c>
      <c r="D863" t="str">
        <f t="shared" si="250"/>
        <v>5740</v>
      </c>
      <c r="E863" t="str">
        <f>"850PAY"</f>
        <v>850PAY</v>
      </c>
      <c r="F863" t="str">
        <f>""</f>
        <v/>
      </c>
      <c r="G863" t="str">
        <f>""</f>
        <v/>
      </c>
      <c r="H863" s="1">
        <v>42535</v>
      </c>
      <c r="I863" t="str">
        <f>"ACG02686"</f>
        <v>ACG02686</v>
      </c>
      <c r="J863" t="str">
        <f>"F227763"</f>
        <v>F227763</v>
      </c>
      <c r="K863" t="str">
        <f>"AS96"</f>
        <v>AS96</v>
      </c>
      <c r="L863" t="s">
        <v>2596</v>
      </c>
      <c r="M863">
        <v>750</v>
      </c>
    </row>
    <row r="864" spans="1:13" x14ac:dyDescent="0.25">
      <c r="A864" t="str">
        <f t="shared" si="245"/>
        <v>E402</v>
      </c>
      <c r="B864">
        <v>1</v>
      </c>
      <c r="C864" t="str">
        <f t="shared" si="246"/>
        <v>43000</v>
      </c>
      <c r="D864" t="str">
        <f t="shared" si="250"/>
        <v>5740</v>
      </c>
      <c r="E864" t="str">
        <f>"850PKE"</f>
        <v>850PKE</v>
      </c>
      <c r="F864" t="str">
        <f>""</f>
        <v/>
      </c>
      <c r="G864" t="str">
        <f>""</f>
        <v/>
      </c>
      <c r="H864" s="1">
        <v>42551</v>
      </c>
      <c r="I864" t="str">
        <f>"J0022960"</f>
        <v>J0022960</v>
      </c>
      <c r="J864" t="str">
        <f>""</f>
        <v/>
      </c>
      <c r="K864" t="str">
        <f>"J079"</f>
        <v>J079</v>
      </c>
      <c r="L864" t="s">
        <v>2822</v>
      </c>
      <c r="M864">
        <v>607.4</v>
      </c>
    </row>
    <row r="865" spans="1:13" x14ac:dyDescent="0.25">
      <c r="A865" t="str">
        <f t="shared" si="245"/>
        <v>E402</v>
      </c>
      <c r="B865">
        <v>1</v>
      </c>
      <c r="C865" t="str">
        <f>"43007"</f>
        <v>43007</v>
      </c>
      <c r="D865" t="str">
        <f t="shared" si="250"/>
        <v>5740</v>
      </c>
      <c r="E865" t="str">
        <f>"850PAY"</f>
        <v>850PAY</v>
      </c>
      <c r="F865" t="str">
        <f>""</f>
        <v/>
      </c>
      <c r="G865" t="str">
        <f>""</f>
        <v/>
      </c>
      <c r="H865" s="1">
        <v>42551</v>
      </c>
      <c r="I865" t="str">
        <f>"PRK00138"</f>
        <v>PRK00138</v>
      </c>
      <c r="J865" t="str">
        <f>""</f>
        <v/>
      </c>
      <c r="K865" t="str">
        <f>"AS89"</f>
        <v>AS89</v>
      </c>
      <c r="L865" t="s">
        <v>2858</v>
      </c>
      <c r="M865">
        <v>750</v>
      </c>
    </row>
    <row r="866" spans="1:13" x14ac:dyDescent="0.25">
      <c r="A866" t="str">
        <f t="shared" si="245"/>
        <v>E402</v>
      </c>
      <c r="B866">
        <v>1</v>
      </c>
      <c r="C866" t="str">
        <f>"43007"</f>
        <v>43007</v>
      </c>
      <c r="D866" t="str">
        <f t="shared" si="250"/>
        <v>5740</v>
      </c>
      <c r="E866" t="str">
        <f>"850PAY"</f>
        <v>850PAY</v>
      </c>
      <c r="F866" t="str">
        <f>""</f>
        <v/>
      </c>
      <c r="G866" t="str">
        <f>""</f>
        <v/>
      </c>
      <c r="H866" s="1">
        <v>42551</v>
      </c>
      <c r="I866" t="str">
        <f>"PRK00138"</f>
        <v>PRK00138</v>
      </c>
      <c r="J866" t="str">
        <f>""</f>
        <v/>
      </c>
      <c r="K866" t="str">
        <f>"AS89"</f>
        <v>AS89</v>
      </c>
      <c r="L866" t="s">
        <v>2857</v>
      </c>
      <c r="M866" s="2">
        <v>2500</v>
      </c>
    </row>
    <row r="867" spans="1:13" x14ac:dyDescent="0.25">
      <c r="A867" t="str">
        <f t="shared" si="245"/>
        <v>E402</v>
      </c>
      <c r="B867">
        <v>1</v>
      </c>
      <c r="C867" t="str">
        <f>"43007"</f>
        <v>43007</v>
      </c>
      <c r="D867" t="str">
        <f t="shared" si="250"/>
        <v>5740</v>
      </c>
      <c r="E867" t="str">
        <f>"850PKE"</f>
        <v>850PKE</v>
      </c>
      <c r="F867" t="str">
        <f>""</f>
        <v/>
      </c>
      <c r="G867" t="str">
        <f>""</f>
        <v/>
      </c>
      <c r="H867" s="1">
        <v>42551</v>
      </c>
      <c r="I867" t="str">
        <f>"PRK00138"</f>
        <v>PRK00138</v>
      </c>
      <c r="J867" t="str">
        <f>""</f>
        <v/>
      </c>
      <c r="K867" t="str">
        <f>"AS89"</f>
        <v>AS89</v>
      </c>
      <c r="L867" t="s">
        <v>2856</v>
      </c>
      <c r="M867">
        <v>543.48</v>
      </c>
    </row>
    <row r="868" spans="1:13" x14ac:dyDescent="0.25">
      <c r="A868" t="str">
        <f t="shared" ref="A868:A897" si="251">"E404"</f>
        <v>E404</v>
      </c>
      <c r="B868">
        <v>1</v>
      </c>
      <c r="C868" t="str">
        <f t="shared" ref="C868:C875" si="252">"10200"</f>
        <v>10200</v>
      </c>
      <c r="D868" t="str">
        <f t="shared" ref="D868:D881" si="253">"5620"</f>
        <v>5620</v>
      </c>
      <c r="E868" t="str">
        <f t="shared" ref="E868:E875" si="254">"094OMS"</f>
        <v>094OMS</v>
      </c>
      <c r="F868" t="str">
        <f>"BFA1TD"</f>
        <v>BFA1TD</v>
      </c>
      <c r="G868" t="str">
        <f>""</f>
        <v/>
      </c>
      <c r="H868" s="1">
        <v>42516</v>
      </c>
      <c r="I868" t="str">
        <f>"J0021961"</f>
        <v>J0021961</v>
      </c>
      <c r="J868" t="str">
        <f>""</f>
        <v/>
      </c>
      <c r="K868" t="str">
        <f>"J089"</f>
        <v>J089</v>
      </c>
      <c r="L868" t="s">
        <v>2855</v>
      </c>
      <c r="M868" s="2">
        <v>9582.06</v>
      </c>
    </row>
    <row r="869" spans="1:13" x14ac:dyDescent="0.25">
      <c r="A869" t="str">
        <f t="shared" si="251"/>
        <v>E404</v>
      </c>
      <c r="B869">
        <v>1</v>
      </c>
      <c r="C869" t="str">
        <f t="shared" si="252"/>
        <v>10200</v>
      </c>
      <c r="D869" t="str">
        <f t="shared" si="253"/>
        <v>5620</v>
      </c>
      <c r="E869" t="str">
        <f t="shared" si="254"/>
        <v>094OMS</v>
      </c>
      <c r="F869" t="str">
        <f>""</f>
        <v/>
      </c>
      <c r="G869" t="str">
        <f>""</f>
        <v/>
      </c>
      <c r="H869" s="1">
        <v>42490</v>
      </c>
      <c r="I869" t="str">
        <f>"PCD00780"</f>
        <v>PCD00780</v>
      </c>
      <c r="J869" t="str">
        <f>""</f>
        <v/>
      </c>
      <c r="K869" t="str">
        <f>"AS89"</f>
        <v>AS89</v>
      </c>
      <c r="L869" t="s">
        <v>2853</v>
      </c>
      <c r="M869">
        <v>159.68</v>
      </c>
    </row>
    <row r="870" spans="1:13" x14ac:dyDescent="0.25">
      <c r="A870" t="str">
        <f t="shared" si="251"/>
        <v>E404</v>
      </c>
      <c r="B870">
        <v>1</v>
      </c>
      <c r="C870" t="str">
        <f t="shared" si="252"/>
        <v>10200</v>
      </c>
      <c r="D870" t="str">
        <f t="shared" si="253"/>
        <v>5620</v>
      </c>
      <c r="E870" t="str">
        <f t="shared" si="254"/>
        <v>094OMS</v>
      </c>
      <c r="F870" t="str">
        <f>""</f>
        <v/>
      </c>
      <c r="G870" t="str">
        <f>""</f>
        <v/>
      </c>
      <c r="H870" s="1">
        <v>42490</v>
      </c>
      <c r="I870" t="str">
        <f>"PCD00780"</f>
        <v>PCD00780</v>
      </c>
      <c r="J870" t="str">
        <f>""</f>
        <v/>
      </c>
      <c r="K870" t="str">
        <f>"AS89"</f>
        <v>AS89</v>
      </c>
      <c r="L870" t="s">
        <v>2852</v>
      </c>
      <c r="M870" s="2">
        <v>1195.7</v>
      </c>
    </row>
    <row r="871" spans="1:13" x14ac:dyDescent="0.25">
      <c r="A871" t="str">
        <f t="shared" si="251"/>
        <v>E404</v>
      </c>
      <c r="B871">
        <v>1</v>
      </c>
      <c r="C871" t="str">
        <f t="shared" si="252"/>
        <v>10200</v>
      </c>
      <c r="D871" t="str">
        <f t="shared" si="253"/>
        <v>5620</v>
      </c>
      <c r="E871" t="str">
        <f t="shared" si="254"/>
        <v>094OMS</v>
      </c>
      <c r="F871" t="str">
        <f>""</f>
        <v/>
      </c>
      <c r="G871" t="str">
        <f>""</f>
        <v/>
      </c>
      <c r="H871" s="1">
        <v>42548</v>
      </c>
      <c r="I871" t="str">
        <f>"I0133281"</f>
        <v>I0133281</v>
      </c>
      <c r="J871" t="str">
        <f>"P1003233"</f>
        <v>P1003233</v>
      </c>
      <c r="K871" t="str">
        <f>"INEI"</f>
        <v>INEI</v>
      </c>
      <c r="L871" t="s">
        <v>2851</v>
      </c>
      <c r="M871">
        <v>408.82</v>
      </c>
    </row>
    <row r="872" spans="1:13" x14ac:dyDescent="0.25">
      <c r="A872" t="str">
        <f t="shared" si="251"/>
        <v>E404</v>
      </c>
      <c r="B872">
        <v>1</v>
      </c>
      <c r="C872" t="str">
        <f t="shared" si="252"/>
        <v>10200</v>
      </c>
      <c r="D872" t="str">
        <f t="shared" si="253"/>
        <v>5620</v>
      </c>
      <c r="E872" t="str">
        <f t="shared" si="254"/>
        <v>094OMS</v>
      </c>
      <c r="F872" t="str">
        <f>""</f>
        <v/>
      </c>
      <c r="G872" t="str">
        <f>""</f>
        <v/>
      </c>
      <c r="H872" s="1">
        <v>42548</v>
      </c>
      <c r="I872" t="str">
        <f>"I0133282"</f>
        <v>I0133282</v>
      </c>
      <c r="J872" t="str">
        <f>"P1003233"</f>
        <v>P1003233</v>
      </c>
      <c r="K872" t="str">
        <f>"INEI"</f>
        <v>INEI</v>
      </c>
      <c r="L872" t="s">
        <v>2851</v>
      </c>
      <c r="M872">
        <v>113.63</v>
      </c>
    </row>
    <row r="873" spans="1:13" x14ac:dyDescent="0.25">
      <c r="A873" t="str">
        <f t="shared" si="251"/>
        <v>E404</v>
      </c>
      <c r="B873">
        <v>1</v>
      </c>
      <c r="C873" t="str">
        <f t="shared" si="252"/>
        <v>10200</v>
      </c>
      <c r="D873" t="str">
        <f t="shared" si="253"/>
        <v>5620</v>
      </c>
      <c r="E873" t="str">
        <f t="shared" si="254"/>
        <v>094OMS</v>
      </c>
      <c r="F873" t="str">
        <f>""</f>
        <v/>
      </c>
      <c r="G873" t="str">
        <f>""</f>
        <v/>
      </c>
      <c r="H873" s="1">
        <v>42551</v>
      </c>
      <c r="I873" t="str">
        <f>"I0134002"</f>
        <v>I0134002</v>
      </c>
      <c r="J873" t="str">
        <f>"P1003234"</f>
        <v>P1003234</v>
      </c>
      <c r="K873" t="str">
        <f>"INEI"</f>
        <v>INEI</v>
      </c>
      <c r="L873" t="s">
        <v>2850</v>
      </c>
      <c r="M873">
        <v>543.5</v>
      </c>
    </row>
    <row r="874" spans="1:13" x14ac:dyDescent="0.25">
      <c r="A874" t="str">
        <f t="shared" si="251"/>
        <v>E404</v>
      </c>
      <c r="B874">
        <v>1</v>
      </c>
      <c r="C874" t="str">
        <f t="shared" si="252"/>
        <v>10200</v>
      </c>
      <c r="D874" t="str">
        <f t="shared" si="253"/>
        <v>5620</v>
      </c>
      <c r="E874" t="str">
        <f t="shared" si="254"/>
        <v>094OMS</v>
      </c>
      <c r="F874" t="str">
        <f>""</f>
        <v/>
      </c>
      <c r="G874" t="str">
        <f>""</f>
        <v/>
      </c>
      <c r="H874" s="1">
        <v>42551</v>
      </c>
      <c r="I874" t="str">
        <f>"I0134002"</f>
        <v>I0134002</v>
      </c>
      <c r="J874" t="str">
        <f>"P1003234"</f>
        <v>P1003234</v>
      </c>
      <c r="K874" t="str">
        <f>"INEI"</f>
        <v>INEI</v>
      </c>
      <c r="L874" t="s">
        <v>2850</v>
      </c>
      <c r="M874">
        <v>267.39999999999998</v>
      </c>
    </row>
    <row r="875" spans="1:13" x14ac:dyDescent="0.25">
      <c r="A875" t="str">
        <f t="shared" si="251"/>
        <v>E404</v>
      </c>
      <c r="B875">
        <v>1</v>
      </c>
      <c r="C875" t="str">
        <f t="shared" si="252"/>
        <v>10200</v>
      </c>
      <c r="D875" t="str">
        <f t="shared" si="253"/>
        <v>5620</v>
      </c>
      <c r="E875" t="str">
        <f t="shared" si="254"/>
        <v>094OMS</v>
      </c>
      <c r="F875" t="str">
        <f>""</f>
        <v/>
      </c>
      <c r="G875" t="str">
        <f>""</f>
        <v/>
      </c>
      <c r="H875" s="1">
        <v>42551</v>
      </c>
      <c r="I875" t="str">
        <f>"I0134142"</f>
        <v>I0134142</v>
      </c>
      <c r="J875" t="str">
        <f>"P1003065"</f>
        <v>P1003065</v>
      </c>
      <c r="K875" t="str">
        <f>"INEI"</f>
        <v>INEI</v>
      </c>
      <c r="L875" t="s">
        <v>1208</v>
      </c>
      <c r="M875" s="2">
        <v>4778.67</v>
      </c>
    </row>
    <row r="876" spans="1:13" x14ac:dyDescent="0.25">
      <c r="A876" t="str">
        <f t="shared" si="251"/>
        <v>E404</v>
      </c>
      <c r="B876">
        <v>1</v>
      </c>
      <c r="C876" t="str">
        <f t="shared" ref="C876:C893" si="255">"43000"</f>
        <v>43000</v>
      </c>
      <c r="D876" t="str">
        <f t="shared" si="253"/>
        <v>5620</v>
      </c>
      <c r="E876" t="str">
        <f>"850LOS"</f>
        <v>850LOS</v>
      </c>
      <c r="F876" t="str">
        <f>""</f>
        <v/>
      </c>
      <c r="G876" t="str">
        <f>""</f>
        <v/>
      </c>
      <c r="H876" s="1">
        <v>42297</v>
      </c>
      <c r="I876" t="str">
        <f>"CMG00961"</f>
        <v>CMG00961</v>
      </c>
      <c r="J876" t="str">
        <f>""</f>
        <v/>
      </c>
      <c r="K876" t="str">
        <f>"CM89"</f>
        <v>CM89</v>
      </c>
      <c r="L876" t="s">
        <v>2849</v>
      </c>
      <c r="M876">
        <v>599</v>
      </c>
    </row>
    <row r="877" spans="1:13" x14ac:dyDescent="0.25">
      <c r="A877" t="str">
        <f t="shared" si="251"/>
        <v>E404</v>
      </c>
      <c r="B877">
        <v>1</v>
      </c>
      <c r="C877" t="str">
        <f t="shared" si="255"/>
        <v>43000</v>
      </c>
      <c r="D877" t="str">
        <f t="shared" si="253"/>
        <v>5620</v>
      </c>
      <c r="E877" t="str">
        <f>"850LOS"</f>
        <v>850LOS</v>
      </c>
      <c r="F877" t="str">
        <f>""</f>
        <v/>
      </c>
      <c r="G877" t="str">
        <f>""</f>
        <v/>
      </c>
      <c r="H877" s="1">
        <v>42339</v>
      </c>
      <c r="I877" t="str">
        <f>"J0018309"</f>
        <v>J0018309</v>
      </c>
      <c r="J877" t="str">
        <f>""</f>
        <v/>
      </c>
      <c r="K877" t="str">
        <f>"J096"</f>
        <v>J096</v>
      </c>
      <c r="L877" t="s">
        <v>2848</v>
      </c>
      <c r="M877" s="2">
        <v>1198</v>
      </c>
    </row>
    <row r="878" spans="1:13" x14ac:dyDescent="0.25">
      <c r="A878" t="str">
        <f t="shared" si="251"/>
        <v>E404</v>
      </c>
      <c r="B878">
        <v>1</v>
      </c>
      <c r="C878" t="str">
        <f t="shared" si="255"/>
        <v>43000</v>
      </c>
      <c r="D878" t="str">
        <f t="shared" si="253"/>
        <v>5620</v>
      </c>
      <c r="E878" t="str">
        <f>"850PKE"</f>
        <v>850PKE</v>
      </c>
      <c r="F878" t="str">
        <f>""</f>
        <v/>
      </c>
      <c r="G878" t="str">
        <f>""</f>
        <v/>
      </c>
      <c r="H878" s="1">
        <v>42417</v>
      </c>
      <c r="I878" t="str">
        <f>"I0125897"</f>
        <v>I0125897</v>
      </c>
      <c r="J878" t="str">
        <f>"F225762"</f>
        <v>F225762</v>
      </c>
      <c r="K878" t="str">
        <f>"INEI"</f>
        <v>INEI</v>
      </c>
      <c r="L878" t="s">
        <v>2596</v>
      </c>
      <c r="M878">
        <v>752.61</v>
      </c>
    </row>
    <row r="879" spans="1:13" x14ac:dyDescent="0.25">
      <c r="A879" t="str">
        <f t="shared" si="251"/>
        <v>E404</v>
      </c>
      <c r="B879">
        <v>1</v>
      </c>
      <c r="C879" t="str">
        <f t="shared" si="255"/>
        <v>43000</v>
      </c>
      <c r="D879" t="str">
        <f t="shared" si="253"/>
        <v>5620</v>
      </c>
      <c r="E879" t="str">
        <f>"850PKE"</f>
        <v>850PKE</v>
      </c>
      <c r="F879" t="str">
        <f>""</f>
        <v/>
      </c>
      <c r="G879" t="str">
        <f>""</f>
        <v/>
      </c>
      <c r="H879" s="1">
        <v>42417</v>
      </c>
      <c r="I879" t="str">
        <f>"I0125898"</f>
        <v>I0125898</v>
      </c>
      <c r="J879" t="str">
        <f>"F229076"</f>
        <v>F229076</v>
      </c>
      <c r="K879" t="str">
        <f>"INEI"</f>
        <v>INEI</v>
      </c>
      <c r="L879" t="s">
        <v>2596</v>
      </c>
      <c r="M879">
        <v>190.23</v>
      </c>
    </row>
    <row r="880" spans="1:13" x14ac:dyDescent="0.25">
      <c r="A880" t="str">
        <f t="shared" si="251"/>
        <v>E404</v>
      </c>
      <c r="B880">
        <v>1</v>
      </c>
      <c r="C880" t="str">
        <f t="shared" si="255"/>
        <v>43000</v>
      </c>
      <c r="D880" t="str">
        <f t="shared" si="253"/>
        <v>5620</v>
      </c>
      <c r="E880" t="str">
        <f>"850PKE"</f>
        <v>850PKE</v>
      </c>
      <c r="F880" t="str">
        <f>""</f>
        <v/>
      </c>
      <c r="G880" t="str">
        <f>""</f>
        <v/>
      </c>
      <c r="H880" s="1">
        <v>42417</v>
      </c>
      <c r="I880" t="str">
        <f>"I0125898"</f>
        <v>I0125898</v>
      </c>
      <c r="J880" t="str">
        <f>"F229076"</f>
        <v>F229076</v>
      </c>
      <c r="K880" t="str">
        <f>"INEI"</f>
        <v>INEI</v>
      </c>
      <c r="L880" t="s">
        <v>2596</v>
      </c>
      <c r="M880">
        <v>157.62</v>
      </c>
    </row>
    <row r="881" spans="1:13" x14ac:dyDescent="0.25">
      <c r="A881" t="str">
        <f t="shared" si="251"/>
        <v>E404</v>
      </c>
      <c r="B881">
        <v>1</v>
      </c>
      <c r="C881" t="str">
        <f t="shared" si="255"/>
        <v>43000</v>
      </c>
      <c r="D881" t="str">
        <f t="shared" si="253"/>
        <v>5620</v>
      </c>
      <c r="E881" t="str">
        <f>"850PKE"</f>
        <v>850PKE</v>
      </c>
      <c r="F881" t="str">
        <f>""</f>
        <v/>
      </c>
      <c r="G881" t="str">
        <f>""</f>
        <v/>
      </c>
      <c r="H881" s="1">
        <v>42417</v>
      </c>
      <c r="I881" t="str">
        <f>"I0125898"</f>
        <v>I0125898</v>
      </c>
      <c r="J881" t="str">
        <f>"F229076"</f>
        <v>F229076</v>
      </c>
      <c r="K881" t="str">
        <f>"INEI"</f>
        <v>INEI</v>
      </c>
      <c r="L881" t="s">
        <v>2596</v>
      </c>
      <c r="M881">
        <v>436.46</v>
      </c>
    </row>
    <row r="882" spans="1:13" x14ac:dyDescent="0.25">
      <c r="A882" t="str">
        <f t="shared" si="251"/>
        <v>E404</v>
      </c>
      <c r="B882">
        <v>1</v>
      </c>
      <c r="C882" t="str">
        <f t="shared" si="255"/>
        <v>43000</v>
      </c>
      <c r="D882" t="str">
        <f t="shared" ref="D882:D897" si="256">"5740"</f>
        <v>5740</v>
      </c>
      <c r="E882" t="str">
        <f>"850LOS"</f>
        <v>850LOS</v>
      </c>
      <c r="F882" t="str">
        <f>""</f>
        <v/>
      </c>
      <c r="G882" t="str">
        <f>""</f>
        <v/>
      </c>
      <c r="H882" s="1">
        <v>42535</v>
      </c>
      <c r="I882" t="str">
        <f>"ACG02686"</f>
        <v>ACG02686</v>
      </c>
      <c r="J882" t="str">
        <f>"CMG00961"</f>
        <v>CMG00961</v>
      </c>
      <c r="K882" t="str">
        <f>"AS96"</f>
        <v>AS96</v>
      </c>
      <c r="L882" t="s">
        <v>2849</v>
      </c>
      <c r="M882">
        <v>599</v>
      </c>
    </row>
    <row r="883" spans="1:13" x14ac:dyDescent="0.25">
      <c r="A883" t="str">
        <f t="shared" si="251"/>
        <v>E404</v>
      </c>
      <c r="B883">
        <v>1</v>
      </c>
      <c r="C883" t="str">
        <f t="shared" si="255"/>
        <v>43000</v>
      </c>
      <c r="D883" t="str">
        <f t="shared" si="256"/>
        <v>5740</v>
      </c>
      <c r="E883" t="str">
        <f>"850LOS"</f>
        <v>850LOS</v>
      </c>
      <c r="F883" t="str">
        <f>""</f>
        <v/>
      </c>
      <c r="G883" t="str">
        <f>""</f>
        <v/>
      </c>
      <c r="H883" s="1">
        <v>42535</v>
      </c>
      <c r="I883" t="str">
        <f>"ACG02686"</f>
        <v>ACG02686</v>
      </c>
      <c r="J883" t="str">
        <f>"J0018309"</f>
        <v>J0018309</v>
      </c>
      <c r="K883" t="str">
        <f>"AS96"</f>
        <v>AS96</v>
      </c>
      <c r="L883" t="s">
        <v>2848</v>
      </c>
      <c r="M883" s="2">
        <v>1198</v>
      </c>
    </row>
    <row r="884" spans="1:13" x14ac:dyDescent="0.25">
      <c r="A884" t="str">
        <f t="shared" si="251"/>
        <v>E404</v>
      </c>
      <c r="B884">
        <v>1</v>
      </c>
      <c r="C884" t="str">
        <f t="shared" si="255"/>
        <v>43000</v>
      </c>
      <c r="D884" t="str">
        <f t="shared" si="256"/>
        <v>5740</v>
      </c>
      <c r="E884" t="str">
        <f>"850LOS"</f>
        <v>850LOS</v>
      </c>
      <c r="F884" t="str">
        <f>""</f>
        <v/>
      </c>
      <c r="G884" t="str">
        <f>""</f>
        <v/>
      </c>
      <c r="H884" s="1">
        <v>42551</v>
      </c>
      <c r="I884" t="str">
        <f>"PCD00791"</f>
        <v>PCD00791</v>
      </c>
      <c r="J884" t="str">
        <f>""</f>
        <v/>
      </c>
      <c r="K884" t="str">
        <f>"AS89"</f>
        <v>AS89</v>
      </c>
      <c r="L884" t="s">
        <v>2847</v>
      </c>
      <c r="M884">
        <v>728</v>
      </c>
    </row>
    <row r="885" spans="1:13" x14ac:dyDescent="0.25">
      <c r="A885" t="str">
        <f t="shared" si="251"/>
        <v>E404</v>
      </c>
      <c r="B885">
        <v>1</v>
      </c>
      <c r="C885" t="str">
        <f t="shared" si="255"/>
        <v>43000</v>
      </c>
      <c r="D885" t="str">
        <f t="shared" si="256"/>
        <v>5740</v>
      </c>
      <c r="E885" t="str">
        <f>"850PAY"</f>
        <v>850PAY</v>
      </c>
      <c r="F885" t="str">
        <f>""</f>
        <v/>
      </c>
      <c r="G885" t="str">
        <f>""</f>
        <v/>
      </c>
      <c r="H885" s="1">
        <v>42485</v>
      </c>
      <c r="I885" t="str">
        <f>"I0128520"</f>
        <v>I0128520</v>
      </c>
      <c r="J885" t="str">
        <f>""</f>
        <v/>
      </c>
      <c r="K885" t="str">
        <f>"INNI"</f>
        <v>INNI</v>
      </c>
      <c r="L885" t="s">
        <v>2596</v>
      </c>
      <c r="M885" s="2">
        <v>1592.41</v>
      </c>
    </row>
    <row r="886" spans="1:13" x14ac:dyDescent="0.25">
      <c r="A886" t="str">
        <f t="shared" si="251"/>
        <v>E404</v>
      </c>
      <c r="B886">
        <v>1</v>
      </c>
      <c r="C886" t="str">
        <f t="shared" si="255"/>
        <v>43000</v>
      </c>
      <c r="D886" t="str">
        <f t="shared" si="256"/>
        <v>5740</v>
      </c>
      <c r="E886" t="str">
        <f t="shared" ref="E886:E897" si="257">"850PKE"</f>
        <v>850PKE</v>
      </c>
      <c r="F886" t="str">
        <f>""</f>
        <v/>
      </c>
      <c r="G886" t="str">
        <f>""</f>
        <v/>
      </c>
      <c r="H886" s="1">
        <v>42460</v>
      </c>
      <c r="I886" t="str">
        <f>"PCD00775"</f>
        <v>PCD00775</v>
      </c>
      <c r="J886" t="str">
        <f>""</f>
        <v/>
      </c>
      <c r="K886" t="str">
        <f>"AS89"</f>
        <v>AS89</v>
      </c>
      <c r="L886" t="s">
        <v>2846</v>
      </c>
      <c r="M886">
        <v>206.52</v>
      </c>
    </row>
    <row r="887" spans="1:13" x14ac:dyDescent="0.25">
      <c r="A887" t="str">
        <f t="shared" si="251"/>
        <v>E404</v>
      </c>
      <c r="B887">
        <v>1</v>
      </c>
      <c r="C887" t="str">
        <f t="shared" si="255"/>
        <v>43000</v>
      </c>
      <c r="D887" t="str">
        <f t="shared" si="256"/>
        <v>5740</v>
      </c>
      <c r="E887" t="str">
        <f t="shared" si="257"/>
        <v>850PKE</v>
      </c>
      <c r="F887" t="str">
        <f>""</f>
        <v/>
      </c>
      <c r="G887" t="str">
        <f>""</f>
        <v/>
      </c>
      <c r="H887" s="1">
        <v>42522</v>
      </c>
      <c r="I887" t="str">
        <f>"PHY00667"</f>
        <v>PHY00667</v>
      </c>
      <c r="J887" t="str">
        <f>"W0170509"</f>
        <v>W0170509</v>
      </c>
      <c r="K887" t="str">
        <f>"AS89"</f>
        <v>AS89</v>
      </c>
      <c r="L887" t="s">
        <v>2845</v>
      </c>
      <c r="M887">
        <v>401.82</v>
      </c>
    </row>
    <row r="888" spans="1:13" x14ac:dyDescent="0.25">
      <c r="A888" t="str">
        <f t="shared" si="251"/>
        <v>E404</v>
      </c>
      <c r="B888">
        <v>1</v>
      </c>
      <c r="C888" t="str">
        <f t="shared" si="255"/>
        <v>43000</v>
      </c>
      <c r="D888" t="str">
        <f t="shared" si="256"/>
        <v>5740</v>
      </c>
      <c r="E888" t="str">
        <f t="shared" si="257"/>
        <v>850PKE</v>
      </c>
      <c r="F888" t="str">
        <f>""</f>
        <v/>
      </c>
      <c r="G888" t="str">
        <f>""</f>
        <v/>
      </c>
      <c r="H888" s="1">
        <v>42535</v>
      </c>
      <c r="I888" t="str">
        <f>"ACG02686"</f>
        <v>ACG02686</v>
      </c>
      <c r="J888" t="str">
        <f>"F225762"</f>
        <v>F225762</v>
      </c>
      <c r="K888" t="str">
        <f>"AS96"</f>
        <v>AS96</v>
      </c>
      <c r="L888" t="s">
        <v>2596</v>
      </c>
      <c r="M888">
        <v>752.61</v>
      </c>
    </row>
    <row r="889" spans="1:13" x14ac:dyDescent="0.25">
      <c r="A889" t="str">
        <f t="shared" si="251"/>
        <v>E404</v>
      </c>
      <c r="B889">
        <v>1</v>
      </c>
      <c r="C889" t="str">
        <f t="shared" si="255"/>
        <v>43000</v>
      </c>
      <c r="D889" t="str">
        <f t="shared" si="256"/>
        <v>5740</v>
      </c>
      <c r="E889" t="str">
        <f t="shared" si="257"/>
        <v>850PKE</v>
      </c>
      <c r="F889" t="str">
        <f>""</f>
        <v/>
      </c>
      <c r="G889" t="str">
        <f>""</f>
        <v/>
      </c>
      <c r="H889" s="1">
        <v>42535</v>
      </c>
      <c r="I889" t="str">
        <f>"ACG02686"</f>
        <v>ACG02686</v>
      </c>
      <c r="J889" t="str">
        <f>"F229076"</f>
        <v>F229076</v>
      </c>
      <c r="K889" t="str">
        <f>"AS96"</f>
        <v>AS96</v>
      </c>
      <c r="L889" t="s">
        <v>2596</v>
      </c>
      <c r="M889">
        <v>157.62</v>
      </c>
    </row>
    <row r="890" spans="1:13" x14ac:dyDescent="0.25">
      <c r="A890" t="str">
        <f t="shared" si="251"/>
        <v>E404</v>
      </c>
      <c r="B890">
        <v>1</v>
      </c>
      <c r="C890" t="str">
        <f t="shared" si="255"/>
        <v>43000</v>
      </c>
      <c r="D890" t="str">
        <f t="shared" si="256"/>
        <v>5740</v>
      </c>
      <c r="E890" t="str">
        <f t="shared" si="257"/>
        <v>850PKE</v>
      </c>
      <c r="F890" t="str">
        <f>""</f>
        <v/>
      </c>
      <c r="G890" t="str">
        <f>""</f>
        <v/>
      </c>
      <c r="H890" s="1">
        <v>42535</v>
      </c>
      <c r="I890" t="str">
        <f>"ACG02686"</f>
        <v>ACG02686</v>
      </c>
      <c r="J890" t="str">
        <f>"F229076"</f>
        <v>F229076</v>
      </c>
      <c r="K890" t="str">
        <f>"AS96"</f>
        <v>AS96</v>
      </c>
      <c r="L890" t="s">
        <v>2596</v>
      </c>
      <c r="M890">
        <v>436.46</v>
      </c>
    </row>
    <row r="891" spans="1:13" x14ac:dyDescent="0.25">
      <c r="A891" t="str">
        <f t="shared" si="251"/>
        <v>E404</v>
      </c>
      <c r="B891">
        <v>1</v>
      </c>
      <c r="C891" t="str">
        <f t="shared" si="255"/>
        <v>43000</v>
      </c>
      <c r="D891" t="str">
        <f t="shared" si="256"/>
        <v>5740</v>
      </c>
      <c r="E891" t="str">
        <f t="shared" si="257"/>
        <v>850PKE</v>
      </c>
      <c r="F891" t="str">
        <f>""</f>
        <v/>
      </c>
      <c r="G891" t="str">
        <f>""</f>
        <v/>
      </c>
      <c r="H891" s="1">
        <v>42535</v>
      </c>
      <c r="I891" t="str">
        <f>"ACG02686"</f>
        <v>ACG02686</v>
      </c>
      <c r="J891" t="str">
        <f>"F229076"</f>
        <v>F229076</v>
      </c>
      <c r="K891" t="str">
        <f>"AS96"</f>
        <v>AS96</v>
      </c>
      <c r="L891" t="s">
        <v>2596</v>
      </c>
      <c r="M891">
        <v>190.23</v>
      </c>
    </row>
    <row r="892" spans="1:13" x14ac:dyDescent="0.25">
      <c r="A892" t="str">
        <f t="shared" si="251"/>
        <v>E404</v>
      </c>
      <c r="B892">
        <v>1</v>
      </c>
      <c r="C892" t="str">
        <f t="shared" si="255"/>
        <v>43000</v>
      </c>
      <c r="D892" t="str">
        <f t="shared" si="256"/>
        <v>5740</v>
      </c>
      <c r="E892" t="str">
        <f t="shared" si="257"/>
        <v>850PKE</v>
      </c>
      <c r="F892" t="str">
        <f>""</f>
        <v/>
      </c>
      <c r="G892" t="str">
        <f>""</f>
        <v/>
      </c>
      <c r="H892" s="1">
        <v>42544</v>
      </c>
      <c r="I892" t="str">
        <f>"I0132930"</f>
        <v>I0132930</v>
      </c>
      <c r="J892" t="str">
        <f>""</f>
        <v/>
      </c>
      <c r="K892" t="str">
        <f>"INNI"</f>
        <v>INNI</v>
      </c>
      <c r="L892" t="s">
        <v>2844</v>
      </c>
      <c r="M892" s="2">
        <v>4501.66</v>
      </c>
    </row>
    <row r="893" spans="1:13" x14ac:dyDescent="0.25">
      <c r="A893" t="str">
        <f t="shared" si="251"/>
        <v>E404</v>
      </c>
      <c r="B893">
        <v>1</v>
      </c>
      <c r="C893" t="str">
        <f t="shared" si="255"/>
        <v>43000</v>
      </c>
      <c r="D893" t="str">
        <f t="shared" si="256"/>
        <v>5740</v>
      </c>
      <c r="E893" t="str">
        <f t="shared" si="257"/>
        <v>850PKE</v>
      </c>
      <c r="F893" t="str">
        <f>""</f>
        <v/>
      </c>
      <c r="G893" t="str">
        <f>""</f>
        <v/>
      </c>
      <c r="H893" s="1">
        <v>42551</v>
      </c>
      <c r="I893" t="str">
        <f>"PCD00791"</f>
        <v>PCD00791</v>
      </c>
      <c r="J893" t="str">
        <f>""</f>
        <v/>
      </c>
      <c r="K893" t="str">
        <f>"AS89"</f>
        <v>AS89</v>
      </c>
      <c r="L893" t="s">
        <v>2843</v>
      </c>
      <c r="M893">
        <v>741.16</v>
      </c>
    </row>
    <row r="894" spans="1:13" x14ac:dyDescent="0.25">
      <c r="A894" t="str">
        <f t="shared" si="251"/>
        <v>E404</v>
      </c>
      <c r="B894">
        <v>1</v>
      </c>
      <c r="C894" t="str">
        <f>"43007"</f>
        <v>43007</v>
      </c>
      <c r="D894" t="str">
        <f t="shared" si="256"/>
        <v>5740</v>
      </c>
      <c r="E894" t="str">
        <f t="shared" si="257"/>
        <v>850PKE</v>
      </c>
      <c r="F894" t="str">
        <f>""</f>
        <v/>
      </c>
      <c r="G894" t="str">
        <f>""</f>
        <v/>
      </c>
      <c r="H894" s="1">
        <v>42551</v>
      </c>
      <c r="I894" t="str">
        <f>"PRK00138"</f>
        <v>PRK00138</v>
      </c>
      <c r="J894" t="str">
        <f>""</f>
        <v/>
      </c>
      <c r="K894" t="str">
        <f>"AS89"</f>
        <v>AS89</v>
      </c>
      <c r="L894" t="s">
        <v>2842</v>
      </c>
      <c r="M894">
        <v>436.46</v>
      </c>
    </row>
    <row r="895" spans="1:13" x14ac:dyDescent="0.25">
      <c r="A895" t="str">
        <f t="shared" si="251"/>
        <v>E404</v>
      </c>
      <c r="B895">
        <v>1</v>
      </c>
      <c r="C895" t="str">
        <f>"43007"</f>
        <v>43007</v>
      </c>
      <c r="D895" t="str">
        <f t="shared" si="256"/>
        <v>5740</v>
      </c>
      <c r="E895" t="str">
        <f t="shared" si="257"/>
        <v>850PKE</v>
      </c>
      <c r="F895" t="str">
        <f>""</f>
        <v/>
      </c>
      <c r="G895" t="str">
        <f>""</f>
        <v/>
      </c>
      <c r="H895" s="1">
        <v>42551</v>
      </c>
      <c r="I895" t="str">
        <f>"PRK00138"</f>
        <v>PRK00138</v>
      </c>
      <c r="J895" t="str">
        <f>""</f>
        <v/>
      </c>
      <c r="K895" t="str">
        <f>"AS89"</f>
        <v>AS89</v>
      </c>
      <c r="L895" t="s">
        <v>2841</v>
      </c>
      <c r="M895">
        <v>190.23</v>
      </c>
    </row>
    <row r="896" spans="1:13" x14ac:dyDescent="0.25">
      <c r="A896" t="str">
        <f t="shared" si="251"/>
        <v>E404</v>
      </c>
      <c r="B896">
        <v>1</v>
      </c>
      <c r="C896" t="str">
        <f>"43007"</f>
        <v>43007</v>
      </c>
      <c r="D896" t="str">
        <f t="shared" si="256"/>
        <v>5740</v>
      </c>
      <c r="E896" t="str">
        <f t="shared" si="257"/>
        <v>850PKE</v>
      </c>
      <c r="F896" t="str">
        <f>""</f>
        <v/>
      </c>
      <c r="G896" t="str">
        <f>""</f>
        <v/>
      </c>
      <c r="H896" s="1">
        <v>42551</v>
      </c>
      <c r="I896" t="str">
        <f>"PRK00138"</f>
        <v>PRK00138</v>
      </c>
      <c r="J896" t="str">
        <f>""</f>
        <v/>
      </c>
      <c r="K896" t="str">
        <f>"AS89"</f>
        <v>AS89</v>
      </c>
      <c r="L896" t="s">
        <v>2840</v>
      </c>
      <c r="M896">
        <v>157.62</v>
      </c>
    </row>
    <row r="897" spans="1:13" x14ac:dyDescent="0.25">
      <c r="A897" t="str">
        <f t="shared" si="251"/>
        <v>E404</v>
      </c>
      <c r="B897">
        <v>1</v>
      </c>
      <c r="C897" t="str">
        <f>"43007"</f>
        <v>43007</v>
      </c>
      <c r="D897" t="str">
        <f t="shared" si="256"/>
        <v>5740</v>
      </c>
      <c r="E897" t="str">
        <f t="shared" si="257"/>
        <v>850PKE</v>
      </c>
      <c r="F897" t="str">
        <f>""</f>
        <v/>
      </c>
      <c r="G897" t="str">
        <f>""</f>
        <v/>
      </c>
      <c r="H897" s="1">
        <v>42551</v>
      </c>
      <c r="I897" t="str">
        <f>"PRK00138"</f>
        <v>PRK00138</v>
      </c>
      <c r="J897" t="str">
        <f>""</f>
        <v/>
      </c>
      <c r="K897" t="str">
        <f>"AS89"</f>
        <v>AS89</v>
      </c>
      <c r="L897" t="s">
        <v>2839</v>
      </c>
      <c r="M897">
        <v>752.61</v>
      </c>
    </row>
    <row r="898" spans="1:13" x14ac:dyDescent="0.25">
      <c r="A898" t="str">
        <f>"E405"</f>
        <v>E405</v>
      </c>
      <c r="B898">
        <v>1</v>
      </c>
      <c r="C898" t="str">
        <f>"10200"</f>
        <v>10200</v>
      </c>
      <c r="D898" t="str">
        <f>"5620"</f>
        <v>5620</v>
      </c>
      <c r="E898" t="str">
        <f>"094OMS"</f>
        <v>094OMS</v>
      </c>
      <c r="F898" t="str">
        <f>""</f>
        <v/>
      </c>
      <c r="G898" t="str">
        <f>""</f>
        <v/>
      </c>
      <c r="H898" s="1">
        <v>42318</v>
      </c>
      <c r="I898" t="str">
        <f>"I0123057"</f>
        <v>I0123057</v>
      </c>
      <c r="J898" t="str">
        <f>"F225771"</f>
        <v>F225771</v>
      </c>
      <c r="K898" t="str">
        <f>"INEI"</f>
        <v>INEI</v>
      </c>
      <c r="L898" t="s">
        <v>1207</v>
      </c>
      <c r="M898">
        <v>282.62</v>
      </c>
    </row>
    <row r="899" spans="1:13" x14ac:dyDescent="0.25">
      <c r="A899" t="str">
        <f>"E405"</f>
        <v>E405</v>
      </c>
      <c r="B899">
        <v>1</v>
      </c>
      <c r="C899" t="str">
        <f>"10200"</f>
        <v>10200</v>
      </c>
      <c r="D899" t="str">
        <f>"5620"</f>
        <v>5620</v>
      </c>
      <c r="E899" t="str">
        <f>"094OMS"</f>
        <v>094OMS</v>
      </c>
      <c r="F899" t="str">
        <f>""</f>
        <v/>
      </c>
      <c r="G899" t="str">
        <f>""</f>
        <v/>
      </c>
      <c r="H899" s="1">
        <v>42318</v>
      </c>
      <c r="I899" t="str">
        <f>"I0123057"</f>
        <v>I0123057</v>
      </c>
      <c r="J899" t="str">
        <f>"F225771"</f>
        <v>F225771</v>
      </c>
      <c r="K899" t="str">
        <f>"INEI"</f>
        <v>INEI</v>
      </c>
      <c r="L899" t="s">
        <v>1207</v>
      </c>
      <c r="M899" s="2">
        <v>2795.81</v>
      </c>
    </row>
    <row r="900" spans="1:13" x14ac:dyDescent="0.25">
      <c r="A900" t="str">
        <f>"E407"</f>
        <v>E407</v>
      </c>
      <c r="B900">
        <v>1</v>
      </c>
      <c r="C900" t="str">
        <f>"10200"</f>
        <v>10200</v>
      </c>
      <c r="D900" t="str">
        <f>"5620"</f>
        <v>5620</v>
      </c>
      <c r="E900" t="str">
        <f>"094OMS"</f>
        <v>094OMS</v>
      </c>
      <c r="F900" t="str">
        <f>"BFA1TD"</f>
        <v>BFA1TD</v>
      </c>
      <c r="G900" t="str">
        <f>""</f>
        <v/>
      </c>
      <c r="H900" s="1">
        <v>42551</v>
      </c>
      <c r="I900" t="str">
        <f>"PCD00791"</f>
        <v>PCD00791</v>
      </c>
      <c r="J900" t="str">
        <f>""</f>
        <v/>
      </c>
      <c r="K900" t="str">
        <f>"AS89"</f>
        <v>AS89</v>
      </c>
      <c r="L900" t="s">
        <v>2838</v>
      </c>
      <c r="M900">
        <v>198.31</v>
      </c>
    </row>
    <row r="901" spans="1:13" x14ac:dyDescent="0.25">
      <c r="A901" t="str">
        <f>"E407"</f>
        <v>E407</v>
      </c>
      <c r="B901">
        <v>1</v>
      </c>
      <c r="C901" t="str">
        <f>"10200"</f>
        <v>10200</v>
      </c>
      <c r="D901" t="str">
        <f>"5620"</f>
        <v>5620</v>
      </c>
      <c r="E901" t="str">
        <f>"094OMS"</f>
        <v>094OMS</v>
      </c>
      <c r="F901" t="str">
        <f>""</f>
        <v/>
      </c>
      <c r="G901" t="str">
        <f>""</f>
        <v/>
      </c>
      <c r="H901" s="1">
        <v>42548</v>
      </c>
      <c r="I901" t="str">
        <f>"I0133248"</f>
        <v>I0133248</v>
      </c>
      <c r="J901" t="str">
        <f>"P1003232"</f>
        <v>P1003232</v>
      </c>
      <c r="K901" t="str">
        <f>"INEI"</f>
        <v>INEI</v>
      </c>
      <c r="L901" t="s">
        <v>349</v>
      </c>
      <c r="M901" s="2">
        <v>1135.9000000000001</v>
      </c>
    </row>
    <row r="902" spans="1:13" x14ac:dyDescent="0.25">
      <c r="A902" t="str">
        <f>"E407"</f>
        <v>E407</v>
      </c>
      <c r="B902">
        <v>1</v>
      </c>
      <c r="C902" t="str">
        <f>"43000"</f>
        <v>43000</v>
      </c>
      <c r="D902" t="str">
        <f>"5620"</f>
        <v>5620</v>
      </c>
      <c r="E902" t="str">
        <f>"850PKE"</f>
        <v>850PKE</v>
      </c>
      <c r="F902" t="str">
        <f>""</f>
        <v/>
      </c>
      <c r="G902" t="str">
        <f>""</f>
        <v/>
      </c>
      <c r="H902" s="1">
        <v>42551</v>
      </c>
      <c r="I902" t="str">
        <f>"I0134279"</f>
        <v>I0134279</v>
      </c>
      <c r="J902" t="str">
        <f>"F225776B"</f>
        <v>F225776B</v>
      </c>
      <c r="K902" t="str">
        <f>"INEI"</f>
        <v>INEI</v>
      </c>
      <c r="L902" t="s">
        <v>229</v>
      </c>
      <c r="M902" s="2">
        <v>2608.8000000000002</v>
      </c>
    </row>
    <row r="903" spans="1:13" x14ac:dyDescent="0.25">
      <c r="A903" t="str">
        <f>"E407"</f>
        <v>E407</v>
      </c>
      <c r="B903">
        <v>1</v>
      </c>
      <c r="C903" t="str">
        <f>"43000"</f>
        <v>43000</v>
      </c>
      <c r="D903" t="str">
        <f>"5740"</f>
        <v>5740</v>
      </c>
      <c r="E903" t="str">
        <f>"850PKE"</f>
        <v>850PKE</v>
      </c>
      <c r="F903" t="str">
        <f>""</f>
        <v/>
      </c>
      <c r="G903" t="str">
        <f>""</f>
        <v/>
      </c>
      <c r="H903" s="1">
        <v>42551</v>
      </c>
      <c r="I903" t="str">
        <f>"J0022960"</f>
        <v>J0022960</v>
      </c>
      <c r="J903" t="str">
        <f>""</f>
        <v/>
      </c>
      <c r="K903" t="str">
        <f>"J079"</f>
        <v>J079</v>
      </c>
      <c r="L903" t="s">
        <v>2822</v>
      </c>
      <c r="M903" s="2">
        <v>2608.8000000000002</v>
      </c>
    </row>
    <row r="904" spans="1:13" x14ac:dyDescent="0.25">
      <c r="A904" t="str">
        <f>"E407"</f>
        <v>E407</v>
      </c>
      <c r="B904">
        <v>1</v>
      </c>
      <c r="C904" t="str">
        <f>"43007"</f>
        <v>43007</v>
      </c>
      <c r="D904" t="str">
        <f>"5740"</f>
        <v>5740</v>
      </c>
      <c r="E904" t="str">
        <f>"850PKE"</f>
        <v>850PKE</v>
      </c>
      <c r="F904" t="str">
        <f>""</f>
        <v/>
      </c>
      <c r="G904" t="str">
        <f>""</f>
        <v/>
      </c>
      <c r="H904" s="1">
        <v>42551</v>
      </c>
      <c r="I904" t="str">
        <f>"PRK00138"</f>
        <v>PRK00138</v>
      </c>
      <c r="J904" t="str">
        <f>""</f>
        <v/>
      </c>
      <c r="K904" t="str">
        <f>"AS89"</f>
        <v>AS89</v>
      </c>
      <c r="L904" t="s">
        <v>2837</v>
      </c>
      <c r="M904" s="2">
        <v>2608.8000000000002</v>
      </c>
    </row>
    <row r="905" spans="1:13" x14ac:dyDescent="0.25">
      <c r="A905" t="str">
        <f>"E408"</f>
        <v>E408</v>
      </c>
      <c r="B905">
        <v>1</v>
      </c>
      <c r="C905" t="str">
        <f t="shared" ref="C905:C912" si="258">"10200"</f>
        <v>10200</v>
      </c>
      <c r="D905" t="str">
        <f t="shared" ref="D905:D912" si="259">"5620"</f>
        <v>5620</v>
      </c>
      <c r="E905" t="str">
        <f t="shared" ref="E905:E912" si="260">"094OMS"</f>
        <v>094OMS</v>
      </c>
      <c r="F905" t="str">
        <f>""</f>
        <v/>
      </c>
      <c r="G905" t="str">
        <f>""</f>
        <v/>
      </c>
      <c r="H905" s="1">
        <v>42257</v>
      </c>
      <c r="I905" t="str">
        <f>"I0121152"</f>
        <v>I0121152</v>
      </c>
      <c r="J905" t="str">
        <f>"F220967"</f>
        <v>F220967</v>
      </c>
      <c r="K905" t="str">
        <f>"INEI"</f>
        <v>INEI</v>
      </c>
      <c r="L905" t="s">
        <v>366</v>
      </c>
      <c r="M905">
        <v>827.31</v>
      </c>
    </row>
    <row r="906" spans="1:13" x14ac:dyDescent="0.25">
      <c r="A906" t="str">
        <f>"E408"</f>
        <v>E408</v>
      </c>
      <c r="B906">
        <v>1</v>
      </c>
      <c r="C906" t="str">
        <f t="shared" si="258"/>
        <v>10200</v>
      </c>
      <c r="D906" t="str">
        <f t="shared" si="259"/>
        <v>5620</v>
      </c>
      <c r="E906" t="str">
        <f t="shared" si="260"/>
        <v>094OMS</v>
      </c>
      <c r="F906" t="str">
        <f>""</f>
        <v/>
      </c>
      <c r="G906" t="str">
        <f>""</f>
        <v/>
      </c>
      <c r="H906" s="1">
        <v>42282</v>
      </c>
      <c r="I906" t="str">
        <f>"I0121941"</f>
        <v>I0121941</v>
      </c>
      <c r="J906" t="str">
        <f>"F220980"</f>
        <v>F220980</v>
      </c>
      <c r="K906" t="str">
        <f>"INEI"</f>
        <v>INEI</v>
      </c>
      <c r="L906" t="s">
        <v>2517</v>
      </c>
      <c r="M906" s="2">
        <v>1750.61</v>
      </c>
    </row>
    <row r="907" spans="1:13" x14ac:dyDescent="0.25">
      <c r="A907" t="str">
        <f>"E408"</f>
        <v>E408</v>
      </c>
      <c r="B907">
        <v>1</v>
      </c>
      <c r="C907" t="str">
        <f t="shared" si="258"/>
        <v>10200</v>
      </c>
      <c r="D907" t="str">
        <f t="shared" si="259"/>
        <v>5620</v>
      </c>
      <c r="E907" t="str">
        <f t="shared" si="260"/>
        <v>094OMS</v>
      </c>
      <c r="F907" t="str">
        <f>""</f>
        <v/>
      </c>
      <c r="G907" t="str">
        <f>""</f>
        <v/>
      </c>
      <c r="H907" s="1">
        <v>42411</v>
      </c>
      <c r="I907" t="str">
        <f>"I0125767"</f>
        <v>I0125767</v>
      </c>
      <c r="J907" t="str">
        <f>"F220980"</f>
        <v>F220980</v>
      </c>
      <c r="K907" t="str">
        <f>"INEI"</f>
        <v>INEI</v>
      </c>
      <c r="L907" t="s">
        <v>2517</v>
      </c>
      <c r="M907">
        <v>962.84</v>
      </c>
    </row>
    <row r="908" spans="1:13" x14ac:dyDescent="0.25">
      <c r="A908" t="str">
        <f>"E408"</f>
        <v>E408</v>
      </c>
      <c r="B908">
        <v>1</v>
      </c>
      <c r="C908" t="str">
        <f t="shared" si="258"/>
        <v>10200</v>
      </c>
      <c r="D908" t="str">
        <f t="shared" si="259"/>
        <v>5620</v>
      </c>
      <c r="E908" t="str">
        <f t="shared" si="260"/>
        <v>094OMS</v>
      </c>
      <c r="F908" t="str">
        <f>""</f>
        <v/>
      </c>
      <c r="G908" t="str">
        <f>""</f>
        <v/>
      </c>
      <c r="H908" s="1">
        <v>42411</v>
      </c>
      <c r="I908" t="str">
        <f>"I0125768"</f>
        <v>I0125768</v>
      </c>
      <c r="J908" t="str">
        <f>"F220980"</f>
        <v>F220980</v>
      </c>
      <c r="K908" t="str">
        <f>"INEI"</f>
        <v>INEI</v>
      </c>
      <c r="L908" t="s">
        <v>2517</v>
      </c>
      <c r="M908">
        <v>481.42</v>
      </c>
    </row>
    <row r="909" spans="1:13" x14ac:dyDescent="0.25">
      <c r="A909" t="str">
        <f>"E408"</f>
        <v>E408</v>
      </c>
      <c r="B909">
        <v>1</v>
      </c>
      <c r="C909" t="str">
        <f t="shared" si="258"/>
        <v>10200</v>
      </c>
      <c r="D909" t="str">
        <f t="shared" si="259"/>
        <v>5620</v>
      </c>
      <c r="E909" t="str">
        <f t="shared" si="260"/>
        <v>094OMS</v>
      </c>
      <c r="F909" t="str">
        <f>""</f>
        <v/>
      </c>
      <c r="G909" t="str">
        <f>""</f>
        <v/>
      </c>
      <c r="H909" s="1">
        <v>42541</v>
      </c>
      <c r="I909" t="str">
        <f>"EIS00284"</f>
        <v>EIS00284</v>
      </c>
      <c r="J909" t="str">
        <f>"PCD00780"</f>
        <v>PCD00780</v>
      </c>
      <c r="K909" t="str">
        <f>"AS79"</f>
        <v>AS79</v>
      </c>
      <c r="L909" t="s">
        <v>2836</v>
      </c>
      <c r="M909" s="2">
        <v>1195.7</v>
      </c>
    </row>
    <row r="910" spans="1:13" x14ac:dyDescent="0.25">
      <c r="A910" t="str">
        <f t="shared" ref="A910:A915" si="261">"E409"</f>
        <v>E409</v>
      </c>
      <c r="B910">
        <v>1</v>
      </c>
      <c r="C910" t="str">
        <f t="shared" si="258"/>
        <v>10200</v>
      </c>
      <c r="D910" t="str">
        <f t="shared" si="259"/>
        <v>5620</v>
      </c>
      <c r="E910" t="str">
        <f t="shared" si="260"/>
        <v>094OMS</v>
      </c>
      <c r="F910" t="str">
        <f>""</f>
        <v/>
      </c>
      <c r="G910" t="str">
        <f>""</f>
        <v/>
      </c>
      <c r="H910" s="1">
        <v>42500</v>
      </c>
      <c r="I910" t="str">
        <f>"I0129595"</f>
        <v>I0129595</v>
      </c>
      <c r="J910" t="str">
        <f t="shared" ref="J910:J915" si="262">"P1002727"</f>
        <v>P1002727</v>
      </c>
      <c r="K910" t="str">
        <f t="shared" ref="K910:K923" si="263">"INEI"</f>
        <v>INEI</v>
      </c>
      <c r="L910" t="s">
        <v>2835</v>
      </c>
      <c r="M910">
        <v>122.7</v>
      </c>
    </row>
    <row r="911" spans="1:13" x14ac:dyDescent="0.25">
      <c r="A911" t="str">
        <f t="shared" si="261"/>
        <v>E409</v>
      </c>
      <c r="B911">
        <v>1</v>
      </c>
      <c r="C911" t="str">
        <f t="shared" si="258"/>
        <v>10200</v>
      </c>
      <c r="D911" t="str">
        <f t="shared" si="259"/>
        <v>5620</v>
      </c>
      <c r="E911" t="str">
        <f t="shared" si="260"/>
        <v>094OMS</v>
      </c>
      <c r="F911" t="str">
        <f>""</f>
        <v/>
      </c>
      <c r="G911" t="str">
        <f>""</f>
        <v/>
      </c>
      <c r="H911" s="1">
        <v>42542</v>
      </c>
      <c r="I911" t="str">
        <f>"I0132827"</f>
        <v>I0132827</v>
      </c>
      <c r="J911" t="str">
        <f t="shared" si="262"/>
        <v>P1002727</v>
      </c>
      <c r="K911" t="str">
        <f t="shared" si="263"/>
        <v>INEI</v>
      </c>
      <c r="L911" t="s">
        <v>2835</v>
      </c>
      <c r="M911">
        <v>122.7</v>
      </c>
    </row>
    <row r="912" spans="1:13" x14ac:dyDescent="0.25">
      <c r="A912" t="str">
        <f t="shared" si="261"/>
        <v>E409</v>
      </c>
      <c r="B912">
        <v>1</v>
      </c>
      <c r="C912" t="str">
        <f t="shared" si="258"/>
        <v>10200</v>
      </c>
      <c r="D912" t="str">
        <f t="shared" si="259"/>
        <v>5620</v>
      </c>
      <c r="E912" t="str">
        <f t="shared" si="260"/>
        <v>094OMS</v>
      </c>
      <c r="F912" t="str">
        <f>""</f>
        <v/>
      </c>
      <c r="G912" t="str">
        <f>""</f>
        <v/>
      </c>
      <c r="H912" s="1">
        <v>42551</v>
      </c>
      <c r="I912" t="str">
        <f>"I0134518"</f>
        <v>I0134518</v>
      </c>
      <c r="J912" t="str">
        <f t="shared" si="262"/>
        <v>P1002727</v>
      </c>
      <c r="K912" t="str">
        <f t="shared" si="263"/>
        <v>INEI</v>
      </c>
      <c r="L912" t="s">
        <v>2835</v>
      </c>
      <c r="M912">
        <v>817.64</v>
      </c>
    </row>
    <row r="913" spans="1:13" x14ac:dyDescent="0.25">
      <c r="A913" t="str">
        <f t="shared" si="261"/>
        <v>E409</v>
      </c>
      <c r="B913">
        <v>1</v>
      </c>
      <c r="C913" t="str">
        <f t="shared" ref="C913:C924" si="264">"43000"</f>
        <v>43000</v>
      </c>
      <c r="D913" t="str">
        <f>"5740"</f>
        <v>5740</v>
      </c>
      <c r="E913" t="str">
        <f>"850LOS"</f>
        <v>850LOS</v>
      </c>
      <c r="F913" t="str">
        <f>""</f>
        <v/>
      </c>
      <c r="G913" t="str">
        <f>""</f>
        <v/>
      </c>
      <c r="H913" s="1">
        <v>42500</v>
      </c>
      <c r="I913" t="str">
        <f>"I0129595"</f>
        <v>I0129595</v>
      </c>
      <c r="J913" t="str">
        <f t="shared" si="262"/>
        <v>P1002727</v>
      </c>
      <c r="K913" t="str">
        <f t="shared" si="263"/>
        <v>INEI</v>
      </c>
      <c r="L913" t="s">
        <v>2835</v>
      </c>
      <c r="M913">
        <v>122.69</v>
      </c>
    </row>
    <row r="914" spans="1:13" x14ac:dyDescent="0.25">
      <c r="A914" t="str">
        <f t="shared" si="261"/>
        <v>E409</v>
      </c>
      <c r="B914">
        <v>1</v>
      </c>
      <c r="C914" t="str">
        <f t="shared" si="264"/>
        <v>43000</v>
      </c>
      <c r="D914" t="str">
        <f>"5740"</f>
        <v>5740</v>
      </c>
      <c r="E914" t="str">
        <f>"850LOS"</f>
        <v>850LOS</v>
      </c>
      <c r="F914" t="str">
        <f>""</f>
        <v/>
      </c>
      <c r="G914" t="str">
        <f>""</f>
        <v/>
      </c>
      <c r="H914" s="1">
        <v>42542</v>
      </c>
      <c r="I914" t="str">
        <f>"I0132827"</f>
        <v>I0132827</v>
      </c>
      <c r="J914" t="str">
        <f t="shared" si="262"/>
        <v>P1002727</v>
      </c>
      <c r="K914" t="str">
        <f t="shared" si="263"/>
        <v>INEI</v>
      </c>
      <c r="L914" t="s">
        <v>2835</v>
      </c>
      <c r="M914">
        <v>122.69</v>
      </c>
    </row>
    <row r="915" spans="1:13" x14ac:dyDescent="0.25">
      <c r="A915" t="str">
        <f t="shared" si="261"/>
        <v>E409</v>
      </c>
      <c r="B915">
        <v>1</v>
      </c>
      <c r="C915" t="str">
        <f t="shared" si="264"/>
        <v>43000</v>
      </c>
      <c r="D915" t="str">
        <f>"5740"</f>
        <v>5740</v>
      </c>
      <c r="E915" t="str">
        <f>"850LOS"</f>
        <v>850LOS</v>
      </c>
      <c r="F915" t="str">
        <f>""</f>
        <v/>
      </c>
      <c r="G915" t="str">
        <f>""</f>
        <v/>
      </c>
      <c r="H915" s="1">
        <v>42551</v>
      </c>
      <c r="I915" t="str">
        <f>"I0134518"</f>
        <v>I0134518</v>
      </c>
      <c r="J915" t="str">
        <f t="shared" si="262"/>
        <v>P1002727</v>
      </c>
      <c r="K915" t="str">
        <f t="shared" si="263"/>
        <v>INEI</v>
      </c>
      <c r="L915" t="s">
        <v>2835</v>
      </c>
      <c r="M915">
        <v>817.64</v>
      </c>
    </row>
    <row r="916" spans="1:13" x14ac:dyDescent="0.25">
      <c r="A916" t="str">
        <f t="shared" ref="A916:A932" si="265">"E412"</f>
        <v>E412</v>
      </c>
      <c r="B916">
        <v>1</v>
      </c>
      <c r="C916" t="str">
        <f t="shared" si="264"/>
        <v>43000</v>
      </c>
      <c r="D916" t="str">
        <f t="shared" ref="D916:D923" si="266">"5620"</f>
        <v>5620</v>
      </c>
      <c r="E916" t="str">
        <f t="shared" ref="E916:E932" si="267">"850PKE"</f>
        <v>850PKE</v>
      </c>
      <c r="F916" t="str">
        <f>""</f>
        <v/>
      </c>
      <c r="G916" t="str">
        <f>""</f>
        <v/>
      </c>
      <c r="H916" s="1">
        <v>42551</v>
      </c>
      <c r="I916" t="str">
        <f t="shared" ref="I916:I923" si="268">"I0134281"</f>
        <v>I0134281</v>
      </c>
      <c r="J916" t="str">
        <f t="shared" ref="J916:J923" si="269">"F229085"</f>
        <v>F229085</v>
      </c>
      <c r="K916" t="str">
        <f t="shared" si="263"/>
        <v>INEI</v>
      </c>
      <c r="L916" t="s">
        <v>229</v>
      </c>
      <c r="M916">
        <v>133.63999999999999</v>
      </c>
    </row>
    <row r="917" spans="1:13" x14ac:dyDescent="0.25">
      <c r="A917" t="str">
        <f t="shared" si="265"/>
        <v>E412</v>
      </c>
      <c r="B917">
        <v>1</v>
      </c>
      <c r="C917" t="str">
        <f t="shared" si="264"/>
        <v>43000</v>
      </c>
      <c r="D917" t="str">
        <f t="shared" si="266"/>
        <v>5620</v>
      </c>
      <c r="E917" t="str">
        <f t="shared" si="267"/>
        <v>850PKE</v>
      </c>
      <c r="F917" t="str">
        <f>""</f>
        <v/>
      </c>
      <c r="G917" t="str">
        <f>""</f>
        <v/>
      </c>
      <c r="H917" s="1">
        <v>42551</v>
      </c>
      <c r="I917" t="str">
        <f t="shared" si="268"/>
        <v>I0134281</v>
      </c>
      <c r="J917" t="str">
        <f t="shared" si="269"/>
        <v>F229085</v>
      </c>
      <c r="K917" t="str">
        <f t="shared" si="263"/>
        <v>INEI</v>
      </c>
      <c r="L917" t="s">
        <v>229</v>
      </c>
      <c r="M917" s="2">
        <v>7471.77</v>
      </c>
    </row>
    <row r="918" spans="1:13" x14ac:dyDescent="0.25">
      <c r="A918" t="str">
        <f t="shared" si="265"/>
        <v>E412</v>
      </c>
      <c r="B918">
        <v>1</v>
      </c>
      <c r="C918" t="str">
        <f t="shared" si="264"/>
        <v>43000</v>
      </c>
      <c r="D918" t="str">
        <f t="shared" si="266"/>
        <v>5620</v>
      </c>
      <c r="E918" t="str">
        <f t="shared" si="267"/>
        <v>850PKE</v>
      </c>
      <c r="F918" t="str">
        <f>""</f>
        <v/>
      </c>
      <c r="G918" t="str">
        <f>""</f>
        <v/>
      </c>
      <c r="H918" s="1">
        <v>42551</v>
      </c>
      <c r="I918" t="str">
        <f t="shared" si="268"/>
        <v>I0134281</v>
      </c>
      <c r="J918" t="str">
        <f t="shared" si="269"/>
        <v>F229085</v>
      </c>
      <c r="K918" t="str">
        <f t="shared" si="263"/>
        <v>INEI</v>
      </c>
      <c r="L918" t="s">
        <v>229</v>
      </c>
      <c r="M918">
        <v>317.10000000000002</v>
      </c>
    </row>
    <row r="919" spans="1:13" x14ac:dyDescent="0.25">
      <c r="A919" t="str">
        <f t="shared" si="265"/>
        <v>E412</v>
      </c>
      <c r="B919">
        <v>1</v>
      </c>
      <c r="C919" t="str">
        <f t="shared" si="264"/>
        <v>43000</v>
      </c>
      <c r="D919" t="str">
        <f t="shared" si="266"/>
        <v>5620</v>
      </c>
      <c r="E919" t="str">
        <f t="shared" si="267"/>
        <v>850PKE</v>
      </c>
      <c r="F919" t="str">
        <f>""</f>
        <v/>
      </c>
      <c r="G919" t="str">
        <f>""</f>
        <v/>
      </c>
      <c r="H919" s="1">
        <v>42551</v>
      </c>
      <c r="I919" t="str">
        <f t="shared" si="268"/>
        <v>I0134281</v>
      </c>
      <c r="J919" t="str">
        <f t="shared" si="269"/>
        <v>F229085</v>
      </c>
      <c r="K919" t="str">
        <f t="shared" si="263"/>
        <v>INEI</v>
      </c>
      <c r="L919" t="s">
        <v>229</v>
      </c>
      <c r="M919">
        <v>264.63</v>
      </c>
    </row>
    <row r="920" spans="1:13" x14ac:dyDescent="0.25">
      <c r="A920" t="str">
        <f t="shared" si="265"/>
        <v>E412</v>
      </c>
      <c r="B920">
        <v>1</v>
      </c>
      <c r="C920" t="str">
        <f t="shared" si="264"/>
        <v>43000</v>
      </c>
      <c r="D920" t="str">
        <f t="shared" si="266"/>
        <v>5620</v>
      </c>
      <c r="E920" t="str">
        <f t="shared" si="267"/>
        <v>850PKE</v>
      </c>
      <c r="F920" t="str">
        <f>""</f>
        <v/>
      </c>
      <c r="G920" t="str">
        <f>""</f>
        <v/>
      </c>
      <c r="H920" s="1">
        <v>42551</v>
      </c>
      <c r="I920" t="str">
        <f t="shared" si="268"/>
        <v>I0134281</v>
      </c>
      <c r="J920" t="str">
        <f t="shared" si="269"/>
        <v>F229085</v>
      </c>
      <c r="K920" t="str">
        <f t="shared" si="263"/>
        <v>INEI</v>
      </c>
      <c r="L920" t="s">
        <v>229</v>
      </c>
      <c r="M920">
        <v>255.66</v>
      </c>
    </row>
    <row r="921" spans="1:13" x14ac:dyDescent="0.25">
      <c r="A921" t="str">
        <f t="shared" si="265"/>
        <v>E412</v>
      </c>
      <c r="B921">
        <v>1</v>
      </c>
      <c r="C921" t="str">
        <f t="shared" si="264"/>
        <v>43000</v>
      </c>
      <c r="D921" t="str">
        <f t="shared" si="266"/>
        <v>5620</v>
      </c>
      <c r="E921" t="str">
        <f t="shared" si="267"/>
        <v>850PKE</v>
      </c>
      <c r="F921" t="str">
        <f>""</f>
        <v/>
      </c>
      <c r="G921" t="str">
        <f>""</f>
        <v/>
      </c>
      <c r="H921" s="1">
        <v>42551</v>
      </c>
      <c r="I921" t="str">
        <f t="shared" si="268"/>
        <v>I0134281</v>
      </c>
      <c r="J921" t="str">
        <f t="shared" si="269"/>
        <v>F229085</v>
      </c>
      <c r="K921" t="str">
        <f t="shared" si="263"/>
        <v>INEI</v>
      </c>
      <c r="L921" t="s">
        <v>229</v>
      </c>
      <c r="M921">
        <v>158.47999999999999</v>
      </c>
    </row>
    <row r="922" spans="1:13" x14ac:dyDescent="0.25">
      <c r="A922" t="str">
        <f t="shared" si="265"/>
        <v>E412</v>
      </c>
      <c r="B922">
        <v>1</v>
      </c>
      <c r="C922" t="str">
        <f t="shared" si="264"/>
        <v>43000</v>
      </c>
      <c r="D922" t="str">
        <f t="shared" si="266"/>
        <v>5620</v>
      </c>
      <c r="E922" t="str">
        <f t="shared" si="267"/>
        <v>850PKE</v>
      </c>
      <c r="F922" t="str">
        <f>""</f>
        <v/>
      </c>
      <c r="G922" t="str">
        <f>""</f>
        <v/>
      </c>
      <c r="H922" s="1">
        <v>42551</v>
      </c>
      <c r="I922" t="str">
        <f t="shared" si="268"/>
        <v>I0134281</v>
      </c>
      <c r="J922" t="str">
        <f t="shared" si="269"/>
        <v>F229085</v>
      </c>
      <c r="K922" t="str">
        <f t="shared" si="263"/>
        <v>INEI</v>
      </c>
      <c r="L922" t="s">
        <v>229</v>
      </c>
      <c r="M922" s="2">
        <v>1832.68</v>
      </c>
    </row>
    <row r="923" spans="1:13" x14ac:dyDescent="0.25">
      <c r="A923" t="str">
        <f t="shared" si="265"/>
        <v>E412</v>
      </c>
      <c r="B923">
        <v>1</v>
      </c>
      <c r="C923" t="str">
        <f t="shared" si="264"/>
        <v>43000</v>
      </c>
      <c r="D923" t="str">
        <f t="shared" si="266"/>
        <v>5620</v>
      </c>
      <c r="E923" t="str">
        <f t="shared" si="267"/>
        <v>850PKE</v>
      </c>
      <c r="F923" t="str">
        <f>""</f>
        <v/>
      </c>
      <c r="G923" t="str">
        <f>""</f>
        <v/>
      </c>
      <c r="H923" s="1">
        <v>42551</v>
      </c>
      <c r="I923" t="str">
        <f t="shared" si="268"/>
        <v>I0134281</v>
      </c>
      <c r="J923" t="str">
        <f t="shared" si="269"/>
        <v>F229085</v>
      </c>
      <c r="K923" t="str">
        <f t="shared" si="263"/>
        <v>INEI</v>
      </c>
      <c r="L923" t="s">
        <v>229</v>
      </c>
      <c r="M923">
        <v>527.70000000000005</v>
      </c>
    </row>
    <row r="924" spans="1:13" x14ac:dyDescent="0.25">
      <c r="A924" t="str">
        <f t="shared" si="265"/>
        <v>E412</v>
      </c>
      <c r="B924">
        <v>1</v>
      </c>
      <c r="C924" t="str">
        <f t="shared" si="264"/>
        <v>43000</v>
      </c>
      <c r="D924" t="str">
        <f t="shared" ref="D924:D932" si="270">"5740"</f>
        <v>5740</v>
      </c>
      <c r="E924" t="str">
        <f t="shared" si="267"/>
        <v>850PKE</v>
      </c>
      <c r="F924" t="str">
        <f>""</f>
        <v/>
      </c>
      <c r="G924" t="str">
        <f>""</f>
        <v/>
      </c>
      <c r="H924" s="1">
        <v>42551</v>
      </c>
      <c r="I924" t="str">
        <f>"J0022960"</f>
        <v>J0022960</v>
      </c>
      <c r="J924" t="str">
        <f>""</f>
        <v/>
      </c>
      <c r="K924" t="str">
        <f>"J079"</f>
        <v>J079</v>
      </c>
      <c r="L924" t="s">
        <v>2822</v>
      </c>
      <c r="M924" s="2">
        <v>11217.89</v>
      </c>
    </row>
    <row r="925" spans="1:13" x14ac:dyDescent="0.25">
      <c r="A925" t="str">
        <f t="shared" si="265"/>
        <v>E412</v>
      </c>
      <c r="B925">
        <v>1</v>
      </c>
      <c r="C925" t="str">
        <f t="shared" ref="C925:C932" si="271">"43007"</f>
        <v>43007</v>
      </c>
      <c r="D925" t="str">
        <f t="shared" si="270"/>
        <v>5740</v>
      </c>
      <c r="E925" t="str">
        <f t="shared" si="267"/>
        <v>850PKE</v>
      </c>
      <c r="F925" t="str">
        <f>""</f>
        <v/>
      </c>
      <c r="G925" t="str">
        <f>""</f>
        <v/>
      </c>
      <c r="H925" s="1">
        <v>42551</v>
      </c>
      <c r="I925" t="str">
        <f t="shared" ref="I925:I932" si="272">"PRK00138"</f>
        <v>PRK00138</v>
      </c>
      <c r="J925" t="str">
        <f>""</f>
        <v/>
      </c>
      <c r="K925" t="str">
        <f t="shared" ref="K925:K932" si="273">"AS89"</f>
        <v>AS89</v>
      </c>
      <c r="L925" t="s">
        <v>2834</v>
      </c>
      <c r="M925">
        <v>255.66</v>
      </c>
    </row>
    <row r="926" spans="1:13" x14ac:dyDescent="0.25">
      <c r="A926" t="str">
        <f t="shared" si="265"/>
        <v>E412</v>
      </c>
      <c r="B926">
        <v>1</v>
      </c>
      <c r="C926" t="str">
        <f t="shared" si="271"/>
        <v>43007</v>
      </c>
      <c r="D926" t="str">
        <f t="shared" si="270"/>
        <v>5740</v>
      </c>
      <c r="E926" t="str">
        <f t="shared" si="267"/>
        <v>850PKE</v>
      </c>
      <c r="F926" t="str">
        <f>""</f>
        <v/>
      </c>
      <c r="G926" t="str">
        <f>""</f>
        <v/>
      </c>
      <c r="H926" s="1">
        <v>42551</v>
      </c>
      <c r="I926" t="str">
        <f t="shared" si="272"/>
        <v>PRK00138</v>
      </c>
      <c r="J926" t="str">
        <f>""</f>
        <v/>
      </c>
      <c r="K926" t="str">
        <f t="shared" si="273"/>
        <v>AS89</v>
      </c>
      <c r="L926" t="s">
        <v>2833</v>
      </c>
      <c r="M926">
        <v>264.63</v>
      </c>
    </row>
    <row r="927" spans="1:13" x14ac:dyDescent="0.25">
      <c r="A927" t="str">
        <f t="shared" si="265"/>
        <v>E412</v>
      </c>
      <c r="B927">
        <v>1</v>
      </c>
      <c r="C927" t="str">
        <f t="shared" si="271"/>
        <v>43007</v>
      </c>
      <c r="D927" t="str">
        <f t="shared" si="270"/>
        <v>5740</v>
      </c>
      <c r="E927" t="str">
        <f t="shared" si="267"/>
        <v>850PKE</v>
      </c>
      <c r="F927" t="str">
        <f>""</f>
        <v/>
      </c>
      <c r="G927" t="str">
        <f>""</f>
        <v/>
      </c>
      <c r="H927" s="1">
        <v>42551</v>
      </c>
      <c r="I927" t="str">
        <f t="shared" si="272"/>
        <v>PRK00138</v>
      </c>
      <c r="J927" t="str">
        <f>""</f>
        <v/>
      </c>
      <c r="K927" t="str">
        <f t="shared" si="273"/>
        <v>AS89</v>
      </c>
      <c r="L927" t="s">
        <v>2832</v>
      </c>
      <c r="M927">
        <v>158.47999999999999</v>
      </c>
    </row>
    <row r="928" spans="1:13" x14ac:dyDescent="0.25">
      <c r="A928" t="str">
        <f t="shared" si="265"/>
        <v>E412</v>
      </c>
      <c r="B928">
        <v>1</v>
      </c>
      <c r="C928" t="str">
        <f t="shared" si="271"/>
        <v>43007</v>
      </c>
      <c r="D928" t="str">
        <f t="shared" si="270"/>
        <v>5740</v>
      </c>
      <c r="E928" t="str">
        <f t="shared" si="267"/>
        <v>850PKE</v>
      </c>
      <c r="F928" t="str">
        <f>""</f>
        <v/>
      </c>
      <c r="G928" t="str">
        <f>""</f>
        <v/>
      </c>
      <c r="H928" s="1">
        <v>42551</v>
      </c>
      <c r="I928" t="str">
        <f t="shared" si="272"/>
        <v>PRK00138</v>
      </c>
      <c r="J928" t="str">
        <f>""</f>
        <v/>
      </c>
      <c r="K928" t="str">
        <f t="shared" si="273"/>
        <v>AS89</v>
      </c>
      <c r="L928" t="s">
        <v>2831</v>
      </c>
      <c r="M928">
        <v>133.63999999999999</v>
      </c>
    </row>
    <row r="929" spans="1:13" x14ac:dyDescent="0.25">
      <c r="A929" t="str">
        <f t="shared" si="265"/>
        <v>E412</v>
      </c>
      <c r="B929">
        <v>1</v>
      </c>
      <c r="C929" t="str">
        <f t="shared" si="271"/>
        <v>43007</v>
      </c>
      <c r="D929" t="str">
        <f t="shared" si="270"/>
        <v>5740</v>
      </c>
      <c r="E929" t="str">
        <f t="shared" si="267"/>
        <v>850PKE</v>
      </c>
      <c r="F929" t="str">
        <f>""</f>
        <v/>
      </c>
      <c r="G929" t="str">
        <f>""</f>
        <v/>
      </c>
      <c r="H929" s="1">
        <v>42551</v>
      </c>
      <c r="I929" t="str">
        <f t="shared" si="272"/>
        <v>PRK00138</v>
      </c>
      <c r="J929" t="str">
        <f>""</f>
        <v/>
      </c>
      <c r="K929" t="str">
        <f t="shared" si="273"/>
        <v>AS89</v>
      </c>
      <c r="L929" t="s">
        <v>2830</v>
      </c>
      <c r="M929" s="2">
        <v>7471.77</v>
      </c>
    </row>
    <row r="930" spans="1:13" x14ac:dyDescent="0.25">
      <c r="A930" t="str">
        <f t="shared" si="265"/>
        <v>E412</v>
      </c>
      <c r="B930">
        <v>1</v>
      </c>
      <c r="C930" t="str">
        <f t="shared" si="271"/>
        <v>43007</v>
      </c>
      <c r="D930" t="str">
        <f t="shared" si="270"/>
        <v>5740</v>
      </c>
      <c r="E930" t="str">
        <f t="shared" si="267"/>
        <v>850PKE</v>
      </c>
      <c r="F930" t="str">
        <f>""</f>
        <v/>
      </c>
      <c r="G930" t="str">
        <f>""</f>
        <v/>
      </c>
      <c r="H930" s="1">
        <v>42551</v>
      </c>
      <c r="I930" t="str">
        <f t="shared" si="272"/>
        <v>PRK00138</v>
      </c>
      <c r="J930" t="str">
        <f>""</f>
        <v/>
      </c>
      <c r="K930" t="str">
        <f t="shared" si="273"/>
        <v>AS89</v>
      </c>
      <c r="L930" t="s">
        <v>2829</v>
      </c>
      <c r="M930" s="2">
        <v>1832.68</v>
      </c>
    </row>
    <row r="931" spans="1:13" x14ac:dyDescent="0.25">
      <c r="A931" t="str">
        <f t="shared" si="265"/>
        <v>E412</v>
      </c>
      <c r="B931">
        <v>1</v>
      </c>
      <c r="C931" t="str">
        <f t="shared" si="271"/>
        <v>43007</v>
      </c>
      <c r="D931" t="str">
        <f t="shared" si="270"/>
        <v>5740</v>
      </c>
      <c r="E931" t="str">
        <f t="shared" si="267"/>
        <v>850PKE</v>
      </c>
      <c r="F931" t="str">
        <f>""</f>
        <v/>
      </c>
      <c r="G931" t="str">
        <f>""</f>
        <v/>
      </c>
      <c r="H931" s="1">
        <v>42551</v>
      </c>
      <c r="I931" t="str">
        <f t="shared" si="272"/>
        <v>PRK00138</v>
      </c>
      <c r="J931" t="str">
        <f>""</f>
        <v/>
      </c>
      <c r="K931" t="str">
        <f t="shared" si="273"/>
        <v>AS89</v>
      </c>
      <c r="L931" t="s">
        <v>2828</v>
      </c>
      <c r="M931">
        <v>527.70000000000005</v>
      </c>
    </row>
    <row r="932" spans="1:13" x14ac:dyDescent="0.25">
      <c r="A932" t="str">
        <f t="shared" si="265"/>
        <v>E412</v>
      </c>
      <c r="B932">
        <v>1</v>
      </c>
      <c r="C932" t="str">
        <f t="shared" si="271"/>
        <v>43007</v>
      </c>
      <c r="D932" t="str">
        <f t="shared" si="270"/>
        <v>5740</v>
      </c>
      <c r="E932" t="str">
        <f t="shared" si="267"/>
        <v>850PKE</v>
      </c>
      <c r="F932" t="str">
        <f>""</f>
        <v/>
      </c>
      <c r="G932" t="str">
        <f>""</f>
        <v/>
      </c>
      <c r="H932" s="1">
        <v>42551</v>
      </c>
      <c r="I932" t="str">
        <f t="shared" si="272"/>
        <v>PRK00138</v>
      </c>
      <c r="J932" t="str">
        <f>""</f>
        <v/>
      </c>
      <c r="K932" t="str">
        <f t="shared" si="273"/>
        <v>AS89</v>
      </c>
      <c r="L932" t="s">
        <v>2827</v>
      </c>
      <c r="M932">
        <v>317.10000000000002</v>
      </c>
    </row>
    <row r="933" spans="1:13" x14ac:dyDescent="0.25">
      <c r="A933" t="str">
        <f t="shared" ref="A933:A964" si="274">"E414"</f>
        <v>E414</v>
      </c>
      <c r="B933">
        <v>1</v>
      </c>
      <c r="C933" t="str">
        <f>"10200"</f>
        <v>10200</v>
      </c>
      <c r="D933" t="str">
        <f t="shared" ref="D933:D943" si="275">"5620"</f>
        <v>5620</v>
      </c>
      <c r="E933" t="str">
        <f>"094OMS"</f>
        <v>094OMS</v>
      </c>
      <c r="F933" t="str">
        <f>""</f>
        <v/>
      </c>
      <c r="G933" t="str">
        <f>""</f>
        <v/>
      </c>
      <c r="H933" s="1">
        <v>42551</v>
      </c>
      <c r="I933" t="str">
        <f>"J0023239"</f>
        <v>J0023239</v>
      </c>
      <c r="J933" t="str">
        <f>""</f>
        <v/>
      </c>
      <c r="K933" t="str">
        <f>"J089"</f>
        <v>J089</v>
      </c>
      <c r="L933" t="s">
        <v>2807</v>
      </c>
      <c r="M933" s="2">
        <v>12825</v>
      </c>
    </row>
    <row r="934" spans="1:13" x14ac:dyDescent="0.25">
      <c r="A934" t="str">
        <f t="shared" si="274"/>
        <v>E414</v>
      </c>
      <c r="B934">
        <v>1</v>
      </c>
      <c r="C934" t="str">
        <f>"23275"</f>
        <v>23275</v>
      </c>
      <c r="D934" t="str">
        <f t="shared" si="275"/>
        <v>5620</v>
      </c>
      <c r="E934" t="str">
        <f>"063STF"</f>
        <v>063STF</v>
      </c>
      <c r="F934" t="str">
        <f>""</f>
        <v/>
      </c>
      <c r="G934" t="str">
        <f>""</f>
        <v/>
      </c>
      <c r="H934" s="1">
        <v>42529</v>
      </c>
      <c r="I934" t="str">
        <f>"I0131371"</f>
        <v>I0131371</v>
      </c>
      <c r="J934" t="str">
        <f>"F193460"</f>
        <v>F193460</v>
      </c>
      <c r="K934" t="str">
        <f>"INEI"</f>
        <v>INEI</v>
      </c>
      <c r="L934" t="s">
        <v>2826</v>
      </c>
      <c r="M934" s="2">
        <v>31567.5</v>
      </c>
    </row>
    <row r="935" spans="1:13" x14ac:dyDescent="0.25">
      <c r="A935" t="str">
        <f t="shared" si="274"/>
        <v>E414</v>
      </c>
      <c r="B935">
        <v>1</v>
      </c>
      <c r="C935" t="str">
        <f>"23275"</f>
        <v>23275</v>
      </c>
      <c r="D935" t="str">
        <f t="shared" si="275"/>
        <v>5620</v>
      </c>
      <c r="E935" t="str">
        <f>"063STF"</f>
        <v>063STF</v>
      </c>
      <c r="F935" t="str">
        <f>""</f>
        <v/>
      </c>
      <c r="G935" t="str">
        <f>""</f>
        <v/>
      </c>
      <c r="H935" s="1">
        <v>42529</v>
      </c>
      <c r="I935" t="str">
        <f>"I0131371"</f>
        <v>I0131371</v>
      </c>
      <c r="J935" t="str">
        <f>"F193460"</f>
        <v>F193460</v>
      </c>
      <c r="K935" t="str">
        <f>"INEI"</f>
        <v>INEI</v>
      </c>
      <c r="L935" t="s">
        <v>2826</v>
      </c>
      <c r="M935">
        <v>150</v>
      </c>
    </row>
    <row r="936" spans="1:13" x14ac:dyDescent="0.25">
      <c r="A936" t="str">
        <f t="shared" si="274"/>
        <v>E414</v>
      </c>
      <c r="B936">
        <v>1</v>
      </c>
      <c r="C936" t="str">
        <f t="shared" ref="C936:C948" si="276">"43000"</f>
        <v>43000</v>
      </c>
      <c r="D936" t="str">
        <f t="shared" si="275"/>
        <v>5620</v>
      </c>
      <c r="E936" t="str">
        <f>"850PAY"</f>
        <v>850PAY</v>
      </c>
      <c r="F936" t="str">
        <f>""</f>
        <v/>
      </c>
      <c r="G936" t="str">
        <f>""</f>
        <v/>
      </c>
      <c r="H936" s="1">
        <v>42417</v>
      </c>
      <c r="I936" t="str">
        <f>"I0125889"</f>
        <v>I0125889</v>
      </c>
      <c r="J936" t="str">
        <f>"F227763"</f>
        <v>F227763</v>
      </c>
      <c r="K936" t="str">
        <f>"INEI"</f>
        <v>INEI</v>
      </c>
      <c r="L936" t="s">
        <v>2596</v>
      </c>
      <c r="M936" s="2">
        <v>48548.92</v>
      </c>
    </row>
    <row r="937" spans="1:13" x14ac:dyDescent="0.25">
      <c r="A937" t="str">
        <f t="shared" si="274"/>
        <v>E414</v>
      </c>
      <c r="B937">
        <v>1</v>
      </c>
      <c r="C937" t="str">
        <f t="shared" si="276"/>
        <v>43000</v>
      </c>
      <c r="D937" t="str">
        <f t="shared" si="275"/>
        <v>5620</v>
      </c>
      <c r="E937" t="str">
        <f>"850PAY"</f>
        <v>850PAY</v>
      </c>
      <c r="F937" t="str">
        <f>""</f>
        <v/>
      </c>
      <c r="G937" t="str">
        <f>""</f>
        <v/>
      </c>
      <c r="H937" s="1">
        <v>42417</v>
      </c>
      <c r="I937" t="str">
        <f>"I0125889"</f>
        <v>I0125889</v>
      </c>
      <c r="J937" t="str">
        <f>"F227763"</f>
        <v>F227763</v>
      </c>
      <c r="K937" t="str">
        <f>"INEI"</f>
        <v>INEI</v>
      </c>
      <c r="L937" t="s">
        <v>2596</v>
      </c>
      <c r="M937" s="2">
        <v>18238.77</v>
      </c>
    </row>
    <row r="938" spans="1:13" x14ac:dyDescent="0.25">
      <c r="A938" t="str">
        <f t="shared" si="274"/>
        <v>E414</v>
      </c>
      <c r="B938">
        <v>1</v>
      </c>
      <c r="C938" t="str">
        <f t="shared" si="276"/>
        <v>43000</v>
      </c>
      <c r="D938" t="str">
        <f t="shared" si="275"/>
        <v>5620</v>
      </c>
      <c r="E938" t="str">
        <f>"850PAY"</f>
        <v>850PAY</v>
      </c>
      <c r="F938" t="str">
        <f>""</f>
        <v/>
      </c>
      <c r="G938" t="str">
        <f>""</f>
        <v/>
      </c>
      <c r="H938" s="1">
        <v>42439</v>
      </c>
      <c r="I938" t="str">
        <f>"EIS00281"</f>
        <v>EIS00281</v>
      </c>
      <c r="J938" t="str">
        <f>"I0125889"</f>
        <v>I0125889</v>
      </c>
      <c r="K938" t="str">
        <f>"AS79"</f>
        <v>AS79</v>
      </c>
      <c r="L938" t="s">
        <v>2823</v>
      </c>
      <c r="M938" s="2">
        <v>5532.83</v>
      </c>
    </row>
    <row r="939" spans="1:13" x14ac:dyDescent="0.25">
      <c r="A939" t="str">
        <f t="shared" si="274"/>
        <v>E414</v>
      </c>
      <c r="B939">
        <v>1</v>
      </c>
      <c r="C939" t="str">
        <f t="shared" si="276"/>
        <v>43000</v>
      </c>
      <c r="D939" t="str">
        <f t="shared" si="275"/>
        <v>5620</v>
      </c>
      <c r="E939" t="str">
        <f>"850PKE"</f>
        <v>850PKE</v>
      </c>
      <c r="F939" t="str">
        <f>""</f>
        <v/>
      </c>
      <c r="G939" t="str">
        <f>""</f>
        <v/>
      </c>
      <c r="H939" s="1">
        <v>42551</v>
      </c>
      <c r="I939" t="str">
        <f>"EIS00286"</f>
        <v>EIS00286</v>
      </c>
      <c r="J939" t="str">
        <f>"I0134280"</f>
        <v>I0134280</v>
      </c>
      <c r="K939" t="str">
        <f>"AS79"</f>
        <v>AS79</v>
      </c>
      <c r="L939" t="s">
        <v>2825</v>
      </c>
      <c r="M939" s="2">
        <v>25039.05</v>
      </c>
    </row>
    <row r="940" spans="1:13" x14ac:dyDescent="0.25">
      <c r="A940" t="str">
        <f t="shared" si="274"/>
        <v>E414</v>
      </c>
      <c r="B940">
        <v>1</v>
      </c>
      <c r="C940" t="str">
        <f t="shared" si="276"/>
        <v>43000</v>
      </c>
      <c r="D940" t="str">
        <f t="shared" si="275"/>
        <v>5620</v>
      </c>
      <c r="E940" t="str">
        <f>"850PKE"</f>
        <v>850PKE</v>
      </c>
      <c r="F940" t="str">
        <f>""</f>
        <v/>
      </c>
      <c r="G940" t="str">
        <f>""</f>
        <v/>
      </c>
      <c r="H940" s="1">
        <v>42551</v>
      </c>
      <c r="I940" t="str">
        <f>"EIS00286"</f>
        <v>EIS00286</v>
      </c>
      <c r="J940" t="str">
        <f>"I0134280"</f>
        <v>I0134280</v>
      </c>
      <c r="K940" t="str">
        <f>"AS79"</f>
        <v>AS79</v>
      </c>
      <c r="L940" t="s">
        <v>2824</v>
      </c>
      <c r="M940" s="2">
        <v>9239.5</v>
      </c>
    </row>
    <row r="941" spans="1:13" x14ac:dyDescent="0.25">
      <c r="A941" t="str">
        <f t="shared" si="274"/>
        <v>E414</v>
      </c>
      <c r="B941">
        <v>1</v>
      </c>
      <c r="C941" t="str">
        <f t="shared" si="276"/>
        <v>43000</v>
      </c>
      <c r="D941" t="str">
        <f t="shared" si="275"/>
        <v>5620</v>
      </c>
      <c r="E941" t="str">
        <f>"850PKE"</f>
        <v>850PKE</v>
      </c>
      <c r="F941" t="str">
        <f>""</f>
        <v/>
      </c>
      <c r="G941" t="str">
        <f>""</f>
        <v/>
      </c>
      <c r="H941" s="1">
        <v>42551</v>
      </c>
      <c r="I941" t="str">
        <f>"I0134280"</f>
        <v>I0134280</v>
      </c>
      <c r="J941" t="str">
        <f>"N227766B"</f>
        <v>N227766B</v>
      </c>
      <c r="K941" t="str">
        <f>"INEI"</f>
        <v>INEI</v>
      </c>
      <c r="L941" t="s">
        <v>229</v>
      </c>
      <c r="M941" s="2">
        <v>60926.35</v>
      </c>
    </row>
    <row r="942" spans="1:13" x14ac:dyDescent="0.25">
      <c r="A942" t="str">
        <f t="shared" si="274"/>
        <v>E414</v>
      </c>
      <c r="B942">
        <v>1</v>
      </c>
      <c r="C942" t="str">
        <f t="shared" si="276"/>
        <v>43000</v>
      </c>
      <c r="D942" t="str">
        <f t="shared" si="275"/>
        <v>5620</v>
      </c>
      <c r="E942" t="str">
        <f>"850PKE"</f>
        <v>850PKE</v>
      </c>
      <c r="F942" t="str">
        <f>""</f>
        <v/>
      </c>
      <c r="G942" t="str">
        <f>""</f>
        <v/>
      </c>
      <c r="H942" s="1">
        <v>42551</v>
      </c>
      <c r="I942" t="str">
        <f>"I0134280"</f>
        <v>I0134280</v>
      </c>
      <c r="J942" t="str">
        <f>"N227766B"</f>
        <v>N227766B</v>
      </c>
      <c r="K942" t="str">
        <f>"INEI"</f>
        <v>INEI</v>
      </c>
      <c r="L942" t="s">
        <v>229</v>
      </c>
      <c r="M942">
        <v>956.56</v>
      </c>
    </row>
    <row r="943" spans="1:13" x14ac:dyDescent="0.25">
      <c r="A943" t="str">
        <f t="shared" si="274"/>
        <v>E414</v>
      </c>
      <c r="B943">
        <v>1</v>
      </c>
      <c r="C943" t="str">
        <f t="shared" si="276"/>
        <v>43000</v>
      </c>
      <c r="D943" t="str">
        <f t="shared" si="275"/>
        <v>5620</v>
      </c>
      <c r="E943" t="str">
        <f>"850PKE"</f>
        <v>850PKE</v>
      </c>
      <c r="F943" t="str">
        <f>""</f>
        <v/>
      </c>
      <c r="G943" t="str">
        <f>""</f>
        <v/>
      </c>
      <c r="H943" s="1">
        <v>42551</v>
      </c>
      <c r="I943" t="str">
        <f>"I0134285"</f>
        <v>I0134285</v>
      </c>
      <c r="J943" t="str">
        <f>"N227766B"</f>
        <v>N227766B</v>
      </c>
      <c r="K943" t="str">
        <f>"INEI"</f>
        <v>INEI</v>
      </c>
      <c r="L943" t="s">
        <v>229</v>
      </c>
      <c r="M943">
        <v>241.69</v>
      </c>
    </row>
    <row r="944" spans="1:13" x14ac:dyDescent="0.25">
      <c r="A944" t="str">
        <f t="shared" si="274"/>
        <v>E414</v>
      </c>
      <c r="B944">
        <v>1</v>
      </c>
      <c r="C944" t="str">
        <f t="shared" si="276"/>
        <v>43000</v>
      </c>
      <c r="D944" t="str">
        <f t="shared" ref="D944:D990" si="277">"5740"</f>
        <v>5740</v>
      </c>
      <c r="E944" t="str">
        <f>"850PAY"</f>
        <v>850PAY</v>
      </c>
      <c r="F944" t="str">
        <f>""</f>
        <v/>
      </c>
      <c r="G944" t="str">
        <f>""</f>
        <v/>
      </c>
      <c r="H944" s="1">
        <v>42535</v>
      </c>
      <c r="I944" t="str">
        <f>"ACG02686"</f>
        <v>ACG02686</v>
      </c>
      <c r="J944" t="str">
        <f>"F227763"</f>
        <v>F227763</v>
      </c>
      <c r="K944" t="str">
        <f>"AS96"</f>
        <v>AS96</v>
      </c>
      <c r="L944" t="s">
        <v>2596</v>
      </c>
      <c r="M944" s="2">
        <v>48548.92</v>
      </c>
    </row>
    <row r="945" spans="1:13" x14ac:dyDescent="0.25">
      <c r="A945" t="str">
        <f t="shared" si="274"/>
        <v>E414</v>
      </c>
      <c r="B945">
        <v>1</v>
      </c>
      <c r="C945" t="str">
        <f t="shared" si="276"/>
        <v>43000</v>
      </c>
      <c r="D945" t="str">
        <f t="shared" si="277"/>
        <v>5740</v>
      </c>
      <c r="E945" t="str">
        <f>"850PAY"</f>
        <v>850PAY</v>
      </c>
      <c r="F945" t="str">
        <f>""</f>
        <v/>
      </c>
      <c r="G945" t="str">
        <f>""</f>
        <v/>
      </c>
      <c r="H945" s="1">
        <v>42535</v>
      </c>
      <c r="I945" t="str">
        <f>"ACG02686"</f>
        <v>ACG02686</v>
      </c>
      <c r="J945" t="str">
        <f>"F227763"</f>
        <v>F227763</v>
      </c>
      <c r="K945" t="str">
        <f>"AS96"</f>
        <v>AS96</v>
      </c>
      <c r="L945" t="s">
        <v>2596</v>
      </c>
      <c r="M945" s="2">
        <v>18238.77</v>
      </c>
    </row>
    <row r="946" spans="1:13" x14ac:dyDescent="0.25">
      <c r="A946" t="str">
        <f t="shared" si="274"/>
        <v>E414</v>
      </c>
      <c r="B946">
        <v>1</v>
      </c>
      <c r="C946" t="str">
        <f t="shared" si="276"/>
        <v>43000</v>
      </c>
      <c r="D946" t="str">
        <f t="shared" si="277"/>
        <v>5740</v>
      </c>
      <c r="E946" t="str">
        <f>"850PAY"</f>
        <v>850PAY</v>
      </c>
      <c r="F946" t="str">
        <f>""</f>
        <v/>
      </c>
      <c r="G946" t="str">
        <f>""</f>
        <v/>
      </c>
      <c r="H946" s="1">
        <v>42535</v>
      </c>
      <c r="I946" t="str">
        <f>"ACG02686"</f>
        <v>ACG02686</v>
      </c>
      <c r="J946" t="str">
        <f>"I0125889"</f>
        <v>I0125889</v>
      </c>
      <c r="K946" t="str">
        <f>"AS96"</f>
        <v>AS96</v>
      </c>
      <c r="L946" t="s">
        <v>2823</v>
      </c>
      <c r="M946" s="2">
        <v>5532.83</v>
      </c>
    </row>
    <row r="947" spans="1:13" x14ac:dyDescent="0.25">
      <c r="A947" t="str">
        <f t="shared" si="274"/>
        <v>E414</v>
      </c>
      <c r="B947">
        <v>1</v>
      </c>
      <c r="C947" t="str">
        <f t="shared" si="276"/>
        <v>43000</v>
      </c>
      <c r="D947" t="str">
        <f t="shared" si="277"/>
        <v>5740</v>
      </c>
      <c r="E947" t="str">
        <f>"850PKE"</f>
        <v>850PKE</v>
      </c>
      <c r="F947" t="str">
        <f>""</f>
        <v/>
      </c>
      <c r="G947" t="str">
        <f>""</f>
        <v/>
      </c>
      <c r="H947" s="1">
        <v>42551</v>
      </c>
      <c r="I947" t="str">
        <f>"J0022960"</f>
        <v>J0022960</v>
      </c>
      <c r="J947" t="str">
        <f>""</f>
        <v/>
      </c>
      <c r="K947" t="str">
        <f>"J079"</f>
        <v>J079</v>
      </c>
      <c r="L947" t="s">
        <v>2822</v>
      </c>
      <c r="M947" s="2">
        <v>62189.82</v>
      </c>
    </row>
    <row r="948" spans="1:13" x14ac:dyDescent="0.25">
      <c r="A948" t="str">
        <f t="shared" si="274"/>
        <v>E414</v>
      </c>
      <c r="B948">
        <v>1</v>
      </c>
      <c r="C948" t="str">
        <f t="shared" si="276"/>
        <v>43000</v>
      </c>
      <c r="D948" t="str">
        <f t="shared" si="277"/>
        <v>5740</v>
      </c>
      <c r="E948" t="str">
        <f>"850PKE"</f>
        <v>850PKE</v>
      </c>
      <c r="F948" t="str">
        <f>""</f>
        <v/>
      </c>
      <c r="G948" t="str">
        <f>""</f>
        <v/>
      </c>
      <c r="H948" s="1">
        <v>42551</v>
      </c>
      <c r="I948" t="str">
        <f>"J0023344"</f>
        <v>J0023344</v>
      </c>
      <c r="J948" t="str">
        <f>""</f>
        <v/>
      </c>
      <c r="K948" t="str">
        <f>"J089"</f>
        <v>J089</v>
      </c>
      <c r="L948" t="s">
        <v>2821</v>
      </c>
      <c r="M948" s="2">
        <v>34278.550000000003</v>
      </c>
    </row>
    <row r="949" spans="1:13" x14ac:dyDescent="0.25">
      <c r="A949" t="str">
        <f t="shared" si="274"/>
        <v>E414</v>
      </c>
      <c r="B949">
        <v>1</v>
      </c>
      <c r="C949" t="str">
        <f t="shared" ref="C949:C989" si="278">"43007"</f>
        <v>43007</v>
      </c>
      <c r="D949" t="str">
        <f t="shared" si="277"/>
        <v>5740</v>
      </c>
      <c r="E949" t="str">
        <f t="shared" ref="E949:E971" si="279">"850PAY"</f>
        <v>850PAY</v>
      </c>
      <c r="F949" t="str">
        <f>""</f>
        <v/>
      </c>
      <c r="G949" t="str">
        <f>""</f>
        <v/>
      </c>
      <c r="H949" s="1">
        <v>42551</v>
      </c>
      <c r="I949" t="str">
        <f t="shared" ref="I949:I989" si="280">"PRK00138"</f>
        <v>PRK00138</v>
      </c>
      <c r="J949" t="str">
        <f>""</f>
        <v/>
      </c>
      <c r="K949" t="str">
        <f t="shared" ref="K949:K989" si="281">"AS89"</f>
        <v>AS89</v>
      </c>
      <c r="L949" t="s">
        <v>2820</v>
      </c>
      <c r="M949">
        <v>163.05000000000001</v>
      </c>
    </row>
    <row r="950" spans="1:13" x14ac:dyDescent="0.25">
      <c r="A950" t="str">
        <f t="shared" si="274"/>
        <v>E414</v>
      </c>
      <c r="B950">
        <v>1</v>
      </c>
      <c r="C950" t="str">
        <f t="shared" si="278"/>
        <v>43007</v>
      </c>
      <c r="D950" t="str">
        <f t="shared" si="277"/>
        <v>5740</v>
      </c>
      <c r="E950" t="str">
        <f t="shared" si="279"/>
        <v>850PAY</v>
      </c>
      <c r="F950" t="str">
        <f>""</f>
        <v/>
      </c>
      <c r="G950" t="str">
        <f>""</f>
        <v/>
      </c>
      <c r="H950" s="1">
        <v>42551</v>
      </c>
      <c r="I950" t="str">
        <f t="shared" si="280"/>
        <v>PRK00138</v>
      </c>
      <c r="J950" t="str">
        <f>""</f>
        <v/>
      </c>
      <c r="K950" t="str">
        <f t="shared" si="281"/>
        <v>AS89</v>
      </c>
      <c r="L950" t="s">
        <v>2819</v>
      </c>
      <c r="M950" s="2">
        <v>2076.06</v>
      </c>
    </row>
    <row r="951" spans="1:13" x14ac:dyDescent="0.25">
      <c r="A951" t="str">
        <f t="shared" si="274"/>
        <v>E414</v>
      </c>
      <c r="B951">
        <v>1</v>
      </c>
      <c r="C951" t="str">
        <f t="shared" si="278"/>
        <v>43007</v>
      </c>
      <c r="D951" t="str">
        <f t="shared" si="277"/>
        <v>5740</v>
      </c>
      <c r="E951" t="str">
        <f t="shared" si="279"/>
        <v>850PAY</v>
      </c>
      <c r="F951" t="str">
        <f>""</f>
        <v/>
      </c>
      <c r="G951" t="str">
        <f>""</f>
        <v/>
      </c>
      <c r="H951" s="1">
        <v>42551</v>
      </c>
      <c r="I951" t="str">
        <f t="shared" si="280"/>
        <v>PRK00138</v>
      </c>
      <c r="J951" t="str">
        <f>""</f>
        <v/>
      </c>
      <c r="K951" t="str">
        <f t="shared" si="281"/>
        <v>AS89</v>
      </c>
      <c r="L951" t="s">
        <v>2818</v>
      </c>
      <c r="M951">
        <v>369.58</v>
      </c>
    </row>
    <row r="952" spans="1:13" x14ac:dyDescent="0.25">
      <c r="A952" t="str">
        <f t="shared" si="274"/>
        <v>E414</v>
      </c>
      <c r="B952">
        <v>1</v>
      </c>
      <c r="C952" t="str">
        <f t="shared" si="278"/>
        <v>43007</v>
      </c>
      <c r="D952" t="str">
        <f t="shared" si="277"/>
        <v>5740</v>
      </c>
      <c r="E952" t="str">
        <f t="shared" si="279"/>
        <v>850PAY</v>
      </c>
      <c r="F952" t="str">
        <f>""</f>
        <v/>
      </c>
      <c r="G952" t="str">
        <f>""</f>
        <v/>
      </c>
      <c r="H952" s="1">
        <v>42551</v>
      </c>
      <c r="I952" t="str">
        <f t="shared" si="280"/>
        <v>PRK00138</v>
      </c>
      <c r="J952" t="str">
        <f>""</f>
        <v/>
      </c>
      <c r="K952" t="str">
        <f t="shared" si="281"/>
        <v>AS89</v>
      </c>
      <c r="L952" t="s">
        <v>2817</v>
      </c>
      <c r="M952" s="2">
        <v>4837.1499999999996</v>
      </c>
    </row>
    <row r="953" spans="1:13" x14ac:dyDescent="0.25">
      <c r="A953" t="str">
        <f t="shared" si="274"/>
        <v>E414</v>
      </c>
      <c r="B953">
        <v>1</v>
      </c>
      <c r="C953" t="str">
        <f t="shared" si="278"/>
        <v>43007</v>
      </c>
      <c r="D953" t="str">
        <f t="shared" si="277"/>
        <v>5740</v>
      </c>
      <c r="E953" t="str">
        <f t="shared" si="279"/>
        <v>850PAY</v>
      </c>
      <c r="F953" t="str">
        <f>""</f>
        <v/>
      </c>
      <c r="G953" t="str">
        <f>""</f>
        <v/>
      </c>
      <c r="H953" s="1">
        <v>42551</v>
      </c>
      <c r="I953" t="str">
        <f t="shared" si="280"/>
        <v>PRK00138</v>
      </c>
      <c r="J953" t="str">
        <f>""</f>
        <v/>
      </c>
      <c r="K953" t="str">
        <f t="shared" si="281"/>
        <v>AS89</v>
      </c>
      <c r="L953" t="s">
        <v>2816</v>
      </c>
      <c r="M953" s="2">
        <v>18238.77</v>
      </c>
    </row>
    <row r="954" spans="1:13" x14ac:dyDescent="0.25">
      <c r="A954" t="str">
        <f t="shared" si="274"/>
        <v>E414</v>
      </c>
      <c r="B954">
        <v>1</v>
      </c>
      <c r="C954" t="str">
        <f t="shared" si="278"/>
        <v>43007</v>
      </c>
      <c r="D954" t="str">
        <f t="shared" si="277"/>
        <v>5740</v>
      </c>
      <c r="E954" t="str">
        <f t="shared" si="279"/>
        <v>850PAY</v>
      </c>
      <c r="F954" t="str">
        <f>""</f>
        <v/>
      </c>
      <c r="G954" t="str">
        <f>""</f>
        <v/>
      </c>
      <c r="H954" s="1">
        <v>42551</v>
      </c>
      <c r="I954" t="str">
        <f t="shared" si="280"/>
        <v>PRK00138</v>
      </c>
      <c r="J954" t="str">
        <f>""</f>
        <v/>
      </c>
      <c r="K954" t="str">
        <f t="shared" si="281"/>
        <v>AS89</v>
      </c>
      <c r="L954" t="s">
        <v>2815</v>
      </c>
      <c r="M954" s="2">
        <v>48548.92</v>
      </c>
    </row>
    <row r="955" spans="1:13" x14ac:dyDescent="0.25">
      <c r="A955" t="str">
        <f t="shared" si="274"/>
        <v>E414</v>
      </c>
      <c r="B955">
        <v>1</v>
      </c>
      <c r="C955" t="str">
        <f t="shared" si="278"/>
        <v>43007</v>
      </c>
      <c r="D955" t="str">
        <f t="shared" si="277"/>
        <v>5740</v>
      </c>
      <c r="E955" t="str">
        <f t="shared" si="279"/>
        <v>850PAY</v>
      </c>
      <c r="F955" t="str">
        <f>""</f>
        <v/>
      </c>
      <c r="G955" t="str">
        <f>""</f>
        <v/>
      </c>
      <c r="H955" s="1">
        <v>42551</v>
      </c>
      <c r="I955" t="str">
        <f t="shared" si="280"/>
        <v>PRK00138</v>
      </c>
      <c r="J955" t="str">
        <f>""</f>
        <v/>
      </c>
      <c r="K955" t="str">
        <f t="shared" si="281"/>
        <v>AS89</v>
      </c>
      <c r="L955" t="s">
        <v>2814</v>
      </c>
      <c r="M955">
        <v>163.05000000000001</v>
      </c>
    </row>
    <row r="956" spans="1:13" x14ac:dyDescent="0.25">
      <c r="A956" t="str">
        <f t="shared" si="274"/>
        <v>E414</v>
      </c>
      <c r="B956">
        <v>1</v>
      </c>
      <c r="C956" t="str">
        <f t="shared" si="278"/>
        <v>43007</v>
      </c>
      <c r="D956" t="str">
        <f t="shared" si="277"/>
        <v>5740</v>
      </c>
      <c r="E956" t="str">
        <f t="shared" si="279"/>
        <v>850PAY</v>
      </c>
      <c r="F956" t="str">
        <f>""</f>
        <v/>
      </c>
      <c r="G956" t="str">
        <f>""</f>
        <v/>
      </c>
      <c r="H956" s="1">
        <v>42551</v>
      </c>
      <c r="I956" t="str">
        <f t="shared" si="280"/>
        <v>PRK00138</v>
      </c>
      <c r="J956" t="str">
        <f>""</f>
        <v/>
      </c>
      <c r="K956" t="str">
        <f t="shared" si="281"/>
        <v>AS89</v>
      </c>
      <c r="L956" t="s">
        <v>2813</v>
      </c>
      <c r="M956">
        <v>405</v>
      </c>
    </row>
    <row r="957" spans="1:13" x14ac:dyDescent="0.25">
      <c r="A957" t="str">
        <f t="shared" si="274"/>
        <v>E414</v>
      </c>
      <c r="B957">
        <v>1</v>
      </c>
      <c r="C957" t="str">
        <f t="shared" si="278"/>
        <v>43007</v>
      </c>
      <c r="D957" t="str">
        <f t="shared" si="277"/>
        <v>5740</v>
      </c>
      <c r="E957" t="str">
        <f t="shared" si="279"/>
        <v>850PAY</v>
      </c>
      <c r="F957" t="str">
        <f>""</f>
        <v/>
      </c>
      <c r="G957" t="str">
        <f>""</f>
        <v/>
      </c>
      <c r="H957" s="1">
        <v>42551</v>
      </c>
      <c r="I957" t="str">
        <f t="shared" si="280"/>
        <v>PRK00138</v>
      </c>
      <c r="J957" t="str">
        <f>""</f>
        <v/>
      </c>
      <c r="K957" t="str">
        <f t="shared" si="281"/>
        <v>AS89</v>
      </c>
      <c r="L957" t="s">
        <v>2810</v>
      </c>
      <c r="M957">
        <v>614.6</v>
      </c>
    </row>
    <row r="958" spans="1:13" x14ac:dyDescent="0.25">
      <c r="A958" t="str">
        <f t="shared" si="274"/>
        <v>E414</v>
      </c>
      <c r="B958">
        <v>1</v>
      </c>
      <c r="C958" t="str">
        <f t="shared" si="278"/>
        <v>43007</v>
      </c>
      <c r="D958" t="str">
        <f t="shared" si="277"/>
        <v>5740</v>
      </c>
      <c r="E958" t="str">
        <f t="shared" si="279"/>
        <v>850PAY</v>
      </c>
      <c r="F958" t="str">
        <f>""</f>
        <v/>
      </c>
      <c r="G958" t="str">
        <f>""</f>
        <v/>
      </c>
      <c r="H958" s="1">
        <v>42551</v>
      </c>
      <c r="I958" t="str">
        <f t="shared" si="280"/>
        <v>PRK00138</v>
      </c>
      <c r="J958" t="str">
        <f>""</f>
        <v/>
      </c>
      <c r="K958" t="str">
        <f t="shared" si="281"/>
        <v>AS89</v>
      </c>
      <c r="L958" t="s">
        <v>2808</v>
      </c>
      <c r="M958" s="2">
        <v>3057.35</v>
      </c>
    </row>
    <row r="959" spans="1:13" x14ac:dyDescent="0.25">
      <c r="A959" t="str">
        <f t="shared" si="274"/>
        <v>E414</v>
      </c>
      <c r="B959">
        <v>1</v>
      </c>
      <c r="C959" t="str">
        <f t="shared" si="278"/>
        <v>43007</v>
      </c>
      <c r="D959" t="str">
        <f t="shared" si="277"/>
        <v>5740</v>
      </c>
      <c r="E959" t="str">
        <f t="shared" si="279"/>
        <v>850PAY</v>
      </c>
      <c r="F959" t="str">
        <f>""</f>
        <v/>
      </c>
      <c r="G959" t="str">
        <f>""</f>
        <v/>
      </c>
      <c r="H959" s="1">
        <v>42551</v>
      </c>
      <c r="I959" t="str">
        <f t="shared" si="280"/>
        <v>PRK00138</v>
      </c>
      <c r="J959" t="str">
        <f>""</f>
        <v/>
      </c>
      <c r="K959" t="str">
        <f t="shared" si="281"/>
        <v>AS89</v>
      </c>
      <c r="L959" t="s">
        <v>2809</v>
      </c>
      <c r="M959">
        <v>410.65</v>
      </c>
    </row>
    <row r="960" spans="1:13" x14ac:dyDescent="0.25">
      <c r="A960" t="str">
        <f t="shared" si="274"/>
        <v>E414</v>
      </c>
      <c r="B960">
        <v>1</v>
      </c>
      <c r="C960" t="str">
        <f t="shared" si="278"/>
        <v>43007</v>
      </c>
      <c r="D960" t="str">
        <f t="shared" si="277"/>
        <v>5740</v>
      </c>
      <c r="E960" t="str">
        <f t="shared" si="279"/>
        <v>850PAY</v>
      </c>
      <c r="F960" t="str">
        <f>""</f>
        <v/>
      </c>
      <c r="G960" t="str">
        <f>""</f>
        <v/>
      </c>
      <c r="H960" s="1">
        <v>42551</v>
      </c>
      <c r="I960" t="str">
        <f t="shared" si="280"/>
        <v>PRK00138</v>
      </c>
      <c r="J960" t="str">
        <f>""</f>
        <v/>
      </c>
      <c r="K960" t="str">
        <f t="shared" si="281"/>
        <v>AS89</v>
      </c>
      <c r="L960" t="s">
        <v>2810</v>
      </c>
      <c r="M960">
        <v>140.63999999999999</v>
      </c>
    </row>
    <row r="961" spans="1:13" x14ac:dyDescent="0.25">
      <c r="A961" t="str">
        <f t="shared" si="274"/>
        <v>E414</v>
      </c>
      <c r="B961">
        <v>1</v>
      </c>
      <c r="C961" t="str">
        <f t="shared" si="278"/>
        <v>43007</v>
      </c>
      <c r="D961" t="str">
        <f t="shared" si="277"/>
        <v>5740</v>
      </c>
      <c r="E961" t="str">
        <f t="shared" si="279"/>
        <v>850PAY</v>
      </c>
      <c r="F961" t="str">
        <f>""</f>
        <v/>
      </c>
      <c r="G961" t="str">
        <f>""</f>
        <v/>
      </c>
      <c r="H961" s="1">
        <v>42551</v>
      </c>
      <c r="I961" t="str">
        <f t="shared" si="280"/>
        <v>PRK00138</v>
      </c>
      <c r="J961" t="str">
        <f>""</f>
        <v/>
      </c>
      <c r="K961" t="str">
        <f t="shared" si="281"/>
        <v>AS89</v>
      </c>
      <c r="L961" t="s">
        <v>710</v>
      </c>
      <c r="M961">
        <v>632.88</v>
      </c>
    </row>
    <row r="962" spans="1:13" x14ac:dyDescent="0.25">
      <c r="A962" t="str">
        <f t="shared" si="274"/>
        <v>E414</v>
      </c>
      <c r="B962">
        <v>1</v>
      </c>
      <c r="C962" t="str">
        <f t="shared" si="278"/>
        <v>43007</v>
      </c>
      <c r="D962" t="str">
        <f t="shared" si="277"/>
        <v>5740</v>
      </c>
      <c r="E962" t="str">
        <f t="shared" si="279"/>
        <v>850PAY</v>
      </c>
      <c r="F962" t="str">
        <f>""</f>
        <v/>
      </c>
      <c r="G962" t="str">
        <f>""</f>
        <v/>
      </c>
      <c r="H962" s="1">
        <v>42551</v>
      </c>
      <c r="I962" t="str">
        <f t="shared" si="280"/>
        <v>PRK00138</v>
      </c>
      <c r="J962" t="str">
        <f>""</f>
        <v/>
      </c>
      <c r="K962" t="str">
        <f t="shared" si="281"/>
        <v>AS89</v>
      </c>
      <c r="L962" t="s">
        <v>2808</v>
      </c>
      <c r="M962">
        <v>175.8</v>
      </c>
    </row>
    <row r="963" spans="1:13" x14ac:dyDescent="0.25">
      <c r="A963" t="str">
        <f t="shared" si="274"/>
        <v>E414</v>
      </c>
      <c r="B963">
        <v>1</v>
      </c>
      <c r="C963" t="str">
        <f t="shared" si="278"/>
        <v>43007</v>
      </c>
      <c r="D963" t="str">
        <f t="shared" si="277"/>
        <v>5740</v>
      </c>
      <c r="E963" t="str">
        <f t="shared" si="279"/>
        <v>850PAY</v>
      </c>
      <c r="F963" t="str">
        <f>""</f>
        <v/>
      </c>
      <c r="G963" t="str">
        <f>""</f>
        <v/>
      </c>
      <c r="H963" s="1">
        <v>42551</v>
      </c>
      <c r="I963" t="str">
        <f t="shared" si="280"/>
        <v>PRK00138</v>
      </c>
      <c r="J963" t="str">
        <f>""</f>
        <v/>
      </c>
      <c r="K963" t="str">
        <f t="shared" si="281"/>
        <v>AS89</v>
      </c>
      <c r="L963" t="s">
        <v>2808</v>
      </c>
      <c r="M963" s="2">
        <v>1054.8</v>
      </c>
    </row>
    <row r="964" spans="1:13" x14ac:dyDescent="0.25">
      <c r="A964" t="str">
        <f t="shared" si="274"/>
        <v>E414</v>
      </c>
      <c r="B964">
        <v>1</v>
      </c>
      <c r="C964" t="str">
        <f t="shared" si="278"/>
        <v>43007</v>
      </c>
      <c r="D964" t="str">
        <f t="shared" si="277"/>
        <v>5740</v>
      </c>
      <c r="E964" t="str">
        <f t="shared" si="279"/>
        <v>850PAY</v>
      </c>
      <c r="F964" t="str">
        <f>""</f>
        <v/>
      </c>
      <c r="G964" t="str">
        <f>""</f>
        <v/>
      </c>
      <c r="H964" s="1">
        <v>42551</v>
      </c>
      <c r="I964" t="str">
        <f t="shared" si="280"/>
        <v>PRK00138</v>
      </c>
      <c r="J964" t="str">
        <f>""</f>
        <v/>
      </c>
      <c r="K964" t="str">
        <f t="shared" si="281"/>
        <v>AS89</v>
      </c>
      <c r="L964" t="s">
        <v>2812</v>
      </c>
      <c r="M964">
        <v>527.38</v>
      </c>
    </row>
    <row r="965" spans="1:13" x14ac:dyDescent="0.25">
      <c r="A965" t="str">
        <f t="shared" ref="A965:A989" si="282">"E414"</f>
        <v>E414</v>
      </c>
      <c r="B965">
        <v>1</v>
      </c>
      <c r="C965" t="str">
        <f t="shared" si="278"/>
        <v>43007</v>
      </c>
      <c r="D965" t="str">
        <f t="shared" si="277"/>
        <v>5740</v>
      </c>
      <c r="E965" t="str">
        <f t="shared" si="279"/>
        <v>850PAY</v>
      </c>
      <c r="F965" t="str">
        <f>""</f>
        <v/>
      </c>
      <c r="G965" t="str">
        <f>""</f>
        <v/>
      </c>
      <c r="H965" s="1">
        <v>42551</v>
      </c>
      <c r="I965" t="str">
        <f t="shared" si="280"/>
        <v>PRK00138</v>
      </c>
      <c r="J965" t="str">
        <f>""</f>
        <v/>
      </c>
      <c r="K965" t="str">
        <f t="shared" si="281"/>
        <v>AS89</v>
      </c>
      <c r="L965" t="s">
        <v>2812</v>
      </c>
      <c r="M965" s="2">
        <v>1089.46</v>
      </c>
    </row>
    <row r="966" spans="1:13" x14ac:dyDescent="0.25">
      <c r="A966" t="str">
        <f t="shared" si="282"/>
        <v>E414</v>
      </c>
      <c r="B966">
        <v>1</v>
      </c>
      <c r="C966" t="str">
        <f t="shared" si="278"/>
        <v>43007</v>
      </c>
      <c r="D966" t="str">
        <f t="shared" si="277"/>
        <v>5740</v>
      </c>
      <c r="E966" t="str">
        <f t="shared" si="279"/>
        <v>850PAY</v>
      </c>
      <c r="F966" t="str">
        <f>""</f>
        <v/>
      </c>
      <c r="G966" t="str">
        <f>""</f>
        <v/>
      </c>
      <c r="H966" s="1">
        <v>42551</v>
      </c>
      <c r="I966" t="str">
        <f t="shared" si="280"/>
        <v>PRK00138</v>
      </c>
      <c r="J966" t="str">
        <f>""</f>
        <v/>
      </c>
      <c r="K966" t="str">
        <f t="shared" si="281"/>
        <v>AS89</v>
      </c>
      <c r="L966" t="s">
        <v>2811</v>
      </c>
      <c r="M966" s="2">
        <v>1652.5</v>
      </c>
    </row>
    <row r="967" spans="1:13" x14ac:dyDescent="0.25">
      <c r="A967" t="str">
        <f t="shared" si="282"/>
        <v>E414</v>
      </c>
      <c r="B967">
        <v>1</v>
      </c>
      <c r="C967" t="str">
        <f t="shared" si="278"/>
        <v>43007</v>
      </c>
      <c r="D967" t="str">
        <f t="shared" si="277"/>
        <v>5740</v>
      </c>
      <c r="E967" t="str">
        <f t="shared" si="279"/>
        <v>850PAY</v>
      </c>
      <c r="F967" t="str">
        <f>""</f>
        <v/>
      </c>
      <c r="G967" t="str">
        <f>""</f>
        <v/>
      </c>
      <c r="H967" s="1">
        <v>42551</v>
      </c>
      <c r="I967" t="str">
        <f t="shared" si="280"/>
        <v>PRK00138</v>
      </c>
      <c r="J967" t="str">
        <f>""</f>
        <v/>
      </c>
      <c r="K967" t="str">
        <f t="shared" si="281"/>
        <v>AS89</v>
      </c>
      <c r="L967" t="s">
        <v>2811</v>
      </c>
      <c r="M967" s="2">
        <v>1703.96</v>
      </c>
    </row>
    <row r="968" spans="1:13" x14ac:dyDescent="0.25">
      <c r="A968" t="str">
        <f t="shared" si="282"/>
        <v>E414</v>
      </c>
      <c r="B968">
        <v>1</v>
      </c>
      <c r="C968" t="str">
        <f t="shared" si="278"/>
        <v>43007</v>
      </c>
      <c r="D968" t="str">
        <f t="shared" si="277"/>
        <v>5740</v>
      </c>
      <c r="E968" t="str">
        <f t="shared" si="279"/>
        <v>850PAY</v>
      </c>
      <c r="F968" t="str">
        <f>""</f>
        <v/>
      </c>
      <c r="G968" t="str">
        <f>""</f>
        <v/>
      </c>
      <c r="H968" s="1">
        <v>42551</v>
      </c>
      <c r="I968" t="str">
        <f t="shared" si="280"/>
        <v>PRK00138</v>
      </c>
      <c r="J968" t="str">
        <f>""</f>
        <v/>
      </c>
      <c r="K968" t="str">
        <f t="shared" si="281"/>
        <v>AS89</v>
      </c>
      <c r="L968" t="s">
        <v>2810</v>
      </c>
      <c r="M968" s="2">
        <v>1825.51</v>
      </c>
    </row>
    <row r="969" spans="1:13" x14ac:dyDescent="0.25">
      <c r="A969" t="str">
        <f t="shared" si="282"/>
        <v>E414</v>
      </c>
      <c r="B969">
        <v>1</v>
      </c>
      <c r="C969" t="str">
        <f t="shared" si="278"/>
        <v>43007</v>
      </c>
      <c r="D969" t="str">
        <f t="shared" si="277"/>
        <v>5740</v>
      </c>
      <c r="E969" t="str">
        <f t="shared" si="279"/>
        <v>850PAY</v>
      </c>
      <c r="F969" t="str">
        <f>""</f>
        <v/>
      </c>
      <c r="G969" t="str">
        <f>""</f>
        <v/>
      </c>
      <c r="H969" s="1">
        <v>42551</v>
      </c>
      <c r="I969" t="str">
        <f t="shared" si="280"/>
        <v>PRK00138</v>
      </c>
      <c r="J969" t="str">
        <f>""</f>
        <v/>
      </c>
      <c r="K969" t="str">
        <f t="shared" si="281"/>
        <v>AS89</v>
      </c>
      <c r="L969" t="s">
        <v>2809</v>
      </c>
      <c r="M969" s="2">
        <v>2486.54</v>
      </c>
    </row>
    <row r="970" spans="1:13" x14ac:dyDescent="0.25">
      <c r="A970" t="str">
        <f t="shared" si="282"/>
        <v>E414</v>
      </c>
      <c r="B970">
        <v>1</v>
      </c>
      <c r="C970" t="str">
        <f t="shared" si="278"/>
        <v>43007</v>
      </c>
      <c r="D970" t="str">
        <f t="shared" si="277"/>
        <v>5740</v>
      </c>
      <c r="E970" t="str">
        <f t="shared" si="279"/>
        <v>850PAY</v>
      </c>
      <c r="F970" t="str">
        <f>""</f>
        <v/>
      </c>
      <c r="G970" t="str">
        <f>""</f>
        <v/>
      </c>
      <c r="H970" s="1">
        <v>42551</v>
      </c>
      <c r="I970" t="str">
        <f t="shared" si="280"/>
        <v>PRK00138</v>
      </c>
      <c r="J970" t="str">
        <f>""</f>
        <v/>
      </c>
      <c r="K970" t="str">
        <f t="shared" si="281"/>
        <v>AS89</v>
      </c>
      <c r="L970" t="s">
        <v>2808</v>
      </c>
      <c r="M970" s="2">
        <v>3485.39</v>
      </c>
    </row>
    <row r="971" spans="1:13" x14ac:dyDescent="0.25">
      <c r="A971" t="str">
        <f t="shared" si="282"/>
        <v>E414</v>
      </c>
      <c r="B971">
        <v>1</v>
      </c>
      <c r="C971" t="str">
        <f t="shared" si="278"/>
        <v>43007</v>
      </c>
      <c r="D971" t="str">
        <f t="shared" si="277"/>
        <v>5740</v>
      </c>
      <c r="E971" t="str">
        <f t="shared" si="279"/>
        <v>850PAY</v>
      </c>
      <c r="F971" t="str">
        <f>""</f>
        <v/>
      </c>
      <c r="G971" t="str">
        <f>""</f>
        <v/>
      </c>
      <c r="H971" s="1">
        <v>42551</v>
      </c>
      <c r="I971" t="str">
        <f t="shared" si="280"/>
        <v>PRK00138</v>
      </c>
      <c r="J971" t="str">
        <f>""</f>
        <v/>
      </c>
      <c r="K971" t="str">
        <f t="shared" si="281"/>
        <v>AS89</v>
      </c>
      <c r="L971" t="s">
        <v>2808</v>
      </c>
      <c r="M971" s="2">
        <v>4076.63</v>
      </c>
    </row>
    <row r="972" spans="1:13" x14ac:dyDescent="0.25">
      <c r="A972" t="str">
        <f t="shared" si="282"/>
        <v>E414</v>
      </c>
      <c r="B972">
        <v>1</v>
      </c>
      <c r="C972" t="str">
        <f t="shared" si="278"/>
        <v>43007</v>
      </c>
      <c r="D972" t="str">
        <f t="shared" si="277"/>
        <v>5740</v>
      </c>
      <c r="E972" t="str">
        <f t="shared" ref="E972:E989" si="283">"850PKE"</f>
        <v>850PKE</v>
      </c>
      <c r="F972" t="str">
        <f>""</f>
        <v/>
      </c>
      <c r="G972" t="str">
        <f>""</f>
        <v/>
      </c>
      <c r="H972" s="1">
        <v>42551</v>
      </c>
      <c r="I972" t="str">
        <f t="shared" si="280"/>
        <v>PRK00138</v>
      </c>
      <c r="J972" t="str">
        <f>""</f>
        <v/>
      </c>
      <c r="K972" t="str">
        <f t="shared" si="281"/>
        <v>AS89</v>
      </c>
      <c r="L972" t="s">
        <v>2806</v>
      </c>
      <c r="M972" s="2">
        <v>1081.57</v>
      </c>
    </row>
    <row r="973" spans="1:13" x14ac:dyDescent="0.25">
      <c r="A973" t="str">
        <f t="shared" si="282"/>
        <v>E414</v>
      </c>
      <c r="B973">
        <v>1</v>
      </c>
      <c r="C973" t="str">
        <f t="shared" si="278"/>
        <v>43007</v>
      </c>
      <c r="D973" t="str">
        <f t="shared" si="277"/>
        <v>5740</v>
      </c>
      <c r="E973" t="str">
        <f t="shared" si="283"/>
        <v>850PKE</v>
      </c>
      <c r="F973" t="str">
        <f>""</f>
        <v/>
      </c>
      <c r="G973" t="str">
        <f>""</f>
        <v/>
      </c>
      <c r="H973" s="1">
        <v>42551</v>
      </c>
      <c r="I973" t="str">
        <f t="shared" si="280"/>
        <v>PRK00138</v>
      </c>
      <c r="J973" t="str">
        <f>""</f>
        <v/>
      </c>
      <c r="K973" t="str">
        <f t="shared" si="281"/>
        <v>AS89</v>
      </c>
      <c r="L973" t="s">
        <v>2805</v>
      </c>
      <c r="M973">
        <v>956.56</v>
      </c>
    </row>
    <row r="974" spans="1:13" x14ac:dyDescent="0.25">
      <c r="A974" t="str">
        <f t="shared" si="282"/>
        <v>E414</v>
      </c>
      <c r="B974">
        <v>1</v>
      </c>
      <c r="C974" t="str">
        <f t="shared" si="278"/>
        <v>43007</v>
      </c>
      <c r="D974" t="str">
        <f t="shared" si="277"/>
        <v>5740</v>
      </c>
      <c r="E974" t="str">
        <f t="shared" si="283"/>
        <v>850PKE</v>
      </c>
      <c r="F974" t="str">
        <f>""</f>
        <v/>
      </c>
      <c r="G974" t="str">
        <f>""</f>
        <v/>
      </c>
      <c r="H974" s="1">
        <v>42551</v>
      </c>
      <c r="I974" t="str">
        <f t="shared" si="280"/>
        <v>PRK00138</v>
      </c>
      <c r="J974" t="str">
        <f>""</f>
        <v/>
      </c>
      <c r="K974" t="str">
        <f t="shared" si="281"/>
        <v>AS89</v>
      </c>
      <c r="L974" t="s">
        <v>2804</v>
      </c>
      <c r="M974">
        <v>652.20000000000005</v>
      </c>
    </row>
    <row r="975" spans="1:13" x14ac:dyDescent="0.25">
      <c r="A975" t="str">
        <f t="shared" si="282"/>
        <v>E414</v>
      </c>
      <c r="B975">
        <v>1</v>
      </c>
      <c r="C975" t="str">
        <f t="shared" si="278"/>
        <v>43007</v>
      </c>
      <c r="D975" t="str">
        <f t="shared" si="277"/>
        <v>5740</v>
      </c>
      <c r="E975" t="str">
        <f t="shared" si="283"/>
        <v>850PKE</v>
      </c>
      <c r="F975" t="str">
        <f>""</f>
        <v/>
      </c>
      <c r="G975" t="str">
        <f>""</f>
        <v/>
      </c>
      <c r="H975" s="1">
        <v>42551</v>
      </c>
      <c r="I975" t="str">
        <f t="shared" si="280"/>
        <v>PRK00138</v>
      </c>
      <c r="J975" t="str">
        <f>""</f>
        <v/>
      </c>
      <c r="K975" t="str">
        <f t="shared" si="281"/>
        <v>AS89</v>
      </c>
      <c r="L975" t="s">
        <v>2803</v>
      </c>
      <c r="M975" s="2">
        <v>14609.28</v>
      </c>
    </row>
    <row r="976" spans="1:13" x14ac:dyDescent="0.25">
      <c r="A976" t="str">
        <f t="shared" si="282"/>
        <v>E414</v>
      </c>
      <c r="B976">
        <v>1</v>
      </c>
      <c r="C976" t="str">
        <f t="shared" si="278"/>
        <v>43007</v>
      </c>
      <c r="D976" t="str">
        <f t="shared" si="277"/>
        <v>5740</v>
      </c>
      <c r="E976" t="str">
        <f t="shared" si="283"/>
        <v>850PKE</v>
      </c>
      <c r="F976" t="str">
        <f>""</f>
        <v/>
      </c>
      <c r="G976" t="str">
        <f>""</f>
        <v/>
      </c>
      <c r="H976" s="1">
        <v>42551</v>
      </c>
      <c r="I976" t="str">
        <f t="shared" si="280"/>
        <v>PRK00138</v>
      </c>
      <c r="J976" t="str">
        <f>""</f>
        <v/>
      </c>
      <c r="K976" t="str">
        <f t="shared" si="281"/>
        <v>AS89</v>
      </c>
      <c r="L976" t="s">
        <v>2802</v>
      </c>
      <c r="M976" s="2">
        <v>60926.35</v>
      </c>
    </row>
    <row r="977" spans="1:13" x14ac:dyDescent="0.25">
      <c r="A977" t="str">
        <f t="shared" si="282"/>
        <v>E414</v>
      </c>
      <c r="B977">
        <v>1</v>
      </c>
      <c r="C977" t="str">
        <f t="shared" si="278"/>
        <v>43007</v>
      </c>
      <c r="D977" t="str">
        <f t="shared" si="277"/>
        <v>5740</v>
      </c>
      <c r="E977" t="str">
        <f t="shared" si="283"/>
        <v>850PKE</v>
      </c>
      <c r="F977" t="str">
        <f>""</f>
        <v/>
      </c>
      <c r="G977" t="str">
        <f>""</f>
        <v/>
      </c>
      <c r="H977" s="1">
        <v>42551</v>
      </c>
      <c r="I977" t="str">
        <f t="shared" si="280"/>
        <v>PRK00138</v>
      </c>
      <c r="J977" t="str">
        <f>""</f>
        <v/>
      </c>
      <c r="K977" t="str">
        <f t="shared" si="281"/>
        <v>AS89</v>
      </c>
      <c r="L977" t="s">
        <v>2801</v>
      </c>
      <c r="M977">
        <v>948.04</v>
      </c>
    </row>
    <row r="978" spans="1:13" x14ac:dyDescent="0.25">
      <c r="A978" t="str">
        <f t="shared" si="282"/>
        <v>E414</v>
      </c>
      <c r="B978">
        <v>1</v>
      </c>
      <c r="C978" t="str">
        <f t="shared" si="278"/>
        <v>43007</v>
      </c>
      <c r="D978" t="str">
        <f t="shared" si="277"/>
        <v>5740</v>
      </c>
      <c r="E978" t="str">
        <f t="shared" si="283"/>
        <v>850PKE</v>
      </c>
      <c r="F978" t="str">
        <f>""</f>
        <v/>
      </c>
      <c r="G978" t="str">
        <f>""</f>
        <v/>
      </c>
      <c r="H978" s="1">
        <v>42551</v>
      </c>
      <c r="I978" t="str">
        <f t="shared" si="280"/>
        <v>PRK00138</v>
      </c>
      <c r="J978" t="str">
        <f>""</f>
        <v/>
      </c>
      <c r="K978" t="str">
        <f t="shared" si="281"/>
        <v>AS89</v>
      </c>
      <c r="L978" t="s">
        <v>2800</v>
      </c>
      <c r="M978" s="2">
        <v>4651.33</v>
      </c>
    </row>
    <row r="979" spans="1:13" x14ac:dyDescent="0.25">
      <c r="A979" t="str">
        <f t="shared" si="282"/>
        <v>E414</v>
      </c>
      <c r="B979">
        <v>1</v>
      </c>
      <c r="C979" t="str">
        <f t="shared" si="278"/>
        <v>43007</v>
      </c>
      <c r="D979" t="str">
        <f t="shared" si="277"/>
        <v>5740</v>
      </c>
      <c r="E979" t="str">
        <f t="shared" si="283"/>
        <v>850PKE</v>
      </c>
      <c r="F979" t="str">
        <f>""</f>
        <v/>
      </c>
      <c r="G979" t="str">
        <f>""</f>
        <v/>
      </c>
      <c r="H979" s="1">
        <v>42551</v>
      </c>
      <c r="I979" t="str">
        <f t="shared" si="280"/>
        <v>PRK00138</v>
      </c>
      <c r="J979" t="str">
        <f>""</f>
        <v/>
      </c>
      <c r="K979" t="str">
        <f t="shared" si="281"/>
        <v>AS89</v>
      </c>
      <c r="L979" t="s">
        <v>2799</v>
      </c>
      <c r="M979">
        <v>326.10000000000002</v>
      </c>
    </row>
    <row r="980" spans="1:13" x14ac:dyDescent="0.25">
      <c r="A980" t="str">
        <f t="shared" si="282"/>
        <v>E414</v>
      </c>
      <c r="B980">
        <v>1</v>
      </c>
      <c r="C980" t="str">
        <f t="shared" si="278"/>
        <v>43007</v>
      </c>
      <c r="D980" t="str">
        <f t="shared" si="277"/>
        <v>5740</v>
      </c>
      <c r="E980" t="str">
        <f t="shared" si="283"/>
        <v>850PKE</v>
      </c>
      <c r="F980" t="str">
        <f>""</f>
        <v/>
      </c>
      <c r="G980" t="str">
        <f>""</f>
        <v/>
      </c>
      <c r="H980" s="1">
        <v>42551</v>
      </c>
      <c r="I980" t="str">
        <f t="shared" si="280"/>
        <v>PRK00138</v>
      </c>
      <c r="J980" t="str">
        <f>""</f>
        <v/>
      </c>
      <c r="K980" t="str">
        <f t="shared" si="281"/>
        <v>AS89</v>
      </c>
      <c r="L980" t="s">
        <v>2798</v>
      </c>
      <c r="M980">
        <v>170</v>
      </c>
    </row>
    <row r="981" spans="1:13" x14ac:dyDescent="0.25">
      <c r="A981" t="str">
        <f t="shared" si="282"/>
        <v>E414</v>
      </c>
      <c r="B981">
        <v>1</v>
      </c>
      <c r="C981" t="str">
        <f t="shared" si="278"/>
        <v>43007</v>
      </c>
      <c r="D981" t="str">
        <f t="shared" si="277"/>
        <v>5740</v>
      </c>
      <c r="E981" t="str">
        <f t="shared" si="283"/>
        <v>850PKE</v>
      </c>
      <c r="F981" t="str">
        <f>""</f>
        <v/>
      </c>
      <c r="G981" t="str">
        <f>""</f>
        <v/>
      </c>
      <c r="H981" s="1">
        <v>42551</v>
      </c>
      <c r="I981" t="str">
        <f t="shared" si="280"/>
        <v>PRK00138</v>
      </c>
      <c r="J981" t="str">
        <f>""</f>
        <v/>
      </c>
      <c r="K981" t="str">
        <f t="shared" si="281"/>
        <v>AS89</v>
      </c>
      <c r="L981" t="s">
        <v>2797</v>
      </c>
      <c r="M981" s="2">
        <v>5435</v>
      </c>
    </row>
    <row r="982" spans="1:13" x14ac:dyDescent="0.25">
      <c r="A982" t="str">
        <f t="shared" si="282"/>
        <v>E414</v>
      </c>
      <c r="B982">
        <v>1</v>
      </c>
      <c r="C982" t="str">
        <f t="shared" si="278"/>
        <v>43007</v>
      </c>
      <c r="D982" t="str">
        <f t="shared" si="277"/>
        <v>5740</v>
      </c>
      <c r="E982" t="str">
        <f t="shared" si="283"/>
        <v>850PKE</v>
      </c>
      <c r="F982" t="str">
        <f>""</f>
        <v/>
      </c>
      <c r="G982" t="str">
        <f>""</f>
        <v/>
      </c>
      <c r="H982" s="1">
        <v>42551</v>
      </c>
      <c r="I982" t="str">
        <f t="shared" si="280"/>
        <v>PRK00138</v>
      </c>
      <c r="J982" t="str">
        <f>""</f>
        <v/>
      </c>
      <c r="K982" t="str">
        <f t="shared" si="281"/>
        <v>AS89</v>
      </c>
      <c r="L982" t="s">
        <v>2796</v>
      </c>
      <c r="M982" s="2">
        <v>4348</v>
      </c>
    </row>
    <row r="983" spans="1:13" x14ac:dyDescent="0.25">
      <c r="A983" t="str">
        <f t="shared" si="282"/>
        <v>E414</v>
      </c>
      <c r="B983">
        <v>1</v>
      </c>
      <c r="C983" t="str">
        <f t="shared" si="278"/>
        <v>43007</v>
      </c>
      <c r="D983" t="str">
        <f t="shared" si="277"/>
        <v>5740</v>
      </c>
      <c r="E983" t="str">
        <f t="shared" si="283"/>
        <v>850PKE</v>
      </c>
      <c r="F983" t="str">
        <f>""</f>
        <v/>
      </c>
      <c r="G983" t="str">
        <f>""</f>
        <v/>
      </c>
      <c r="H983" s="1">
        <v>42551</v>
      </c>
      <c r="I983" t="str">
        <f t="shared" si="280"/>
        <v>PRK00138</v>
      </c>
      <c r="J983" t="str">
        <f>""</f>
        <v/>
      </c>
      <c r="K983" t="str">
        <f t="shared" si="281"/>
        <v>AS89</v>
      </c>
      <c r="L983" t="s">
        <v>2796</v>
      </c>
      <c r="M983" s="2">
        <v>1956.6</v>
      </c>
    </row>
    <row r="984" spans="1:13" x14ac:dyDescent="0.25">
      <c r="A984" t="str">
        <f t="shared" si="282"/>
        <v>E414</v>
      </c>
      <c r="B984">
        <v>1</v>
      </c>
      <c r="C984" t="str">
        <f t="shared" si="278"/>
        <v>43007</v>
      </c>
      <c r="D984" t="str">
        <f t="shared" si="277"/>
        <v>5740</v>
      </c>
      <c r="E984" t="str">
        <f t="shared" si="283"/>
        <v>850PKE</v>
      </c>
      <c r="F984" t="str">
        <f>""</f>
        <v/>
      </c>
      <c r="G984" t="str">
        <f>""</f>
        <v/>
      </c>
      <c r="H984" s="1">
        <v>42551</v>
      </c>
      <c r="I984" t="str">
        <f t="shared" si="280"/>
        <v>PRK00138</v>
      </c>
      <c r="J984" t="str">
        <f>""</f>
        <v/>
      </c>
      <c r="K984" t="str">
        <f t="shared" si="281"/>
        <v>AS89</v>
      </c>
      <c r="L984" t="s">
        <v>2795</v>
      </c>
      <c r="M984" s="2">
        <v>1521.8</v>
      </c>
    </row>
    <row r="985" spans="1:13" x14ac:dyDescent="0.25">
      <c r="A985" t="str">
        <f t="shared" si="282"/>
        <v>E414</v>
      </c>
      <c r="B985">
        <v>1</v>
      </c>
      <c r="C985" t="str">
        <f t="shared" si="278"/>
        <v>43007</v>
      </c>
      <c r="D985" t="str">
        <f t="shared" si="277"/>
        <v>5740</v>
      </c>
      <c r="E985" t="str">
        <f t="shared" si="283"/>
        <v>850PKE</v>
      </c>
      <c r="F985" t="str">
        <f>""</f>
        <v/>
      </c>
      <c r="G985" t="str">
        <f>""</f>
        <v/>
      </c>
      <c r="H985" s="1">
        <v>42551</v>
      </c>
      <c r="I985" t="str">
        <f t="shared" si="280"/>
        <v>PRK00138</v>
      </c>
      <c r="J985" t="str">
        <f>""</f>
        <v/>
      </c>
      <c r="K985" t="str">
        <f t="shared" si="281"/>
        <v>AS89</v>
      </c>
      <c r="L985" t="s">
        <v>2794</v>
      </c>
      <c r="M985" s="2">
        <v>1087</v>
      </c>
    </row>
    <row r="986" spans="1:13" x14ac:dyDescent="0.25">
      <c r="A986" t="str">
        <f t="shared" si="282"/>
        <v>E414</v>
      </c>
      <c r="B986">
        <v>1</v>
      </c>
      <c r="C986" t="str">
        <f t="shared" si="278"/>
        <v>43007</v>
      </c>
      <c r="D986" t="str">
        <f t="shared" si="277"/>
        <v>5740</v>
      </c>
      <c r="E986" t="str">
        <f t="shared" si="283"/>
        <v>850PKE</v>
      </c>
      <c r="F986" t="str">
        <f>""</f>
        <v/>
      </c>
      <c r="G986" t="str">
        <f>""</f>
        <v/>
      </c>
      <c r="H986" s="1">
        <v>42551</v>
      </c>
      <c r="I986" t="str">
        <f t="shared" si="280"/>
        <v>PRK00138</v>
      </c>
      <c r="J986" t="str">
        <f>""</f>
        <v/>
      </c>
      <c r="K986" t="str">
        <f t="shared" si="281"/>
        <v>AS89</v>
      </c>
      <c r="L986" t="s">
        <v>2793</v>
      </c>
      <c r="M986" s="2">
        <v>1087</v>
      </c>
    </row>
    <row r="987" spans="1:13" x14ac:dyDescent="0.25">
      <c r="A987" t="str">
        <f t="shared" si="282"/>
        <v>E414</v>
      </c>
      <c r="B987">
        <v>1</v>
      </c>
      <c r="C987" t="str">
        <f t="shared" si="278"/>
        <v>43007</v>
      </c>
      <c r="D987" t="str">
        <f t="shared" si="277"/>
        <v>5740</v>
      </c>
      <c r="E987" t="str">
        <f t="shared" si="283"/>
        <v>850PKE</v>
      </c>
      <c r="F987" t="str">
        <f>""</f>
        <v/>
      </c>
      <c r="G987" t="str">
        <f>""</f>
        <v/>
      </c>
      <c r="H987" s="1">
        <v>42551</v>
      </c>
      <c r="I987" t="str">
        <f t="shared" si="280"/>
        <v>PRK00138</v>
      </c>
      <c r="J987" t="str">
        <f>""</f>
        <v/>
      </c>
      <c r="K987" t="str">
        <f t="shared" si="281"/>
        <v>AS89</v>
      </c>
      <c r="L987" t="s">
        <v>2792</v>
      </c>
      <c r="M987">
        <v>241.69</v>
      </c>
    </row>
    <row r="988" spans="1:13" x14ac:dyDescent="0.25">
      <c r="A988" t="str">
        <f t="shared" si="282"/>
        <v>E414</v>
      </c>
      <c r="B988">
        <v>1</v>
      </c>
      <c r="C988" t="str">
        <f t="shared" si="278"/>
        <v>43007</v>
      </c>
      <c r="D988" t="str">
        <f t="shared" si="277"/>
        <v>5740</v>
      </c>
      <c r="E988" t="str">
        <f t="shared" si="283"/>
        <v>850PKE</v>
      </c>
      <c r="F988" t="str">
        <f>""</f>
        <v/>
      </c>
      <c r="G988" t="str">
        <f>""</f>
        <v/>
      </c>
      <c r="H988" s="1">
        <v>42551</v>
      </c>
      <c r="I988" t="str">
        <f t="shared" si="280"/>
        <v>PRK00138</v>
      </c>
      <c r="J988" t="str">
        <f>""</f>
        <v/>
      </c>
      <c r="K988" t="str">
        <f t="shared" si="281"/>
        <v>AS89</v>
      </c>
      <c r="L988" t="s">
        <v>2791</v>
      </c>
      <c r="M988" s="2">
        <v>1087</v>
      </c>
    </row>
    <row r="989" spans="1:13" x14ac:dyDescent="0.25">
      <c r="A989" t="str">
        <f t="shared" si="282"/>
        <v>E414</v>
      </c>
      <c r="B989">
        <v>1</v>
      </c>
      <c r="C989" t="str">
        <f t="shared" si="278"/>
        <v>43007</v>
      </c>
      <c r="D989" t="str">
        <f t="shared" si="277"/>
        <v>5740</v>
      </c>
      <c r="E989" t="str">
        <f t="shared" si="283"/>
        <v>850PKE</v>
      </c>
      <c r="F989" t="str">
        <f>""</f>
        <v/>
      </c>
      <c r="G989" t="str">
        <f>""</f>
        <v/>
      </c>
      <c r="H989" s="1">
        <v>42551</v>
      </c>
      <c r="I989" t="str">
        <f t="shared" si="280"/>
        <v>PRK00138</v>
      </c>
      <c r="J989" t="str">
        <f>""</f>
        <v/>
      </c>
      <c r="K989" t="str">
        <f t="shared" si="281"/>
        <v>AS89</v>
      </c>
      <c r="L989" t="s">
        <v>2790</v>
      </c>
      <c r="M989" s="2">
        <v>1087</v>
      </c>
    </row>
    <row r="990" spans="1:13" x14ac:dyDescent="0.25">
      <c r="A990" t="str">
        <f>"E705"</f>
        <v>E705</v>
      </c>
      <c r="B990">
        <v>1</v>
      </c>
      <c r="C990" t="str">
        <f t="shared" ref="C990:C1002" si="284">"78020"</f>
        <v>78020</v>
      </c>
      <c r="D990" t="str">
        <f t="shared" si="277"/>
        <v>5740</v>
      </c>
      <c r="E990" t="str">
        <f t="shared" ref="E990:E1002" si="285">"850GAR"</f>
        <v>850GAR</v>
      </c>
      <c r="F990" t="str">
        <f>""</f>
        <v/>
      </c>
      <c r="G990" t="str">
        <f>""</f>
        <v/>
      </c>
      <c r="H990" s="1">
        <v>42339</v>
      </c>
      <c r="I990" t="str">
        <f>"ACG02646"</f>
        <v>ACG02646</v>
      </c>
      <c r="J990" t="str">
        <f>""</f>
        <v/>
      </c>
      <c r="K990" t="str">
        <f t="shared" ref="K990:K1007" si="286">"AS96"</f>
        <v>AS96</v>
      </c>
      <c r="L990" t="s">
        <v>753</v>
      </c>
      <c r="M990" s="2">
        <v>120000</v>
      </c>
    </row>
    <row r="991" spans="1:13" x14ac:dyDescent="0.25">
      <c r="A991" t="str">
        <f t="shared" ref="A991:A1001" si="287">"E706"</f>
        <v>E706</v>
      </c>
      <c r="B991">
        <v>1</v>
      </c>
      <c r="C991" t="str">
        <f t="shared" si="284"/>
        <v>78020</v>
      </c>
      <c r="D991" t="str">
        <f t="shared" ref="D991:D999" si="288">"5620"</f>
        <v>5620</v>
      </c>
      <c r="E991" t="str">
        <f t="shared" si="285"/>
        <v>850GAR</v>
      </c>
      <c r="F991" t="str">
        <f>""</f>
        <v/>
      </c>
      <c r="G991" t="str">
        <f>""</f>
        <v/>
      </c>
      <c r="H991" s="1">
        <v>42186</v>
      </c>
      <c r="I991" t="str">
        <f>"ACG02572"</f>
        <v>ACG02572</v>
      </c>
      <c r="J991" t="str">
        <f>""</f>
        <v/>
      </c>
      <c r="K991" t="str">
        <f t="shared" si="286"/>
        <v>AS96</v>
      </c>
      <c r="L991" t="s">
        <v>2789</v>
      </c>
      <c r="M991" s="2">
        <v>6446.25</v>
      </c>
    </row>
    <row r="992" spans="1:13" x14ac:dyDescent="0.25">
      <c r="A992" t="str">
        <f t="shared" si="287"/>
        <v>E706</v>
      </c>
      <c r="B992">
        <v>1</v>
      </c>
      <c r="C992" t="str">
        <f t="shared" si="284"/>
        <v>78020</v>
      </c>
      <c r="D992" t="str">
        <f t="shared" si="288"/>
        <v>5620</v>
      </c>
      <c r="E992" t="str">
        <f t="shared" si="285"/>
        <v>850GAR</v>
      </c>
      <c r="F992" t="str">
        <f>""</f>
        <v/>
      </c>
      <c r="G992" t="str">
        <f>""</f>
        <v/>
      </c>
      <c r="H992" s="1">
        <v>42217</v>
      </c>
      <c r="I992" t="str">
        <f>"ACG02627"</f>
        <v>ACG02627</v>
      </c>
      <c r="J992" t="str">
        <f>""</f>
        <v/>
      </c>
      <c r="K992" t="str">
        <f t="shared" si="286"/>
        <v>AS96</v>
      </c>
      <c r="L992" t="s">
        <v>2788</v>
      </c>
      <c r="M992" s="2">
        <v>6446.25</v>
      </c>
    </row>
    <row r="993" spans="1:13" x14ac:dyDescent="0.25">
      <c r="A993" t="str">
        <f t="shared" si="287"/>
        <v>E706</v>
      </c>
      <c r="B993">
        <v>1</v>
      </c>
      <c r="C993" t="str">
        <f t="shared" si="284"/>
        <v>78020</v>
      </c>
      <c r="D993" t="str">
        <f t="shared" si="288"/>
        <v>5620</v>
      </c>
      <c r="E993" t="str">
        <f t="shared" si="285"/>
        <v>850GAR</v>
      </c>
      <c r="F993" t="str">
        <f>""</f>
        <v/>
      </c>
      <c r="G993" t="str">
        <f>""</f>
        <v/>
      </c>
      <c r="H993" s="1">
        <v>42248</v>
      </c>
      <c r="I993" t="str">
        <f>"ACG02631"</f>
        <v>ACG02631</v>
      </c>
      <c r="J993" t="str">
        <f>""</f>
        <v/>
      </c>
      <c r="K993" t="str">
        <f t="shared" si="286"/>
        <v>AS96</v>
      </c>
      <c r="L993" t="s">
        <v>2787</v>
      </c>
      <c r="M993" s="2">
        <v>6446.25</v>
      </c>
    </row>
    <row r="994" spans="1:13" x14ac:dyDescent="0.25">
      <c r="A994" t="str">
        <f t="shared" si="287"/>
        <v>E706</v>
      </c>
      <c r="B994">
        <v>1</v>
      </c>
      <c r="C994" t="str">
        <f t="shared" si="284"/>
        <v>78020</v>
      </c>
      <c r="D994" t="str">
        <f t="shared" si="288"/>
        <v>5620</v>
      </c>
      <c r="E994" t="str">
        <f t="shared" si="285"/>
        <v>850GAR</v>
      </c>
      <c r="F994" t="str">
        <f>""</f>
        <v/>
      </c>
      <c r="G994" t="str">
        <f>""</f>
        <v/>
      </c>
      <c r="H994" s="1">
        <v>42309</v>
      </c>
      <c r="I994" t="str">
        <f>"ACG02644"</f>
        <v>ACG02644</v>
      </c>
      <c r="J994" t="str">
        <f>""</f>
        <v/>
      </c>
      <c r="K994" t="str">
        <f t="shared" si="286"/>
        <v>AS96</v>
      </c>
      <c r="L994" t="s">
        <v>2786</v>
      </c>
      <c r="M994" s="2">
        <v>6446.25</v>
      </c>
    </row>
    <row r="995" spans="1:13" x14ac:dyDescent="0.25">
      <c r="A995" t="str">
        <f t="shared" si="287"/>
        <v>E706</v>
      </c>
      <c r="B995">
        <v>1</v>
      </c>
      <c r="C995" t="str">
        <f t="shared" si="284"/>
        <v>78020</v>
      </c>
      <c r="D995" t="str">
        <f t="shared" si="288"/>
        <v>5620</v>
      </c>
      <c r="E995" t="str">
        <f t="shared" si="285"/>
        <v>850GAR</v>
      </c>
      <c r="F995" t="str">
        <f>""</f>
        <v/>
      </c>
      <c r="G995" t="str">
        <f>""</f>
        <v/>
      </c>
      <c r="H995" s="1">
        <v>42309</v>
      </c>
      <c r="I995" t="str">
        <f>"ACG02644"</f>
        <v>ACG02644</v>
      </c>
      <c r="J995" t="str">
        <f>""</f>
        <v/>
      </c>
      <c r="K995" t="str">
        <f t="shared" si="286"/>
        <v>AS96</v>
      </c>
      <c r="L995" t="s">
        <v>2785</v>
      </c>
      <c r="M995" s="2">
        <v>6446.25</v>
      </c>
    </row>
    <row r="996" spans="1:13" x14ac:dyDescent="0.25">
      <c r="A996" t="str">
        <f t="shared" si="287"/>
        <v>E706</v>
      </c>
      <c r="B996">
        <v>1</v>
      </c>
      <c r="C996" t="str">
        <f t="shared" si="284"/>
        <v>78020</v>
      </c>
      <c r="D996" t="str">
        <f t="shared" si="288"/>
        <v>5620</v>
      </c>
      <c r="E996" t="str">
        <f t="shared" si="285"/>
        <v>850GAR</v>
      </c>
      <c r="F996" t="str">
        <f>""</f>
        <v/>
      </c>
      <c r="G996" t="str">
        <f>""</f>
        <v/>
      </c>
      <c r="H996" s="1">
        <v>42339</v>
      </c>
      <c r="I996" t="str">
        <f>"ACG02650"</f>
        <v>ACG02650</v>
      </c>
      <c r="J996" t="str">
        <f>""</f>
        <v/>
      </c>
      <c r="K996" t="str">
        <f t="shared" si="286"/>
        <v>AS96</v>
      </c>
      <c r="L996" t="s">
        <v>2784</v>
      </c>
      <c r="M996" s="2">
        <v>6046.25</v>
      </c>
    </row>
    <row r="997" spans="1:13" x14ac:dyDescent="0.25">
      <c r="A997" t="str">
        <f t="shared" si="287"/>
        <v>E706</v>
      </c>
      <c r="B997">
        <v>1</v>
      </c>
      <c r="C997" t="str">
        <f t="shared" si="284"/>
        <v>78020</v>
      </c>
      <c r="D997" t="str">
        <f t="shared" si="288"/>
        <v>5620</v>
      </c>
      <c r="E997" t="str">
        <f t="shared" si="285"/>
        <v>850GAR</v>
      </c>
      <c r="F997" t="str">
        <f>""</f>
        <v/>
      </c>
      <c r="G997" t="str">
        <f>""</f>
        <v/>
      </c>
      <c r="H997" s="1">
        <v>42370</v>
      </c>
      <c r="I997" t="str">
        <f>"ACG02665"</f>
        <v>ACG02665</v>
      </c>
      <c r="J997" t="str">
        <f>""</f>
        <v/>
      </c>
      <c r="K997" t="str">
        <f t="shared" si="286"/>
        <v>AS96</v>
      </c>
      <c r="L997" t="s">
        <v>2783</v>
      </c>
      <c r="M997" s="2">
        <v>8650.58</v>
      </c>
    </row>
    <row r="998" spans="1:13" x14ac:dyDescent="0.25">
      <c r="A998" t="str">
        <f t="shared" si="287"/>
        <v>E706</v>
      </c>
      <c r="B998">
        <v>1</v>
      </c>
      <c r="C998" t="str">
        <f t="shared" si="284"/>
        <v>78020</v>
      </c>
      <c r="D998" t="str">
        <f t="shared" si="288"/>
        <v>5620</v>
      </c>
      <c r="E998" t="str">
        <f t="shared" si="285"/>
        <v>850GAR</v>
      </c>
      <c r="F998" t="str">
        <f>""</f>
        <v/>
      </c>
      <c r="G998" t="str">
        <f>""</f>
        <v/>
      </c>
      <c r="H998" s="1">
        <v>42401</v>
      </c>
      <c r="I998" t="str">
        <f>"ACG02667"</f>
        <v>ACG02667</v>
      </c>
      <c r="J998" t="str">
        <f>""</f>
        <v/>
      </c>
      <c r="K998" t="str">
        <f t="shared" si="286"/>
        <v>AS96</v>
      </c>
      <c r="L998" t="s">
        <v>2782</v>
      </c>
      <c r="M998" s="2">
        <v>15999</v>
      </c>
    </row>
    <row r="999" spans="1:13" x14ac:dyDescent="0.25">
      <c r="A999" t="str">
        <f t="shared" si="287"/>
        <v>E706</v>
      </c>
      <c r="B999">
        <v>1</v>
      </c>
      <c r="C999" t="str">
        <f t="shared" si="284"/>
        <v>78020</v>
      </c>
      <c r="D999" t="str">
        <f t="shared" si="288"/>
        <v>5620</v>
      </c>
      <c r="E999" t="str">
        <f t="shared" si="285"/>
        <v>850GAR</v>
      </c>
      <c r="F999" t="str">
        <f>""</f>
        <v/>
      </c>
      <c r="G999" t="str">
        <f>""</f>
        <v/>
      </c>
      <c r="H999" s="1">
        <v>42430</v>
      </c>
      <c r="I999" t="str">
        <f>"ACG02671"</f>
        <v>ACG02671</v>
      </c>
      <c r="J999" t="str">
        <f>""</f>
        <v/>
      </c>
      <c r="K999" t="str">
        <f t="shared" si="286"/>
        <v>AS96</v>
      </c>
      <c r="L999" t="s">
        <v>2781</v>
      </c>
      <c r="M999" s="2">
        <v>5581.67</v>
      </c>
    </row>
    <row r="1000" spans="1:13" x14ac:dyDescent="0.25">
      <c r="A1000" t="str">
        <f t="shared" si="287"/>
        <v>E706</v>
      </c>
      <c r="B1000">
        <v>1</v>
      </c>
      <c r="C1000" t="str">
        <f t="shared" si="284"/>
        <v>78020</v>
      </c>
      <c r="D1000" t="str">
        <f>"5740"</f>
        <v>5740</v>
      </c>
      <c r="E1000" t="str">
        <f t="shared" si="285"/>
        <v>850GAR</v>
      </c>
      <c r="F1000" t="str">
        <f>""</f>
        <v/>
      </c>
      <c r="G1000" t="str">
        <f>""</f>
        <v/>
      </c>
      <c r="H1000" s="1">
        <v>42551</v>
      </c>
      <c r="I1000" t="str">
        <f>"ACG02705"</f>
        <v>ACG02705</v>
      </c>
      <c r="J1000" t="str">
        <f>""</f>
        <v/>
      </c>
      <c r="K1000" t="str">
        <f t="shared" si="286"/>
        <v>AS96</v>
      </c>
      <c r="L1000" t="s">
        <v>2780</v>
      </c>
      <c r="M1000" s="2">
        <v>8870.23</v>
      </c>
    </row>
    <row r="1001" spans="1:13" x14ac:dyDescent="0.25">
      <c r="A1001" t="str">
        <f t="shared" si="287"/>
        <v>E706</v>
      </c>
      <c r="B1001">
        <v>1</v>
      </c>
      <c r="C1001" t="str">
        <f t="shared" si="284"/>
        <v>78020</v>
      </c>
      <c r="D1001" t="str">
        <f>"5740"</f>
        <v>5740</v>
      </c>
      <c r="E1001" t="str">
        <f t="shared" si="285"/>
        <v>850GAR</v>
      </c>
      <c r="F1001" t="str">
        <f>""</f>
        <v/>
      </c>
      <c r="G1001" t="str">
        <f>""</f>
        <v/>
      </c>
      <c r="H1001" s="1">
        <v>42551</v>
      </c>
      <c r="I1001" t="str">
        <f>"ACG02705"</f>
        <v>ACG02705</v>
      </c>
      <c r="J1001" t="str">
        <f>""</f>
        <v/>
      </c>
      <c r="K1001" t="str">
        <f t="shared" si="286"/>
        <v>AS96</v>
      </c>
      <c r="L1001" t="s">
        <v>2779</v>
      </c>
      <c r="M1001" s="2">
        <v>23905.759999999998</v>
      </c>
    </row>
    <row r="1002" spans="1:13" x14ac:dyDescent="0.25">
      <c r="A1002" t="str">
        <f>"E707"</f>
        <v>E707</v>
      </c>
      <c r="B1002">
        <v>1</v>
      </c>
      <c r="C1002" t="str">
        <f t="shared" si="284"/>
        <v>78020</v>
      </c>
      <c r="D1002" t="str">
        <f>"5740"</f>
        <v>5740</v>
      </c>
      <c r="E1002" t="str">
        <f t="shared" si="285"/>
        <v>850GAR</v>
      </c>
      <c r="F1002" t="str">
        <f>""</f>
        <v/>
      </c>
      <c r="G1002" t="str">
        <f>""</f>
        <v/>
      </c>
      <c r="H1002" s="1">
        <v>42551</v>
      </c>
      <c r="I1002" t="str">
        <f>"ACG02705"</f>
        <v>ACG02705</v>
      </c>
      <c r="J1002" t="str">
        <f>""</f>
        <v/>
      </c>
      <c r="K1002" t="str">
        <f t="shared" si="286"/>
        <v>AS96</v>
      </c>
      <c r="L1002" t="s">
        <v>2778</v>
      </c>
      <c r="M1002" s="2">
        <v>8615.5</v>
      </c>
    </row>
    <row r="1003" spans="1:13" x14ac:dyDescent="0.25">
      <c r="A1003" t="str">
        <f>"E821"</f>
        <v>E821</v>
      </c>
      <c r="B1003">
        <v>1</v>
      </c>
      <c r="C1003" t="str">
        <f>"23275"</f>
        <v>23275</v>
      </c>
      <c r="D1003" t="str">
        <f>"5620"</f>
        <v>5620</v>
      </c>
      <c r="E1003" t="str">
        <f>"063STF"</f>
        <v>063STF</v>
      </c>
      <c r="F1003" t="str">
        <f>""</f>
        <v/>
      </c>
      <c r="G1003" t="str">
        <f>""</f>
        <v/>
      </c>
      <c r="H1003" s="1">
        <v>42370</v>
      </c>
      <c r="I1003" t="str">
        <f>"SFS00158"</f>
        <v>SFS00158</v>
      </c>
      <c r="J1003" t="str">
        <f>""</f>
        <v/>
      </c>
      <c r="K1003" t="str">
        <f t="shared" si="286"/>
        <v>AS96</v>
      </c>
      <c r="L1003" t="s">
        <v>2777</v>
      </c>
      <c r="M1003">
        <v>277.83</v>
      </c>
    </row>
    <row r="1004" spans="1:13" x14ac:dyDescent="0.25">
      <c r="A1004" t="str">
        <f>"E821"</f>
        <v>E821</v>
      </c>
      <c r="B1004">
        <v>1</v>
      </c>
      <c r="C1004" t="str">
        <f>"23275"</f>
        <v>23275</v>
      </c>
      <c r="D1004" t="str">
        <f>"5620"</f>
        <v>5620</v>
      </c>
      <c r="E1004" t="str">
        <f>"063STF"</f>
        <v>063STF</v>
      </c>
      <c r="F1004" t="str">
        <f>""</f>
        <v/>
      </c>
      <c r="G1004" t="str">
        <f>""</f>
        <v/>
      </c>
      <c r="H1004" s="1">
        <v>42467</v>
      </c>
      <c r="I1004" t="str">
        <f>"SFS00162"</f>
        <v>SFS00162</v>
      </c>
      <c r="J1004" t="str">
        <f>""</f>
        <v/>
      </c>
      <c r="K1004" t="str">
        <f t="shared" si="286"/>
        <v>AS96</v>
      </c>
      <c r="L1004" t="s">
        <v>2775</v>
      </c>
      <c r="M1004">
        <v>180.43</v>
      </c>
    </row>
    <row r="1005" spans="1:13" x14ac:dyDescent="0.25">
      <c r="A1005" t="str">
        <f>"E821"</f>
        <v>E821</v>
      </c>
      <c r="B1005">
        <v>1</v>
      </c>
      <c r="C1005" t="str">
        <f>"23275"</f>
        <v>23275</v>
      </c>
      <c r="D1005" t="str">
        <f>"5620"</f>
        <v>5620</v>
      </c>
      <c r="E1005" t="str">
        <f>"063STF"</f>
        <v>063STF</v>
      </c>
      <c r="F1005" t="str">
        <f>""</f>
        <v/>
      </c>
      <c r="G1005" t="str">
        <f>""</f>
        <v/>
      </c>
      <c r="H1005" s="1">
        <v>42551</v>
      </c>
      <c r="I1005" t="str">
        <f>"SFS00163"</f>
        <v>SFS00163</v>
      </c>
      <c r="J1005" t="str">
        <f>""</f>
        <v/>
      </c>
      <c r="K1005" t="str">
        <f t="shared" si="286"/>
        <v>AS96</v>
      </c>
      <c r="L1005" t="s">
        <v>2776</v>
      </c>
      <c r="M1005">
        <v>146.07</v>
      </c>
    </row>
    <row r="1006" spans="1:13" x14ac:dyDescent="0.25">
      <c r="A1006" t="str">
        <f>"E821"</f>
        <v>E821</v>
      </c>
      <c r="B1006">
        <v>1</v>
      </c>
      <c r="C1006" t="str">
        <f>"43000"</f>
        <v>43000</v>
      </c>
      <c r="D1006" t="str">
        <f>"5620"</f>
        <v>5620</v>
      </c>
      <c r="E1006" t="str">
        <f>"850LOS"</f>
        <v>850LOS</v>
      </c>
      <c r="F1006" t="str">
        <f>""</f>
        <v/>
      </c>
      <c r="G1006" t="str">
        <f>""</f>
        <v/>
      </c>
      <c r="H1006" s="1">
        <v>42467</v>
      </c>
      <c r="I1006" t="str">
        <f>"SFS00162"</f>
        <v>SFS00162</v>
      </c>
      <c r="J1006" t="str">
        <f>""</f>
        <v/>
      </c>
      <c r="K1006" t="str">
        <f t="shared" si="286"/>
        <v>AS96</v>
      </c>
      <c r="L1006" t="s">
        <v>2775</v>
      </c>
      <c r="M1006" s="2">
        <v>1240.56</v>
      </c>
    </row>
    <row r="1007" spans="1:13" x14ac:dyDescent="0.25">
      <c r="A1007" t="str">
        <f>"E821"</f>
        <v>E821</v>
      </c>
      <c r="B1007">
        <v>1</v>
      </c>
      <c r="C1007" t="str">
        <f>"43000"</f>
        <v>43000</v>
      </c>
      <c r="D1007" t="str">
        <f>"5740"</f>
        <v>5740</v>
      </c>
      <c r="E1007" t="str">
        <f>"850LOS"</f>
        <v>850LOS</v>
      </c>
      <c r="F1007" t="str">
        <f>""</f>
        <v/>
      </c>
      <c r="G1007" t="str">
        <f>""</f>
        <v/>
      </c>
      <c r="H1007" s="1">
        <v>42535</v>
      </c>
      <c r="I1007" t="str">
        <f>"ACG02686"</f>
        <v>ACG02686</v>
      </c>
      <c r="J1007" t="str">
        <f>"SFS00162"</f>
        <v>SFS00162</v>
      </c>
      <c r="K1007" t="str">
        <f t="shared" si="286"/>
        <v>AS96</v>
      </c>
      <c r="L1007" t="s">
        <v>2775</v>
      </c>
      <c r="M1007" s="2">
        <v>1240.56</v>
      </c>
    </row>
  </sheetData>
  <autoFilter ref="A1:M1007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0.140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"E055"</f>
        <v>E055</v>
      </c>
      <c r="B2">
        <v>1</v>
      </c>
      <c r="C2" t="str">
        <f>"16600"</f>
        <v>16600</v>
      </c>
      <c r="D2" t="str">
        <f>"5620"</f>
        <v>5620</v>
      </c>
      <c r="E2" t="str">
        <f>"094OMS"</f>
        <v>094OMS</v>
      </c>
      <c r="F2" t="str">
        <f>""</f>
        <v/>
      </c>
      <c r="G2" t="str">
        <f>""</f>
        <v/>
      </c>
      <c r="H2" s="1">
        <v>42594</v>
      </c>
      <c r="I2" t="str">
        <f>"I0136136"</f>
        <v>I0136136</v>
      </c>
      <c r="J2" t="str">
        <f>""</f>
        <v/>
      </c>
      <c r="K2" t="str">
        <f>"INNI"</f>
        <v>INNI</v>
      </c>
      <c r="L2" t="s">
        <v>1996</v>
      </c>
      <c r="M2" s="2">
        <v>3950</v>
      </c>
    </row>
    <row r="3" spans="1:13" x14ac:dyDescent="0.25">
      <c r="A3" t="str">
        <f>"E111"</f>
        <v>E111</v>
      </c>
      <c r="B3">
        <v>1</v>
      </c>
      <c r="C3" t="str">
        <f>"23275"</f>
        <v>23275</v>
      </c>
      <c r="D3" t="str">
        <f>"5741"</f>
        <v>5741</v>
      </c>
      <c r="E3" t="str">
        <f>"063STF"</f>
        <v>063STF</v>
      </c>
      <c r="F3" t="str">
        <f>""</f>
        <v/>
      </c>
      <c r="G3" t="str">
        <f>""</f>
        <v/>
      </c>
      <c r="H3" s="1">
        <v>42643</v>
      </c>
      <c r="I3" t="str">
        <f>"PCD00802"</f>
        <v>PCD00802</v>
      </c>
      <c r="J3" t="str">
        <f>""</f>
        <v/>
      </c>
      <c r="K3" t="str">
        <f>"AS89"</f>
        <v>AS89</v>
      </c>
      <c r="L3" t="s">
        <v>3167</v>
      </c>
      <c r="M3">
        <v>116.04</v>
      </c>
    </row>
    <row r="4" spans="1:13" x14ac:dyDescent="0.25">
      <c r="A4" t="str">
        <f>"E111"</f>
        <v>E111</v>
      </c>
      <c r="B4">
        <v>1</v>
      </c>
      <c r="C4" t="str">
        <f>"43000"</f>
        <v>43000</v>
      </c>
      <c r="D4" t="str">
        <f>"5620"</f>
        <v>5620</v>
      </c>
      <c r="E4" t="str">
        <f>"850PKE"</f>
        <v>850PKE</v>
      </c>
      <c r="F4" t="str">
        <f>""</f>
        <v/>
      </c>
      <c r="G4" t="str">
        <f>""</f>
        <v/>
      </c>
      <c r="H4" s="1">
        <v>42653</v>
      </c>
      <c r="I4" t="str">
        <f>"K0052977"</f>
        <v>K0052977</v>
      </c>
      <c r="J4" t="str">
        <f>"10837539"</f>
        <v>10837539</v>
      </c>
      <c r="K4" t="str">
        <f>"MR89"</f>
        <v>MR89</v>
      </c>
      <c r="L4" t="s">
        <v>3166</v>
      </c>
      <c r="M4">
        <v>644.35</v>
      </c>
    </row>
    <row r="5" spans="1:13" x14ac:dyDescent="0.25">
      <c r="A5" t="str">
        <f>"E111"</f>
        <v>E111</v>
      </c>
      <c r="B5">
        <v>1</v>
      </c>
      <c r="C5" t="str">
        <f>"43000"</f>
        <v>43000</v>
      </c>
      <c r="D5" t="str">
        <f>"5740"</f>
        <v>5740</v>
      </c>
      <c r="E5" t="str">
        <f>"850LOS"</f>
        <v>850LOS</v>
      </c>
      <c r="F5" t="str">
        <f>""</f>
        <v/>
      </c>
      <c r="G5" t="str">
        <f>""</f>
        <v/>
      </c>
      <c r="H5" s="1">
        <v>42613</v>
      </c>
      <c r="I5" t="str">
        <f>"PCD00798"</f>
        <v>PCD00798</v>
      </c>
      <c r="J5" t="str">
        <f>""</f>
        <v/>
      </c>
      <c r="K5" t="str">
        <f>"AS89"</f>
        <v>AS89</v>
      </c>
      <c r="L5" t="s">
        <v>3165</v>
      </c>
      <c r="M5">
        <v>683.77</v>
      </c>
    </row>
    <row r="6" spans="1:13" x14ac:dyDescent="0.25">
      <c r="A6" t="str">
        <f>"E116"</f>
        <v>E116</v>
      </c>
      <c r="B6">
        <v>1</v>
      </c>
      <c r="C6" t="str">
        <f>"43000"</f>
        <v>43000</v>
      </c>
      <c r="D6" t="str">
        <f>"5740"</f>
        <v>5740</v>
      </c>
      <c r="E6" t="str">
        <f>"850LOS"</f>
        <v>850LOS</v>
      </c>
      <c r="F6" t="str">
        <f>""</f>
        <v/>
      </c>
      <c r="G6" t="str">
        <f>""</f>
        <v/>
      </c>
      <c r="H6" s="1">
        <v>42593</v>
      </c>
      <c r="I6" t="str">
        <f>"I0136040"</f>
        <v>I0136040</v>
      </c>
      <c r="J6" t="str">
        <f>"P1003066"</f>
        <v>P1003066</v>
      </c>
      <c r="K6" t="str">
        <f>"INEI"</f>
        <v>INEI</v>
      </c>
      <c r="L6" t="s">
        <v>2851</v>
      </c>
      <c r="M6" s="2">
        <v>1004.13</v>
      </c>
    </row>
    <row r="7" spans="1:13" x14ac:dyDescent="0.25">
      <c r="A7" t="str">
        <f>"E117"</f>
        <v>E117</v>
      </c>
      <c r="B7">
        <v>1</v>
      </c>
      <c r="C7" t="str">
        <f>"16600"</f>
        <v>16600</v>
      </c>
      <c r="D7" t="str">
        <f t="shared" ref="D7:D12" si="0">"5620"</f>
        <v>5620</v>
      </c>
      <c r="E7" t="str">
        <f>"094OMS"</f>
        <v>094OMS</v>
      </c>
      <c r="F7" t="str">
        <f>""</f>
        <v/>
      </c>
      <c r="G7" t="str">
        <f>""</f>
        <v/>
      </c>
      <c r="H7" s="1">
        <v>42664</v>
      </c>
      <c r="I7" t="str">
        <f>"I0139669"</f>
        <v>I0139669</v>
      </c>
      <c r="J7" t="str">
        <f>"P1004031"</f>
        <v>P1004031</v>
      </c>
      <c r="K7" t="str">
        <f>"INEI"</f>
        <v>INEI</v>
      </c>
      <c r="L7" t="s">
        <v>2835</v>
      </c>
      <c r="M7">
        <v>140.47</v>
      </c>
    </row>
    <row r="8" spans="1:13" x14ac:dyDescent="0.25">
      <c r="A8" t="str">
        <f t="shared" ref="A8:A23" si="1">"E131"</f>
        <v>E131</v>
      </c>
      <c r="B8">
        <v>1</v>
      </c>
      <c r="C8" t="str">
        <f>"16600"</f>
        <v>16600</v>
      </c>
      <c r="D8" t="str">
        <f t="shared" si="0"/>
        <v>5620</v>
      </c>
      <c r="E8" t="str">
        <f>"094OMS"</f>
        <v>094OMS</v>
      </c>
      <c r="F8" t="str">
        <f>""</f>
        <v/>
      </c>
      <c r="G8" t="str">
        <f>""</f>
        <v/>
      </c>
      <c r="H8" s="1">
        <v>42582</v>
      </c>
      <c r="I8" t="str">
        <f>"TEL00664"</f>
        <v>TEL00664</v>
      </c>
      <c r="J8" t="str">
        <f>""</f>
        <v/>
      </c>
      <c r="K8" t="str">
        <f t="shared" ref="K8:K27" si="2">"AS89"</f>
        <v>AS89</v>
      </c>
      <c r="L8" t="s">
        <v>3142</v>
      </c>
      <c r="M8">
        <v>136.47999999999999</v>
      </c>
    </row>
    <row r="9" spans="1:13" x14ac:dyDescent="0.25">
      <c r="A9" t="str">
        <f t="shared" si="1"/>
        <v>E131</v>
      </c>
      <c r="B9">
        <v>1</v>
      </c>
      <c r="C9" t="str">
        <f>"16600"</f>
        <v>16600</v>
      </c>
      <c r="D9" t="str">
        <f t="shared" si="0"/>
        <v>5620</v>
      </c>
      <c r="E9" t="str">
        <f>"094OMS"</f>
        <v>094OMS</v>
      </c>
      <c r="F9" t="str">
        <f>""</f>
        <v/>
      </c>
      <c r="G9" t="str">
        <f>""</f>
        <v/>
      </c>
      <c r="H9" s="1">
        <v>42613</v>
      </c>
      <c r="I9" t="str">
        <f>"TEL00665"</f>
        <v>TEL00665</v>
      </c>
      <c r="J9" t="str">
        <f>""</f>
        <v/>
      </c>
      <c r="K9" t="str">
        <f t="shared" si="2"/>
        <v>AS89</v>
      </c>
      <c r="L9" t="s">
        <v>3141</v>
      </c>
      <c r="M9">
        <v>128.96</v>
      </c>
    </row>
    <row r="10" spans="1:13" x14ac:dyDescent="0.25">
      <c r="A10" t="str">
        <f t="shared" si="1"/>
        <v>E131</v>
      </c>
      <c r="B10">
        <v>1</v>
      </c>
      <c r="C10" t="str">
        <f>"16600"</f>
        <v>16600</v>
      </c>
      <c r="D10" t="str">
        <f t="shared" si="0"/>
        <v>5620</v>
      </c>
      <c r="E10" t="str">
        <f>"094OMS"</f>
        <v>094OMS</v>
      </c>
      <c r="F10" t="str">
        <f>""</f>
        <v/>
      </c>
      <c r="G10" t="str">
        <f>""</f>
        <v/>
      </c>
      <c r="H10" s="1">
        <v>42643</v>
      </c>
      <c r="I10" t="str">
        <f>"PCD00802"</f>
        <v>PCD00802</v>
      </c>
      <c r="J10" t="str">
        <f>""</f>
        <v/>
      </c>
      <c r="K10" t="str">
        <f t="shared" si="2"/>
        <v>AS89</v>
      </c>
      <c r="L10" t="s">
        <v>3164</v>
      </c>
      <c r="M10">
        <v>116.44</v>
      </c>
    </row>
    <row r="11" spans="1:13" x14ac:dyDescent="0.25">
      <c r="A11" t="str">
        <f t="shared" si="1"/>
        <v>E131</v>
      </c>
      <c r="B11">
        <v>1</v>
      </c>
      <c r="C11" t="str">
        <f>"16600"</f>
        <v>16600</v>
      </c>
      <c r="D11" t="str">
        <f t="shared" si="0"/>
        <v>5620</v>
      </c>
      <c r="E11" t="str">
        <f>"094OMS"</f>
        <v>094OMS</v>
      </c>
      <c r="F11" t="str">
        <f>""</f>
        <v/>
      </c>
      <c r="G11" t="str">
        <f>""</f>
        <v/>
      </c>
      <c r="H11" s="1">
        <v>42643</v>
      </c>
      <c r="I11" t="str">
        <f>"TEL00666"</f>
        <v>TEL00666</v>
      </c>
      <c r="J11" t="str">
        <f>""</f>
        <v/>
      </c>
      <c r="K11" t="str">
        <f t="shared" si="2"/>
        <v>AS89</v>
      </c>
      <c r="L11" t="s">
        <v>3140</v>
      </c>
      <c r="M11">
        <v>163.03</v>
      </c>
    </row>
    <row r="12" spans="1:13" x14ac:dyDescent="0.25">
      <c r="A12" t="str">
        <f t="shared" si="1"/>
        <v>E131</v>
      </c>
      <c r="B12">
        <v>1</v>
      </c>
      <c r="C12" t="str">
        <f>"23275"</f>
        <v>23275</v>
      </c>
      <c r="D12" t="str">
        <f t="shared" si="0"/>
        <v>5620</v>
      </c>
      <c r="E12" t="str">
        <f>"063STF"</f>
        <v>063STF</v>
      </c>
      <c r="F12" t="str">
        <f>""</f>
        <v/>
      </c>
      <c r="G12" t="str">
        <f>""</f>
        <v/>
      </c>
      <c r="H12" s="1">
        <v>42582</v>
      </c>
      <c r="I12" t="str">
        <f>"TEL00664"</f>
        <v>TEL00664</v>
      </c>
      <c r="J12" t="str">
        <f>""</f>
        <v/>
      </c>
      <c r="K12" t="str">
        <f t="shared" si="2"/>
        <v>AS89</v>
      </c>
      <c r="L12" t="s">
        <v>3142</v>
      </c>
      <c r="M12">
        <v>179.78</v>
      </c>
    </row>
    <row r="13" spans="1:13" x14ac:dyDescent="0.25">
      <c r="A13" t="str">
        <f t="shared" si="1"/>
        <v>E131</v>
      </c>
      <c r="B13">
        <v>1</v>
      </c>
      <c r="C13" t="str">
        <f>"23275"</f>
        <v>23275</v>
      </c>
      <c r="D13" t="str">
        <f>"5741"</f>
        <v>5741</v>
      </c>
      <c r="E13" t="str">
        <f>"063STF"</f>
        <v>063STF</v>
      </c>
      <c r="F13" t="str">
        <f>""</f>
        <v/>
      </c>
      <c r="G13" t="str">
        <f>""</f>
        <v/>
      </c>
      <c r="H13" s="1">
        <v>42613</v>
      </c>
      <c r="I13" t="str">
        <f>"TEL00665"</f>
        <v>TEL00665</v>
      </c>
      <c r="J13" t="str">
        <f>""</f>
        <v/>
      </c>
      <c r="K13" t="str">
        <f t="shared" si="2"/>
        <v>AS89</v>
      </c>
      <c r="L13" t="s">
        <v>3141</v>
      </c>
      <c r="M13">
        <v>138.80000000000001</v>
      </c>
    </row>
    <row r="14" spans="1:13" x14ac:dyDescent="0.25">
      <c r="A14" t="str">
        <f t="shared" si="1"/>
        <v>E131</v>
      </c>
      <c r="B14">
        <v>1</v>
      </c>
      <c r="C14" t="str">
        <f>"23275"</f>
        <v>23275</v>
      </c>
      <c r="D14" t="str">
        <f>"5741"</f>
        <v>5741</v>
      </c>
      <c r="E14" t="str">
        <f>"063STF"</f>
        <v>063STF</v>
      </c>
      <c r="F14" t="str">
        <f>""</f>
        <v/>
      </c>
      <c r="G14" t="str">
        <f>""</f>
        <v/>
      </c>
      <c r="H14" s="1">
        <v>42643</v>
      </c>
      <c r="I14" t="str">
        <f>"TEL00666"</f>
        <v>TEL00666</v>
      </c>
      <c r="J14" t="str">
        <f>""</f>
        <v/>
      </c>
      <c r="K14" t="str">
        <f t="shared" si="2"/>
        <v>AS89</v>
      </c>
      <c r="L14" t="s">
        <v>3140</v>
      </c>
      <c r="M14">
        <v>146</v>
      </c>
    </row>
    <row r="15" spans="1:13" x14ac:dyDescent="0.25">
      <c r="A15" t="str">
        <f t="shared" si="1"/>
        <v>E131</v>
      </c>
      <c r="B15">
        <v>1</v>
      </c>
      <c r="C15" t="str">
        <f t="shared" ref="C15:C20" si="3">"43000"</f>
        <v>43000</v>
      </c>
      <c r="D15" t="str">
        <f t="shared" ref="D15:D20" si="4">"5740"</f>
        <v>5740</v>
      </c>
      <c r="E15" t="str">
        <f t="shared" ref="E15:E20" si="5">"850LOS"</f>
        <v>850LOS</v>
      </c>
      <c r="F15" t="str">
        <f>""</f>
        <v/>
      </c>
      <c r="G15" t="str">
        <f>""</f>
        <v/>
      </c>
      <c r="H15" s="1">
        <v>42582</v>
      </c>
      <c r="I15" t="str">
        <f>"TEL00664"</f>
        <v>TEL00664</v>
      </c>
      <c r="J15" t="str">
        <f>""</f>
        <v/>
      </c>
      <c r="K15" t="str">
        <f t="shared" si="2"/>
        <v>AS89</v>
      </c>
      <c r="L15" t="s">
        <v>3142</v>
      </c>
      <c r="M15">
        <v>461.55</v>
      </c>
    </row>
    <row r="16" spans="1:13" x14ac:dyDescent="0.25">
      <c r="A16" t="str">
        <f t="shared" si="1"/>
        <v>E131</v>
      </c>
      <c r="B16">
        <v>1</v>
      </c>
      <c r="C16" t="str">
        <f t="shared" si="3"/>
        <v>43000</v>
      </c>
      <c r="D16" t="str">
        <f t="shared" si="4"/>
        <v>5740</v>
      </c>
      <c r="E16" t="str">
        <f t="shared" si="5"/>
        <v>850LOS</v>
      </c>
      <c r="F16" t="str">
        <f>""</f>
        <v/>
      </c>
      <c r="G16" t="str">
        <f>""</f>
        <v/>
      </c>
      <c r="H16" s="1">
        <v>42583</v>
      </c>
      <c r="I16" t="str">
        <f>"PCD00796"</f>
        <v>PCD00796</v>
      </c>
      <c r="J16" t="str">
        <f>""</f>
        <v/>
      </c>
      <c r="K16" t="str">
        <f t="shared" si="2"/>
        <v>AS89</v>
      </c>
      <c r="L16" t="s">
        <v>3163</v>
      </c>
      <c r="M16" s="2">
        <v>1696.51</v>
      </c>
    </row>
    <row r="17" spans="1:13" x14ac:dyDescent="0.25">
      <c r="A17" t="str">
        <f t="shared" si="1"/>
        <v>E131</v>
      </c>
      <c r="B17">
        <v>1</v>
      </c>
      <c r="C17" t="str">
        <f t="shared" si="3"/>
        <v>43000</v>
      </c>
      <c r="D17" t="str">
        <f t="shared" si="4"/>
        <v>5740</v>
      </c>
      <c r="E17" t="str">
        <f t="shared" si="5"/>
        <v>850LOS</v>
      </c>
      <c r="F17" t="str">
        <f>""</f>
        <v/>
      </c>
      <c r="G17" t="str">
        <f>""</f>
        <v/>
      </c>
      <c r="H17" s="1">
        <v>42612</v>
      </c>
      <c r="I17" t="str">
        <f>"PCD00797"</f>
        <v>PCD00797</v>
      </c>
      <c r="J17" t="str">
        <f>""</f>
        <v/>
      </c>
      <c r="K17" t="str">
        <f t="shared" si="2"/>
        <v>AS89</v>
      </c>
      <c r="L17" t="s">
        <v>3162</v>
      </c>
      <c r="M17">
        <v>829.99</v>
      </c>
    </row>
    <row r="18" spans="1:13" x14ac:dyDescent="0.25">
      <c r="A18" t="str">
        <f t="shared" si="1"/>
        <v>E131</v>
      </c>
      <c r="B18">
        <v>1</v>
      </c>
      <c r="C18" t="str">
        <f t="shared" si="3"/>
        <v>43000</v>
      </c>
      <c r="D18" t="str">
        <f t="shared" si="4"/>
        <v>5740</v>
      </c>
      <c r="E18" t="str">
        <f t="shared" si="5"/>
        <v>850LOS</v>
      </c>
      <c r="F18" t="str">
        <f>""</f>
        <v/>
      </c>
      <c r="G18" t="str">
        <f>""</f>
        <v/>
      </c>
      <c r="H18" s="1">
        <v>42613</v>
      </c>
      <c r="I18" t="str">
        <f>"TEL00665"</f>
        <v>TEL00665</v>
      </c>
      <c r="J18" t="str">
        <f>""</f>
        <v/>
      </c>
      <c r="K18" t="str">
        <f t="shared" si="2"/>
        <v>AS89</v>
      </c>
      <c r="L18" t="s">
        <v>3141</v>
      </c>
      <c r="M18">
        <v>461.6</v>
      </c>
    </row>
    <row r="19" spans="1:13" x14ac:dyDescent="0.25">
      <c r="A19" t="str">
        <f t="shared" si="1"/>
        <v>E131</v>
      </c>
      <c r="B19">
        <v>1</v>
      </c>
      <c r="C19" t="str">
        <f t="shared" si="3"/>
        <v>43000</v>
      </c>
      <c r="D19" t="str">
        <f t="shared" si="4"/>
        <v>5740</v>
      </c>
      <c r="E19" t="str">
        <f t="shared" si="5"/>
        <v>850LOS</v>
      </c>
      <c r="F19" t="str">
        <f>""</f>
        <v/>
      </c>
      <c r="G19" t="str">
        <f>""</f>
        <v/>
      </c>
      <c r="H19" s="1">
        <v>42643</v>
      </c>
      <c r="I19" t="str">
        <f>"PCD00802"</f>
        <v>PCD00802</v>
      </c>
      <c r="J19" t="str">
        <f>""</f>
        <v/>
      </c>
      <c r="K19" t="str">
        <f t="shared" si="2"/>
        <v>AS89</v>
      </c>
      <c r="L19" t="s">
        <v>3161</v>
      </c>
      <c r="M19">
        <v>714.37</v>
      </c>
    </row>
    <row r="20" spans="1:13" x14ac:dyDescent="0.25">
      <c r="A20" t="str">
        <f t="shared" si="1"/>
        <v>E131</v>
      </c>
      <c r="B20">
        <v>1</v>
      </c>
      <c r="C20" t="str">
        <f t="shared" si="3"/>
        <v>43000</v>
      </c>
      <c r="D20" t="str">
        <f t="shared" si="4"/>
        <v>5740</v>
      </c>
      <c r="E20" t="str">
        <f t="shared" si="5"/>
        <v>850LOS</v>
      </c>
      <c r="F20" t="str">
        <f>""</f>
        <v/>
      </c>
      <c r="G20" t="str">
        <f>""</f>
        <v/>
      </c>
      <c r="H20" s="1">
        <v>42643</v>
      </c>
      <c r="I20" t="str">
        <f>"TEL00666"</f>
        <v>TEL00666</v>
      </c>
      <c r="J20" t="str">
        <f>""</f>
        <v/>
      </c>
      <c r="K20" t="str">
        <f t="shared" si="2"/>
        <v>AS89</v>
      </c>
      <c r="L20" t="s">
        <v>3140</v>
      </c>
      <c r="M20">
        <v>469.77</v>
      </c>
    </row>
    <row r="21" spans="1:13" x14ac:dyDescent="0.25">
      <c r="A21" t="str">
        <f t="shared" si="1"/>
        <v>E131</v>
      </c>
      <c r="B21">
        <v>1</v>
      </c>
      <c r="C21" t="str">
        <f>"43004"</f>
        <v>43004</v>
      </c>
      <c r="D21" t="str">
        <f>"5741"</f>
        <v>5741</v>
      </c>
      <c r="E21" t="str">
        <f>"850ALT"</f>
        <v>850ALT</v>
      </c>
      <c r="F21" t="str">
        <f>""</f>
        <v/>
      </c>
      <c r="G21" t="str">
        <f>""</f>
        <v/>
      </c>
      <c r="H21" s="1">
        <v>42582</v>
      </c>
      <c r="I21" t="str">
        <f>"TEL00664"</f>
        <v>TEL00664</v>
      </c>
      <c r="J21" t="str">
        <f>""</f>
        <v/>
      </c>
      <c r="K21" t="str">
        <f t="shared" si="2"/>
        <v>AS89</v>
      </c>
      <c r="L21" t="s">
        <v>3142</v>
      </c>
      <c r="M21">
        <v>321.27999999999997</v>
      </c>
    </row>
    <row r="22" spans="1:13" x14ac:dyDescent="0.25">
      <c r="A22" t="str">
        <f t="shared" si="1"/>
        <v>E131</v>
      </c>
      <c r="B22">
        <v>1</v>
      </c>
      <c r="C22" t="str">
        <f>"43004"</f>
        <v>43004</v>
      </c>
      <c r="D22" t="str">
        <f>"5741"</f>
        <v>5741</v>
      </c>
      <c r="E22" t="str">
        <f>"850ALT"</f>
        <v>850ALT</v>
      </c>
      <c r="F22" t="str">
        <f>""</f>
        <v/>
      </c>
      <c r="G22" t="str">
        <f>""</f>
        <v/>
      </c>
      <c r="H22" s="1">
        <v>42613</v>
      </c>
      <c r="I22" t="str">
        <f>"TEL00665"</f>
        <v>TEL00665</v>
      </c>
      <c r="J22" t="str">
        <f>""</f>
        <v/>
      </c>
      <c r="K22" t="str">
        <f t="shared" si="2"/>
        <v>AS89</v>
      </c>
      <c r="L22" t="s">
        <v>3141</v>
      </c>
      <c r="M22">
        <v>124.72</v>
      </c>
    </row>
    <row r="23" spans="1:13" x14ac:dyDescent="0.25">
      <c r="A23" t="str">
        <f t="shared" si="1"/>
        <v>E131</v>
      </c>
      <c r="B23">
        <v>1</v>
      </c>
      <c r="C23" t="str">
        <f>"43004"</f>
        <v>43004</v>
      </c>
      <c r="D23" t="str">
        <f>"5741"</f>
        <v>5741</v>
      </c>
      <c r="E23" t="str">
        <f>"850LOS"</f>
        <v>850LOS</v>
      </c>
      <c r="F23" t="str">
        <f>""</f>
        <v/>
      </c>
      <c r="G23" t="str">
        <f>""</f>
        <v/>
      </c>
      <c r="H23" s="1">
        <v>42643</v>
      </c>
      <c r="I23" t="str">
        <f>"TEL00666"</f>
        <v>TEL00666</v>
      </c>
      <c r="J23" t="str">
        <f>""</f>
        <v/>
      </c>
      <c r="K23" t="str">
        <f t="shared" si="2"/>
        <v>AS89</v>
      </c>
      <c r="L23" t="s">
        <v>3140</v>
      </c>
      <c r="M23">
        <v>122.3</v>
      </c>
    </row>
    <row r="24" spans="1:13" x14ac:dyDescent="0.25">
      <c r="A24" t="str">
        <f>"E135"</f>
        <v>E135</v>
      </c>
      <c r="B24">
        <v>1</v>
      </c>
      <c r="C24" t="str">
        <f>"16600"</f>
        <v>16600</v>
      </c>
      <c r="D24" t="str">
        <f>"5620"</f>
        <v>5620</v>
      </c>
      <c r="E24" t="str">
        <f>"094OMS"</f>
        <v>094OMS</v>
      </c>
      <c r="F24" t="str">
        <f>""</f>
        <v/>
      </c>
      <c r="G24" t="str">
        <f>""</f>
        <v/>
      </c>
      <c r="H24" s="1">
        <v>42643</v>
      </c>
      <c r="I24" t="str">
        <f>"PCD00802"</f>
        <v>PCD00802</v>
      </c>
      <c r="J24" t="str">
        <f>""</f>
        <v/>
      </c>
      <c r="K24" t="str">
        <f t="shared" si="2"/>
        <v>AS89</v>
      </c>
      <c r="L24" t="s">
        <v>3160</v>
      </c>
      <c r="M24">
        <v>200.05</v>
      </c>
    </row>
    <row r="25" spans="1:13" x14ac:dyDescent="0.25">
      <c r="A25" t="str">
        <f>"E135"</f>
        <v>E135</v>
      </c>
      <c r="B25">
        <v>1</v>
      </c>
      <c r="C25" t="str">
        <f t="shared" ref="C25:C51" si="6">"43000"</f>
        <v>43000</v>
      </c>
      <c r="D25" t="str">
        <f>"5740"</f>
        <v>5740</v>
      </c>
      <c r="E25" t="str">
        <f>"850LOS"</f>
        <v>850LOS</v>
      </c>
      <c r="F25" t="str">
        <f>""</f>
        <v/>
      </c>
      <c r="G25" t="str">
        <f>""</f>
        <v/>
      </c>
      <c r="H25" s="1">
        <v>42643</v>
      </c>
      <c r="I25" t="str">
        <f>"ADM00018"</f>
        <v>ADM00018</v>
      </c>
      <c r="J25" t="str">
        <f>""</f>
        <v/>
      </c>
      <c r="K25" t="str">
        <f t="shared" si="2"/>
        <v>AS89</v>
      </c>
      <c r="L25" t="s">
        <v>3159</v>
      </c>
      <c r="M25">
        <v>675</v>
      </c>
    </row>
    <row r="26" spans="1:13" x14ac:dyDescent="0.25">
      <c r="A26" t="str">
        <f>"E135"</f>
        <v>E135</v>
      </c>
      <c r="B26">
        <v>1</v>
      </c>
      <c r="C26" t="str">
        <f t="shared" si="6"/>
        <v>43000</v>
      </c>
      <c r="D26" t="str">
        <f>"5740"</f>
        <v>5740</v>
      </c>
      <c r="E26" t="str">
        <f t="shared" ref="E26:E32" si="7">"850PKE"</f>
        <v>850PKE</v>
      </c>
      <c r="F26" t="str">
        <f>""</f>
        <v/>
      </c>
      <c r="G26" t="str">
        <f>""</f>
        <v/>
      </c>
      <c r="H26" s="1">
        <v>42583</v>
      </c>
      <c r="I26" t="str">
        <f>"PCD00796"</f>
        <v>PCD00796</v>
      </c>
      <c r="J26" t="str">
        <f>""</f>
        <v/>
      </c>
      <c r="K26" t="str">
        <f t="shared" si="2"/>
        <v>AS89</v>
      </c>
      <c r="L26" t="s">
        <v>3158</v>
      </c>
      <c r="M26">
        <v>181.4</v>
      </c>
    </row>
    <row r="27" spans="1:13" x14ac:dyDescent="0.25">
      <c r="A27" t="str">
        <f>"E135"</f>
        <v>E135</v>
      </c>
      <c r="B27">
        <v>1</v>
      </c>
      <c r="C27" t="str">
        <f t="shared" si="6"/>
        <v>43000</v>
      </c>
      <c r="D27" t="str">
        <f>"5740"</f>
        <v>5740</v>
      </c>
      <c r="E27" t="str">
        <f t="shared" si="7"/>
        <v>850PKE</v>
      </c>
      <c r="F27" t="str">
        <f>""</f>
        <v/>
      </c>
      <c r="G27" t="str">
        <f>""</f>
        <v/>
      </c>
      <c r="H27" s="1">
        <v>42613</v>
      </c>
      <c r="I27" t="str">
        <f>"PCD00798"</f>
        <v>PCD00798</v>
      </c>
      <c r="J27" t="str">
        <f>""</f>
        <v/>
      </c>
      <c r="K27" t="str">
        <f t="shared" si="2"/>
        <v>AS89</v>
      </c>
      <c r="L27" t="s">
        <v>3157</v>
      </c>
      <c r="M27">
        <v>257.7</v>
      </c>
    </row>
    <row r="28" spans="1:13" x14ac:dyDescent="0.25">
      <c r="A28" t="str">
        <f t="shared" ref="A28:A51" si="8">"E157"</f>
        <v>E157</v>
      </c>
      <c r="B28">
        <v>1</v>
      </c>
      <c r="C28" t="str">
        <f t="shared" si="6"/>
        <v>43000</v>
      </c>
      <c r="D28" t="str">
        <f>"5620"</f>
        <v>5620</v>
      </c>
      <c r="E28" t="str">
        <f t="shared" si="7"/>
        <v>850PKE</v>
      </c>
      <c r="F28" t="str">
        <f>""</f>
        <v/>
      </c>
      <c r="G28" t="str">
        <f>""</f>
        <v/>
      </c>
      <c r="H28" s="1">
        <v>42607</v>
      </c>
      <c r="I28" t="str">
        <f>"I0136924"</f>
        <v>I0136924</v>
      </c>
      <c r="J28" t="str">
        <f>"F225777A"</f>
        <v>F225777A</v>
      </c>
      <c r="K28" t="str">
        <f t="shared" ref="K28:K39" si="9">"INEI"</f>
        <v>INEI</v>
      </c>
      <c r="L28" t="s">
        <v>229</v>
      </c>
      <c r="M28" s="2">
        <v>1304.4000000000001</v>
      </c>
    </row>
    <row r="29" spans="1:13" x14ac:dyDescent="0.25">
      <c r="A29" t="str">
        <f t="shared" si="8"/>
        <v>E157</v>
      </c>
      <c r="B29">
        <v>1</v>
      </c>
      <c r="C29" t="str">
        <f t="shared" si="6"/>
        <v>43000</v>
      </c>
      <c r="D29" t="str">
        <f>"5620"</f>
        <v>5620</v>
      </c>
      <c r="E29" t="str">
        <f t="shared" si="7"/>
        <v>850PKE</v>
      </c>
      <c r="F29" t="str">
        <f>""</f>
        <v/>
      </c>
      <c r="G29" t="str">
        <f>""</f>
        <v/>
      </c>
      <c r="H29" s="1">
        <v>42607</v>
      </c>
      <c r="I29" t="str">
        <f>"I0136924"</f>
        <v>I0136924</v>
      </c>
      <c r="J29" t="str">
        <f>"F225777A"</f>
        <v>F225777A</v>
      </c>
      <c r="K29" t="str">
        <f t="shared" si="9"/>
        <v>INEI</v>
      </c>
      <c r="L29" t="s">
        <v>229</v>
      </c>
      <c r="M29" s="2">
        <v>2608.8000000000002</v>
      </c>
    </row>
    <row r="30" spans="1:13" x14ac:dyDescent="0.25">
      <c r="A30" t="str">
        <f t="shared" si="8"/>
        <v>E157</v>
      </c>
      <c r="B30">
        <v>1</v>
      </c>
      <c r="C30" t="str">
        <f t="shared" si="6"/>
        <v>43000</v>
      </c>
      <c r="D30" t="str">
        <f>"5620"</f>
        <v>5620</v>
      </c>
      <c r="E30" t="str">
        <f t="shared" si="7"/>
        <v>850PKE</v>
      </c>
      <c r="F30" t="str">
        <f>""</f>
        <v/>
      </c>
      <c r="G30" t="str">
        <f>""</f>
        <v/>
      </c>
      <c r="H30" s="1">
        <v>42607</v>
      </c>
      <c r="I30" t="str">
        <f>"I0136925"</f>
        <v>I0136925</v>
      </c>
      <c r="J30" t="str">
        <f>"N227766B"</f>
        <v>N227766B</v>
      </c>
      <c r="K30" t="str">
        <f t="shared" si="9"/>
        <v>INEI</v>
      </c>
      <c r="L30" t="s">
        <v>229</v>
      </c>
      <c r="M30" s="2">
        <v>4021.9</v>
      </c>
    </row>
    <row r="31" spans="1:13" x14ac:dyDescent="0.25">
      <c r="A31" t="str">
        <f t="shared" si="8"/>
        <v>E157</v>
      </c>
      <c r="B31">
        <v>1</v>
      </c>
      <c r="C31" t="str">
        <f t="shared" si="6"/>
        <v>43000</v>
      </c>
      <c r="D31" t="str">
        <f>"5620"</f>
        <v>5620</v>
      </c>
      <c r="E31" t="str">
        <f t="shared" si="7"/>
        <v>850PKE</v>
      </c>
      <c r="F31" t="str">
        <f>""</f>
        <v/>
      </c>
      <c r="G31" t="str">
        <f>""</f>
        <v/>
      </c>
      <c r="H31" s="1">
        <v>42607</v>
      </c>
      <c r="I31" t="str">
        <f>"I0136925"</f>
        <v>I0136925</v>
      </c>
      <c r="J31" t="str">
        <f>"N227766B"</f>
        <v>N227766B</v>
      </c>
      <c r="K31" t="str">
        <f t="shared" si="9"/>
        <v>INEI</v>
      </c>
      <c r="L31" t="s">
        <v>229</v>
      </c>
      <c r="M31">
        <v>434.8</v>
      </c>
    </row>
    <row r="32" spans="1:13" x14ac:dyDescent="0.25">
      <c r="A32" t="str">
        <f t="shared" si="8"/>
        <v>E157</v>
      </c>
      <c r="B32">
        <v>1</v>
      </c>
      <c r="C32" t="str">
        <f t="shared" si="6"/>
        <v>43000</v>
      </c>
      <c r="D32" t="str">
        <f>"5620"</f>
        <v>5620</v>
      </c>
      <c r="E32" t="str">
        <f t="shared" si="7"/>
        <v>850PKE</v>
      </c>
      <c r="F32" t="str">
        <f>""</f>
        <v/>
      </c>
      <c r="G32" t="str">
        <f>""</f>
        <v/>
      </c>
      <c r="H32" s="1">
        <v>42607</v>
      </c>
      <c r="I32" t="str">
        <f>"I0136925"</f>
        <v>I0136925</v>
      </c>
      <c r="J32" t="str">
        <f>"N227766B"</f>
        <v>N227766B</v>
      </c>
      <c r="K32" t="str">
        <f t="shared" si="9"/>
        <v>INEI</v>
      </c>
      <c r="L32" t="s">
        <v>229</v>
      </c>
      <c r="M32" s="2">
        <v>3847.98</v>
      </c>
    </row>
    <row r="33" spans="1:13" x14ac:dyDescent="0.25">
      <c r="A33" t="str">
        <f t="shared" si="8"/>
        <v>E157</v>
      </c>
      <c r="B33">
        <v>1</v>
      </c>
      <c r="C33" t="str">
        <f t="shared" si="6"/>
        <v>43000</v>
      </c>
      <c r="D33" t="str">
        <f t="shared" ref="D33:D51" si="10">"5740"</f>
        <v>5740</v>
      </c>
      <c r="E33" t="str">
        <f t="shared" ref="E33:E39" si="11">"850PAY"</f>
        <v>850PAY</v>
      </c>
      <c r="F33" t="str">
        <f>""</f>
        <v/>
      </c>
      <c r="G33" t="str">
        <f>""</f>
        <v/>
      </c>
      <c r="H33" s="1">
        <v>42611</v>
      </c>
      <c r="I33" t="str">
        <f>"I0137069"</f>
        <v>I0137069</v>
      </c>
      <c r="J33" t="str">
        <f>"N229068"</f>
        <v>N229068</v>
      </c>
      <c r="K33" t="str">
        <f t="shared" si="9"/>
        <v>INEI</v>
      </c>
      <c r="L33" t="s">
        <v>2596</v>
      </c>
      <c r="M33">
        <v>293.49</v>
      </c>
    </row>
    <row r="34" spans="1:13" x14ac:dyDescent="0.25">
      <c r="A34" t="str">
        <f t="shared" si="8"/>
        <v>E157</v>
      </c>
      <c r="B34">
        <v>1</v>
      </c>
      <c r="C34" t="str">
        <f t="shared" si="6"/>
        <v>43000</v>
      </c>
      <c r="D34" t="str">
        <f t="shared" si="10"/>
        <v>5740</v>
      </c>
      <c r="E34" t="str">
        <f t="shared" si="11"/>
        <v>850PAY</v>
      </c>
      <c r="F34" t="str">
        <f>""</f>
        <v/>
      </c>
      <c r="G34" t="str">
        <f>""</f>
        <v/>
      </c>
      <c r="H34" s="1">
        <v>42611</v>
      </c>
      <c r="I34" t="str">
        <f>"I0137069"</f>
        <v>I0137069</v>
      </c>
      <c r="J34" t="str">
        <f>"N229068"</f>
        <v>N229068</v>
      </c>
      <c r="K34" t="str">
        <f t="shared" si="9"/>
        <v>INEI</v>
      </c>
      <c r="L34" t="s">
        <v>2596</v>
      </c>
      <c r="M34">
        <v>130.44</v>
      </c>
    </row>
    <row r="35" spans="1:13" x14ac:dyDescent="0.25">
      <c r="A35" t="str">
        <f t="shared" si="8"/>
        <v>E157</v>
      </c>
      <c r="B35">
        <v>1</v>
      </c>
      <c r="C35" t="str">
        <f t="shared" si="6"/>
        <v>43000</v>
      </c>
      <c r="D35" t="str">
        <f t="shared" si="10"/>
        <v>5740</v>
      </c>
      <c r="E35" t="str">
        <f t="shared" si="11"/>
        <v>850PAY</v>
      </c>
      <c r="F35" t="str">
        <f>""</f>
        <v/>
      </c>
      <c r="G35" t="str">
        <f>""</f>
        <v/>
      </c>
      <c r="H35" s="1">
        <v>42614</v>
      </c>
      <c r="I35" t="str">
        <f>"I0137289"</f>
        <v>I0137289</v>
      </c>
      <c r="J35" t="str">
        <f>"N229068"</f>
        <v>N229068</v>
      </c>
      <c r="K35" t="str">
        <f t="shared" si="9"/>
        <v>INEI</v>
      </c>
      <c r="L35" t="s">
        <v>2596</v>
      </c>
      <c r="M35">
        <v>130.44</v>
      </c>
    </row>
    <row r="36" spans="1:13" x14ac:dyDescent="0.25">
      <c r="A36" t="str">
        <f t="shared" si="8"/>
        <v>E157</v>
      </c>
      <c r="B36">
        <v>1</v>
      </c>
      <c r="C36" t="str">
        <f t="shared" si="6"/>
        <v>43000</v>
      </c>
      <c r="D36" t="str">
        <f t="shared" si="10"/>
        <v>5740</v>
      </c>
      <c r="E36" t="str">
        <f t="shared" si="11"/>
        <v>850PAY</v>
      </c>
      <c r="F36" t="str">
        <f>""</f>
        <v/>
      </c>
      <c r="G36" t="str">
        <f>""</f>
        <v/>
      </c>
      <c r="H36" s="1">
        <v>42614</v>
      </c>
      <c r="I36" t="str">
        <f>"I0137289"</f>
        <v>I0137289</v>
      </c>
      <c r="J36" t="str">
        <f>"N229068"</f>
        <v>N229068</v>
      </c>
      <c r="K36" t="str">
        <f t="shared" si="9"/>
        <v>INEI</v>
      </c>
      <c r="L36" t="s">
        <v>2596</v>
      </c>
      <c r="M36">
        <v>293.49</v>
      </c>
    </row>
    <row r="37" spans="1:13" x14ac:dyDescent="0.25">
      <c r="A37" t="str">
        <f t="shared" si="8"/>
        <v>E157</v>
      </c>
      <c r="B37">
        <v>1</v>
      </c>
      <c r="C37" t="str">
        <f t="shared" si="6"/>
        <v>43000</v>
      </c>
      <c r="D37" t="str">
        <f t="shared" si="10"/>
        <v>5740</v>
      </c>
      <c r="E37" t="str">
        <f t="shared" si="11"/>
        <v>850PAY</v>
      </c>
      <c r="F37" t="str">
        <f>""</f>
        <v/>
      </c>
      <c r="G37" t="str">
        <f>""</f>
        <v/>
      </c>
      <c r="H37" s="1">
        <v>42650</v>
      </c>
      <c r="I37" t="str">
        <f>"I0138902"</f>
        <v>I0138902</v>
      </c>
      <c r="J37" t="str">
        <f>"N125316H"</f>
        <v>N125316H</v>
      </c>
      <c r="K37" t="str">
        <f t="shared" si="9"/>
        <v>INEI</v>
      </c>
      <c r="L37" t="s">
        <v>2596</v>
      </c>
      <c r="M37">
        <v>407.63</v>
      </c>
    </row>
    <row r="38" spans="1:13" x14ac:dyDescent="0.25">
      <c r="A38" t="str">
        <f t="shared" si="8"/>
        <v>E157</v>
      </c>
      <c r="B38">
        <v>1</v>
      </c>
      <c r="C38" t="str">
        <f t="shared" si="6"/>
        <v>43000</v>
      </c>
      <c r="D38" t="str">
        <f t="shared" si="10"/>
        <v>5740</v>
      </c>
      <c r="E38" t="str">
        <f t="shared" si="11"/>
        <v>850PAY</v>
      </c>
      <c r="F38" t="str">
        <f>""</f>
        <v/>
      </c>
      <c r="G38" t="str">
        <f>""</f>
        <v/>
      </c>
      <c r="H38" s="1">
        <v>42650</v>
      </c>
      <c r="I38" t="str">
        <f>"I0138903"</f>
        <v>I0138903</v>
      </c>
      <c r="J38" t="str">
        <f>"N229068"</f>
        <v>N229068</v>
      </c>
      <c r="K38" t="str">
        <f t="shared" si="9"/>
        <v>INEI</v>
      </c>
      <c r="L38" t="s">
        <v>2596</v>
      </c>
      <c r="M38">
        <v>130.44</v>
      </c>
    </row>
    <row r="39" spans="1:13" x14ac:dyDescent="0.25">
      <c r="A39" t="str">
        <f t="shared" si="8"/>
        <v>E157</v>
      </c>
      <c r="B39">
        <v>1</v>
      </c>
      <c r="C39" t="str">
        <f t="shared" si="6"/>
        <v>43000</v>
      </c>
      <c r="D39" t="str">
        <f t="shared" si="10"/>
        <v>5740</v>
      </c>
      <c r="E39" t="str">
        <f t="shared" si="11"/>
        <v>850PAY</v>
      </c>
      <c r="F39" t="str">
        <f>""</f>
        <v/>
      </c>
      <c r="G39" t="str">
        <f>""</f>
        <v/>
      </c>
      <c r="H39" s="1">
        <v>42650</v>
      </c>
      <c r="I39" t="str">
        <f>"I0138903"</f>
        <v>I0138903</v>
      </c>
      <c r="J39" t="str">
        <f>"N229068"</f>
        <v>N229068</v>
      </c>
      <c r="K39" t="str">
        <f t="shared" si="9"/>
        <v>INEI</v>
      </c>
      <c r="L39" t="s">
        <v>2596</v>
      </c>
      <c r="M39">
        <v>293.49</v>
      </c>
    </row>
    <row r="40" spans="1:13" x14ac:dyDescent="0.25">
      <c r="A40" t="str">
        <f t="shared" si="8"/>
        <v>E157</v>
      </c>
      <c r="B40">
        <v>1</v>
      </c>
      <c r="C40" t="str">
        <f t="shared" si="6"/>
        <v>43000</v>
      </c>
      <c r="D40" t="str">
        <f t="shared" si="10"/>
        <v>5740</v>
      </c>
      <c r="E40" t="str">
        <f t="shared" ref="E40:E51" si="12">"850PKE"</f>
        <v>850PKE</v>
      </c>
      <c r="F40" t="str">
        <f>""</f>
        <v/>
      </c>
      <c r="G40" t="str">
        <f>""</f>
        <v/>
      </c>
      <c r="H40" s="1">
        <v>42579</v>
      </c>
      <c r="I40" t="str">
        <f>"ACG02749"</f>
        <v>ACG02749</v>
      </c>
      <c r="J40" t="str">
        <f>"I0133792"</f>
        <v>I0133792</v>
      </c>
      <c r="K40" t="str">
        <f>"AS89"</f>
        <v>AS89</v>
      </c>
      <c r="L40" t="s">
        <v>3124</v>
      </c>
      <c r="M40" s="2">
        <v>46357.68</v>
      </c>
    </row>
    <row r="41" spans="1:13" x14ac:dyDescent="0.25">
      <c r="A41" t="str">
        <f t="shared" si="8"/>
        <v>E157</v>
      </c>
      <c r="B41">
        <v>1</v>
      </c>
      <c r="C41" t="str">
        <f t="shared" si="6"/>
        <v>43000</v>
      </c>
      <c r="D41" t="str">
        <f t="shared" si="10"/>
        <v>5740</v>
      </c>
      <c r="E41" t="str">
        <f t="shared" si="12"/>
        <v>850PKE</v>
      </c>
      <c r="F41" t="str">
        <f>""</f>
        <v/>
      </c>
      <c r="G41" t="str">
        <f>""</f>
        <v/>
      </c>
      <c r="H41" s="1">
        <v>42579</v>
      </c>
      <c r="I41" t="str">
        <f>"ACG02749"</f>
        <v>ACG02749</v>
      </c>
      <c r="J41" t="str">
        <f>"I0134282"</f>
        <v>I0134282</v>
      </c>
      <c r="K41" t="str">
        <f>"AS89"</f>
        <v>AS89</v>
      </c>
      <c r="L41" t="s">
        <v>3124</v>
      </c>
      <c r="M41" s="2">
        <v>11513.71</v>
      </c>
    </row>
    <row r="42" spans="1:13" x14ac:dyDescent="0.25">
      <c r="A42" t="str">
        <f t="shared" si="8"/>
        <v>E157</v>
      </c>
      <c r="B42">
        <v>1</v>
      </c>
      <c r="C42" t="str">
        <f t="shared" si="6"/>
        <v>43000</v>
      </c>
      <c r="D42" t="str">
        <f t="shared" si="10"/>
        <v>5740</v>
      </c>
      <c r="E42" t="str">
        <f t="shared" si="12"/>
        <v>850PKE</v>
      </c>
      <c r="F42" t="str">
        <f>""</f>
        <v/>
      </c>
      <c r="G42" t="str">
        <f>""</f>
        <v/>
      </c>
      <c r="H42" s="1">
        <v>42607</v>
      </c>
      <c r="I42" t="str">
        <f t="shared" ref="I42:I47" si="13">"I0136925"</f>
        <v>I0136925</v>
      </c>
      <c r="J42" t="str">
        <f t="shared" ref="J42:J47" si="14">"N227766B"</f>
        <v>N227766B</v>
      </c>
      <c r="K42" t="str">
        <f t="shared" ref="K42:K51" si="15">"INEI"</f>
        <v>INEI</v>
      </c>
      <c r="L42" t="s">
        <v>229</v>
      </c>
      <c r="M42" s="2">
        <v>3847.98</v>
      </c>
    </row>
    <row r="43" spans="1:13" x14ac:dyDescent="0.25">
      <c r="A43" t="str">
        <f t="shared" si="8"/>
        <v>E157</v>
      </c>
      <c r="B43">
        <v>1</v>
      </c>
      <c r="C43" t="str">
        <f t="shared" si="6"/>
        <v>43000</v>
      </c>
      <c r="D43" t="str">
        <f t="shared" si="10"/>
        <v>5740</v>
      </c>
      <c r="E43" t="str">
        <f t="shared" si="12"/>
        <v>850PKE</v>
      </c>
      <c r="F43" t="str">
        <f>""</f>
        <v/>
      </c>
      <c r="G43" t="str">
        <f>""</f>
        <v/>
      </c>
      <c r="H43" s="1">
        <v>42607</v>
      </c>
      <c r="I43" t="str">
        <f t="shared" si="13"/>
        <v>I0136925</v>
      </c>
      <c r="J43" t="str">
        <f t="shared" si="14"/>
        <v>N227766B</v>
      </c>
      <c r="K43" t="str">
        <f t="shared" si="15"/>
        <v>INEI</v>
      </c>
      <c r="L43" t="s">
        <v>229</v>
      </c>
      <c r="M43" s="2">
        <v>4021.9</v>
      </c>
    </row>
    <row r="44" spans="1:13" x14ac:dyDescent="0.25">
      <c r="A44" t="str">
        <f t="shared" si="8"/>
        <v>E157</v>
      </c>
      <c r="B44">
        <v>1</v>
      </c>
      <c r="C44" t="str">
        <f t="shared" si="6"/>
        <v>43000</v>
      </c>
      <c r="D44" t="str">
        <f t="shared" si="10"/>
        <v>5740</v>
      </c>
      <c r="E44" t="str">
        <f t="shared" si="12"/>
        <v>850PKE</v>
      </c>
      <c r="F44" t="str">
        <f>""</f>
        <v/>
      </c>
      <c r="G44" t="str">
        <f>""</f>
        <v/>
      </c>
      <c r="H44" s="1">
        <v>42607</v>
      </c>
      <c r="I44" t="str">
        <f t="shared" si="13"/>
        <v>I0136925</v>
      </c>
      <c r="J44" t="str">
        <f t="shared" si="14"/>
        <v>N227766B</v>
      </c>
      <c r="K44" t="str">
        <f t="shared" si="15"/>
        <v>INEI</v>
      </c>
      <c r="L44" t="s">
        <v>229</v>
      </c>
      <c r="M44">
        <v>434.8</v>
      </c>
    </row>
    <row r="45" spans="1:13" x14ac:dyDescent="0.25">
      <c r="A45" t="str">
        <f t="shared" si="8"/>
        <v>E157</v>
      </c>
      <c r="B45">
        <v>1</v>
      </c>
      <c r="C45" t="str">
        <f t="shared" si="6"/>
        <v>43000</v>
      </c>
      <c r="D45" t="str">
        <f t="shared" si="10"/>
        <v>5740</v>
      </c>
      <c r="E45" t="str">
        <f t="shared" si="12"/>
        <v>850PKE</v>
      </c>
      <c r="F45" t="str">
        <f>""</f>
        <v/>
      </c>
      <c r="G45" t="str">
        <f>""</f>
        <v/>
      </c>
      <c r="H45" s="1">
        <v>42607</v>
      </c>
      <c r="I45" t="str">
        <f t="shared" si="13"/>
        <v>I0136925</v>
      </c>
      <c r="J45" t="str">
        <f t="shared" si="14"/>
        <v>N227766B</v>
      </c>
      <c r="K45" t="str">
        <f t="shared" si="15"/>
        <v>INEI</v>
      </c>
      <c r="L45" t="s">
        <v>229</v>
      </c>
      <c r="M45">
        <v>217.4</v>
      </c>
    </row>
    <row r="46" spans="1:13" x14ac:dyDescent="0.25">
      <c r="A46" t="str">
        <f t="shared" si="8"/>
        <v>E157</v>
      </c>
      <c r="B46">
        <v>1</v>
      </c>
      <c r="C46" t="str">
        <f t="shared" si="6"/>
        <v>43000</v>
      </c>
      <c r="D46" t="str">
        <f t="shared" si="10"/>
        <v>5740</v>
      </c>
      <c r="E46" t="str">
        <f t="shared" si="12"/>
        <v>850PKE</v>
      </c>
      <c r="F46" t="str">
        <f>""</f>
        <v/>
      </c>
      <c r="G46" t="str">
        <f>""</f>
        <v/>
      </c>
      <c r="H46" s="1">
        <v>42607</v>
      </c>
      <c r="I46" t="str">
        <f t="shared" si="13"/>
        <v>I0136925</v>
      </c>
      <c r="J46" t="str">
        <f t="shared" si="14"/>
        <v>N227766B</v>
      </c>
      <c r="K46" t="str">
        <f t="shared" si="15"/>
        <v>INEI</v>
      </c>
      <c r="L46" t="s">
        <v>229</v>
      </c>
      <c r="M46" s="2">
        <v>1630.5</v>
      </c>
    </row>
    <row r="47" spans="1:13" x14ac:dyDescent="0.25">
      <c r="A47" t="str">
        <f t="shared" si="8"/>
        <v>E157</v>
      </c>
      <c r="B47">
        <v>1</v>
      </c>
      <c r="C47" t="str">
        <f t="shared" si="6"/>
        <v>43000</v>
      </c>
      <c r="D47" t="str">
        <f t="shared" si="10"/>
        <v>5740</v>
      </c>
      <c r="E47" t="str">
        <f t="shared" si="12"/>
        <v>850PKE</v>
      </c>
      <c r="F47" t="str">
        <f>""</f>
        <v/>
      </c>
      <c r="G47" t="str">
        <f>""</f>
        <v/>
      </c>
      <c r="H47" s="1">
        <v>42607</v>
      </c>
      <c r="I47" t="str">
        <f t="shared" si="13"/>
        <v>I0136925</v>
      </c>
      <c r="J47" t="str">
        <f t="shared" si="14"/>
        <v>N227766B</v>
      </c>
      <c r="K47" t="str">
        <f t="shared" si="15"/>
        <v>INEI</v>
      </c>
      <c r="L47" t="s">
        <v>229</v>
      </c>
      <c r="M47" s="2">
        <v>4021.9</v>
      </c>
    </row>
    <row r="48" spans="1:13" x14ac:dyDescent="0.25">
      <c r="A48" t="str">
        <f t="shared" si="8"/>
        <v>E157</v>
      </c>
      <c r="B48">
        <v>1</v>
      </c>
      <c r="C48" t="str">
        <f t="shared" si="6"/>
        <v>43000</v>
      </c>
      <c r="D48" t="str">
        <f t="shared" si="10"/>
        <v>5740</v>
      </c>
      <c r="E48" t="str">
        <f t="shared" si="12"/>
        <v>850PKE</v>
      </c>
      <c r="F48" t="str">
        <f>""</f>
        <v/>
      </c>
      <c r="G48" t="str">
        <f>""</f>
        <v/>
      </c>
      <c r="H48" s="1">
        <v>42608</v>
      </c>
      <c r="I48" t="str">
        <f>"I0136924"</f>
        <v>I0136924</v>
      </c>
      <c r="J48" t="str">
        <f>"F225777A"</f>
        <v>F225777A</v>
      </c>
      <c r="K48" t="str">
        <f t="shared" si="15"/>
        <v>INEI</v>
      </c>
      <c r="L48" t="s">
        <v>229</v>
      </c>
      <c r="M48" s="2">
        <v>2608.8000000000002</v>
      </c>
    </row>
    <row r="49" spans="1:13" x14ac:dyDescent="0.25">
      <c r="A49" t="str">
        <f t="shared" si="8"/>
        <v>E157</v>
      </c>
      <c r="B49">
        <v>1</v>
      </c>
      <c r="C49" t="str">
        <f t="shared" si="6"/>
        <v>43000</v>
      </c>
      <c r="D49" t="str">
        <f t="shared" si="10"/>
        <v>5740</v>
      </c>
      <c r="E49" t="str">
        <f t="shared" si="12"/>
        <v>850PKE</v>
      </c>
      <c r="F49" t="str">
        <f>""</f>
        <v/>
      </c>
      <c r="G49" t="str">
        <f>""</f>
        <v/>
      </c>
      <c r="H49" s="1">
        <v>42608</v>
      </c>
      <c r="I49" t="str">
        <f>"I0136924"</f>
        <v>I0136924</v>
      </c>
      <c r="J49" t="str">
        <f>"F225777A"</f>
        <v>F225777A</v>
      </c>
      <c r="K49" t="str">
        <f t="shared" si="15"/>
        <v>INEI</v>
      </c>
      <c r="L49" t="s">
        <v>229</v>
      </c>
      <c r="M49" s="2">
        <v>1304.4000000000001</v>
      </c>
    </row>
    <row r="50" spans="1:13" x14ac:dyDescent="0.25">
      <c r="A50" t="str">
        <f t="shared" si="8"/>
        <v>E157</v>
      </c>
      <c r="B50">
        <v>1</v>
      </c>
      <c r="C50" t="str">
        <f t="shared" si="6"/>
        <v>43000</v>
      </c>
      <c r="D50" t="str">
        <f t="shared" si="10"/>
        <v>5740</v>
      </c>
      <c r="E50" t="str">
        <f t="shared" si="12"/>
        <v>850PKE</v>
      </c>
      <c r="F50" t="str">
        <f>""</f>
        <v/>
      </c>
      <c r="G50" t="str">
        <f>""</f>
        <v/>
      </c>
      <c r="H50" s="1">
        <v>42608</v>
      </c>
      <c r="I50" t="str">
        <f>"I0136924"</f>
        <v>I0136924</v>
      </c>
      <c r="J50" t="str">
        <f>"F225777A"</f>
        <v>F225777A</v>
      </c>
      <c r="K50" t="str">
        <f t="shared" si="15"/>
        <v>INEI</v>
      </c>
      <c r="L50" t="s">
        <v>229</v>
      </c>
      <c r="M50" s="2">
        <v>1304.4000000000001</v>
      </c>
    </row>
    <row r="51" spans="1:13" x14ac:dyDescent="0.25">
      <c r="A51" t="str">
        <f t="shared" si="8"/>
        <v>E157</v>
      </c>
      <c r="B51">
        <v>1</v>
      </c>
      <c r="C51" t="str">
        <f t="shared" si="6"/>
        <v>43000</v>
      </c>
      <c r="D51" t="str">
        <f t="shared" si="10"/>
        <v>5740</v>
      </c>
      <c r="E51" t="str">
        <f t="shared" si="12"/>
        <v>850PKE</v>
      </c>
      <c r="F51" t="str">
        <f>""</f>
        <v/>
      </c>
      <c r="G51" t="str">
        <f>""</f>
        <v/>
      </c>
      <c r="H51" s="1">
        <v>42608</v>
      </c>
      <c r="I51" t="str">
        <f>"I0136924"</f>
        <v>I0136924</v>
      </c>
      <c r="J51" t="str">
        <f>"F225777A"</f>
        <v>F225777A</v>
      </c>
      <c r="K51" t="str">
        <f t="shared" si="15"/>
        <v>INEI</v>
      </c>
      <c r="L51" t="s">
        <v>229</v>
      </c>
      <c r="M51" s="2">
        <v>2608.8000000000002</v>
      </c>
    </row>
    <row r="52" spans="1:13" x14ac:dyDescent="0.25">
      <c r="A52" t="str">
        <f>"E159"</f>
        <v>E159</v>
      </c>
      <c r="B52">
        <v>1</v>
      </c>
      <c r="C52" t="str">
        <f t="shared" ref="C52:C67" si="16">"16600"</f>
        <v>16600</v>
      </c>
      <c r="D52" t="str">
        <f t="shared" ref="D52:D68" si="17">"5620"</f>
        <v>5620</v>
      </c>
      <c r="E52" t="str">
        <f t="shared" ref="E52:E67" si="18">"094OMS"</f>
        <v>094OMS</v>
      </c>
      <c r="F52" t="str">
        <f>""</f>
        <v/>
      </c>
      <c r="G52" t="str">
        <f>""</f>
        <v/>
      </c>
      <c r="H52" s="1">
        <v>42614</v>
      </c>
      <c r="I52" t="str">
        <f>"PHY00670"</f>
        <v>PHY00670</v>
      </c>
      <c r="J52" t="str">
        <f>"LPOLICE"</f>
        <v>LPOLICE</v>
      </c>
      <c r="K52" t="str">
        <f t="shared" ref="K52:K89" si="19">"AS89"</f>
        <v>AS89</v>
      </c>
      <c r="L52" t="s">
        <v>2688</v>
      </c>
      <c r="M52" s="2">
        <v>55034.18</v>
      </c>
    </row>
    <row r="53" spans="1:13" x14ac:dyDescent="0.25">
      <c r="A53" t="str">
        <f t="shared" ref="A53:A76" si="20">"E160"</f>
        <v>E160</v>
      </c>
      <c r="B53">
        <v>1</v>
      </c>
      <c r="C53" t="str">
        <f t="shared" si="16"/>
        <v>16600</v>
      </c>
      <c r="D53" t="str">
        <f t="shared" si="17"/>
        <v>5620</v>
      </c>
      <c r="E53" t="str">
        <f t="shared" si="18"/>
        <v>094OMS</v>
      </c>
      <c r="F53" t="str">
        <f>""</f>
        <v/>
      </c>
      <c r="G53" t="str">
        <f>""</f>
        <v/>
      </c>
      <c r="H53" s="1">
        <v>42552</v>
      </c>
      <c r="I53" t="str">
        <f>"PHY00668"</f>
        <v>PHY00668</v>
      </c>
      <c r="J53" t="str">
        <f>"W0146654"</f>
        <v>W0146654</v>
      </c>
      <c r="K53" t="str">
        <f t="shared" si="19"/>
        <v>AS89</v>
      </c>
      <c r="L53" t="s">
        <v>3014</v>
      </c>
      <c r="M53">
        <v>417.68</v>
      </c>
    </row>
    <row r="54" spans="1:13" x14ac:dyDescent="0.25">
      <c r="A54" t="str">
        <f t="shared" si="20"/>
        <v>E160</v>
      </c>
      <c r="B54">
        <v>1</v>
      </c>
      <c r="C54" t="str">
        <f t="shared" si="16"/>
        <v>16600</v>
      </c>
      <c r="D54" t="str">
        <f t="shared" si="17"/>
        <v>5620</v>
      </c>
      <c r="E54" t="str">
        <f t="shared" si="18"/>
        <v>094OMS</v>
      </c>
      <c r="F54" t="str">
        <f>""</f>
        <v/>
      </c>
      <c r="G54" t="str">
        <f>""</f>
        <v/>
      </c>
      <c r="H54" s="1">
        <v>42552</v>
      </c>
      <c r="I54" t="str">
        <f>"PHY00668"</f>
        <v>PHY00668</v>
      </c>
      <c r="J54" t="str">
        <f>"W0146655"</f>
        <v>W0146655</v>
      </c>
      <c r="K54" t="str">
        <f t="shared" si="19"/>
        <v>AS89</v>
      </c>
      <c r="L54" t="s">
        <v>3156</v>
      </c>
      <c r="M54">
        <v>156.63</v>
      </c>
    </row>
    <row r="55" spans="1:13" x14ac:dyDescent="0.25">
      <c r="A55" t="str">
        <f t="shared" si="20"/>
        <v>E160</v>
      </c>
      <c r="B55">
        <v>1</v>
      </c>
      <c r="C55" t="str">
        <f t="shared" si="16"/>
        <v>16600</v>
      </c>
      <c r="D55" t="str">
        <f t="shared" si="17"/>
        <v>5620</v>
      </c>
      <c r="E55" t="str">
        <f t="shared" si="18"/>
        <v>094OMS</v>
      </c>
      <c r="F55" t="str">
        <f>""</f>
        <v/>
      </c>
      <c r="G55" t="str">
        <f>""</f>
        <v/>
      </c>
      <c r="H55" s="1">
        <v>42552</v>
      </c>
      <c r="I55" t="str">
        <f>"PHY00668"</f>
        <v>PHY00668</v>
      </c>
      <c r="J55" t="str">
        <f>"W0146656"</f>
        <v>W0146656</v>
      </c>
      <c r="K55" t="str">
        <f t="shared" si="19"/>
        <v>AS89</v>
      </c>
      <c r="L55" t="s">
        <v>3155</v>
      </c>
      <c r="M55">
        <v>527.28</v>
      </c>
    </row>
    <row r="56" spans="1:13" x14ac:dyDescent="0.25">
      <c r="A56" t="str">
        <f t="shared" si="20"/>
        <v>E160</v>
      </c>
      <c r="B56">
        <v>1</v>
      </c>
      <c r="C56" t="str">
        <f t="shared" si="16"/>
        <v>16600</v>
      </c>
      <c r="D56" t="str">
        <f t="shared" si="17"/>
        <v>5620</v>
      </c>
      <c r="E56" t="str">
        <f t="shared" si="18"/>
        <v>094OMS</v>
      </c>
      <c r="F56" t="str">
        <f>""</f>
        <v/>
      </c>
      <c r="G56" t="str">
        <f>""</f>
        <v/>
      </c>
      <c r="H56" s="1">
        <v>42583</v>
      </c>
      <c r="I56" t="str">
        <f t="shared" ref="I56:I63" si="21">"PHY00669"</f>
        <v>PHY00669</v>
      </c>
      <c r="J56" t="str">
        <f>"W0146653"</f>
        <v>W0146653</v>
      </c>
      <c r="K56" t="str">
        <f t="shared" si="19"/>
        <v>AS89</v>
      </c>
      <c r="L56" t="s">
        <v>3015</v>
      </c>
      <c r="M56" s="2">
        <v>5431.15</v>
      </c>
    </row>
    <row r="57" spans="1:13" x14ac:dyDescent="0.25">
      <c r="A57" t="str">
        <f t="shared" si="20"/>
        <v>E160</v>
      </c>
      <c r="B57">
        <v>1</v>
      </c>
      <c r="C57" t="str">
        <f t="shared" si="16"/>
        <v>16600</v>
      </c>
      <c r="D57" t="str">
        <f t="shared" si="17"/>
        <v>5620</v>
      </c>
      <c r="E57" t="str">
        <f t="shared" si="18"/>
        <v>094OMS</v>
      </c>
      <c r="F57" t="str">
        <f>""</f>
        <v/>
      </c>
      <c r="G57" t="str">
        <f>""</f>
        <v/>
      </c>
      <c r="H57" s="1">
        <v>42583</v>
      </c>
      <c r="I57" t="str">
        <f t="shared" si="21"/>
        <v>PHY00669</v>
      </c>
      <c r="J57" t="str">
        <f>"W0146655"</f>
        <v>W0146655</v>
      </c>
      <c r="K57" t="str">
        <f t="shared" si="19"/>
        <v>AS89</v>
      </c>
      <c r="L57" t="s">
        <v>3156</v>
      </c>
      <c r="M57" s="2">
        <v>1044.2</v>
      </c>
    </row>
    <row r="58" spans="1:13" x14ac:dyDescent="0.25">
      <c r="A58" t="str">
        <f t="shared" si="20"/>
        <v>E160</v>
      </c>
      <c r="B58">
        <v>1</v>
      </c>
      <c r="C58" t="str">
        <f t="shared" si="16"/>
        <v>16600</v>
      </c>
      <c r="D58" t="str">
        <f t="shared" si="17"/>
        <v>5620</v>
      </c>
      <c r="E58" t="str">
        <f t="shared" si="18"/>
        <v>094OMS</v>
      </c>
      <c r="F58" t="str">
        <f>""</f>
        <v/>
      </c>
      <c r="G58" t="str">
        <f>""</f>
        <v/>
      </c>
      <c r="H58" s="1">
        <v>42583</v>
      </c>
      <c r="I58" t="str">
        <f t="shared" si="21"/>
        <v>PHY00669</v>
      </c>
      <c r="J58" t="str">
        <f>"W0146656"</f>
        <v>W0146656</v>
      </c>
      <c r="K58" t="str">
        <f t="shared" si="19"/>
        <v>AS89</v>
      </c>
      <c r="L58" t="s">
        <v>3155</v>
      </c>
      <c r="M58">
        <v>448.5</v>
      </c>
    </row>
    <row r="59" spans="1:13" x14ac:dyDescent="0.25">
      <c r="A59" t="str">
        <f t="shared" si="20"/>
        <v>E160</v>
      </c>
      <c r="B59">
        <v>1</v>
      </c>
      <c r="C59" t="str">
        <f t="shared" si="16"/>
        <v>16600</v>
      </c>
      <c r="D59" t="str">
        <f t="shared" si="17"/>
        <v>5620</v>
      </c>
      <c r="E59" t="str">
        <f t="shared" si="18"/>
        <v>094OMS</v>
      </c>
      <c r="F59" t="str">
        <f>""</f>
        <v/>
      </c>
      <c r="G59" t="str">
        <f>""</f>
        <v/>
      </c>
      <c r="H59" s="1">
        <v>42583</v>
      </c>
      <c r="I59" t="str">
        <f t="shared" si="21"/>
        <v>PHY00669</v>
      </c>
      <c r="J59" t="str">
        <f>"W0146659"</f>
        <v>W0146659</v>
      </c>
      <c r="K59" t="str">
        <f t="shared" si="19"/>
        <v>AS89</v>
      </c>
      <c r="L59" t="s">
        <v>3017</v>
      </c>
      <c r="M59" s="2">
        <v>2013.31</v>
      </c>
    </row>
    <row r="60" spans="1:13" x14ac:dyDescent="0.25">
      <c r="A60" t="str">
        <f t="shared" si="20"/>
        <v>E160</v>
      </c>
      <c r="B60">
        <v>1</v>
      </c>
      <c r="C60" t="str">
        <f t="shared" si="16"/>
        <v>16600</v>
      </c>
      <c r="D60" t="str">
        <f t="shared" si="17"/>
        <v>5620</v>
      </c>
      <c r="E60" t="str">
        <f t="shared" si="18"/>
        <v>094OMS</v>
      </c>
      <c r="F60" t="str">
        <f>""</f>
        <v/>
      </c>
      <c r="G60" t="str">
        <f>""</f>
        <v/>
      </c>
      <c r="H60" s="1">
        <v>42583</v>
      </c>
      <c r="I60" t="str">
        <f t="shared" si="21"/>
        <v>PHY00669</v>
      </c>
      <c r="J60" t="str">
        <f>"W0146662"</f>
        <v>W0146662</v>
      </c>
      <c r="K60" t="str">
        <f t="shared" si="19"/>
        <v>AS89</v>
      </c>
      <c r="L60" t="s">
        <v>3150</v>
      </c>
      <c r="M60" s="2">
        <v>7671.58</v>
      </c>
    </row>
    <row r="61" spans="1:13" x14ac:dyDescent="0.25">
      <c r="A61" t="str">
        <f t="shared" si="20"/>
        <v>E160</v>
      </c>
      <c r="B61">
        <v>1</v>
      </c>
      <c r="C61" t="str">
        <f t="shared" si="16"/>
        <v>16600</v>
      </c>
      <c r="D61" t="str">
        <f t="shared" si="17"/>
        <v>5620</v>
      </c>
      <c r="E61" t="str">
        <f t="shared" si="18"/>
        <v>094OMS</v>
      </c>
      <c r="F61" t="str">
        <f>""</f>
        <v/>
      </c>
      <c r="G61" t="str">
        <f>""</f>
        <v/>
      </c>
      <c r="H61" s="1">
        <v>42583</v>
      </c>
      <c r="I61" t="str">
        <f t="shared" si="21"/>
        <v>PHY00669</v>
      </c>
      <c r="J61" t="str">
        <f>"W0146665"</f>
        <v>W0146665</v>
      </c>
      <c r="K61" t="str">
        <f t="shared" si="19"/>
        <v>AS89</v>
      </c>
      <c r="L61" t="s">
        <v>3154</v>
      </c>
      <c r="M61" s="2">
        <v>1339.76</v>
      </c>
    </row>
    <row r="62" spans="1:13" x14ac:dyDescent="0.25">
      <c r="A62" t="str">
        <f t="shared" si="20"/>
        <v>E160</v>
      </c>
      <c r="B62">
        <v>1</v>
      </c>
      <c r="C62" t="str">
        <f t="shared" si="16"/>
        <v>16600</v>
      </c>
      <c r="D62" t="str">
        <f t="shared" si="17"/>
        <v>5620</v>
      </c>
      <c r="E62" t="str">
        <f t="shared" si="18"/>
        <v>094OMS</v>
      </c>
      <c r="F62" t="str">
        <f>""</f>
        <v/>
      </c>
      <c r="G62" t="str">
        <f>""</f>
        <v/>
      </c>
      <c r="H62" s="1">
        <v>42583</v>
      </c>
      <c r="I62" t="str">
        <f t="shared" si="21"/>
        <v>PHY00669</v>
      </c>
      <c r="J62" t="str">
        <f>"W0172454"</f>
        <v>W0172454</v>
      </c>
      <c r="K62" t="str">
        <f t="shared" si="19"/>
        <v>AS89</v>
      </c>
      <c r="L62" t="s">
        <v>3153</v>
      </c>
      <c r="M62">
        <v>102.42</v>
      </c>
    </row>
    <row r="63" spans="1:13" x14ac:dyDescent="0.25">
      <c r="A63" t="str">
        <f t="shared" si="20"/>
        <v>E160</v>
      </c>
      <c r="B63">
        <v>1</v>
      </c>
      <c r="C63" t="str">
        <f t="shared" si="16"/>
        <v>16600</v>
      </c>
      <c r="D63" t="str">
        <f t="shared" si="17"/>
        <v>5620</v>
      </c>
      <c r="E63" t="str">
        <f t="shared" si="18"/>
        <v>094OMS</v>
      </c>
      <c r="F63" t="str">
        <f>""</f>
        <v/>
      </c>
      <c r="G63" t="str">
        <f>""</f>
        <v/>
      </c>
      <c r="H63" s="1">
        <v>42583</v>
      </c>
      <c r="I63" t="str">
        <f t="shared" si="21"/>
        <v>PHY00669</v>
      </c>
      <c r="J63" t="str">
        <f>"W0173771"</f>
        <v>W0173771</v>
      </c>
      <c r="K63" t="str">
        <f t="shared" si="19"/>
        <v>AS89</v>
      </c>
      <c r="L63" t="s">
        <v>3152</v>
      </c>
      <c r="M63">
        <v>197.55</v>
      </c>
    </row>
    <row r="64" spans="1:13" x14ac:dyDescent="0.25">
      <c r="A64" t="str">
        <f t="shared" si="20"/>
        <v>E160</v>
      </c>
      <c r="B64">
        <v>1</v>
      </c>
      <c r="C64" t="str">
        <f t="shared" si="16"/>
        <v>16600</v>
      </c>
      <c r="D64" t="str">
        <f t="shared" si="17"/>
        <v>5620</v>
      </c>
      <c r="E64" t="str">
        <f t="shared" si="18"/>
        <v>094OMS</v>
      </c>
      <c r="F64" t="str">
        <f>""</f>
        <v/>
      </c>
      <c r="G64" t="str">
        <f>""</f>
        <v/>
      </c>
      <c r="H64" s="1">
        <v>42614</v>
      </c>
      <c r="I64" t="str">
        <f>"PHY00670"</f>
        <v>PHY00670</v>
      </c>
      <c r="J64" t="str">
        <f>"W0146653"</f>
        <v>W0146653</v>
      </c>
      <c r="K64" t="str">
        <f t="shared" si="19"/>
        <v>AS89</v>
      </c>
      <c r="L64" t="s">
        <v>3015</v>
      </c>
      <c r="M64" s="2">
        <v>3792.69</v>
      </c>
    </row>
    <row r="65" spans="1:13" x14ac:dyDescent="0.25">
      <c r="A65" t="str">
        <f t="shared" si="20"/>
        <v>E160</v>
      </c>
      <c r="B65">
        <v>1</v>
      </c>
      <c r="C65" t="str">
        <f t="shared" si="16"/>
        <v>16600</v>
      </c>
      <c r="D65" t="str">
        <f t="shared" si="17"/>
        <v>5620</v>
      </c>
      <c r="E65" t="str">
        <f t="shared" si="18"/>
        <v>094OMS</v>
      </c>
      <c r="F65" t="str">
        <f>""</f>
        <v/>
      </c>
      <c r="G65" t="str">
        <f>""</f>
        <v/>
      </c>
      <c r="H65" s="1">
        <v>42614</v>
      </c>
      <c r="I65" t="str">
        <f>"PHY00670"</f>
        <v>PHY00670</v>
      </c>
      <c r="J65" t="str">
        <f>"W0146659"</f>
        <v>W0146659</v>
      </c>
      <c r="K65" t="str">
        <f t="shared" si="19"/>
        <v>AS89</v>
      </c>
      <c r="L65" t="s">
        <v>3017</v>
      </c>
      <c r="M65" s="2">
        <v>2001.14</v>
      </c>
    </row>
    <row r="66" spans="1:13" x14ac:dyDescent="0.25">
      <c r="A66" t="str">
        <f t="shared" si="20"/>
        <v>E160</v>
      </c>
      <c r="B66">
        <v>1</v>
      </c>
      <c r="C66" t="str">
        <f t="shared" si="16"/>
        <v>16600</v>
      </c>
      <c r="D66" t="str">
        <f t="shared" si="17"/>
        <v>5620</v>
      </c>
      <c r="E66" t="str">
        <f t="shared" si="18"/>
        <v>094OMS</v>
      </c>
      <c r="F66" t="str">
        <f>""</f>
        <v/>
      </c>
      <c r="G66" t="str">
        <f>""</f>
        <v/>
      </c>
      <c r="H66" s="1">
        <v>42614</v>
      </c>
      <c r="I66" t="str">
        <f>"PHY00670"</f>
        <v>PHY00670</v>
      </c>
      <c r="J66" t="str">
        <f>"W0146660"</f>
        <v>W0146660</v>
      </c>
      <c r="K66" t="str">
        <f t="shared" si="19"/>
        <v>AS89</v>
      </c>
      <c r="L66" t="s">
        <v>3151</v>
      </c>
      <c r="M66" s="2">
        <v>2653.51</v>
      </c>
    </row>
    <row r="67" spans="1:13" x14ac:dyDescent="0.25">
      <c r="A67" t="str">
        <f t="shared" si="20"/>
        <v>E160</v>
      </c>
      <c r="B67">
        <v>1</v>
      </c>
      <c r="C67" t="str">
        <f t="shared" si="16"/>
        <v>16600</v>
      </c>
      <c r="D67" t="str">
        <f t="shared" si="17"/>
        <v>5620</v>
      </c>
      <c r="E67" t="str">
        <f t="shared" si="18"/>
        <v>094OMS</v>
      </c>
      <c r="F67" t="str">
        <f>""</f>
        <v/>
      </c>
      <c r="G67" t="str">
        <f>""</f>
        <v/>
      </c>
      <c r="H67" s="1">
        <v>42614</v>
      </c>
      <c r="I67" t="str">
        <f>"PHY00670"</f>
        <v>PHY00670</v>
      </c>
      <c r="J67" t="str">
        <f>"W0146662"</f>
        <v>W0146662</v>
      </c>
      <c r="K67" t="str">
        <f t="shared" si="19"/>
        <v>AS89</v>
      </c>
      <c r="L67" t="s">
        <v>3150</v>
      </c>
      <c r="M67">
        <v>147.41999999999999</v>
      </c>
    </row>
    <row r="68" spans="1:13" x14ac:dyDescent="0.25">
      <c r="A68" t="str">
        <f t="shared" si="20"/>
        <v>E160</v>
      </c>
      <c r="B68">
        <v>1</v>
      </c>
      <c r="C68" t="str">
        <f>"23275"</f>
        <v>23275</v>
      </c>
      <c r="D68" t="str">
        <f t="shared" si="17"/>
        <v>5620</v>
      </c>
      <c r="E68" t="str">
        <f>"063STF"</f>
        <v>063STF</v>
      </c>
      <c r="F68" t="str">
        <f>""</f>
        <v/>
      </c>
      <c r="G68" t="str">
        <f>""</f>
        <v/>
      </c>
      <c r="H68" s="1">
        <v>42583</v>
      </c>
      <c r="I68" t="str">
        <f>"PHY00669"</f>
        <v>PHY00669</v>
      </c>
      <c r="J68" t="str">
        <f>"W0172183"</f>
        <v>W0172183</v>
      </c>
      <c r="K68" t="str">
        <f t="shared" si="19"/>
        <v>AS89</v>
      </c>
      <c r="L68" t="s">
        <v>3149</v>
      </c>
      <c r="M68">
        <v>221.13</v>
      </c>
    </row>
    <row r="69" spans="1:13" x14ac:dyDescent="0.25">
      <c r="A69" t="str">
        <f t="shared" si="20"/>
        <v>E160</v>
      </c>
      <c r="B69">
        <v>1</v>
      </c>
      <c r="C69" t="str">
        <f t="shared" ref="C69:C76" si="22">"43000"</f>
        <v>43000</v>
      </c>
      <c r="D69" t="str">
        <f t="shared" ref="D69:D76" si="23">"5740"</f>
        <v>5740</v>
      </c>
      <c r="E69" t="str">
        <f>"850LOS"</f>
        <v>850LOS</v>
      </c>
      <c r="F69" t="str">
        <f>""</f>
        <v/>
      </c>
      <c r="G69" t="str">
        <f>""</f>
        <v/>
      </c>
      <c r="H69" s="1">
        <v>42583</v>
      </c>
      <c r="I69" t="str">
        <f>"PHY00669"</f>
        <v>PHY00669</v>
      </c>
      <c r="J69" t="str">
        <f>"W0171800"</f>
        <v>W0171800</v>
      </c>
      <c r="K69" t="str">
        <f t="shared" si="19"/>
        <v>AS89</v>
      </c>
      <c r="L69" t="s">
        <v>2070</v>
      </c>
      <c r="M69">
        <v>384.48</v>
      </c>
    </row>
    <row r="70" spans="1:13" x14ac:dyDescent="0.25">
      <c r="A70" t="str">
        <f t="shared" si="20"/>
        <v>E160</v>
      </c>
      <c r="B70">
        <v>1</v>
      </c>
      <c r="C70" t="str">
        <f t="shared" si="22"/>
        <v>43000</v>
      </c>
      <c r="D70" t="str">
        <f t="shared" si="23"/>
        <v>5740</v>
      </c>
      <c r="E70" t="str">
        <f>"850LOS"</f>
        <v>850LOS</v>
      </c>
      <c r="F70" t="str">
        <f>""</f>
        <v/>
      </c>
      <c r="G70" t="str">
        <f>""</f>
        <v/>
      </c>
      <c r="H70" s="1">
        <v>42583</v>
      </c>
      <c r="I70" t="str">
        <f>"PHY00669"</f>
        <v>PHY00669</v>
      </c>
      <c r="J70" t="str">
        <f>"W0173281"</f>
        <v>W0173281</v>
      </c>
      <c r="K70" t="str">
        <f t="shared" si="19"/>
        <v>AS89</v>
      </c>
      <c r="L70" t="s">
        <v>3148</v>
      </c>
      <c r="M70">
        <v>110.56</v>
      </c>
    </row>
    <row r="71" spans="1:13" x14ac:dyDescent="0.25">
      <c r="A71" t="str">
        <f t="shared" si="20"/>
        <v>E160</v>
      </c>
      <c r="B71">
        <v>1</v>
      </c>
      <c r="C71" t="str">
        <f t="shared" si="22"/>
        <v>43000</v>
      </c>
      <c r="D71" t="str">
        <f t="shared" si="23"/>
        <v>5740</v>
      </c>
      <c r="E71" t="str">
        <f>"850LOS"</f>
        <v>850LOS</v>
      </c>
      <c r="F71" t="str">
        <f>""</f>
        <v/>
      </c>
      <c r="G71" t="str">
        <f>""</f>
        <v/>
      </c>
      <c r="H71" s="1">
        <v>42614</v>
      </c>
      <c r="I71" t="str">
        <f>"PHY00670"</f>
        <v>PHY00670</v>
      </c>
      <c r="J71" t="str">
        <f>"W0173686"</f>
        <v>W0173686</v>
      </c>
      <c r="K71" t="str">
        <f t="shared" si="19"/>
        <v>AS89</v>
      </c>
      <c r="L71" t="s">
        <v>3147</v>
      </c>
      <c r="M71">
        <v>243.23</v>
      </c>
    </row>
    <row r="72" spans="1:13" x14ac:dyDescent="0.25">
      <c r="A72" t="str">
        <f t="shared" si="20"/>
        <v>E160</v>
      </c>
      <c r="B72">
        <v>1</v>
      </c>
      <c r="C72" t="str">
        <f t="shared" si="22"/>
        <v>43000</v>
      </c>
      <c r="D72" t="str">
        <f t="shared" si="23"/>
        <v>5740</v>
      </c>
      <c r="E72" t="str">
        <f>"850PKE"</f>
        <v>850PKE</v>
      </c>
      <c r="F72" t="str">
        <f>""</f>
        <v/>
      </c>
      <c r="G72" t="str">
        <f>""</f>
        <v/>
      </c>
      <c r="H72" s="1">
        <v>42552</v>
      </c>
      <c r="I72" t="str">
        <f>"PHY00668"</f>
        <v>PHY00668</v>
      </c>
      <c r="J72" t="str">
        <f>"W0171897"</f>
        <v>W0171897</v>
      </c>
      <c r="K72" t="str">
        <f t="shared" si="19"/>
        <v>AS89</v>
      </c>
      <c r="L72" t="s">
        <v>3146</v>
      </c>
      <c r="M72">
        <v>659.23</v>
      </c>
    </row>
    <row r="73" spans="1:13" x14ac:dyDescent="0.25">
      <c r="A73" t="str">
        <f t="shared" si="20"/>
        <v>E160</v>
      </c>
      <c r="B73">
        <v>1</v>
      </c>
      <c r="C73" t="str">
        <f t="shared" si="22"/>
        <v>43000</v>
      </c>
      <c r="D73" t="str">
        <f t="shared" si="23"/>
        <v>5740</v>
      </c>
      <c r="E73" t="str">
        <f>"850PKE"</f>
        <v>850PKE</v>
      </c>
      <c r="F73" t="str">
        <f>""</f>
        <v/>
      </c>
      <c r="G73" t="str">
        <f>""</f>
        <v/>
      </c>
      <c r="H73" s="1">
        <v>42552</v>
      </c>
      <c r="I73" t="str">
        <f>"PHY00668"</f>
        <v>PHY00668</v>
      </c>
      <c r="J73" t="str">
        <f>"W0172041"</f>
        <v>W0172041</v>
      </c>
      <c r="K73" t="str">
        <f t="shared" si="19"/>
        <v>AS89</v>
      </c>
      <c r="L73" t="s">
        <v>3145</v>
      </c>
      <c r="M73">
        <v>210.96</v>
      </c>
    </row>
    <row r="74" spans="1:13" x14ac:dyDescent="0.25">
      <c r="A74" t="str">
        <f t="shared" si="20"/>
        <v>E160</v>
      </c>
      <c r="B74">
        <v>1</v>
      </c>
      <c r="C74" t="str">
        <f t="shared" si="22"/>
        <v>43000</v>
      </c>
      <c r="D74" t="str">
        <f t="shared" si="23"/>
        <v>5740</v>
      </c>
      <c r="E74" t="str">
        <f>"850PKE"</f>
        <v>850PKE</v>
      </c>
      <c r="F74" t="str">
        <f>""</f>
        <v/>
      </c>
      <c r="G74" t="str">
        <f>""</f>
        <v/>
      </c>
      <c r="H74" s="1">
        <v>42583</v>
      </c>
      <c r="I74" t="str">
        <f>"PHY00669"</f>
        <v>PHY00669</v>
      </c>
      <c r="J74" t="str">
        <f>"W0171379"</f>
        <v>W0171379</v>
      </c>
      <c r="K74" t="str">
        <f t="shared" si="19"/>
        <v>AS89</v>
      </c>
      <c r="L74" t="s">
        <v>3144</v>
      </c>
      <c r="M74">
        <v>243.65</v>
      </c>
    </row>
    <row r="75" spans="1:13" x14ac:dyDescent="0.25">
      <c r="A75" t="str">
        <f t="shared" si="20"/>
        <v>E160</v>
      </c>
      <c r="B75">
        <v>1</v>
      </c>
      <c r="C75" t="str">
        <f t="shared" si="22"/>
        <v>43000</v>
      </c>
      <c r="D75" t="str">
        <f t="shared" si="23"/>
        <v>5740</v>
      </c>
      <c r="E75" t="str">
        <f>"850PKE"</f>
        <v>850PKE</v>
      </c>
      <c r="F75" t="str">
        <f>""</f>
        <v/>
      </c>
      <c r="G75" t="str">
        <f>""</f>
        <v/>
      </c>
      <c r="H75" s="1">
        <v>42583</v>
      </c>
      <c r="I75" t="str">
        <f>"PHY00669"</f>
        <v>PHY00669</v>
      </c>
      <c r="J75" t="str">
        <f>"W0172099"</f>
        <v>W0172099</v>
      </c>
      <c r="K75" t="str">
        <f t="shared" si="19"/>
        <v>AS89</v>
      </c>
      <c r="L75" t="s">
        <v>2065</v>
      </c>
      <c r="M75">
        <v>332.57</v>
      </c>
    </row>
    <row r="76" spans="1:13" x14ac:dyDescent="0.25">
      <c r="A76" t="str">
        <f t="shared" si="20"/>
        <v>E160</v>
      </c>
      <c r="B76">
        <v>1</v>
      </c>
      <c r="C76" t="str">
        <f t="shared" si="22"/>
        <v>43000</v>
      </c>
      <c r="D76" t="str">
        <f t="shared" si="23"/>
        <v>5740</v>
      </c>
      <c r="E76" t="str">
        <f>"850PKE"</f>
        <v>850PKE</v>
      </c>
      <c r="F76" t="str">
        <f>""</f>
        <v/>
      </c>
      <c r="G76" t="str">
        <f>""</f>
        <v/>
      </c>
      <c r="H76" s="1">
        <v>42583</v>
      </c>
      <c r="I76" t="str">
        <f>"PHY00669"</f>
        <v>PHY00669</v>
      </c>
      <c r="J76" t="str">
        <f>"W0172384"</f>
        <v>W0172384</v>
      </c>
      <c r="K76" t="str">
        <f t="shared" si="19"/>
        <v>AS89</v>
      </c>
      <c r="L76" t="s">
        <v>3143</v>
      </c>
      <c r="M76">
        <v>118.68</v>
      </c>
    </row>
    <row r="77" spans="1:13" x14ac:dyDescent="0.25">
      <c r="A77" t="str">
        <f>"E162"</f>
        <v>E162</v>
      </c>
      <c r="B77">
        <v>1</v>
      </c>
      <c r="C77" t="str">
        <f>"16600"</f>
        <v>16600</v>
      </c>
      <c r="D77" t="str">
        <f>"5620"</f>
        <v>5620</v>
      </c>
      <c r="E77" t="str">
        <f>"094OMS"</f>
        <v>094OMS</v>
      </c>
      <c r="F77" t="str">
        <f>""</f>
        <v/>
      </c>
      <c r="G77" t="str">
        <f>""</f>
        <v/>
      </c>
      <c r="H77" s="1">
        <v>42582</v>
      </c>
      <c r="I77" t="str">
        <f>"TEL00664"</f>
        <v>TEL00664</v>
      </c>
      <c r="J77" t="str">
        <f>""</f>
        <v/>
      </c>
      <c r="K77" t="str">
        <f t="shared" si="19"/>
        <v>AS89</v>
      </c>
      <c r="L77" t="s">
        <v>3142</v>
      </c>
      <c r="M77">
        <v>473.89</v>
      </c>
    </row>
    <row r="78" spans="1:13" x14ac:dyDescent="0.25">
      <c r="A78" t="str">
        <f>"E162"</f>
        <v>E162</v>
      </c>
      <c r="B78">
        <v>1</v>
      </c>
      <c r="C78" t="str">
        <f>"16600"</f>
        <v>16600</v>
      </c>
      <c r="D78" t="str">
        <f>"5620"</f>
        <v>5620</v>
      </c>
      <c r="E78" t="str">
        <f>"094OMS"</f>
        <v>094OMS</v>
      </c>
      <c r="F78" t="str">
        <f>""</f>
        <v/>
      </c>
      <c r="G78" t="str">
        <f>""</f>
        <v/>
      </c>
      <c r="H78" s="1">
        <v>42613</v>
      </c>
      <c r="I78" t="str">
        <f>"TEL00665"</f>
        <v>TEL00665</v>
      </c>
      <c r="J78" t="str">
        <f>""</f>
        <v/>
      </c>
      <c r="K78" t="str">
        <f t="shared" si="19"/>
        <v>AS89</v>
      </c>
      <c r="L78" t="s">
        <v>3141</v>
      </c>
      <c r="M78">
        <v>473.89</v>
      </c>
    </row>
    <row r="79" spans="1:13" x14ac:dyDescent="0.25">
      <c r="A79" t="str">
        <f>"E162"</f>
        <v>E162</v>
      </c>
      <c r="B79">
        <v>1</v>
      </c>
      <c r="C79" t="str">
        <f>"16600"</f>
        <v>16600</v>
      </c>
      <c r="D79" t="str">
        <f>"5620"</f>
        <v>5620</v>
      </c>
      <c r="E79" t="str">
        <f>"094OMS"</f>
        <v>094OMS</v>
      </c>
      <c r="F79" t="str">
        <f>""</f>
        <v/>
      </c>
      <c r="G79" t="str">
        <f>""</f>
        <v/>
      </c>
      <c r="H79" s="1">
        <v>42643</v>
      </c>
      <c r="I79" t="str">
        <f>"TEL00666"</f>
        <v>TEL00666</v>
      </c>
      <c r="J79" t="str">
        <f>""</f>
        <v/>
      </c>
      <c r="K79" t="str">
        <f t="shared" si="19"/>
        <v>AS89</v>
      </c>
      <c r="L79" t="s">
        <v>3140</v>
      </c>
      <c r="M79">
        <v>477.35</v>
      </c>
    </row>
    <row r="80" spans="1:13" x14ac:dyDescent="0.25">
      <c r="A80" t="str">
        <f>"E163"</f>
        <v>E163</v>
      </c>
      <c r="B80">
        <v>1</v>
      </c>
      <c r="C80" t="str">
        <f>"16600"</f>
        <v>16600</v>
      </c>
      <c r="D80" t="str">
        <f>"5620"</f>
        <v>5620</v>
      </c>
      <c r="E80" t="str">
        <f>"094OMS"</f>
        <v>094OMS</v>
      </c>
      <c r="F80" t="str">
        <f>""</f>
        <v/>
      </c>
      <c r="G80" t="str">
        <f>""</f>
        <v/>
      </c>
      <c r="H80" s="1">
        <v>42614</v>
      </c>
      <c r="I80" t="str">
        <f>"PHY00670"</f>
        <v>PHY00670</v>
      </c>
      <c r="J80" t="str">
        <f>"W0174712"</f>
        <v>W0174712</v>
      </c>
      <c r="K80" t="str">
        <f t="shared" si="19"/>
        <v>AS89</v>
      </c>
      <c r="L80" t="s">
        <v>3139</v>
      </c>
      <c r="M80">
        <v>409.68</v>
      </c>
    </row>
    <row r="81" spans="1:13" x14ac:dyDescent="0.25">
      <c r="A81" t="str">
        <f>"E163"</f>
        <v>E163</v>
      </c>
      <c r="B81">
        <v>1</v>
      </c>
      <c r="C81" t="str">
        <f>"43000"</f>
        <v>43000</v>
      </c>
      <c r="D81" t="str">
        <f>"5740"</f>
        <v>5740</v>
      </c>
      <c r="E81" t="str">
        <f>"850LOS"</f>
        <v>850LOS</v>
      </c>
      <c r="F81" t="str">
        <f>""</f>
        <v/>
      </c>
      <c r="G81" t="str">
        <f>""</f>
        <v/>
      </c>
      <c r="H81" s="1">
        <v>42583</v>
      </c>
      <c r="I81" t="str">
        <f>"PCD00796"</f>
        <v>PCD00796</v>
      </c>
      <c r="J81" t="str">
        <f>""</f>
        <v/>
      </c>
      <c r="K81" t="str">
        <f t="shared" si="19"/>
        <v>AS89</v>
      </c>
      <c r="L81" t="s">
        <v>3138</v>
      </c>
      <c r="M81">
        <v>217.79</v>
      </c>
    </row>
    <row r="82" spans="1:13" x14ac:dyDescent="0.25">
      <c r="A82" t="str">
        <f>"E172"</f>
        <v>E172</v>
      </c>
      <c r="B82">
        <v>1</v>
      </c>
      <c r="C82" t="str">
        <f>"23275"</f>
        <v>23275</v>
      </c>
      <c r="D82" t="str">
        <f>"5620"</f>
        <v>5620</v>
      </c>
      <c r="E82" t="str">
        <f>"063STF"</f>
        <v>063STF</v>
      </c>
      <c r="F82" t="str">
        <f>""</f>
        <v/>
      </c>
      <c r="G82" t="str">
        <f>""</f>
        <v/>
      </c>
      <c r="H82" s="1">
        <v>42643</v>
      </c>
      <c r="I82" t="str">
        <f>"COP00314"</f>
        <v>COP00314</v>
      </c>
      <c r="J82" t="str">
        <f>"JOB ORDR"</f>
        <v>JOB ORDR</v>
      </c>
      <c r="K82" t="str">
        <f t="shared" si="19"/>
        <v>AS89</v>
      </c>
      <c r="L82" t="s">
        <v>3137</v>
      </c>
      <c r="M82">
        <v>506.35</v>
      </c>
    </row>
    <row r="83" spans="1:13" x14ac:dyDescent="0.25">
      <c r="A83" t="str">
        <f>"E172"</f>
        <v>E172</v>
      </c>
      <c r="B83">
        <v>1</v>
      </c>
      <c r="C83" t="str">
        <f>"43000"</f>
        <v>43000</v>
      </c>
      <c r="D83" t="str">
        <f>"5740"</f>
        <v>5740</v>
      </c>
      <c r="E83" t="str">
        <f>"850LOS"</f>
        <v>850LOS</v>
      </c>
      <c r="F83" t="str">
        <f>""</f>
        <v/>
      </c>
      <c r="G83" t="str">
        <f>""</f>
        <v/>
      </c>
      <c r="H83" s="1">
        <v>42643</v>
      </c>
      <c r="I83" t="str">
        <f>"COP00314"</f>
        <v>COP00314</v>
      </c>
      <c r="J83" t="str">
        <f>"JOB ORDR"</f>
        <v>JOB ORDR</v>
      </c>
      <c r="K83" t="str">
        <f t="shared" si="19"/>
        <v>AS89</v>
      </c>
      <c r="L83" t="s">
        <v>3137</v>
      </c>
      <c r="M83">
        <v>592.5</v>
      </c>
    </row>
    <row r="84" spans="1:13" x14ac:dyDescent="0.25">
      <c r="A84" t="str">
        <f t="shared" ref="A84:A92" si="24">"E173"</f>
        <v>E173</v>
      </c>
      <c r="B84">
        <v>1</v>
      </c>
      <c r="C84" t="str">
        <f>"16600"</f>
        <v>16600</v>
      </c>
      <c r="D84" t="str">
        <f t="shared" ref="D84:D89" si="25">"5620"</f>
        <v>5620</v>
      </c>
      <c r="E84" t="str">
        <f>"094OMS"</f>
        <v>094OMS</v>
      </c>
      <c r="F84" t="str">
        <f>""</f>
        <v/>
      </c>
      <c r="G84" t="str">
        <f>""</f>
        <v/>
      </c>
      <c r="H84" s="1">
        <v>42580</v>
      </c>
      <c r="I84" t="str">
        <f>"MLT00102"</f>
        <v>MLT00102</v>
      </c>
      <c r="J84" t="str">
        <f>""</f>
        <v/>
      </c>
      <c r="K84" t="str">
        <f t="shared" si="19"/>
        <v>AS89</v>
      </c>
      <c r="L84" t="s">
        <v>3136</v>
      </c>
      <c r="M84">
        <v>159</v>
      </c>
    </row>
    <row r="85" spans="1:13" x14ac:dyDescent="0.25">
      <c r="A85" t="str">
        <f t="shared" si="24"/>
        <v>E173</v>
      </c>
      <c r="B85">
        <v>1</v>
      </c>
      <c r="C85" t="str">
        <f>"16600"</f>
        <v>16600</v>
      </c>
      <c r="D85" t="str">
        <f t="shared" si="25"/>
        <v>5620</v>
      </c>
      <c r="E85" t="str">
        <f>"094OMS"</f>
        <v>094OMS</v>
      </c>
      <c r="F85" t="str">
        <f>""</f>
        <v/>
      </c>
      <c r="G85" t="str">
        <f>""</f>
        <v/>
      </c>
      <c r="H85" s="1">
        <v>42612</v>
      </c>
      <c r="I85" t="str">
        <f>"MLT00104"</f>
        <v>MLT00104</v>
      </c>
      <c r="J85" t="str">
        <f>""</f>
        <v/>
      </c>
      <c r="K85" t="str">
        <f t="shared" si="19"/>
        <v>AS89</v>
      </c>
      <c r="L85" t="s">
        <v>3135</v>
      </c>
      <c r="M85">
        <v>138.30000000000001</v>
      </c>
    </row>
    <row r="86" spans="1:13" x14ac:dyDescent="0.25">
      <c r="A86" t="str">
        <f t="shared" si="24"/>
        <v>E173</v>
      </c>
      <c r="B86">
        <v>1</v>
      </c>
      <c r="C86" t="str">
        <f>"16600"</f>
        <v>16600</v>
      </c>
      <c r="D86" t="str">
        <f t="shared" si="25"/>
        <v>5620</v>
      </c>
      <c r="E86" t="str">
        <f>"094OMS"</f>
        <v>094OMS</v>
      </c>
      <c r="F86" t="str">
        <f>""</f>
        <v/>
      </c>
      <c r="G86" t="str">
        <f>""</f>
        <v/>
      </c>
      <c r="H86" s="1">
        <v>42643</v>
      </c>
      <c r="I86" t="str">
        <f>"MLT00105"</f>
        <v>MLT00105</v>
      </c>
      <c r="J86" t="str">
        <f>""</f>
        <v/>
      </c>
      <c r="K86" t="str">
        <f t="shared" si="19"/>
        <v>AS89</v>
      </c>
      <c r="L86" t="s">
        <v>3134</v>
      </c>
      <c r="M86">
        <v>118.05</v>
      </c>
    </row>
    <row r="87" spans="1:13" x14ac:dyDescent="0.25">
      <c r="A87" t="str">
        <f t="shared" si="24"/>
        <v>E173</v>
      </c>
      <c r="B87">
        <v>1</v>
      </c>
      <c r="C87" t="str">
        <f t="shared" ref="C87:C92" si="26">"43000"</f>
        <v>43000</v>
      </c>
      <c r="D87" t="str">
        <f t="shared" si="25"/>
        <v>5620</v>
      </c>
      <c r="E87" t="str">
        <f t="shared" ref="E87:E92" si="27">"850LOS"</f>
        <v>850LOS</v>
      </c>
      <c r="F87" t="str">
        <f>""</f>
        <v/>
      </c>
      <c r="G87" t="str">
        <f>""</f>
        <v/>
      </c>
      <c r="H87" s="1">
        <v>42580</v>
      </c>
      <c r="I87" t="str">
        <f>"MLT00102"</f>
        <v>MLT00102</v>
      </c>
      <c r="J87" t="str">
        <f>""</f>
        <v/>
      </c>
      <c r="K87" t="str">
        <f t="shared" si="19"/>
        <v>AS89</v>
      </c>
      <c r="L87" t="s">
        <v>2383</v>
      </c>
      <c r="M87">
        <v>356.1</v>
      </c>
    </row>
    <row r="88" spans="1:13" x14ac:dyDescent="0.25">
      <c r="A88" t="str">
        <f t="shared" si="24"/>
        <v>E173</v>
      </c>
      <c r="B88">
        <v>1</v>
      </c>
      <c r="C88" t="str">
        <f t="shared" si="26"/>
        <v>43000</v>
      </c>
      <c r="D88" t="str">
        <f t="shared" si="25"/>
        <v>5620</v>
      </c>
      <c r="E88" t="str">
        <f t="shared" si="27"/>
        <v>850LOS</v>
      </c>
      <c r="F88" t="str">
        <f>""</f>
        <v/>
      </c>
      <c r="G88" t="str">
        <f>""</f>
        <v/>
      </c>
      <c r="H88" s="1">
        <v>42612</v>
      </c>
      <c r="I88" t="str">
        <f>"MLT00104"</f>
        <v>MLT00104</v>
      </c>
      <c r="J88" t="str">
        <f>""</f>
        <v/>
      </c>
      <c r="K88" t="str">
        <f t="shared" si="19"/>
        <v>AS89</v>
      </c>
      <c r="L88" t="s">
        <v>2382</v>
      </c>
      <c r="M88">
        <v>124.05</v>
      </c>
    </row>
    <row r="89" spans="1:13" x14ac:dyDescent="0.25">
      <c r="A89" t="str">
        <f t="shared" si="24"/>
        <v>E173</v>
      </c>
      <c r="B89">
        <v>1</v>
      </c>
      <c r="C89" t="str">
        <f t="shared" si="26"/>
        <v>43000</v>
      </c>
      <c r="D89" t="str">
        <f t="shared" si="25"/>
        <v>5620</v>
      </c>
      <c r="E89" t="str">
        <f t="shared" si="27"/>
        <v>850LOS</v>
      </c>
      <c r="F89" t="str">
        <f>""</f>
        <v/>
      </c>
      <c r="G89" t="str">
        <f>""</f>
        <v/>
      </c>
      <c r="H89" s="1">
        <v>42643</v>
      </c>
      <c r="I89" t="str">
        <f>"MLT00105"</f>
        <v>MLT00105</v>
      </c>
      <c r="J89" t="str">
        <f>""</f>
        <v/>
      </c>
      <c r="K89" t="str">
        <f t="shared" si="19"/>
        <v>AS89</v>
      </c>
      <c r="L89" t="s">
        <v>2381</v>
      </c>
      <c r="M89">
        <v>174.15</v>
      </c>
    </row>
    <row r="90" spans="1:13" x14ac:dyDescent="0.25">
      <c r="A90" t="str">
        <f t="shared" si="24"/>
        <v>E173</v>
      </c>
      <c r="B90">
        <v>1</v>
      </c>
      <c r="C90" t="str">
        <f t="shared" si="26"/>
        <v>43000</v>
      </c>
      <c r="D90" t="str">
        <f>"5740"</f>
        <v>5740</v>
      </c>
      <c r="E90" t="str">
        <f t="shared" si="27"/>
        <v>850LOS</v>
      </c>
      <c r="F90" t="str">
        <f>""</f>
        <v/>
      </c>
      <c r="G90" t="str">
        <f>""</f>
        <v/>
      </c>
      <c r="H90" s="1">
        <v>42593</v>
      </c>
      <c r="I90" t="str">
        <f>"J0023609"</f>
        <v>J0023609</v>
      </c>
      <c r="J90" t="str">
        <f>""</f>
        <v/>
      </c>
      <c r="K90" t="str">
        <f>"J089"</f>
        <v>J089</v>
      </c>
      <c r="L90" t="s">
        <v>3133</v>
      </c>
      <c r="M90">
        <v>477.1</v>
      </c>
    </row>
    <row r="91" spans="1:13" x14ac:dyDescent="0.25">
      <c r="A91" t="str">
        <f t="shared" si="24"/>
        <v>E173</v>
      </c>
      <c r="B91">
        <v>1</v>
      </c>
      <c r="C91" t="str">
        <f t="shared" si="26"/>
        <v>43000</v>
      </c>
      <c r="D91" t="str">
        <f>"5740"</f>
        <v>5740</v>
      </c>
      <c r="E91" t="str">
        <f t="shared" si="27"/>
        <v>850LOS</v>
      </c>
      <c r="F91" t="str">
        <f>""</f>
        <v/>
      </c>
      <c r="G91" t="str">
        <f>""</f>
        <v/>
      </c>
      <c r="H91" s="1">
        <v>42662</v>
      </c>
      <c r="I91" t="str">
        <f>"J0024456"</f>
        <v>J0024456</v>
      </c>
      <c r="J91" t="str">
        <f>""</f>
        <v/>
      </c>
      <c r="K91" t="str">
        <f>"J089"</f>
        <v>J089</v>
      </c>
      <c r="L91" t="s">
        <v>2382</v>
      </c>
      <c r="M91">
        <v>124.05</v>
      </c>
    </row>
    <row r="92" spans="1:13" x14ac:dyDescent="0.25">
      <c r="A92" t="str">
        <f t="shared" si="24"/>
        <v>E173</v>
      </c>
      <c r="B92">
        <v>1</v>
      </c>
      <c r="C92" t="str">
        <f t="shared" si="26"/>
        <v>43000</v>
      </c>
      <c r="D92" t="str">
        <f>"5740"</f>
        <v>5740</v>
      </c>
      <c r="E92" t="str">
        <f t="shared" si="27"/>
        <v>850LOS</v>
      </c>
      <c r="F92" t="str">
        <f>""</f>
        <v/>
      </c>
      <c r="G92" t="str">
        <f>""</f>
        <v/>
      </c>
      <c r="H92" s="1">
        <v>42662</v>
      </c>
      <c r="I92" t="str">
        <f>"J0024456"</f>
        <v>J0024456</v>
      </c>
      <c r="J92" t="str">
        <f>""</f>
        <v/>
      </c>
      <c r="K92" t="str">
        <f>"J089"</f>
        <v>J089</v>
      </c>
      <c r="L92" t="s">
        <v>2381</v>
      </c>
      <c r="M92">
        <v>174.15</v>
      </c>
    </row>
    <row r="93" spans="1:13" x14ac:dyDescent="0.25">
      <c r="A93" t="str">
        <f>"E178"</f>
        <v>E178</v>
      </c>
      <c r="B93">
        <v>1</v>
      </c>
      <c r="C93" t="str">
        <f>"23275"</f>
        <v>23275</v>
      </c>
      <c r="D93" t="str">
        <f>"5741"</f>
        <v>5741</v>
      </c>
      <c r="E93" t="str">
        <f>"063STF"</f>
        <v>063STF</v>
      </c>
      <c r="F93" t="str">
        <f>""</f>
        <v/>
      </c>
      <c r="G93" t="str">
        <f>""</f>
        <v/>
      </c>
      <c r="H93" s="1">
        <v>42613</v>
      </c>
      <c r="I93" t="str">
        <f>"PCD00798"</f>
        <v>PCD00798</v>
      </c>
      <c r="J93" t="str">
        <f>""</f>
        <v/>
      </c>
      <c r="K93" t="str">
        <f>"AS89"</f>
        <v>AS89</v>
      </c>
      <c r="L93" t="s">
        <v>3132</v>
      </c>
      <c r="M93">
        <v>166.34</v>
      </c>
    </row>
    <row r="94" spans="1:13" x14ac:dyDescent="0.25">
      <c r="A94" t="str">
        <f>"E178"</f>
        <v>E178</v>
      </c>
      <c r="B94">
        <v>1</v>
      </c>
      <c r="C94" t="str">
        <f>"23275"</f>
        <v>23275</v>
      </c>
      <c r="D94" t="str">
        <f>"5741"</f>
        <v>5741</v>
      </c>
      <c r="E94" t="str">
        <f>"063STF"</f>
        <v>063STF</v>
      </c>
      <c r="F94" t="str">
        <f>""</f>
        <v/>
      </c>
      <c r="G94" t="str">
        <f>""</f>
        <v/>
      </c>
      <c r="H94" s="1">
        <v>42643</v>
      </c>
      <c r="I94" t="str">
        <f>"PCD00802"</f>
        <v>PCD00802</v>
      </c>
      <c r="J94" t="str">
        <f>""</f>
        <v/>
      </c>
      <c r="K94" t="str">
        <f>"AS89"</f>
        <v>AS89</v>
      </c>
      <c r="L94" t="s">
        <v>3131</v>
      </c>
      <c r="M94">
        <v>572.88</v>
      </c>
    </row>
    <row r="95" spans="1:13" x14ac:dyDescent="0.25">
      <c r="A95" t="str">
        <f>"E178"</f>
        <v>E178</v>
      </c>
      <c r="B95">
        <v>1</v>
      </c>
      <c r="C95" t="str">
        <f>"43000"</f>
        <v>43000</v>
      </c>
      <c r="D95" t="str">
        <f>"5740"</f>
        <v>5740</v>
      </c>
      <c r="E95" t="str">
        <f>"850PKE"</f>
        <v>850PKE</v>
      </c>
      <c r="F95" t="str">
        <f>""</f>
        <v/>
      </c>
      <c r="G95" t="str">
        <f>""</f>
        <v/>
      </c>
      <c r="H95" s="1">
        <v>42583</v>
      </c>
      <c r="I95" t="str">
        <f>"PCD00796"</f>
        <v>PCD00796</v>
      </c>
      <c r="J95" t="str">
        <f>""</f>
        <v/>
      </c>
      <c r="K95" t="str">
        <f>"AS89"</f>
        <v>AS89</v>
      </c>
      <c r="L95" t="s">
        <v>3130</v>
      </c>
      <c r="M95">
        <v>658.77</v>
      </c>
    </row>
    <row r="96" spans="1:13" x14ac:dyDescent="0.25">
      <c r="A96" t="str">
        <f>"E191"</f>
        <v>E191</v>
      </c>
      <c r="B96">
        <v>1</v>
      </c>
      <c r="C96" t="str">
        <f>"16600"</f>
        <v>16600</v>
      </c>
      <c r="D96" t="str">
        <f>"5620"</f>
        <v>5620</v>
      </c>
      <c r="E96" t="str">
        <f>"094OMS"</f>
        <v>094OMS</v>
      </c>
      <c r="F96" t="str">
        <f>""</f>
        <v/>
      </c>
      <c r="G96" t="str">
        <f>""</f>
        <v/>
      </c>
      <c r="H96" s="1">
        <v>42636</v>
      </c>
      <c r="I96" t="str">
        <f>"I0138339"</f>
        <v>I0138339</v>
      </c>
      <c r="J96" t="str">
        <f>""</f>
        <v/>
      </c>
      <c r="K96" t="str">
        <f>"INNI"</f>
        <v>INNI</v>
      </c>
      <c r="L96" t="s">
        <v>181</v>
      </c>
      <c r="M96" s="2">
        <v>3187</v>
      </c>
    </row>
    <row r="97" spans="1:13" x14ac:dyDescent="0.25">
      <c r="A97" t="str">
        <f>"E191"</f>
        <v>E191</v>
      </c>
      <c r="B97">
        <v>1</v>
      </c>
      <c r="C97" t="str">
        <f>"43004"</f>
        <v>43004</v>
      </c>
      <c r="D97" t="str">
        <f>"5741"</f>
        <v>5741</v>
      </c>
      <c r="E97" t="str">
        <f>"850ALT"</f>
        <v>850ALT</v>
      </c>
      <c r="F97" t="str">
        <f>""</f>
        <v/>
      </c>
      <c r="G97" t="str">
        <f>""</f>
        <v/>
      </c>
      <c r="H97" s="1">
        <v>42612</v>
      </c>
      <c r="I97" t="str">
        <f>"PCD00797"</f>
        <v>PCD00797</v>
      </c>
      <c r="J97" t="str">
        <f>""</f>
        <v/>
      </c>
      <c r="K97" t="str">
        <f>"AS89"</f>
        <v>AS89</v>
      </c>
      <c r="L97" t="s">
        <v>3129</v>
      </c>
      <c r="M97">
        <v>300</v>
      </c>
    </row>
    <row r="98" spans="1:13" x14ac:dyDescent="0.25">
      <c r="A98" t="str">
        <f>"E192"</f>
        <v>E192</v>
      </c>
      <c r="B98">
        <v>1</v>
      </c>
      <c r="C98" t="str">
        <f>"16600"</f>
        <v>16600</v>
      </c>
      <c r="D98" t="str">
        <f>"5620"</f>
        <v>5620</v>
      </c>
      <c r="E98" t="str">
        <f>"094OMS"</f>
        <v>094OMS</v>
      </c>
      <c r="F98" t="str">
        <f>""</f>
        <v/>
      </c>
      <c r="G98" t="str">
        <f>""</f>
        <v/>
      </c>
      <c r="H98" s="1">
        <v>42612</v>
      </c>
      <c r="I98" t="str">
        <f>"PCD00797"</f>
        <v>PCD00797</v>
      </c>
      <c r="J98" t="str">
        <f>""</f>
        <v/>
      </c>
      <c r="K98" t="str">
        <f>"AS89"</f>
        <v>AS89</v>
      </c>
      <c r="L98" t="s">
        <v>3128</v>
      </c>
      <c r="M98">
        <v>450</v>
      </c>
    </row>
    <row r="99" spans="1:13" x14ac:dyDescent="0.25">
      <c r="A99" t="str">
        <f>"E193"</f>
        <v>E193</v>
      </c>
      <c r="B99">
        <v>1</v>
      </c>
      <c r="C99" t="str">
        <f>"16600"</f>
        <v>16600</v>
      </c>
      <c r="D99" t="str">
        <f>"5620"</f>
        <v>5620</v>
      </c>
      <c r="E99" t="str">
        <f>"094OMS"</f>
        <v>094OMS</v>
      </c>
      <c r="F99" t="str">
        <f>""</f>
        <v/>
      </c>
      <c r="G99" t="str">
        <f>""</f>
        <v/>
      </c>
      <c r="H99" s="1">
        <v>42643</v>
      </c>
      <c r="I99" t="str">
        <f>"PCD00802"</f>
        <v>PCD00802</v>
      </c>
      <c r="J99" t="str">
        <f>""</f>
        <v/>
      </c>
      <c r="K99" t="str">
        <f>"AS89"</f>
        <v>AS89</v>
      </c>
      <c r="L99" t="s">
        <v>3127</v>
      </c>
      <c r="M99">
        <v>175</v>
      </c>
    </row>
    <row r="100" spans="1:13" x14ac:dyDescent="0.25">
      <c r="A100" t="str">
        <f>"E193"</f>
        <v>E193</v>
      </c>
      <c r="B100">
        <v>1</v>
      </c>
      <c r="C100" t="str">
        <f>"43000"</f>
        <v>43000</v>
      </c>
      <c r="D100" t="str">
        <f>"5740"</f>
        <v>5740</v>
      </c>
      <c r="E100" t="str">
        <f>"850LOS"</f>
        <v>850LOS</v>
      </c>
      <c r="F100" t="str">
        <f>""</f>
        <v/>
      </c>
      <c r="G100" t="str">
        <f>""</f>
        <v/>
      </c>
      <c r="H100" s="1">
        <v>42643</v>
      </c>
      <c r="I100" t="str">
        <f>"PCD00802"</f>
        <v>PCD00802</v>
      </c>
      <c r="J100" t="str">
        <f>""</f>
        <v/>
      </c>
      <c r="K100" t="str">
        <f>"AS89"</f>
        <v>AS89</v>
      </c>
      <c r="L100" t="s">
        <v>3126</v>
      </c>
      <c r="M100">
        <v>995</v>
      </c>
    </row>
    <row r="101" spans="1:13" x14ac:dyDescent="0.25">
      <c r="A101" t="str">
        <f>"E200"</f>
        <v>E200</v>
      </c>
      <c r="B101">
        <v>1</v>
      </c>
      <c r="C101" t="str">
        <f>"43000"</f>
        <v>43000</v>
      </c>
      <c r="D101" t="str">
        <f>"5620"</f>
        <v>5620</v>
      </c>
      <c r="E101" t="str">
        <f>"850LOS"</f>
        <v>850LOS</v>
      </c>
      <c r="F101" t="str">
        <f>""</f>
        <v/>
      </c>
      <c r="G101" t="str">
        <f>""</f>
        <v/>
      </c>
      <c r="H101" s="1">
        <v>42599</v>
      </c>
      <c r="I101" t="str">
        <f>"ADM00017"</f>
        <v>ADM00017</v>
      </c>
      <c r="J101" t="str">
        <f>""</f>
        <v/>
      </c>
      <c r="K101" t="str">
        <f>"AS89"</f>
        <v>AS89</v>
      </c>
      <c r="L101" t="s">
        <v>3125</v>
      </c>
      <c r="M101">
        <v>900</v>
      </c>
    </row>
    <row r="102" spans="1:13" x14ac:dyDescent="0.25">
      <c r="A102" t="str">
        <f>"E200"</f>
        <v>E200</v>
      </c>
      <c r="B102">
        <v>1</v>
      </c>
      <c r="C102" t="str">
        <f>"43000"</f>
        <v>43000</v>
      </c>
      <c r="D102" t="str">
        <f>"5740"</f>
        <v>5740</v>
      </c>
      <c r="E102" t="str">
        <f>"850LOS"</f>
        <v>850LOS</v>
      </c>
      <c r="F102" t="str">
        <f>""</f>
        <v/>
      </c>
      <c r="G102" t="str">
        <f>""</f>
        <v/>
      </c>
      <c r="H102" s="1">
        <v>42662</v>
      </c>
      <c r="I102" t="str">
        <f>"J0024456"</f>
        <v>J0024456</v>
      </c>
      <c r="J102" t="str">
        <f>""</f>
        <v/>
      </c>
      <c r="K102" t="str">
        <f>"J089"</f>
        <v>J089</v>
      </c>
      <c r="L102" t="s">
        <v>3125</v>
      </c>
      <c r="M102">
        <v>900</v>
      </c>
    </row>
    <row r="103" spans="1:13" x14ac:dyDescent="0.25">
      <c r="A103" t="str">
        <f>"E209"</f>
        <v>E209</v>
      </c>
      <c r="B103">
        <v>1</v>
      </c>
      <c r="C103" t="str">
        <f>"24081"</f>
        <v>24081</v>
      </c>
      <c r="D103" t="str">
        <f>"5620"</f>
        <v>5620</v>
      </c>
      <c r="E103" t="str">
        <f>"094OMS"</f>
        <v>094OMS</v>
      </c>
      <c r="F103" t="str">
        <f>""</f>
        <v/>
      </c>
      <c r="G103" t="str">
        <f>""</f>
        <v/>
      </c>
      <c r="H103" s="1">
        <v>42611</v>
      </c>
      <c r="I103" t="str">
        <f>"I0137080"</f>
        <v>I0137080</v>
      </c>
      <c r="J103" t="str">
        <f>"N218277C"</f>
        <v>N218277C</v>
      </c>
      <c r="K103" t="str">
        <f>"INEI"</f>
        <v>INEI</v>
      </c>
      <c r="L103" t="s">
        <v>78</v>
      </c>
      <c r="M103">
        <v>132</v>
      </c>
    </row>
    <row r="104" spans="1:13" x14ac:dyDescent="0.25">
      <c r="A104" t="str">
        <f>"E213"</f>
        <v>E213</v>
      </c>
      <c r="B104">
        <v>1</v>
      </c>
      <c r="C104" t="str">
        <f>"43000"</f>
        <v>43000</v>
      </c>
      <c r="D104" t="str">
        <f>"5740"</f>
        <v>5740</v>
      </c>
      <c r="E104" t="str">
        <f>"850PKE"</f>
        <v>850PKE</v>
      </c>
      <c r="F104" t="str">
        <f>""</f>
        <v/>
      </c>
      <c r="G104" t="str">
        <f>""</f>
        <v/>
      </c>
      <c r="H104" s="1">
        <v>42598</v>
      </c>
      <c r="I104" t="str">
        <f>"I0136343"</f>
        <v>I0136343</v>
      </c>
      <c r="J104" t="str">
        <f>"B125380E"</f>
        <v>B125380E</v>
      </c>
      <c r="K104" t="str">
        <f>"INNI"</f>
        <v>INNI</v>
      </c>
      <c r="L104" t="s">
        <v>225</v>
      </c>
      <c r="M104">
        <v>127.15</v>
      </c>
    </row>
    <row r="105" spans="1:13" x14ac:dyDescent="0.25">
      <c r="A105" t="str">
        <f>"E213"</f>
        <v>E213</v>
      </c>
      <c r="B105">
        <v>1</v>
      </c>
      <c r="C105" t="str">
        <f>"43000"</f>
        <v>43000</v>
      </c>
      <c r="D105" t="str">
        <f>"5740"</f>
        <v>5740</v>
      </c>
      <c r="E105" t="str">
        <f>"850PKE"</f>
        <v>850PKE</v>
      </c>
      <c r="F105" t="str">
        <f>""</f>
        <v/>
      </c>
      <c r="G105" t="str">
        <f>""</f>
        <v/>
      </c>
      <c r="H105" s="1">
        <v>42607</v>
      </c>
      <c r="I105" t="str">
        <f>"I0136923"</f>
        <v>I0136923</v>
      </c>
      <c r="J105" t="str">
        <f>"F229935"</f>
        <v>F229935</v>
      </c>
      <c r="K105" t="str">
        <f>"INEI"</f>
        <v>INEI</v>
      </c>
      <c r="L105" t="s">
        <v>229</v>
      </c>
      <c r="M105">
        <v>635.9</v>
      </c>
    </row>
    <row r="106" spans="1:13" x14ac:dyDescent="0.25">
      <c r="A106" t="str">
        <f>"E213"</f>
        <v>E213</v>
      </c>
      <c r="B106">
        <v>1</v>
      </c>
      <c r="C106" t="str">
        <f>"43000"</f>
        <v>43000</v>
      </c>
      <c r="D106" t="str">
        <f>"5740"</f>
        <v>5740</v>
      </c>
      <c r="E106" t="str">
        <f>"850PKE"</f>
        <v>850PKE</v>
      </c>
      <c r="F106" t="str">
        <f>""</f>
        <v/>
      </c>
      <c r="G106" t="str">
        <f>""</f>
        <v/>
      </c>
      <c r="H106" s="1">
        <v>42614</v>
      </c>
      <c r="I106" t="str">
        <f>"I0137355"</f>
        <v>I0137355</v>
      </c>
      <c r="J106" t="str">
        <f>"B125380E"</f>
        <v>B125380E</v>
      </c>
      <c r="K106" t="str">
        <f>"INNI"</f>
        <v>INNI</v>
      </c>
      <c r="L106" t="s">
        <v>225</v>
      </c>
      <c r="M106">
        <v>127.15</v>
      </c>
    </row>
    <row r="107" spans="1:13" x14ac:dyDescent="0.25">
      <c r="A107" t="str">
        <f t="shared" ref="A107:A125" si="28">"E216"</f>
        <v>E216</v>
      </c>
      <c r="B107">
        <v>1</v>
      </c>
      <c r="C107" t="str">
        <f>"10200"</f>
        <v>10200</v>
      </c>
      <c r="D107" t="str">
        <f>"5620"</f>
        <v>5620</v>
      </c>
      <c r="E107" t="str">
        <f>"094OMS"</f>
        <v>094OMS</v>
      </c>
      <c r="F107" t="str">
        <f>""</f>
        <v/>
      </c>
      <c r="G107" t="str">
        <f>""</f>
        <v/>
      </c>
      <c r="H107" s="1">
        <v>42573</v>
      </c>
      <c r="I107" t="str">
        <f>"ACG02725"</f>
        <v>ACG02725</v>
      </c>
      <c r="J107" t="str">
        <f>"I0132790"</f>
        <v>I0132790</v>
      </c>
      <c r="K107" t="str">
        <f>"AS89"</f>
        <v>AS89</v>
      </c>
      <c r="L107" t="s">
        <v>3124</v>
      </c>
      <c r="M107" s="2">
        <v>2500</v>
      </c>
    </row>
    <row r="108" spans="1:13" x14ac:dyDescent="0.25">
      <c r="A108" t="str">
        <f t="shared" si="28"/>
        <v>E216</v>
      </c>
      <c r="B108">
        <v>1</v>
      </c>
      <c r="C108" t="str">
        <f>"16600"</f>
        <v>16600</v>
      </c>
      <c r="D108" t="str">
        <f>"5620"</f>
        <v>5620</v>
      </c>
      <c r="E108" t="str">
        <f>"094OMS"</f>
        <v>094OMS</v>
      </c>
      <c r="F108" t="str">
        <f>""</f>
        <v/>
      </c>
      <c r="G108" t="str">
        <f>""</f>
        <v/>
      </c>
      <c r="H108" s="1">
        <v>42552</v>
      </c>
      <c r="I108" t="str">
        <f>"ACG02755"</f>
        <v>ACG02755</v>
      </c>
      <c r="J108" t="str">
        <f>"I0132790"</f>
        <v>I0132790</v>
      </c>
      <c r="K108" t="str">
        <f>"AS96"</f>
        <v>AS96</v>
      </c>
      <c r="L108" t="s">
        <v>3123</v>
      </c>
      <c r="M108" s="2">
        <v>2500</v>
      </c>
    </row>
    <row r="109" spans="1:13" x14ac:dyDescent="0.25">
      <c r="A109" t="str">
        <f t="shared" si="28"/>
        <v>E216</v>
      </c>
      <c r="B109">
        <v>1</v>
      </c>
      <c r="C109" t="str">
        <f>"16600"</f>
        <v>16600</v>
      </c>
      <c r="D109" t="str">
        <f>"5620"</f>
        <v>5620</v>
      </c>
      <c r="E109" t="str">
        <f>"094OMS"</f>
        <v>094OMS</v>
      </c>
      <c r="F109" t="str">
        <f>""</f>
        <v/>
      </c>
      <c r="G109" t="str">
        <f>""</f>
        <v/>
      </c>
      <c r="H109" s="1">
        <v>42584</v>
      </c>
      <c r="I109" t="str">
        <f>"I0135632"</f>
        <v>I0135632</v>
      </c>
      <c r="J109" t="str">
        <f>""</f>
        <v/>
      </c>
      <c r="K109" t="str">
        <f>"INNI"</f>
        <v>INNI</v>
      </c>
      <c r="L109" t="s">
        <v>3122</v>
      </c>
      <c r="M109" s="2">
        <v>1555.41</v>
      </c>
    </row>
    <row r="110" spans="1:13" x14ac:dyDescent="0.25">
      <c r="A110" t="str">
        <f t="shared" si="28"/>
        <v>E216</v>
      </c>
      <c r="B110">
        <v>1</v>
      </c>
      <c r="C110" t="str">
        <f>"16600"</f>
        <v>16600</v>
      </c>
      <c r="D110" t="str">
        <f>"5620"</f>
        <v>5620</v>
      </c>
      <c r="E110" t="str">
        <f>"094OMS"</f>
        <v>094OMS</v>
      </c>
      <c r="F110" t="str">
        <f>""</f>
        <v/>
      </c>
      <c r="G110" t="str">
        <f>""</f>
        <v/>
      </c>
      <c r="H110" s="1">
        <v>42591</v>
      </c>
      <c r="I110" t="str">
        <f>"I0135945"</f>
        <v>I0135945</v>
      </c>
      <c r="J110" t="str">
        <f>"F229955"</f>
        <v>F229955</v>
      </c>
      <c r="K110" t="str">
        <f t="shared" ref="K110:K116" si="29">"INEI"</f>
        <v>INEI</v>
      </c>
      <c r="L110" t="s">
        <v>226</v>
      </c>
      <c r="M110" s="2">
        <v>4896.9399999999996</v>
      </c>
    </row>
    <row r="111" spans="1:13" x14ac:dyDescent="0.25">
      <c r="A111" t="str">
        <f t="shared" si="28"/>
        <v>E216</v>
      </c>
      <c r="B111">
        <v>1</v>
      </c>
      <c r="C111" t="str">
        <f>"23275"</f>
        <v>23275</v>
      </c>
      <c r="D111" t="str">
        <f>"5741"</f>
        <v>5741</v>
      </c>
      <c r="E111" t="str">
        <f>"063STF"</f>
        <v>063STF</v>
      </c>
      <c r="F111" t="str">
        <f>""</f>
        <v/>
      </c>
      <c r="G111" t="str">
        <f>""</f>
        <v/>
      </c>
      <c r="H111" s="1">
        <v>42619</v>
      </c>
      <c r="I111" t="str">
        <f>"I0137490"</f>
        <v>I0137490</v>
      </c>
      <c r="J111" t="str">
        <f>"F193461"</f>
        <v>F193461</v>
      </c>
      <c r="K111" t="str">
        <f t="shared" si="29"/>
        <v>INEI</v>
      </c>
      <c r="L111" t="s">
        <v>2354</v>
      </c>
      <c r="M111">
        <v>978.3</v>
      </c>
    </row>
    <row r="112" spans="1:13" x14ac:dyDescent="0.25">
      <c r="A112" t="str">
        <f t="shared" si="28"/>
        <v>E216</v>
      </c>
      <c r="B112">
        <v>1</v>
      </c>
      <c r="C112" t="str">
        <f t="shared" ref="C112:C124" si="30">"43000"</f>
        <v>43000</v>
      </c>
      <c r="D112" t="str">
        <f>"5620"</f>
        <v>5620</v>
      </c>
      <c r="E112" t="str">
        <f>"850PAY"</f>
        <v>850PAY</v>
      </c>
      <c r="F112" t="str">
        <f>""</f>
        <v/>
      </c>
      <c r="G112" t="str">
        <f>""</f>
        <v/>
      </c>
      <c r="H112" s="1">
        <v>42590</v>
      </c>
      <c r="I112" t="str">
        <f>"I0135931"</f>
        <v>I0135931</v>
      </c>
      <c r="J112" t="str">
        <f>"N125316G"</f>
        <v>N125316G</v>
      </c>
      <c r="K112" t="str">
        <f t="shared" si="29"/>
        <v>INEI</v>
      </c>
      <c r="L112" t="s">
        <v>2596</v>
      </c>
      <c r="M112">
        <v>407.63</v>
      </c>
    </row>
    <row r="113" spans="1:13" x14ac:dyDescent="0.25">
      <c r="A113" t="str">
        <f t="shared" si="28"/>
        <v>E216</v>
      </c>
      <c r="B113">
        <v>1</v>
      </c>
      <c r="C113" t="str">
        <f t="shared" si="30"/>
        <v>43000</v>
      </c>
      <c r="D113" t="str">
        <f>"5620"</f>
        <v>5620</v>
      </c>
      <c r="E113" t="str">
        <f>"850PAY"</f>
        <v>850PAY</v>
      </c>
      <c r="F113" t="str">
        <f>""</f>
        <v/>
      </c>
      <c r="G113" t="str">
        <f>""</f>
        <v/>
      </c>
      <c r="H113" s="1">
        <v>42590</v>
      </c>
      <c r="I113" t="str">
        <f>"I0135932"</f>
        <v>I0135932</v>
      </c>
      <c r="J113" t="str">
        <f>"N125316G"</f>
        <v>N125316G</v>
      </c>
      <c r="K113" t="str">
        <f t="shared" si="29"/>
        <v>INEI</v>
      </c>
      <c r="L113" t="s">
        <v>2596</v>
      </c>
      <c r="M113">
        <v>407.63</v>
      </c>
    </row>
    <row r="114" spans="1:13" x14ac:dyDescent="0.25">
      <c r="A114" t="str">
        <f t="shared" si="28"/>
        <v>E216</v>
      </c>
      <c r="B114">
        <v>1</v>
      </c>
      <c r="C114" t="str">
        <f t="shared" si="30"/>
        <v>43000</v>
      </c>
      <c r="D114" t="str">
        <f>"5620"</f>
        <v>5620</v>
      </c>
      <c r="E114" t="str">
        <f>"850PAY"</f>
        <v>850PAY</v>
      </c>
      <c r="F114" t="str">
        <f>""</f>
        <v/>
      </c>
      <c r="G114" t="str">
        <f>""</f>
        <v/>
      </c>
      <c r="H114" s="1">
        <v>42590</v>
      </c>
      <c r="I114" t="str">
        <f>"I0135933"</f>
        <v>I0135933</v>
      </c>
      <c r="J114" t="str">
        <f>"N125316G"</f>
        <v>N125316G</v>
      </c>
      <c r="K114" t="str">
        <f t="shared" si="29"/>
        <v>INEI</v>
      </c>
      <c r="L114" t="s">
        <v>2596</v>
      </c>
      <c r="M114">
        <v>407.63</v>
      </c>
    </row>
    <row r="115" spans="1:13" x14ac:dyDescent="0.25">
      <c r="A115" t="str">
        <f t="shared" si="28"/>
        <v>E216</v>
      </c>
      <c r="B115">
        <v>1</v>
      </c>
      <c r="C115" t="str">
        <f t="shared" si="30"/>
        <v>43000</v>
      </c>
      <c r="D115" t="str">
        <f>"5620"</f>
        <v>5620</v>
      </c>
      <c r="E115" t="str">
        <f>"850PKE"</f>
        <v>850PKE</v>
      </c>
      <c r="F115" t="str">
        <f>""</f>
        <v/>
      </c>
      <c r="G115" t="str">
        <f>""</f>
        <v/>
      </c>
      <c r="H115" s="1">
        <v>42607</v>
      </c>
      <c r="I115" t="str">
        <f>"I0136925"</f>
        <v>I0136925</v>
      </c>
      <c r="J115" t="str">
        <f>"N227766B"</f>
        <v>N227766B</v>
      </c>
      <c r="K115" t="str">
        <f t="shared" si="29"/>
        <v>INEI</v>
      </c>
      <c r="L115" t="s">
        <v>229</v>
      </c>
      <c r="M115">
        <v>217.4</v>
      </c>
    </row>
    <row r="116" spans="1:13" x14ac:dyDescent="0.25">
      <c r="A116" t="str">
        <f t="shared" si="28"/>
        <v>E216</v>
      </c>
      <c r="B116">
        <v>1</v>
      </c>
      <c r="C116" t="str">
        <f t="shared" si="30"/>
        <v>43000</v>
      </c>
      <c r="D116" t="str">
        <f>"5620"</f>
        <v>5620</v>
      </c>
      <c r="E116" t="str">
        <f>"850PKE"</f>
        <v>850PKE</v>
      </c>
      <c r="F116" t="str">
        <f>""</f>
        <v/>
      </c>
      <c r="G116" t="str">
        <f>""</f>
        <v/>
      </c>
      <c r="H116" s="1">
        <v>42607</v>
      </c>
      <c r="I116" t="str">
        <f>"I0136925"</f>
        <v>I0136925</v>
      </c>
      <c r="J116" t="str">
        <f>"N227766B"</f>
        <v>N227766B</v>
      </c>
      <c r="K116" t="str">
        <f t="shared" si="29"/>
        <v>INEI</v>
      </c>
      <c r="L116" t="s">
        <v>229</v>
      </c>
      <c r="M116" s="2">
        <v>1630.5</v>
      </c>
    </row>
    <row r="117" spans="1:13" x14ac:dyDescent="0.25">
      <c r="A117" t="str">
        <f t="shared" si="28"/>
        <v>E216</v>
      </c>
      <c r="B117">
        <v>1</v>
      </c>
      <c r="C117" t="str">
        <f t="shared" si="30"/>
        <v>43000</v>
      </c>
      <c r="D117" t="str">
        <f t="shared" ref="D117:D131" si="31">"5740"</f>
        <v>5740</v>
      </c>
      <c r="E117" t="str">
        <f>"850PAY"</f>
        <v>850PAY</v>
      </c>
      <c r="F117" t="str">
        <f>""</f>
        <v/>
      </c>
      <c r="G117" t="str">
        <f>""</f>
        <v/>
      </c>
      <c r="H117" s="1">
        <v>42584</v>
      </c>
      <c r="I117" t="str">
        <f>"I0135631"</f>
        <v>I0135631</v>
      </c>
      <c r="J117" t="str">
        <f>""</f>
        <v/>
      </c>
      <c r="K117" t="str">
        <f>"INNI"</f>
        <v>INNI</v>
      </c>
      <c r="L117" t="s">
        <v>1304</v>
      </c>
      <c r="M117">
        <v>850</v>
      </c>
    </row>
    <row r="118" spans="1:13" x14ac:dyDescent="0.25">
      <c r="A118" t="str">
        <f t="shared" si="28"/>
        <v>E216</v>
      </c>
      <c r="B118">
        <v>1</v>
      </c>
      <c r="C118" t="str">
        <f t="shared" si="30"/>
        <v>43000</v>
      </c>
      <c r="D118" t="str">
        <f t="shared" si="31"/>
        <v>5740</v>
      </c>
      <c r="E118" t="str">
        <f>"850PAY"</f>
        <v>850PAY</v>
      </c>
      <c r="F118" t="str">
        <f>""</f>
        <v/>
      </c>
      <c r="G118" t="str">
        <f>""</f>
        <v/>
      </c>
      <c r="H118" s="1">
        <v>42593</v>
      </c>
      <c r="I118" t="str">
        <f>"J0023609"</f>
        <v>J0023609</v>
      </c>
      <c r="J118" t="str">
        <f>""</f>
        <v/>
      </c>
      <c r="K118" t="str">
        <f>"J089"</f>
        <v>J089</v>
      </c>
      <c r="L118" t="s">
        <v>3121</v>
      </c>
      <c r="M118" s="2">
        <v>1222.8900000000001</v>
      </c>
    </row>
    <row r="119" spans="1:13" x14ac:dyDescent="0.25">
      <c r="A119" t="str">
        <f t="shared" si="28"/>
        <v>E216</v>
      </c>
      <c r="B119">
        <v>1</v>
      </c>
      <c r="C119" t="str">
        <f t="shared" si="30"/>
        <v>43000</v>
      </c>
      <c r="D119" t="str">
        <f t="shared" si="31"/>
        <v>5740</v>
      </c>
      <c r="E119" t="str">
        <f>"850PAY"</f>
        <v>850PAY</v>
      </c>
      <c r="F119" t="str">
        <f>""</f>
        <v/>
      </c>
      <c r="G119" t="str">
        <f>""</f>
        <v/>
      </c>
      <c r="H119" s="1">
        <v>42611</v>
      </c>
      <c r="I119" t="str">
        <f>"I0137067"</f>
        <v>I0137067</v>
      </c>
      <c r="J119" t="str">
        <f>"N125316G"</f>
        <v>N125316G</v>
      </c>
      <c r="K119" t="str">
        <f t="shared" ref="K119:K125" si="32">"INEI"</f>
        <v>INEI</v>
      </c>
      <c r="L119" t="s">
        <v>2596</v>
      </c>
      <c r="M119">
        <v>407.63</v>
      </c>
    </row>
    <row r="120" spans="1:13" x14ac:dyDescent="0.25">
      <c r="A120" t="str">
        <f t="shared" si="28"/>
        <v>E216</v>
      </c>
      <c r="B120">
        <v>1</v>
      </c>
      <c r="C120" t="str">
        <f t="shared" si="30"/>
        <v>43000</v>
      </c>
      <c r="D120" t="str">
        <f t="shared" si="31"/>
        <v>5740</v>
      </c>
      <c r="E120" t="str">
        <f>"850PAY"</f>
        <v>850PAY</v>
      </c>
      <c r="F120" t="str">
        <f>""</f>
        <v/>
      </c>
      <c r="G120" t="str">
        <f>""</f>
        <v/>
      </c>
      <c r="H120" s="1">
        <v>42614</v>
      </c>
      <c r="I120" t="str">
        <f>"I0137288"</f>
        <v>I0137288</v>
      </c>
      <c r="J120" t="str">
        <f>"N125316H"</f>
        <v>N125316H</v>
      </c>
      <c r="K120" t="str">
        <f t="shared" si="32"/>
        <v>INEI</v>
      </c>
      <c r="L120" t="s">
        <v>2596</v>
      </c>
      <c r="M120">
        <v>407.63</v>
      </c>
    </row>
    <row r="121" spans="1:13" x14ac:dyDescent="0.25">
      <c r="A121" t="str">
        <f t="shared" si="28"/>
        <v>E216</v>
      </c>
      <c r="B121">
        <v>1</v>
      </c>
      <c r="C121" t="str">
        <f t="shared" si="30"/>
        <v>43000</v>
      </c>
      <c r="D121" t="str">
        <f t="shared" si="31"/>
        <v>5740</v>
      </c>
      <c r="E121" t="str">
        <f>"850PKE"</f>
        <v>850PKE</v>
      </c>
      <c r="F121" t="str">
        <f>""</f>
        <v/>
      </c>
      <c r="G121" t="str">
        <f>""</f>
        <v/>
      </c>
      <c r="H121" s="1">
        <v>42607</v>
      </c>
      <c r="I121" t="str">
        <f>"I0136925"</f>
        <v>I0136925</v>
      </c>
      <c r="J121" t="str">
        <f>"N227766B"</f>
        <v>N227766B</v>
      </c>
      <c r="K121" t="str">
        <f t="shared" si="32"/>
        <v>INEI</v>
      </c>
      <c r="L121" t="s">
        <v>229</v>
      </c>
      <c r="M121" s="2">
        <v>1630.5</v>
      </c>
    </row>
    <row r="122" spans="1:13" x14ac:dyDescent="0.25">
      <c r="A122" t="str">
        <f t="shared" si="28"/>
        <v>E216</v>
      </c>
      <c r="B122">
        <v>1</v>
      </c>
      <c r="C122" t="str">
        <f t="shared" si="30"/>
        <v>43000</v>
      </c>
      <c r="D122" t="str">
        <f t="shared" si="31"/>
        <v>5740</v>
      </c>
      <c r="E122" t="str">
        <f>"850PKE"</f>
        <v>850PKE</v>
      </c>
      <c r="F122" t="str">
        <f>""</f>
        <v/>
      </c>
      <c r="G122" t="str">
        <f>""</f>
        <v/>
      </c>
      <c r="H122" s="1">
        <v>42607</v>
      </c>
      <c r="I122" t="str">
        <f>"I0136925"</f>
        <v>I0136925</v>
      </c>
      <c r="J122" t="str">
        <f>"N227766B"</f>
        <v>N227766B</v>
      </c>
      <c r="K122" t="str">
        <f t="shared" si="32"/>
        <v>INEI</v>
      </c>
      <c r="L122" t="s">
        <v>229</v>
      </c>
      <c r="M122">
        <v>217.4</v>
      </c>
    </row>
    <row r="123" spans="1:13" x14ac:dyDescent="0.25">
      <c r="A123" t="str">
        <f t="shared" si="28"/>
        <v>E216</v>
      </c>
      <c r="B123">
        <v>1</v>
      </c>
      <c r="C123" t="str">
        <f t="shared" si="30"/>
        <v>43000</v>
      </c>
      <c r="D123" t="str">
        <f t="shared" si="31"/>
        <v>5740</v>
      </c>
      <c r="E123" t="str">
        <f>"850PKE"</f>
        <v>850PKE</v>
      </c>
      <c r="F123" t="str">
        <f>""</f>
        <v/>
      </c>
      <c r="G123" t="str">
        <f>""</f>
        <v/>
      </c>
      <c r="H123" s="1">
        <v>42607</v>
      </c>
      <c r="I123" t="str">
        <f>"I0136925"</f>
        <v>I0136925</v>
      </c>
      <c r="J123" t="str">
        <f>"N227766B"</f>
        <v>N227766B</v>
      </c>
      <c r="K123" t="str">
        <f t="shared" si="32"/>
        <v>INEI</v>
      </c>
      <c r="L123" t="s">
        <v>229</v>
      </c>
      <c r="M123">
        <v>434.8</v>
      </c>
    </row>
    <row r="124" spans="1:13" x14ac:dyDescent="0.25">
      <c r="A124" t="str">
        <f t="shared" si="28"/>
        <v>E216</v>
      </c>
      <c r="B124">
        <v>1</v>
      </c>
      <c r="C124" t="str">
        <f t="shared" si="30"/>
        <v>43000</v>
      </c>
      <c r="D124" t="str">
        <f t="shared" si="31"/>
        <v>5740</v>
      </c>
      <c r="E124" t="str">
        <f>"850PKE"</f>
        <v>850PKE</v>
      </c>
      <c r="F124" t="str">
        <f>""</f>
        <v/>
      </c>
      <c r="G124" t="str">
        <f>""</f>
        <v/>
      </c>
      <c r="H124" s="1">
        <v>42607</v>
      </c>
      <c r="I124" t="str">
        <f>"I0136925"</f>
        <v>I0136925</v>
      </c>
      <c r="J124" t="str">
        <f>"N227766B"</f>
        <v>N227766B</v>
      </c>
      <c r="K124" t="str">
        <f t="shared" si="32"/>
        <v>INEI</v>
      </c>
      <c r="L124" t="s">
        <v>229</v>
      </c>
      <c r="M124" s="2">
        <v>3847.98</v>
      </c>
    </row>
    <row r="125" spans="1:13" x14ac:dyDescent="0.25">
      <c r="A125" t="str">
        <f t="shared" si="28"/>
        <v>E216</v>
      </c>
      <c r="B125">
        <v>1</v>
      </c>
      <c r="C125" t="str">
        <f>"43007"</f>
        <v>43007</v>
      </c>
      <c r="D125" t="str">
        <f t="shared" si="31"/>
        <v>5740</v>
      </c>
      <c r="E125" t="str">
        <f>"850PKE"</f>
        <v>850PKE</v>
      </c>
      <c r="F125" t="str">
        <f>""</f>
        <v/>
      </c>
      <c r="G125" t="str">
        <f>""</f>
        <v/>
      </c>
      <c r="H125" s="1">
        <v>42592</v>
      </c>
      <c r="I125" t="str">
        <f>"I0136024"</f>
        <v>I0136024</v>
      </c>
      <c r="J125" t="str">
        <f>"F210975"</f>
        <v>F210975</v>
      </c>
      <c r="K125" t="str">
        <f t="shared" si="32"/>
        <v>INEI</v>
      </c>
      <c r="L125" t="s">
        <v>229</v>
      </c>
      <c r="M125" s="2">
        <v>3517.5</v>
      </c>
    </row>
    <row r="126" spans="1:13" x14ac:dyDescent="0.25">
      <c r="A126" t="str">
        <f t="shared" ref="A126:A131" si="33">"E217"</f>
        <v>E217</v>
      </c>
      <c r="B126">
        <v>1</v>
      </c>
      <c r="C126" t="str">
        <f t="shared" ref="C126:C131" si="34">"43000"</f>
        <v>43000</v>
      </c>
      <c r="D126" t="str">
        <f t="shared" si="31"/>
        <v>5740</v>
      </c>
      <c r="E126" t="str">
        <f>"850LOS"</f>
        <v>850LOS</v>
      </c>
      <c r="F126" t="str">
        <f>""</f>
        <v/>
      </c>
      <c r="G126" t="str">
        <f>""</f>
        <v/>
      </c>
      <c r="H126" s="1">
        <v>42607</v>
      </c>
      <c r="I126" t="str">
        <f>"CMG01013"</f>
        <v>CMG01013</v>
      </c>
      <c r="J126" t="str">
        <f>""</f>
        <v/>
      </c>
      <c r="K126" t="str">
        <f t="shared" ref="K126:K131" si="35">"CM89"</f>
        <v>CM89</v>
      </c>
      <c r="L126" t="s">
        <v>3120</v>
      </c>
      <c r="M126">
        <v>186.18</v>
      </c>
    </row>
    <row r="127" spans="1:13" x14ac:dyDescent="0.25">
      <c r="A127" t="str">
        <f t="shared" si="33"/>
        <v>E217</v>
      </c>
      <c r="B127">
        <v>1</v>
      </c>
      <c r="C127" t="str">
        <f t="shared" si="34"/>
        <v>43000</v>
      </c>
      <c r="D127" t="str">
        <f t="shared" si="31"/>
        <v>5740</v>
      </c>
      <c r="E127" t="str">
        <f>"850LOS"</f>
        <v>850LOS</v>
      </c>
      <c r="F127" t="str">
        <f>""</f>
        <v/>
      </c>
      <c r="G127" t="str">
        <f>""</f>
        <v/>
      </c>
      <c r="H127" s="1">
        <v>42607</v>
      </c>
      <c r="I127" t="str">
        <f>"CMG01013"</f>
        <v>CMG01013</v>
      </c>
      <c r="J127" t="str">
        <f>""</f>
        <v/>
      </c>
      <c r="K127" t="str">
        <f t="shared" si="35"/>
        <v>CM89</v>
      </c>
      <c r="L127" t="s">
        <v>3120</v>
      </c>
      <c r="M127">
        <v>148.93</v>
      </c>
    </row>
    <row r="128" spans="1:13" x14ac:dyDescent="0.25">
      <c r="A128" t="str">
        <f t="shared" si="33"/>
        <v>E217</v>
      </c>
      <c r="B128">
        <v>1</v>
      </c>
      <c r="C128" t="str">
        <f t="shared" si="34"/>
        <v>43000</v>
      </c>
      <c r="D128" t="str">
        <f t="shared" si="31"/>
        <v>5740</v>
      </c>
      <c r="E128" t="str">
        <f>"850LOS"</f>
        <v>850LOS</v>
      </c>
      <c r="F128" t="str">
        <f>""</f>
        <v/>
      </c>
      <c r="G128" t="str">
        <f>""</f>
        <v/>
      </c>
      <c r="H128" s="1">
        <v>42643</v>
      </c>
      <c r="I128" t="str">
        <f>"CMG01018"</f>
        <v>CMG01018</v>
      </c>
      <c r="J128" t="str">
        <f>""</f>
        <v/>
      </c>
      <c r="K128" t="str">
        <f t="shared" si="35"/>
        <v>CM89</v>
      </c>
      <c r="L128" t="s">
        <v>3119</v>
      </c>
      <c r="M128">
        <v>354.33</v>
      </c>
    </row>
    <row r="129" spans="1:13" x14ac:dyDescent="0.25">
      <c r="A129" t="str">
        <f t="shared" si="33"/>
        <v>E217</v>
      </c>
      <c r="B129">
        <v>1</v>
      </c>
      <c r="C129" t="str">
        <f t="shared" si="34"/>
        <v>43000</v>
      </c>
      <c r="D129" t="str">
        <f t="shared" si="31"/>
        <v>5740</v>
      </c>
      <c r="E129" t="str">
        <f>"850LOS"</f>
        <v>850LOS</v>
      </c>
      <c r="F129" t="str">
        <f>""</f>
        <v/>
      </c>
      <c r="G129" t="str">
        <f>""</f>
        <v/>
      </c>
      <c r="H129" s="1">
        <v>42643</v>
      </c>
      <c r="I129" t="str">
        <f>"CMG01018"</f>
        <v>CMG01018</v>
      </c>
      <c r="J129" t="str">
        <f>""</f>
        <v/>
      </c>
      <c r="K129" t="str">
        <f t="shared" si="35"/>
        <v>CM89</v>
      </c>
      <c r="L129" t="s">
        <v>3119</v>
      </c>
      <c r="M129">
        <v>162.52000000000001</v>
      </c>
    </row>
    <row r="130" spans="1:13" x14ac:dyDescent="0.25">
      <c r="A130" t="str">
        <f t="shared" si="33"/>
        <v>E217</v>
      </c>
      <c r="B130">
        <v>1</v>
      </c>
      <c r="C130" t="str">
        <f t="shared" si="34"/>
        <v>43000</v>
      </c>
      <c r="D130" t="str">
        <f t="shared" si="31"/>
        <v>5740</v>
      </c>
      <c r="E130" t="str">
        <f>"850PAY"</f>
        <v>850PAY</v>
      </c>
      <c r="F130" t="str">
        <f>""</f>
        <v/>
      </c>
      <c r="G130" t="str">
        <f>""</f>
        <v/>
      </c>
      <c r="H130" s="1">
        <v>42607</v>
      </c>
      <c r="I130" t="str">
        <f>"CMG01013"</f>
        <v>CMG01013</v>
      </c>
      <c r="J130" t="str">
        <f>""</f>
        <v/>
      </c>
      <c r="K130" t="str">
        <f t="shared" si="35"/>
        <v>CM89</v>
      </c>
      <c r="L130" t="s">
        <v>3120</v>
      </c>
      <c r="M130">
        <v>791.7</v>
      </c>
    </row>
    <row r="131" spans="1:13" x14ac:dyDescent="0.25">
      <c r="A131" t="str">
        <f t="shared" si="33"/>
        <v>E217</v>
      </c>
      <c r="B131">
        <v>1</v>
      </c>
      <c r="C131" t="str">
        <f t="shared" si="34"/>
        <v>43000</v>
      </c>
      <c r="D131" t="str">
        <f t="shared" si="31"/>
        <v>5740</v>
      </c>
      <c r="E131" t="str">
        <f>"850PAY"</f>
        <v>850PAY</v>
      </c>
      <c r="F131" t="str">
        <f>""</f>
        <v/>
      </c>
      <c r="G131" t="str">
        <f>""</f>
        <v/>
      </c>
      <c r="H131" s="1">
        <v>42643</v>
      </c>
      <c r="I131" t="str">
        <f>"CMG01018"</f>
        <v>CMG01018</v>
      </c>
      <c r="J131" t="str">
        <f>""</f>
        <v/>
      </c>
      <c r="K131" t="str">
        <f t="shared" si="35"/>
        <v>CM89</v>
      </c>
      <c r="L131" t="s">
        <v>3119</v>
      </c>
      <c r="M131">
        <v>815.71</v>
      </c>
    </row>
    <row r="132" spans="1:13" x14ac:dyDescent="0.25">
      <c r="A132" t="str">
        <f t="shared" ref="A132:A138" si="36">"E231"</f>
        <v>E231</v>
      </c>
      <c r="B132">
        <v>1</v>
      </c>
      <c r="C132" t="str">
        <f>"16600"</f>
        <v>16600</v>
      </c>
      <c r="D132" t="str">
        <f>"5620"</f>
        <v>5620</v>
      </c>
      <c r="E132" t="str">
        <f>"094OMS"</f>
        <v>094OMS</v>
      </c>
      <c r="F132" t="str">
        <f>""</f>
        <v/>
      </c>
      <c r="G132" t="str">
        <f>""</f>
        <v/>
      </c>
      <c r="H132" s="1">
        <v>42552</v>
      </c>
      <c r="I132" t="str">
        <f>"PHY00668"</f>
        <v>PHY00668</v>
      </c>
      <c r="J132" t="str">
        <f>"FPOLICE"</f>
        <v>FPOLICE</v>
      </c>
      <c r="K132" t="str">
        <f t="shared" ref="K132:K140" si="37">"AS89"</f>
        <v>AS89</v>
      </c>
      <c r="L132" t="s">
        <v>2570</v>
      </c>
      <c r="M132" s="2">
        <v>1434.64</v>
      </c>
    </row>
    <row r="133" spans="1:13" x14ac:dyDescent="0.25">
      <c r="A133" t="str">
        <f t="shared" si="36"/>
        <v>E231</v>
      </c>
      <c r="B133">
        <v>1</v>
      </c>
      <c r="C133" t="str">
        <f>"16600"</f>
        <v>16600</v>
      </c>
      <c r="D133" t="str">
        <f>"5620"</f>
        <v>5620</v>
      </c>
      <c r="E133" t="str">
        <f>"094OMS"</f>
        <v>094OMS</v>
      </c>
      <c r="F133" t="str">
        <f>""</f>
        <v/>
      </c>
      <c r="G133" t="str">
        <f>""</f>
        <v/>
      </c>
      <c r="H133" s="1">
        <v>42583</v>
      </c>
      <c r="I133" t="str">
        <f>"PHY00669"</f>
        <v>PHY00669</v>
      </c>
      <c r="J133" t="str">
        <f>"FPOLICE"</f>
        <v>FPOLICE</v>
      </c>
      <c r="K133" t="str">
        <f t="shared" si="37"/>
        <v>AS89</v>
      </c>
      <c r="L133" t="s">
        <v>2570</v>
      </c>
      <c r="M133" s="2">
        <v>1523.59</v>
      </c>
    </row>
    <row r="134" spans="1:13" x14ac:dyDescent="0.25">
      <c r="A134" t="str">
        <f t="shared" si="36"/>
        <v>E231</v>
      </c>
      <c r="B134">
        <v>1</v>
      </c>
      <c r="C134" t="str">
        <f>"16600"</f>
        <v>16600</v>
      </c>
      <c r="D134" t="str">
        <f>"5620"</f>
        <v>5620</v>
      </c>
      <c r="E134" t="str">
        <f>"094OMS"</f>
        <v>094OMS</v>
      </c>
      <c r="F134" t="str">
        <f>""</f>
        <v/>
      </c>
      <c r="G134" t="str">
        <f>""</f>
        <v/>
      </c>
      <c r="H134" s="1">
        <v>42614</v>
      </c>
      <c r="I134" t="str">
        <f>"PHY00670"</f>
        <v>PHY00670</v>
      </c>
      <c r="J134" t="str">
        <f>"FPOLICE"</f>
        <v>FPOLICE</v>
      </c>
      <c r="K134" t="str">
        <f t="shared" si="37"/>
        <v>AS89</v>
      </c>
      <c r="L134" t="s">
        <v>2570</v>
      </c>
      <c r="M134" s="2">
        <v>1359.97</v>
      </c>
    </row>
    <row r="135" spans="1:13" x14ac:dyDescent="0.25">
      <c r="A135" t="str">
        <f t="shared" si="36"/>
        <v>E231</v>
      </c>
      <c r="B135">
        <v>1</v>
      </c>
      <c r="C135" t="str">
        <f>"23275"</f>
        <v>23275</v>
      </c>
      <c r="D135" t="str">
        <f>"5741"</f>
        <v>5741</v>
      </c>
      <c r="E135" t="str">
        <f>"063STF"</f>
        <v>063STF</v>
      </c>
      <c r="F135" t="str">
        <f>""</f>
        <v/>
      </c>
      <c r="G135" t="str">
        <f>""</f>
        <v/>
      </c>
      <c r="H135" s="1">
        <v>42614</v>
      </c>
      <c r="I135" t="str">
        <f>"PHY00670"</f>
        <v>PHY00670</v>
      </c>
      <c r="J135" t="str">
        <f>"FUNIVSHU"</f>
        <v>FUNIVSHU</v>
      </c>
      <c r="K135" t="str">
        <f t="shared" si="37"/>
        <v>AS89</v>
      </c>
      <c r="L135" t="s">
        <v>2570</v>
      </c>
      <c r="M135">
        <v>418.43</v>
      </c>
    </row>
    <row r="136" spans="1:13" x14ac:dyDescent="0.25">
      <c r="A136" t="str">
        <f t="shared" si="36"/>
        <v>E231</v>
      </c>
      <c r="B136">
        <v>1</v>
      </c>
      <c r="C136" t="str">
        <f>"43000"</f>
        <v>43000</v>
      </c>
      <c r="D136" t="str">
        <f>"5740"</f>
        <v>5740</v>
      </c>
      <c r="E136" t="str">
        <f>"850LOS"</f>
        <v>850LOS</v>
      </c>
      <c r="F136" t="str">
        <f>""</f>
        <v/>
      </c>
      <c r="G136" t="str">
        <f>""</f>
        <v/>
      </c>
      <c r="H136" s="1">
        <v>42552</v>
      </c>
      <c r="I136" t="str">
        <f>"PHY00668"</f>
        <v>PHY00668</v>
      </c>
      <c r="J136" t="str">
        <f>"FPARKING"</f>
        <v>FPARKING</v>
      </c>
      <c r="K136" t="str">
        <f t="shared" si="37"/>
        <v>AS89</v>
      </c>
      <c r="L136" t="s">
        <v>2570</v>
      </c>
      <c r="M136">
        <v>713.43</v>
      </c>
    </row>
    <row r="137" spans="1:13" x14ac:dyDescent="0.25">
      <c r="A137" t="str">
        <f t="shared" si="36"/>
        <v>E231</v>
      </c>
      <c r="B137">
        <v>1</v>
      </c>
      <c r="C137" t="str">
        <f>"43000"</f>
        <v>43000</v>
      </c>
      <c r="D137" t="str">
        <f>"5740"</f>
        <v>5740</v>
      </c>
      <c r="E137" t="str">
        <f>"850LOS"</f>
        <v>850LOS</v>
      </c>
      <c r="F137" t="str">
        <f>""</f>
        <v/>
      </c>
      <c r="G137" t="str">
        <f>""</f>
        <v/>
      </c>
      <c r="H137" s="1">
        <v>42583</v>
      </c>
      <c r="I137" t="str">
        <f>"PHY00669"</f>
        <v>PHY00669</v>
      </c>
      <c r="J137" t="str">
        <f>"FPARKING"</f>
        <v>FPARKING</v>
      </c>
      <c r="K137" t="str">
        <f t="shared" si="37"/>
        <v>AS89</v>
      </c>
      <c r="L137" t="s">
        <v>2570</v>
      </c>
      <c r="M137">
        <v>895.06</v>
      </c>
    </row>
    <row r="138" spans="1:13" x14ac:dyDescent="0.25">
      <c r="A138" t="str">
        <f t="shared" si="36"/>
        <v>E231</v>
      </c>
      <c r="B138">
        <v>1</v>
      </c>
      <c r="C138" t="str">
        <f>"43000"</f>
        <v>43000</v>
      </c>
      <c r="D138" t="str">
        <f>"5740"</f>
        <v>5740</v>
      </c>
      <c r="E138" t="str">
        <f>"850LOS"</f>
        <v>850LOS</v>
      </c>
      <c r="F138" t="str">
        <f>""</f>
        <v/>
      </c>
      <c r="G138" t="str">
        <f>""</f>
        <v/>
      </c>
      <c r="H138" s="1">
        <v>42614</v>
      </c>
      <c r="I138" t="str">
        <f>"PHY00670"</f>
        <v>PHY00670</v>
      </c>
      <c r="J138" t="str">
        <f>"FPARKING"</f>
        <v>FPARKING</v>
      </c>
      <c r="K138" t="str">
        <f t="shared" si="37"/>
        <v>AS89</v>
      </c>
      <c r="L138" t="s">
        <v>2570</v>
      </c>
      <c r="M138">
        <v>781.01</v>
      </c>
    </row>
    <row r="139" spans="1:13" x14ac:dyDescent="0.25">
      <c r="A139" t="str">
        <f>"E240"</f>
        <v>E240</v>
      </c>
      <c r="B139">
        <v>1</v>
      </c>
      <c r="C139" t="str">
        <f>"43004"</f>
        <v>43004</v>
      </c>
      <c r="D139" t="str">
        <f>"5741"</f>
        <v>5741</v>
      </c>
      <c r="E139" t="str">
        <f>"850ALT"</f>
        <v>850ALT</v>
      </c>
      <c r="F139" t="str">
        <f>""</f>
        <v/>
      </c>
      <c r="G139" t="str">
        <f>""</f>
        <v/>
      </c>
      <c r="H139" s="1">
        <v>42583</v>
      </c>
      <c r="I139" t="str">
        <f>"PCD00796"</f>
        <v>PCD00796</v>
      </c>
      <c r="J139" t="str">
        <f>""</f>
        <v/>
      </c>
      <c r="K139" t="str">
        <f t="shared" si="37"/>
        <v>AS89</v>
      </c>
      <c r="L139" t="s">
        <v>3118</v>
      </c>
      <c r="M139" s="2">
        <v>2252.91</v>
      </c>
    </row>
    <row r="140" spans="1:13" x14ac:dyDescent="0.25">
      <c r="A140" t="str">
        <f>"E242"</f>
        <v>E242</v>
      </c>
      <c r="B140">
        <v>1</v>
      </c>
      <c r="C140" t="str">
        <f>"43000"</f>
        <v>43000</v>
      </c>
      <c r="D140" t="str">
        <f>"5740"</f>
        <v>5740</v>
      </c>
      <c r="E140" t="str">
        <f>"850LOS"</f>
        <v>850LOS</v>
      </c>
      <c r="F140" t="str">
        <f>""</f>
        <v/>
      </c>
      <c r="G140" t="str">
        <f>""</f>
        <v/>
      </c>
      <c r="H140" s="1">
        <v>42613</v>
      </c>
      <c r="I140" t="str">
        <f>"PCD00798"</f>
        <v>PCD00798</v>
      </c>
      <c r="J140" t="str">
        <f>""</f>
        <v/>
      </c>
      <c r="K140" t="str">
        <f t="shared" si="37"/>
        <v>AS89</v>
      </c>
      <c r="L140" t="s">
        <v>3117</v>
      </c>
      <c r="M140">
        <v>152</v>
      </c>
    </row>
    <row r="141" spans="1:13" x14ac:dyDescent="0.25">
      <c r="A141" t="str">
        <f>"E247"</f>
        <v>E247</v>
      </c>
      <c r="B141">
        <v>1</v>
      </c>
      <c r="C141" t="str">
        <f t="shared" ref="C141:C148" si="38">"16600"</f>
        <v>16600</v>
      </c>
      <c r="D141" t="str">
        <f t="shared" ref="D141:D148" si="39">"5620"</f>
        <v>5620</v>
      </c>
      <c r="E141" t="str">
        <f t="shared" ref="E141:E148" si="40">"094OMS"</f>
        <v>094OMS</v>
      </c>
      <c r="F141" t="str">
        <f>""</f>
        <v/>
      </c>
      <c r="G141" t="str">
        <f>""</f>
        <v/>
      </c>
      <c r="H141" s="1">
        <v>42579</v>
      </c>
      <c r="I141" t="str">
        <f>"I0135491"</f>
        <v>I0135491</v>
      </c>
      <c r="J141" t="str">
        <f>"N218295C"</f>
        <v>N218295C</v>
      </c>
      <c r="K141" t="str">
        <f>"INEI"</f>
        <v>INEI</v>
      </c>
      <c r="L141" t="s">
        <v>2303</v>
      </c>
      <c r="M141">
        <v>271.31</v>
      </c>
    </row>
    <row r="142" spans="1:13" x14ac:dyDescent="0.25">
      <c r="A142" t="str">
        <f>"E247"</f>
        <v>E247</v>
      </c>
      <c r="B142">
        <v>1</v>
      </c>
      <c r="C142" t="str">
        <f t="shared" si="38"/>
        <v>16600</v>
      </c>
      <c r="D142" t="str">
        <f t="shared" si="39"/>
        <v>5620</v>
      </c>
      <c r="E142" t="str">
        <f t="shared" si="40"/>
        <v>094OMS</v>
      </c>
      <c r="F142" t="str">
        <f>""</f>
        <v/>
      </c>
      <c r="G142" t="str">
        <f>""</f>
        <v/>
      </c>
      <c r="H142" s="1">
        <v>42597</v>
      </c>
      <c r="I142" t="str">
        <f>"I0136261"</f>
        <v>I0136261</v>
      </c>
      <c r="J142" t="str">
        <f>"N218295C"</f>
        <v>N218295C</v>
      </c>
      <c r="K142" t="str">
        <f>"INEI"</f>
        <v>INEI</v>
      </c>
      <c r="L142" t="s">
        <v>2303</v>
      </c>
      <c r="M142">
        <v>156.41</v>
      </c>
    </row>
    <row r="143" spans="1:13" x14ac:dyDescent="0.25">
      <c r="A143" t="str">
        <f>"E247"</f>
        <v>E247</v>
      </c>
      <c r="B143">
        <v>1</v>
      </c>
      <c r="C143" t="str">
        <f t="shared" si="38"/>
        <v>16600</v>
      </c>
      <c r="D143" t="str">
        <f t="shared" si="39"/>
        <v>5620</v>
      </c>
      <c r="E143" t="str">
        <f t="shared" si="40"/>
        <v>094OMS</v>
      </c>
      <c r="F143" t="str">
        <f>""</f>
        <v/>
      </c>
      <c r="G143" t="str">
        <f>""</f>
        <v/>
      </c>
      <c r="H143" s="1">
        <v>42647</v>
      </c>
      <c r="I143" t="str">
        <f>"I0138848"</f>
        <v>I0138848</v>
      </c>
      <c r="J143" t="str">
        <f>"N218295C"</f>
        <v>N218295C</v>
      </c>
      <c r="K143" t="str">
        <f>"INEI"</f>
        <v>INEI</v>
      </c>
      <c r="L143" t="s">
        <v>2303</v>
      </c>
      <c r="M143">
        <v>340.15</v>
      </c>
    </row>
    <row r="144" spans="1:13" x14ac:dyDescent="0.25">
      <c r="A144" t="str">
        <f>"E247"</f>
        <v>E247</v>
      </c>
      <c r="B144">
        <v>1</v>
      </c>
      <c r="C144" t="str">
        <f t="shared" si="38"/>
        <v>16600</v>
      </c>
      <c r="D144" t="str">
        <f t="shared" si="39"/>
        <v>5620</v>
      </c>
      <c r="E144" t="str">
        <f t="shared" si="40"/>
        <v>094OMS</v>
      </c>
      <c r="F144" t="str">
        <f>""</f>
        <v/>
      </c>
      <c r="G144" t="str">
        <f>""</f>
        <v/>
      </c>
      <c r="H144" s="1">
        <v>42656</v>
      </c>
      <c r="I144" t="str">
        <f>"I0139102"</f>
        <v>I0139102</v>
      </c>
      <c r="J144" t="str">
        <f>"N218295C"</f>
        <v>N218295C</v>
      </c>
      <c r="K144" t="str">
        <f>"INEI"</f>
        <v>INEI</v>
      </c>
      <c r="L144" t="s">
        <v>2303</v>
      </c>
      <c r="M144">
        <v>171.66</v>
      </c>
    </row>
    <row r="145" spans="1:13" x14ac:dyDescent="0.25">
      <c r="A145" t="str">
        <f>"E257"</f>
        <v>E257</v>
      </c>
      <c r="B145">
        <v>1</v>
      </c>
      <c r="C145" t="str">
        <f t="shared" si="38"/>
        <v>16600</v>
      </c>
      <c r="D145" t="str">
        <f t="shared" si="39"/>
        <v>5620</v>
      </c>
      <c r="E145" t="str">
        <f t="shared" si="40"/>
        <v>094OMS</v>
      </c>
      <c r="F145" t="str">
        <f>""</f>
        <v/>
      </c>
      <c r="G145" t="str">
        <f>""</f>
        <v/>
      </c>
      <c r="H145" s="1">
        <v>42583</v>
      </c>
      <c r="I145" t="str">
        <f>"PCD00796"</f>
        <v>PCD00796</v>
      </c>
      <c r="J145" t="str">
        <f>""</f>
        <v/>
      </c>
      <c r="K145" t="str">
        <f>"AS89"</f>
        <v>AS89</v>
      </c>
      <c r="L145" t="s">
        <v>3116</v>
      </c>
      <c r="M145">
        <v>150.85</v>
      </c>
    </row>
    <row r="146" spans="1:13" x14ac:dyDescent="0.25">
      <c r="A146" t="str">
        <f>"E257"</f>
        <v>E257</v>
      </c>
      <c r="B146">
        <v>1</v>
      </c>
      <c r="C146" t="str">
        <f t="shared" si="38"/>
        <v>16600</v>
      </c>
      <c r="D146" t="str">
        <f t="shared" si="39"/>
        <v>5620</v>
      </c>
      <c r="E146" t="str">
        <f t="shared" si="40"/>
        <v>094OMS</v>
      </c>
      <c r="F146" t="str">
        <f>""</f>
        <v/>
      </c>
      <c r="G146" t="str">
        <f>""</f>
        <v/>
      </c>
      <c r="H146" s="1">
        <v>42583</v>
      </c>
      <c r="I146" t="str">
        <f>"PCD00796"</f>
        <v>PCD00796</v>
      </c>
      <c r="J146" t="str">
        <f>""</f>
        <v/>
      </c>
      <c r="K146" t="str">
        <f>"AS89"</f>
        <v>AS89</v>
      </c>
      <c r="L146" t="s">
        <v>3115</v>
      </c>
      <c r="M146">
        <v>111.82</v>
      </c>
    </row>
    <row r="147" spans="1:13" x14ac:dyDescent="0.25">
      <c r="A147" t="str">
        <f>"E257"</f>
        <v>E257</v>
      </c>
      <c r="B147">
        <v>1</v>
      </c>
      <c r="C147" t="str">
        <f t="shared" si="38"/>
        <v>16600</v>
      </c>
      <c r="D147" t="str">
        <f t="shared" si="39"/>
        <v>5620</v>
      </c>
      <c r="E147" t="str">
        <f t="shared" si="40"/>
        <v>094OMS</v>
      </c>
      <c r="F147" t="str">
        <f>""</f>
        <v/>
      </c>
      <c r="G147" t="str">
        <f>""</f>
        <v/>
      </c>
      <c r="H147" s="1">
        <v>42613</v>
      </c>
      <c r="I147" t="str">
        <f>"PCD00798"</f>
        <v>PCD00798</v>
      </c>
      <c r="J147" t="str">
        <f>""</f>
        <v/>
      </c>
      <c r="K147" t="str">
        <f>"AS89"</f>
        <v>AS89</v>
      </c>
      <c r="L147" t="s">
        <v>3113</v>
      </c>
      <c r="M147">
        <v>215.17</v>
      </c>
    </row>
    <row r="148" spans="1:13" x14ac:dyDescent="0.25">
      <c r="A148" t="str">
        <f>"E257"</f>
        <v>E257</v>
      </c>
      <c r="B148">
        <v>1</v>
      </c>
      <c r="C148" t="str">
        <f t="shared" si="38"/>
        <v>16600</v>
      </c>
      <c r="D148" t="str">
        <f t="shared" si="39"/>
        <v>5620</v>
      </c>
      <c r="E148" t="str">
        <f t="shared" si="40"/>
        <v>094OMS</v>
      </c>
      <c r="F148" t="str">
        <f>""</f>
        <v/>
      </c>
      <c r="G148" t="str">
        <f>""</f>
        <v/>
      </c>
      <c r="H148" s="1">
        <v>42613</v>
      </c>
      <c r="I148" t="str">
        <f>"PCD00798"</f>
        <v>PCD00798</v>
      </c>
      <c r="J148" t="str">
        <f>""</f>
        <v/>
      </c>
      <c r="K148" t="str">
        <f>"AS89"</f>
        <v>AS89</v>
      </c>
      <c r="L148" t="s">
        <v>3114</v>
      </c>
      <c r="M148">
        <v>736.9</v>
      </c>
    </row>
    <row r="149" spans="1:13" x14ac:dyDescent="0.25">
      <c r="A149" t="str">
        <f>"E260"</f>
        <v>E260</v>
      </c>
      <c r="B149">
        <v>1</v>
      </c>
      <c r="C149" t="str">
        <f>"43000"</f>
        <v>43000</v>
      </c>
      <c r="D149" t="str">
        <f>"5740"</f>
        <v>5740</v>
      </c>
      <c r="E149" t="str">
        <f>"850LOS"</f>
        <v>850LOS</v>
      </c>
      <c r="F149" t="str">
        <f>""</f>
        <v/>
      </c>
      <c r="G149" t="str">
        <f>""</f>
        <v/>
      </c>
      <c r="H149" s="1">
        <v>42608</v>
      </c>
      <c r="I149" t="str">
        <f>"ACG02793"</f>
        <v>ACG02793</v>
      </c>
      <c r="J149" t="str">
        <f>""</f>
        <v/>
      </c>
      <c r="K149" t="str">
        <f>"AS96"</f>
        <v>AS96</v>
      </c>
      <c r="L149" t="s">
        <v>3112</v>
      </c>
      <c r="M149">
        <v>167.94</v>
      </c>
    </row>
    <row r="150" spans="1:13" x14ac:dyDescent="0.25">
      <c r="A150" t="str">
        <f>"E260"</f>
        <v>E260</v>
      </c>
      <c r="B150">
        <v>1</v>
      </c>
      <c r="C150" t="str">
        <f>"43000"</f>
        <v>43000</v>
      </c>
      <c r="D150" t="str">
        <f>"5740"</f>
        <v>5740</v>
      </c>
      <c r="E150" t="str">
        <f>"850LOS"</f>
        <v>850LOS</v>
      </c>
      <c r="F150" t="str">
        <f>""</f>
        <v/>
      </c>
      <c r="G150" t="str">
        <f>""</f>
        <v/>
      </c>
      <c r="H150" s="1">
        <v>42643</v>
      </c>
      <c r="I150" t="str">
        <f>"ACG02805"</f>
        <v>ACG02805</v>
      </c>
      <c r="J150" t="str">
        <f>""</f>
        <v/>
      </c>
      <c r="K150" t="str">
        <f>"AS96"</f>
        <v>AS96</v>
      </c>
      <c r="L150" t="s">
        <v>3111</v>
      </c>
      <c r="M150">
        <v>261.58</v>
      </c>
    </row>
    <row r="151" spans="1:13" x14ac:dyDescent="0.25">
      <c r="A151" t="str">
        <f>"E279"</f>
        <v>E279</v>
      </c>
      <c r="B151">
        <v>1</v>
      </c>
      <c r="C151" t="str">
        <f>"23275"</f>
        <v>23275</v>
      </c>
      <c r="D151" t="str">
        <f>"5620"</f>
        <v>5620</v>
      </c>
      <c r="E151" t="str">
        <f>"063STF"</f>
        <v>063STF</v>
      </c>
      <c r="F151" t="str">
        <f>""</f>
        <v/>
      </c>
      <c r="G151" t="str">
        <f>""</f>
        <v/>
      </c>
      <c r="H151" s="1">
        <v>42556</v>
      </c>
      <c r="I151" t="str">
        <f>"J0022885"</f>
        <v>J0022885</v>
      </c>
      <c r="J151" t="str">
        <f>""</f>
        <v/>
      </c>
      <c r="K151" t="str">
        <f>"J089"</f>
        <v>J089</v>
      </c>
      <c r="L151" t="s">
        <v>3110</v>
      </c>
      <c r="M151" s="2">
        <v>133571.5</v>
      </c>
    </row>
    <row r="152" spans="1:13" x14ac:dyDescent="0.25">
      <c r="A152" t="str">
        <f>"E279"</f>
        <v>E279</v>
      </c>
      <c r="B152">
        <v>1</v>
      </c>
      <c r="C152" t="str">
        <f>"43004"</f>
        <v>43004</v>
      </c>
      <c r="D152" t="str">
        <f>"5741"</f>
        <v>5741</v>
      </c>
      <c r="E152" t="str">
        <f>"850LOS"</f>
        <v>850LOS</v>
      </c>
      <c r="F152" t="str">
        <f>""</f>
        <v/>
      </c>
      <c r="G152" t="str">
        <f>""</f>
        <v/>
      </c>
      <c r="H152" s="1">
        <v>42632</v>
      </c>
      <c r="I152" t="str">
        <f>"I0138068"</f>
        <v>I0138068</v>
      </c>
      <c r="J152" t="str">
        <f>"N193463"</f>
        <v>N193463</v>
      </c>
      <c r="K152" t="str">
        <f>"INEI"</f>
        <v>INEI</v>
      </c>
      <c r="L152" t="s">
        <v>330</v>
      </c>
      <c r="M152" s="2">
        <v>23887.5</v>
      </c>
    </row>
    <row r="153" spans="1:13" x14ac:dyDescent="0.25">
      <c r="A153" t="str">
        <f>"E279"</f>
        <v>E279</v>
      </c>
      <c r="B153">
        <v>1</v>
      </c>
      <c r="C153" t="str">
        <f>"43004"</f>
        <v>43004</v>
      </c>
      <c r="D153" t="str">
        <f>"5741"</f>
        <v>5741</v>
      </c>
      <c r="E153" t="str">
        <f>"850LOS"</f>
        <v>850LOS</v>
      </c>
      <c r="F153" t="str">
        <f>""</f>
        <v/>
      </c>
      <c r="G153" t="str">
        <f>""</f>
        <v/>
      </c>
      <c r="H153" s="1">
        <v>42632</v>
      </c>
      <c r="I153" t="str">
        <f>"I0138068"</f>
        <v>I0138068</v>
      </c>
      <c r="J153" t="str">
        <f>"N193463"</f>
        <v>N193463</v>
      </c>
      <c r="K153" t="str">
        <f>"INEI"</f>
        <v>INEI</v>
      </c>
      <c r="L153" t="s">
        <v>330</v>
      </c>
      <c r="M153" s="2">
        <v>1187</v>
      </c>
    </row>
    <row r="154" spans="1:13" x14ac:dyDescent="0.25">
      <c r="A154" t="str">
        <f>"E351"</f>
        <v>E351</v>
      </c>
      <c r="B154">
        <v>1</v>
      </c>
      <c r="C154" t="str">
        <f>"43004"</f>
        <v>43004</v>
      </c>
      <c r="D154" t="str">
        <f>"5741"</f>
        <v>5741</v>
      </c>
      <c r="E154" t="str">
        <f>"850LOS"</f>
        <v>850LOS</v>
      </c>
      <c r="F154" t="str">
        <f>""</f>
        <v/>
      </c>
      <c r="G154" t="str">
        <f>""</f>
        <v/>
      </c>
      <c r="H154" s="1">
        <v>42635</v>
      </c>
      <c r="I154" t="str">
        <f>"TR013683"</f>
        <v>TR013683</v>
      </c>
      <c r="J154" t="str">
        <f>"TA011647"</f>
        <v>TA011647</v>
      </c>
      <c r="K154" t="str">
        <f>"INEI"</f>
        <v>INEI</v>
      </c>
      <c r="L154" t="s">
        <v>3109</v>
      </c>
      <c r="M154">
        <v>132</v>
      </c>
    </row>
    <row r="155" spans="1:13" x14ac:dyDescent="0.25">
      <c r="A155" t="str">
        <f>"E351"</f>
        <v>E351</v>
      </c>
      <c r="B155">
        <v>1</v>
      </c>
      <c r="C155" t="str">
        <f>"43004"</f>
        <v>43004</v>
      </c>
      <c r="D155" t="str">
        <f>"5741"</f>
        <v>5741</v>
      </c>
      <c r="E155" t="str">
        <f>"850LOS"</f>
        <v>850LOS</v>
      </c>
      <c r="F155" t="str">
        <f>""</f>
        <v/>
      </c>
      <c r="G155" t="str">
        <f>""</f>
        <v/>
      </c>
      <c r="H155" s="1">
        <v>42636</v>
      </c>
      <c r="I155" t="str">
        <f>"PCD00801"</f>
        <v>PCD00801</v>
      </c>
      <c r="J155" t="str">
        <f>""</f>
        <v/>
      </c>
      <c r="K155" t="str">
        <f>"AS89"</f>
        <v>AS89</v>
      </c>
      <c r="L155" t="s">
        <v>3108</v>
      </c>
      <c r="M155">
        <v>442.78</v>
      </c>
    </row>
    <row r="156" spans="1:13" x14ac:dyDescent="0.25">
      <c r="A156" t="str">
        <f>"E374"</f>
        <v>E374</v>
      </c>
      <c r="B156">
        <v>1</v>
      </c>
      <c r="C156" t="str">
        <f>"16600"</f>
        <v>16600</v>
      </c>
      <c r="D156" t="str">
        <f>"5620"</f>
        <v>5620</v>
      </c>
      <c r="E156" t="str">
        <f>"094OMS"</f>
        <v>094OMS</v>
      </c>
      <c r="F156" t="str">
        <f>""</f>
        <v/>
      </c>
      <c r="G156" t="str">
        <f>""</f>
        <v/>
      </c>
      <c r="H156" s="1">
        <v>42643</v>
      </c>
      <c r="I156" t="str">
        <f>"PCD00802"</f>
        <v>PCD00802</v>
      </c>
      <c r="J156" t="str">
        <f>""</f>
        <v/>
      </c>
      <c r="K156" t="str">
        <f>"AS89"</f>
        <v>AS89</v>
      </c>
      <c r="L156" t="s">
        <v>3107</v>
      </c>
      <c r="M156">
        <v>576.20000000000005</v>
      </c>
    </row>
    <row r="157" spans="1:13" x14ac:dyDescent="0.25">
      <c r="A157" t="str">
        <f>"E374"</f>
        <v>E374</v>
      </c>
      <c r="B157">
        <v>1</v>
      </c>
      <c r="C157" t="str">
        <f>"16600"</f>
        <v>16600</v>
      </c>
      <c r="D157" t="str">
        <f>"5620"</f>
        <v>5620</v>
      </c>
      <c r="E157" t="str">
        <f>"094OMS"</f>
        <v>094OMS</v>
      </c>
      <c r="F157" t="str">
        <f>""</f>
        <v/>
      </c>
      <c r="G157" t="str">
        <f>""</f>
        <v/>
      </c>
      <c r="H157" s="1">
        <v>42643</v>
      </c>
      <c r="I157" t="str">
        <f>"PCD00802"</f>
        <v>PCD00802</v>
      </c>
      <c r="J157" t="str">
        <f>""</f>
        <v/>
      </c>
      <c r="K157" t="str">
        <f>"AS89"</f>
        <v>AS89</v>
      </c>
      <c r="L157" t="s">
        <v>3106</v>
      </c>
      <c r="M157">
        <v>291.2</v>
      </c>
    </row>
    <row r="158" spans="1:13" x14ac:dyDescent="0.25">
      <c r="A158" t="str">
        <f>"E374"</f>
        <v>E374</v>
      </c>
      <c r="B158">
        <v>1</v>
      </c>
      <c r="C158" t="str">
        <f>"43000"</f>
        <v>43000</v>
      </c>
      <c r="D158" t="str">
        <f>"5740"</f>
        <v>5740</v>
      </c>
      <c r="E158" t="str">
        <f>"850LOS"</f>
        <v>850LOS</v>
      </c>
      <c r="F158" t="str">
        <f>""</f>
        <v/>
      </c>
      <c r="G158" t="str">
        <f>""</f>
        <v/>
      </c>
      <c r="H158" s="1">
        <v>42643</v>
      </c>
      <c r="I158" t="str">
        <f>"PCD00802"</f>
        <v>PCD00802</v>
      </c>
      <c r="J158" t="str">
        <f>""</f>
        <v/>
      </c>
      <c r="K158" t="str">
        <f>"AS89"</f>
        <v>AS89</v>
      </c>
      <c r="L158" t="s">
        <v>3105</v>
      </c>
      <c r="M158">
        <v>301.2</v>
      </c>
    </row>
    <row r="159" spans="1:13" x14ac:dyDescent="0.25">
      <c r="A159" t="str">
        <f>"E403"</f>
        <v>E403</v>
      </c>
      <c r="B159">
        <v>1</v>
      </c>
      <c r="C159" t="str">
        <f>"23275"</f>
        <v>23275</v>
      </c>
      <c r="D159" t="str">
        <f>"5741"</f>
        <v>5741</v>
      </c>
      <c r="E159" t="str">
        <f>"063STF"</f>
        <v>063STF</v>
      </c>
      <c r="F159" t="str">
        <f>""</f>
        <v/>
      </c>
      <c r="G159" t="str">
        <f>""</f>
        <v/>
      </c>
      <c r="H159" s="1">
        <v>42619</v>
      </c>
      <c r="I159" t="str">
        <f>"I0137490"</f>
        <v>I0137490</v>
      </c>
      <c r="J159" t="str">
        <f>"F193461"</f>
        <v>F193461</v>
      </c>
      <c r="K159" t="str">
        <f>"INEI"</f>
        <v>INEI</v>
      </c>
      <c r="L159" t="s">
        <v>2354</v>
      </c>
      <c r="M159" s="2">
        <v>9777.57</v>
      </c>
    </row>
    <row r="160" spans="1:13" x14ac:dyDescent="0.25">
      <c r="A160" t="str">
        <f t="shared" ref="A160:A172" si="41">"E404"</f>
        <v>E404</v>
      </c>
      <c r="B160">
        <v>1</v>
      </c>
      <c r="C160" t="str">
        <f t="shared" ref="C160:C170" si="42">"16600"</f>
        <v>16600</v>
      </c>
      <c r="D160" t="str">
        <f t="shared" ref="D160:D170" si="43">"5620"</f>
        <v>5620</v>
      </c>
      <c r="E160" t="str">
        <f t="shared" ref="E160:E170" si="44">"094OMS"</f>
        <v>094OMS</v>
      </c>
      <c r="F160" t="str">
        <f>""</f>
        <v/>
      </c>
      <c r="G160" t="str">
        <f>""</f>
        <v/>
      </c>
      <c r="H160" s="1">
        <v>42580</v>
      </c>
      <c r="I160" t="str">
        <f>"I0129781"</f>
        <v>I0129781</v>
      </c>
      <c r="J160" t="str">
        <f>"F220979"</f>
        <v>F220979</v>
      </c>
      <c r="K160" t="str">
        <f>"INEI"</f>
        <v>INEI</v>
      </c>
      <c r="L160" t="s">
        <v>2854</v>
      </c>
      <c r="M160" s="2">
        <v>4096.53</v>
      </c>
    </row>
    <row r="161" spans="1:13" x14ac:dyDescent="0.25">
      <c r="A161" t="str">
        <f t="shared" si="41"/>
        <v>E404</v>
      </c>
      <c r="B161">
        <v>1</v>
      </c>
      <c r="C161" t="str">
        <f t="shared" si="42"/>
        <v>16600</v>
      </c>
      <c r="D161" t="str">
        <f t="shared" si="43"/>
        <v>5620</v>
      </c>
      <c r="E161" t="str">
        <f t="shared" si="44"/>
        <v>094OMS</v>
      </c>
      <c r="F161" t="str">
        <f>""</f>
        <v/>
      </c>
      <c r="G161" t="str">
        <f>""</f>
        <v/>
      </c>
      <c r="H161" s="1">
        <v>42580</v>
      </c>
      <c r="I161" t="str">
        <f>"I0129781"</f>
        <v>I0129781</v>
      </c>
      <c r="J161" t="str">
        <f>"F220979"</f>
        <v>F220979</v>
      </c>
      <c r="K161" t="str">
        <f>"INEI"</f>
        <v>INEI</v>
      </c>
      <c r="L161" t="s">
        <v>2854</v>
      </c>
      <c r="M161">
        <v>621.76</v>
      </c>
    </row>
    <row r="162" spans="1:13" x14ac:dyDescent="0.25">
      <c r="A162" t="str">
        <f t="shared" si="41"/>
        <v>E404</v>
      </c>
      <c r="B162">
        <v>1</v>
      </c>
      <c r="C162" t="str">
        <f t="shared" si="42"/>
        <v>16600</v>
      </c>
      <c r="D162" t="str">
        <f t="shared" si="43"/>
        <v>5620</v>
      </c>
      <c r="E162" t="str">
        <f t="shared" si="44"/>
        <v>094OMS</v>
      </c>
      <c r="F162" t="str">
        <f>""</f>
        <v/>
      </c>
      <c r="G162" t="str">
        <f>""</f>
        <v/>
      </c>
      <c r="H162" s="1">
        <v>42580</v>
      </c>
      <c r="I162" t="str">
        <f>"I0129781"</f>
        <v>I0129781</v>
      </c>
      <c r="J162" t="str">
        <f>"F220979"</f>
        <v>F220979</v>
      </c>
      <c r="K162" t="str">
        <f>"INEI"</f>
        <v>INEI</v>
      </c>
      <c r="L162" t="s">
        <v>2854</v>
      </c>
      <c r="M162">
        <v>455.17</v>
      </c>
    </row>
    <row r="163" spans="1:13" x14ac:dyDescent="0.25">
      <c r="A163" t="str">
        <f t="shared" si="41"/>
        <v>E404</v>
      </c>
      <c r="B163">
        <v>1</v>
      </c>
      <c r="C163" t="str">
        <f t="shared" si="42"/>
        <v>16600</v>
      </c>
      <c r="D163" t="str">
        <f t="shared" si="43"/>
        <v>5620</v>
      </c>
      <c r="E163" t="str">
        <f t="shared" si="44"/>
        <v>094OMS</v>
      </c>
      <c r="F163" t="str">
        <f>""</f>
        <v/>
      </c>
      <c r="G163" t="str">
        <f>""</f>
        <v/>
      </c>
      <c r="H163" s="1">
        <v>42580</v>
      </c>
      <c r="I163" t="str">
        <f>"I0129781"</f>
        <v>I0129781</v>
      </c>
      <c r="J163" t="str">
        <f>"F220979"</f>
        <v>F220979</v>
      </c>
      <c r="K163" t="str">
        <f>"INEI"</f>
        <v>INEI</v>
      </c>
      <c r="L163" t="s">
        <v>2854</v>
      </c>
      <c r="M163" s="2">
        <v>1365.51</v>
      </c>
    </row>
    <row r="164" spans="1:13" x14ac:dyDescent="0.25">
      <c r="A164" t="str">
        <f t="shared" si="41"/>
        <v>E404</v>
      </c>
      <c r="B164">
        <v>1</v>
      </c>
      <c r="C164" t="str">
        <f t="shared" si="42"/>
        <v>16600</v>
      </c>
      <c r="D164" t="str">
        <f t="shared" si="43"/>
        <v>5620</v>
      </c>
      <c r="E164" t="str">
        <f t="shared" si="44"/>
        <v>094OMS</v>
      </c>
      <c r="F164" t="str">
        <f>""</f>
        <v/>
      </c>
      <c r="G164" t="str">
        <f>""</f>
        <v/>
      </c>
      <c r="H164" s="1">
        <v>42612</v>
      </c>
      <c r="I164" t="str">
        <f>"PCD00797"</f>
        <v>PCD00797</v>
      </c>
      <c r="J164" t="str">
        <f>""</f>
        <v/>
      </c>
      <c r="K164" t="str">
        <f t="shared" ref="K164:K172" si="45">"AS89"</f>
        <v>AS89</v>
      </c>
      <c r="L164" t="s">
        <v>3104</v>
      </c>
      <c r="M164">
        <v>256.60000000000002</v>
      </c>
    </row>
    <row r="165" spans="1:13" x14ac:dyDescent="0.25">
      <c r="A165" t="str">
        <f t="shared" si="41"/>
        <v>E404</v>
      </c>
      <c r="B165">
        <v>1</v>
      </c>
      <c r="C165" t="str">
        <f t="shared" si="42"/>
        <v>16600</v>
      </c>
      <c r="D165" t="str">
        <f t="shared" si="43"/>
        <v>5620</v>
      </c>
      <c r="E165" t="str">
        <f t="shared" si="44"/>
        <v>094OMS</v>
      </c>
      <c r="F165" t="str">
        <f>""</f>
        <v/>
      </c>
      <c r="G165" t="str">
        <f>""</f>
        <v/>
      </c>
      <c r="H165" s="1">
        <v>42612</v>
      </c>
      <c r="I165" t="str">
        <f>"PCD00797"</f>
        <v>PCD00797</v>
      </c>
      <c r="J165" t="str">
        <f>""</f>
        <v/>
      </c>
      <c r="K165" t="str">
        <f t="shared" si="45"/>
        <v>AS89</v>
      </c>
      <c r="L165" t="s">
        <v>3103</v>
      </c>
      <c r="M165">
        <v>160.41999999999999</v>
      </c>
    </row>
    <row r="166" spans="1:13" x14ac:dyDescent="0.25">
      <c r="A166" t="str">
        <f t="shared" si="41"/>
        <v>E404</v>
      </c>
      <c r="B166">
        <v>1</v>
      </c>
      <c r="C166" t="str">
        <f t="shared" si="42"/>
        <v>16600</v>
      </c>
      <c r="D166" t="str">
        <f t="shared" si="43"/>
        <v>5620</v>
      </c>
      <c r="E166" t="str">
        <f t="shared" si="44"/>
        <v>094OMS</v>
      </c>
      <c r="F166" t="str">
        <f>""</f>
        <v/>
      </c>
      <c r="G166" t="str">
        <f>""</f>
        <v/>
      </c>
      <c r="H166" s="1">
        <v>42612</v>
      </c>
      <c r="I166" t="str">
        <f>"PCD00797"</f>
        <v>PCD00797</v>
      </c>
      <c r="J166" t="str">
        <f>""</f>
        <v/>
      </c>
      <c r="K166" t="str">
        <f t="shared" si="45"/>
        <v>AS89</v>
      </c>
      <c r="L166" t="s">
        <v>3102</v>
      </c>
      <c r="M166" s="2">
        <v>2949.48</v>
      </c>
    </row>
    <row r="167" spans="1:13" x14ac:dyDescent="0.25">
      <c r="A167" t="str">
        <f t="shared" si="41"/>
        <v>E404</v>
      </c>
      <c r="B167">
        <v>1</v>
      </c>
      <c r="C167" t="str">
        <f t="shared" si="42"/>
        <v>16600</v>
      </c>
      <c r="D167" t="str">
        <f t="shared" si="43"/>
        <v>5620</v>
      </c>
      <c r="E167" t="str">
        <f t="shared" si="44"/>
        <v>094OMS</v>
      </c>
      <c r="F167" t="str">
        <f>""</f>
        <v/>
      </c>
      <c r="G167" t="str">
        <f>""</f>
        <v/>
      </c>
      <c r="H167" s="1">
        <v>42643</v>
      </c>
      <c r="I167" t="str">
        <f t="shared" ref="I167:I172" si="46">"PCD00802"</f>
        <v>PCD00802</v>
      </c>
      <c r="J167" t="str">
        <f>""</f>
        <v/>
      </c>
      <c r="K167" t="str">
        <f t="shared" si="45"/>
        <v>AS89</v>
      </c>
      <c r="L167" t="s">
        <v>3101</v>
      </c>
      <c r="M167">
        <v>341</v>
      </c>
    </row>
    <row r="168" spans="1:13" x14ac:dyDescent="0.25">
      <c r="A168" t="str">
        <f t="shared" si="41"/>
        <v>E404</v>
      </c>
      <c r="B168">
        <v>1</v>
      </c>
      <c r="C168" t="str">
        <f t="shared" si="42"/>
        <v>16600</v>
      </c>
      <c r="D168" t="str">
        <f t="shared" si="43"/>
        <v>5620</v>
      </c>
      <c r="E168" t="str">
        <f t="shared" si="44"/>
        <v>094OMS</v>
      </c>
      <c r="F168" t="str">
        <f>""</f>
        <v/>
      </c>
      <c r="G168" t="str">
        <f>""</f>
        <v/>
      </c>
      <c r="H168" s="1">
        <v>42643</v>
      </c>
      <c r="I168" t="str">
        <f t="shared" si="46"/>
        <v>PCD00802</v>
      </c>
      <c r="J168" t="str">
        <f>""</f>
        <v/>
      </c>
      <c r="K168" t="str">
        <f t="shared" si="45"/>
        <v>AS89</v>
      </c>
      <c r="L168" t="s">
        <v>3100</v>
      </c>
      <c r="M168">
        <v>588</v>
      </c>
    </row>
    <row r="169" spans="1:13" x14ac:dyDescent="0.25">
      <c r="A169" t="str">
        <f t="shared" si="41"/>
        <v>E404</v>
      </c>
      <c r="B169">
        <v>1</v>
      </c>
      <c r="C169" t="str">
        <f t="shared" si="42"/>
        <v>16600</v>
      </c>
      <c r="D169" t="str">
        <f t="shared" si="43"/>
        <v>5620</v>
      </c>
      <c r="E169" t="str">
        <f t="shared" si="44"/>
        <v>094OMS</v>
      </c>
      <c r="F169" t="str">
        <f>""</f>
        <v/>
      </c>
      <c r="G169" t="str">
        <f>""</f>
        <v/>
      </c>
      <c r="H169" s="1">
        <v>42643</v>
      </c>
      <c r="I169" t="str">
        <f t="shared" si="46"/>
        <v>PCD00802</v>
      </c>
      <c r="J169" t="str">
        <f>""</f>
        <v/>
      </c>
      <c r="K169" t="str">
        <f t="shared" si="45"/>
        <v>AS89</v>
      </c>
      <c r="L169" t="s">
        <v>3099</v>
      </c>
      <c r="M169">
        <v>144.57</v>
      </c>
    </row>
    <row r="170" spans="1:13" x14ac:dyDescent="0.25">
      <c r="A170" t="str">
        <f t="shared" si="41"/>
        <v>E404</v>
      </c>
      <c r="B170">
        <v>1</v>
      </c>
      <c r="C170" t="str">
        <f t="shared" si="42"/>
        <v>16600</v>
      </c>
      <c r="D170" t="str">
        <f t="shared" si="43"/>
        <v>5620</v>
      </c>
      <c r="E170" t="str">
        <f t="shared" si="44"/>
        <v>094OMS</v>
      </c>
      <c r="F170" t="str">
        <f>""</f>
        <v/>
      </c>
      <c r="G170" t="str">
        <f>""</f>
        <v/>
      </c>
      <c r="H170" s="1">
        <v>42643</v>
      </c>
      <c r="I170" t="str">
        <f t="shared" si="46"/>
        <v>PCD00802</v>
      </c>
      <c r="J170" t="str">
        <f>""</f>
        <v/>
      </c>
      <c r="K170" t="str">
        <f t="shared" si="45"/>
        <v>AS89</v>
      </c>
      <c r="L170" t="s">
        <v>3098</v>
      </c>
      <c r="M170">
        <v>692.15</v>
      </c>
    </row>
    <row r="171" spans="1:13" x14ac:dyDescent="0.25">
      <c r="A171" t="str">
        <f t="shared" si="41"/>
        <v>E404</v>
      </c>
      <c r="B171">
        <v>1</v>
      </c>
      <c r="C171" t="str">
        <f>"43000"</f>
        <v>43000</v>
      </c>
      <c r="D171" t="str">
        <f>"5740"</f>
        <v>5740</v>
      </c>
      <c r="E171" t="str">
        <f>"850PKE"</f>
        <v>850PKE</v>
      </c>
      <c r="F171" t="str">
        <f>""</f>
        <v/>
      </c>
      <c r="G171" t="str">
        <f>""</f>
        <v/>
      </c>
      <c r="H171" s="1">
        <v>42643</v>
      </c>
      <c r="I171" t="str">
        <f t="shared" si="46"/>
        <v>PCD00802</v>
      </c>
      <c r="J171" t="str">
        <f>""</f>
        <v/>
      </c>
      <c r="K171" t="str">
        <f t="shared" si="45"/>
        <v>AS89</v>
      </c>
      <c r="L171" t="s">
        <v>3097</v>
      </c>
      <c r="M171">
        <v>224</v>
      </c>
    </row>
    <row r="172" spans="1:13" x14ac:dyDescent="0.25">
      <c r="A172" t="str">
        <f t="shared" si="41"/>
        <v>E404</v>
      </c>
      <c r="B172">
        <v>1</v>
      </c>
      <c r="C172" t="str">
        <f>"43000"</f>
        <v>43000</v>
      </c>
      <c r="D172" t="str">
        <f>"5740"</f>
        <v>5740</v>
      </c>
      <c r="E172" t="str">
        <f>"850PKE"</f>
        <v>850PKE</v>
      </c>
      <c r="F172" t="str">
        <f>""</f>
        <v/>
      </c>
      <c r="G172" t="str">
        <f>""</f>
        <v/>
      </c>
      <c r="H172" s="1">
        <v>42643</v>
      </c>
      <c r="I172" t="str">
        <f t="shared" si="46"/>
        <v>PCD00802</v>
      </c>
      <c r="J172" t="str">
        <f>""</f>
        <v/>
      </c>
      <c r="K172" t="str">
        <f t="shared" si="45"/>
        <v>AS89</v>
      </c>
      <c r="L172" t="s">
        <v>3096</v>
      </c>
      <c r="M172">
        <v>378</v>
      </c>
    </row>
    <row r="173" spans="1:13" x14ac:dyDescent="0.25">
      <c r="A173" t="str">
        <f>"E405"</f>
        <v>E405</v>
      </c>
      <c r="B173">
        <v>1</v>
      </c>
      <c r="C173" t="str">
        <f>"16600"</f>
        <v>16600</v>
      </c>
      <c r="D173" t="str">
        <f>"5620"</f>
        <v>5620</v>
      </c>
      <c r="E173" t="str">
        <f>"094OMS"</f>
        <v>094OMS</v>
      </c>
      <c r="F173" t="str">
        <f>""</f>
        <v/>
      </c>
      <c r="G173" t="str">
        <f>""</f>
        <v/>
      </c>
      <c r="H173" s="1">
        <v>42663</v>
      </c>
      <c r="I173" t="str">
        <f>"I0139614"</f>
        <v>I0139614</v>
      </c>
      <c r="J173" t="str">
        <f>"P1003813"</f>
        <v>P1003813</v>
      </c>
      <c r="K173" t="str">
        <f>"INEI"</f>
        <v>INEI</v>
      </c>
      <c r="L173" t="s">
        <v>2835</v>
      </c>
      <c r="M173">
        <v>231.22</v>
      </c>
    </row>
    <row r="174" spans="1:13" x14ac:dyDescent="0.25">
      <c r="A174" t="str">
        <f>"E408"</f>
        <v>E408</v>
      </c>
      <c r="B174">
        <v>1</v>
      </c>
      <c r="C174" t="str">
        <f>"16600"</f>
        <v>16600</v>
      </c>
      <c r="D174" t="str">
        <f>"5620"</f>
        <v>5620</v>
      </c>
      <c r="E174" t="str">
        <f>"094OMS"</f>
        <v>094OMS</v>
      </c>
      <c r="F174" t="str">
        <f>""</f>
        <v/>
      </c>
      <c r="G174" t="str">
        <f>""</f>
        <v/>
      </c>
      <c r="H174" s="1">
        <v>42612</v>
      </c>
      <c r="I174" t="str">
        <f>"PCD00797"</f>
        <v>PCD00797</v>
      </c>
      <c r="J174" t="str">
        <f>""</f>
        <v/>
      </c>
      <c r="K174" t="str">
        <f>"AS89"</f>
        <v>AS89</v>
      </c>
      <c r="L174" t="s">
        <v>3095</v>
      </c>
      <c r="M174">
        <v>460.58</v>
      </c>
    </row>
    <row r="175" spans="1:13" x14ac:dyDescent="0.25">
      <c r="A175" t="str">
        <f>"E408"</f>
        <v>E408</v>
      </c>
      <c r="B175">
        <v>1</v>
      </c>
      <c r="C175" t="str">
        <f>"16600"</f>
        <v>16600</v>
      </c>
      <c r="D175" t="str">
        <f>"5620"</f>
        <v>5620</v>
      </c>
      <c r="E175" t="str">
        <f>"094OMS"</f>
        <v>094OMS</v>
      </c>
      <c r="F175" t="str">
        <f>""</f>
        <v/>
      </c>
      <c r="G175" t="str">
        <f>""</f>
        <v/>
      </c>
      <c r="H175" s="1">
        <v>42612</v>
      </c>
      <c r="I175" t="str">
        <f>"PCD00797"</f>
        <v>PCD00797</v>
      </c>
      <c r="J175" t="str">
        <f>""</f>
        <v/>
      </c>
      <c r="K175" t="str">
        <f>"AS89"</f>
        <v>AS89</v>
      </c>
      <c r="L175" t="s">
        <v>3094</v>
      </c>
      <c r="M175">
        <v>243.33</v>
      </c>
    </row>
    <row r="176" spans="1:13" x14ac:dyDescent="0.25">
      <c r="A176" t="str">
        <f>"E408"</f>
        <v>E408</v>
      </c>
      <c r="B176">
        <v>1</v>
      </c>
      <c r="C176" t="str">
        <f>"16600"</f>
        <v>16600</v>
      </c>
      <c r="D176" t="str">
        <f>"5620"</f>
        <v>5620</v>
      </c>
      <c r="E176" t="str">
        <f>"094OMS"</f>
        <v>094OMS</v>
      </c>
      <c r="F176" t="str">
        <f>""</f>
        <v/>
      </c>
      <c r="G176" t="str">
        <f>""</f>
        <v/>
      </c>
      <c r="H176" s="1">
        <v>42643</v>
      </c>
      <c r="I176" t="str">
        <f>"I0138658"</f>
        <v>I0138658</v>
      </c>
      <c r="J176" t="str">
        <f>"P1003476"</f>
        <v>P1003476</v>
      </c>
      <c r="K176" t="str">
        <f>"INEI"</f>
        <v>INEI</v>
      </c>
      <c r="L176" t="s">
        <v>2517</v>
      </c>
      <c r="M176">
        <v>444.58</v>
      </c>
    </row>
    <row r="177" spans="1:13" x14ac:dyDescent="0.25">
      <c r="A177" t="str">
        <f>"E408"</f>
        <v>E408</v>
      </c>
      <c r="B177">
        <v>1</v>
      </c>
      <c r="C177" t="str">
        <f>"16600"</f>
        <v>16600</v>
      </c>
      <c r="D177" t="str">
        <f>"5620"</f>
        <v>5620</v>
      </c>
      <c r="E177" t="str">
        <f>"094OMS"</f>
        <v>094OMS</v>
      </c>
      <c r="F177" t="str">
        <f>""</f>
        <v/>
      </c>
      <c r="G177" t="str">
        <f>""</f>
        <v/>
      </c>
      <c r="H177" s="1">
        <v>42643</v>
      </c>
      <c r="I177" t="str">
        <f>"I0138658"</f>
        <v>I0138658</v>
      </c>
      <c r="J177" t="str">
        <f>"P1003476"</f>
        <v>P1003476</v>
      </c>
      <c r="K177" t="str">
        <f>"INEI"</f>
        <v>INEI</v>
      </c>
      <c r="L177" t="s">
        <v>2517</v>
      </c>
      <c r="M177" s="2">
        <v>6224.17</v>
      </c>
    </row>
    <row r="178" spans="1:13" x14ac:dyDescent="0.25">
      <c r="A178" t="str">
        <f t="shared" ref="A178:A184" si="47">"E414"</f>
        <v>E414</v>
      </c>
      <c r="B178">
        <v>1</v>
      </c>
      <c r="C178" t="str">
        <f t="shared" ref="C178:C184" si="48">"43007"</f>
        <v>43007</v>
      </c>
      <c r="D178" t="str">
        <f t="shared" ref="D178:D184" si="49">"5740"</f>
        <v>5740</v>
      </c>
      <c r="E178" t="str">
        <f t="shared" ref="E178:E183" si="50">"850PAY"</f>
        <v>850PAY</v>
      </c>
      <c r="F178" t="str">
        <f>""</f>
        <v/>
      </c>
      <c r="G178" t="str">
        <f>""</f>
        <v/>
      </c>
      <c r="H178" s="1">
        <v>42552</v>
      </c>
      <c r="I178" t="str">
        <f>"PHY00668"</f>
        <v>PHY00668</v>
      </c>
      <c r="J178" t="str">
        <f>"W0158990"</f>
        <v>W0158990</v>
      </c>
      <c r="K178" t="str">
        <f t="shared" ref="K178:K184" si="51">"AS89"</f>
        <v>AS89</v>
      </c>
      <c r="L178" t="s">
        <v>2808</v>
      </c>
      <c r="M178">
        <v>585.48</v>
      </c>
    </row>
    <row r="179" spans="1:13" x14ac:dyDescent="0.25">
      <c r="A179" t="str">
        <f t="shared" si="47"/>
        <v>E414</v>
      </c>
      <c r="B179">
        <v>1</v>
      </c>
      <c r="C179" t="str">
        <f t="shared" si="48"/>
        <v>43007</v>
      </c>
      <c r="D179" t="str">
        <f t="shared" si="49"/>
        <v>5740</v>
      </c>
      <c r="E179" t="str">
        <f t="shared" si="50"/>
        <v>850PAY</v>
      </c>
      <c r="F179" t="str">
        <f>""</f>
        <v/>
      </c>
      <c r="G179" t="str">
        <f>""</f>
        <v/>
      </c>
      <c r="H179" s="1">
        <v>42583</v>
      </c>
      <c r="I179" t="str">
        <f>"PHY00669"</f>
        <v>PHY00669</v>
      </c>
      <c r="J179" t="str">
        <f>"W0158990"</f>
        <v>W0158990</v>
      </c>
      <c r="K179" t="str">
        <f t="shared" si="51"/>
        <v>AS89</v>
      </c>
      <c r="L179" t="s">
        <v>2808</v>
      </c>
      <c r="M179">
        <v>737.09</v>
      </c>
    </row>
    <row r="180" spans="1:13" x14ac:dyDescent="0.25">
      <c r="A180" t="str">
        <f t="shared" si="47"/>
        <v>E414</v>
      </c>
      <c r="B180">
        <v>1</v>
      </c>
      <c r="C180" t="str">
        <f t="shared" si="48"/>
        <v>43007</v>
      </c>
      <c r="D180" t="str">
        <f t="shared" si="49"/>
        <v>5740</v>
      </c>
      <c r="E180" t="str">
        <f t="shared" si="50"/>
        <v>850PAY</v>
      </c>
      <c r="F180" t="str">
        <f>""</f>
        <v/>
      </c>
      <c r="G180" t="str">
        <f>""</f>
        <v/>
      </c>
      <c r="H180" s="1">
        <v>42583</v>
      </c>
      <c r="I180" t="str">
        <f>"PHY00669"</f>
        <v>PHY00669</v>
      </c>
      <c r="J180" t="str">
        <f>"W0158991"</f>
        <v>W0158991</v>
      </c>
      <c r="K180" t="str">
        <f t="shared" si="51"/>
        <v>AS89</v>
      </c>
      <c r="L180" t="s">
        <v>2812</v>
      </c>
      <c r="M180">
        <v>144.99</v>
      </c>
    </row>
    <row r="181" spans="1:13" x14ac:dyDescent="0.25">
      <c r="A181" t="str">
        <f t="shared" si="47"/>
        <v>E414</v>
      </c>
      <c r="B181">
        <v>1</v>
      </c>
      <c r="C181" t="str">
        <f t="shared" si="48"/>
        <v>43007</v>
      </c>
      <c r="D181" t="str">
        <f t="shared" si="49"/>
        <v>5740</v>
      </c>
      <c r="E181" t="str">
        <f t="shared" si="50"/>
        <v>850PAY</v>
      </c>
      <c r="F181" t="str">
        <f>""</f>
        <v/>
      </c>
      <c r="G181" t="str">
        <f>""</f>
        <v/>
      </c>
      <c r="H181" s="1">
        <v>42583</v>
      </c>
      <c r="I181" t="str">
        <f>"PHY00669"</f>
        <v>PHY00669</v>
      </c>
      <c r="J181" t="str">
        <f>"W0158996"</f>
        <v>W0158996</v>
      </c>
      <c r="K181" t="str">
        <f t="shared" si="51"/>
        <v>AS89</v>
      </c>
      <c r="L181" t="s">
        <v>2809</v>
      </c>
      <c r="M181">
        <v>699.4</v>
      </c>
    </row>
    <row r="182" spans="1:13" x14ac:dyDescent="0.25">
      <c r="A182" t="str">
        <f t="shared" si="47"/>
        <v>E414</v>
      </c>
      <c r="B182">
        <v>1</v>
      </c>
      <c r="C182" t="str">
        <f t="shared" si="48"/>
        <v>43007</v>
      </c>
      <c r="D182" t="str">
        <f t="shared" si="49"/>
        <v>5740</v>
      </c>
      <c r="E182" t="str">
        <f t="shared" si="50"/>
        <v>850PAY</v>
      </c>
      <c r="F182" t="str">
        <f>""</f>
        <v/>
      </c>
      <c r="G182" t="str">
        <f>""</f>
        <v/>
      </c>
      <c r="H182" s="1">
        <v>42583</v>
      </c>
      <c r="I182" t="str">
        <f>"PHY00669"</f>
        <v>PHY00669</v>
      </c>
      <c r="J182" t="str">
        <f>"W0161174"</f>
        <v>W0161174</v>
      </c>
      <c r="K182" t="str">
        <f t="shared" si="51"/>
        <v>AS89</v>
      </c>
      <c r="L182" t="s">
        <v>710</v>
      </c>
      <c r="M182">
        <v>663.37</v>
      </c>
    </row>
    <row r="183" spans="1:13" x14ac:dyDescent="0.25">
      <c r="A183" t="str">
        <f t="shared" si="47"/>
        <v>E414</v>
      </c>
      <c r="B183">
        <v>1</v>
      </c>
      <c r="C183" t="str">
        <f t="shared" si="48"/>
        <v>43007</v>
      </c>
      <c r="D183" t="str">
        <f t="shared" si="49"/>
        <v>5740</v>
      </c>
      <c r="E183" t="str">
        <f t="shared" si="50"/>
        <v>850PAY</v>
      </c>
      <c r="F183" t="str">
        <f>""</f>
        <v/>
      </c>
      <c r="G183" t="str">
        <f>""</f>
        <v/>
      </c>
      <c r="H183" s="1">
        <v>42614</v>
      </c>
      <c r="I183" t="str">
        <f>"PHY00670"</f>
        <v>PHY00670</v>
      </c>
      <c r="J183" t="str">
        <f>"W0158999"</f>
        <v>W0158999</v>
      </c>
      <c r="K183" t="str">
        <f t="shared" si="51"/>
        <v>AS89</v>
      </c>
      <c r="L183" t="s">
        <v>2811</v>
      </c>
      <c r="M183">
        <v>148.16</v>
      </c>
    </row>
    <row r="184" spans="1:13" x14ac:dyDescent="0.25">
      <c r="A184" t="str">
        <f t="shared" si="47"/>
        <v>E414</v>
      </c>
      <c r="B184">
        <v>1</v>
      </c>
      <c r="C184" t="str">
        <f t="shared" si="48"/>
        <v>43007</v>
      </c>
      <c r="D184" t="str">
        <f t="shared" si="49"/>
        <v>5740</v>
      </c>
      <c r="E184" t="str">
        <f>"850PKE"</f>
        <v>850PKE</v>
      </c>
      <c r="F184" t="str">
        <f>""</f>
        <v/>
      </c>
      <c r="G184" t="str">
        <f>""</f>
        <v/>
      </c>
      <c r="H184" s="1">
        <v>42614</v>
      </c>
      <c r="I184" t="str">
        <f>"PHY00670"</f>
        <v>PHY00670</v>
      </c>
      <c r="J184" t="str">
        <f>"W0169781"</f>
        <v>W0169781</v>
      </c>
      <c r="K184" t="str">
        <f t="shared" si="51"/>
        <v>AS89</v>
      </c>
      <c r="L184" t="s">
        <v>2800</v>
      </c>
      <c r="M184" s="2">
        <v>1291.25</v>
      </c>
    </row>
  </sheetData>
  <autoFilter ref="A1:M18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"/>
  <sheetViews>
    <sheetView workbookViewId="0">
      <selection activeCell="J7" sqref="J7"/>
    </sheetView>
  </sheetViews>
  <sheetFormatPr defaultRowHeight="15" x14ac:dyDescent="0.25"/>
  <cols>
    <col min="1" max="1" width="10.42578125" bestFit="1" customWidth="1"/>
    <col min="2" max="2" width="3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9.42578125" bestFit="1" customWidth="1"/>
    <col min="13" max="13" width="22.85546875" style="3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"43007"</f>
        <v>43007</v>
      </c>
      <c r="D2" t="str">
        <f>"5740"</f>
        <v>5740</v>
      </c>
      <c r="E2" t="str">
        <f>"850GAR"</f>
        <v>850GAR</v>
      </c>
      <c r="F2" t="str">
        <f>""</f>
        <v/>
      </c>
      <c r="G2" t="str">
        <f>""</f>
        <v/>
      </c>
      <c r="H2" s="1">
        <v>38659</v>
      </c>
      <c r="I2" t="str">
        <f>"34482A"</f>
        <v>34482A</v>
      </c>
      <c r="J2" t="str">
        <f>"N076067B"</f>
        <v>N076067B</v>
      </c>
      <c r="K2" t="str">
        <f>"INEI"</f>
        <v>INEI</v>
      </c>
      <c r="L2" t="s">
        <v>0</v>
      </c>
      <c r="M2" s="3">
        <v>11080</v>
      </c>
    </row>
    <row r="3" spans="1:13" x14ac:dyDescent="0.25">
      <c r="A3" t="str">
        <f>"E053"</f>
        <v>E053</v>
      </c>
      <c r="B3">
        <v>1</v>
      </c>
      <c r="C3" t="str">
        <f>"14185"</f>
        <v>14185</v>
      </c>
      <c r="D3" t="str">
        <f>"5620"</f>
        <v>5620</v>
      </c>
      <c r="E3" t="str">
        <f>"094OMS"</f>
        <v>094OMS</v>
      </c>
      <c r="F3" t="str">
        <f>""</f>
        <v/>
      </c>
      <c r="G3" t="str">
        <f>""</f>
        <v/>
      </c>
      <c r="H3" s="1">
        <v>38646</v>
      </c>
      <c r="I3" t="str">
        <f>"00036449"</f>
        <v>00036449</v>
      </c>
      <c r="J3" t="str">
        <f>"BP43801K"</f>
        <v>BP43801K</v>
      </c>
      <c r="K3" t="str">
        <f>"INNI"</f>
        <v>INNI</v>
      </c>
      <c r="L3" t="s">
        <v>1</v>
      </c>
      <c r="M3" s="3">
        <v>300</v>
      </c>
    </row>
    <row r="4" spans="1:13" x14ac:dyDescent="0.25">
      <c r="A4" t="str">
        <f>"E053"</f>
        <v>E053</v>
      </c>
      <c r="B4">
        <v>1</v>
      </c>
      <c r="C4" t="str">
        <f>"14185"</f>
        <v>14185</v>
      </c>
      <c r="D4" t="str">
        <f>"5620"</f>
        <v>5620</v>
      </c>
      <c r="E4" t="str">
        <f>"094OMS"</f>
        <v>094OMS</v>
      </c>
      <c r="F4" t="str">
        <f>""</f>
        <v/>
      </c>
      <c r="G4" t="str">
        <f>""</f>
        <v/>
      </c>
      <c r="H4" s="1">
        <v>38758</v>
      </c>
      <c r="I4" t="str">
        <f>"PCD00219"</f>
        <v>PCD00219</v>
      </c>
      <c r="J4" t="str">
        <f>"36296"</f>
        <v>36296</v>
      </c>
      <c r="K4" t="str">
        <f>"AS89"</f>
        <v>AS89</v>
      </c>
      <c r="L4" t="s">
        <v>2</v>
      </c>
      <c r="M4" s="3">
        <v>310</v>
      </c>
    </row>
    <row r="5" spans="1:13" x14ac:dyDescent="0.25">
      <c r="A5" t="str">
        <f>"E053"</f>
        <v>E053</v>
      </c>
      <c r="B5">
        <v>1</v>
      </c>
      <c r="C5" t="str">
        <f>"14185"</f>
        <v>14185</v>
      </c>
      <c r="D5" t="str">
        <f>"5620"</f>
        <v>5620</v>
      </c>
      <c r="E5" t="str">
        <f>"094OMS"</f>
        <v>094OMS</v>
      </c>
      <c r="F5" t="str">
        <f>""</f>
        <v/>
      </c>
      <c r="G5" t="str">
        <f>""</f>
        <v/>
      </c>
      <c r="H5" s="1">
        <v>38889</v>
      </c>
      <c r="I5" t="str">
        <f>"00045642"</f>
        <v>00045642</v>
      </c>
      <c r="J5" t="str">
        <f>"BP43801K"</f>
        <v>BP43801K</v>
      </c>
      <c r="K5" t="str">
        <f>"INNI"</f>
        <v>INNI</v>
      </c>
      <c r="L5" t="s">
        <v>1</v>
      </c>
      <c r="M5" s="3">
        <v>365</v>
      </c>
    </row>
    <row r="6" spans="1:13" x14ac:dyDescent="0.25">
      <c r="A6" t="str">
        <f>"E054"</f>
        <v>E054</v>
      </c>
      <c r="B6">
        <v>1</v>
      </c>
      <c r="C6" t="str">
        <f>"43000"</f>
        <v>43000</v>
      </c>
      <c r="D6" t="str">
        <f>"5740"</f>
        <v>5740</v>
      </c>
      <c r="E6" t="str">
        <f>"850LOS"</f>
        <v>850LOS</v>
      </c>
      <c r="F6" t="str">
        <f>""</f>
        <v/>
      </c>
      <c r="G6" t="str">
        <f>""</f>
        <v/>
      </c>
      <c r="H6" s="1">
        <v>38862</v>
      </c>
      <c r="I6" t="str">
        <f>"8380C"</f>
        <v>8380C</v>
      </c>
      <c r="J6" t="str">
        <f>"F076337"</f>
        <v>F076337</v>
      </c>
      <c r="K6" t="str">
        <f>"INEI"</f>
        <v>INEI</v>
      </c>
      <c r="L6" t="s">
        <v>3</v>
      </c>
      <c r="M6" s="3">
        <v>11199.99</v>
      </c>
    </row>
    <row r="7" spans="1:13" x14ac:dyDescent="0.25">
      <c r="A7" t="str">
        <f t="shared" ref="A7:A21" si="0">"E055"</f>
        <v>E055</v>
      </c>
      <c r="B7">
        <v>1</v>
      </c>
      <c r="C7" t="str">
        <f t="shared" ref="C7:C16" si="1">"14185"</f>
        <v>14185</v>
      </c>
      <c r="D7" t="str">
        <f t="shared" ref="D7:D16" si="2">"5620"</f>
        <v>5620</v>
      </c>
      <c r="E7" t="str">
        <f t="shared" ref="E7:E16" si="3">"094OMS"</f>
        <v>094OMS</v>
      </c>
      <c r="F7" t="str">
        <f>""</f>
        <v/>
      </c>
      <c r="G7" t="str">
        <f>""</f>
        <v/>
      </c>
      <c r="H7" s="1">
        <v>38601</v>
      </c>
      <c r="I7" t="str">
        <f>"076330"</f>
        <v>076330</v>
      </c>
      <c r="J7" t="str">
        <f>""</f>
        <v/>
      </c>
      <c r="K7" t="str">
        <f t="shared" ref="K7:K15" si="4">"INNI"</f>
        <v>INNI</v>
      </c>
      <c r="L7" t="s">
        <v>4</v>
      </c>
      <c r="M7" s="3">
        <v>150</v>
      </c>
    </row>
    <row r="8" spans="1:13" x14ac:dyDescent="0.25">
      <c r="A8" t="str">
        <f t="shared" si="0"/>
        <v>E055</v>
      </c>
      <c r="B8">
        <v>1</v>
      </c>
      <c r="C8" t="str">
        <f t="shared" si="1"/>
        <v>14185</v>
      </c>
      <c r="D8" t="str">
        <f t="shared" si="2"/>
        <v>5620</v>
      </c>
      <c r="E8" t="str">
        <f t="shared" si="3"/>
        <v>094OMS</v>
      </c>
      <c r="F8" t="str">
        <f>""</f>
        <v/>
      </c>
      <c r="G8" t="str">
        <f>""</f>
        <v/>
      </c>
      <c r="H8" s="1">
        <v>38623</v>
      </c>
      <c r="I8" t="str">
        <f>"076335"</f>
        <v>076335</v>
      </c>
      <c r="J8" t="str">
        <f>""</f>
        <v/>
      </c>
      <c r="K8" t="str">
        <f t="shared" si="4"/>
        <v>INNI</v>
      </c>
      <c r="L8" t="s">
        <v>4</v>
      </c>
      <c r="M8" s="3">
        <v>150</v>
      </c>
    </row>
    <row r="9" spans="1:13" x14ac:dyDescent="0.25">
      <c r="A9" t="str">
        <f t="shared" si="0"/>
        <v>E055</v>
      </c>
      <c r="B9">
        <v>1</v>
      </c>
      <c r="C9" t="str">
        <f t="shared" si="1"/>
        <v>14185</v>
      </c>
      <c r="D9" t="str">
        <f t="shared" si="2"/>
        <v>5620</v>
      </c>
      <c r="E9" t="str">
        <f t="shared" si="3"/>
        <v>094OMS</v>
      </c>
      <c r="F9" t="str">
        <f>""</f>
        <v/>
      </c>
      <c r="G9" t="str">
        <f>""</f>
        <v/>
      </c>
      <c r="H9" s="1">
        <v>38638</v>
      </c>
      <c r="I9" t="str">
        <f>"076338"</f>
        <v>076338</v>
      </c>
      <c r="J9" t="str">
        <f>""</f>
        <v/>
      </c>
      <c r="K9" t="str">
        <f t="shared" si="4"/>
        <v>INNI</v>
      </c>
      <c r="L9" t="s">
        <v>1</v>
      </c>
      <c r="M9" s="3">
        <v>365</v>
      </c>
    </row>
    <row r="10" spans="1:13" x14ac:dyDescent="0.25">
      <c r="A10" t="str">
        <f t="shared" si="0"/>
        <v>E055</v>
      </c>
      <c r="B10">
        <v>1</v>
      </c>
      <c r="C10" t="str">
        <f t="shared" si="1"/>
        <v>14185</v>
      </c>
      <c r="D10" t="str">
        <f t="shared" si="2"/>
        <v>5620</v>
      </c>
      <c r="E10" t="str">
        <f t="shared" si="3"/>
        <v>094OMS</v>
      </c>
      <c r="F10" t="str">
        <f>""</f>
        <v/>
      </c>
      <c r="G10" t="str">
        <f>""</f>
        <v/>
      </c>
      <c r="H10" s="1">
        <v>38670</v>
      </c>
      <c r="I10" t="str">
        <f>"076344"</f>
        <v>076344</v>
      </c>
      <c r="J10" t="str">
        <f>""</f>
        <v/>
      </c>
      <c r="K10" t="str">
        <f t="shared" si="4"/>
        <v>INNI</v>
      </c>
      <c r="L10" t="s">
        <v>4</v>
      </c>
      <c r="M10" s="3">
        <v>150</v>
      </c>
    </row>
    <row r="11" spans="1:13" x14ac:dyDescent="0.25">
      <c r="A11" t="str">
        <f t="shared" si="0"/>
        <v>E055</v>
      </c>
      <c r="B11">
        <v>1</v>
      </c>
      <c r="C11" t="str">
        <f t="shared" si="1"/>
        <v>14185</v>
      </c>
      <c r="D11" t="str">
        <f t="shared" si="2"/>
        <v>5620</v>
      </c>
      <c r="E11" t="str">
        <f t="shared" si="3"/>
        <v>094OMS</v>
      </c>
      <c r="F11" t="str">
        <f>""</f>
        <v/>
      </c>
      <c r="G11" t="str">
        <f>""</f>
        <v/>
      </c>
      <c r="H11" s="1">
        <v>38678</v>
      </c>
      <c r="I11" t="str">
        <f>"076345"</f>
        <v>076345</v>
      </c>
      <c r="J11" t="str">
        <f>""</f>
        <v/>
      </c>
      <c r="K11" t="str">
        <f t="shared" si="4"/>
        <v>INNI</v>
      </c>
      <c r="L11" t="s">
        <v>5</v>
      </c>
      <c r="M11" s="3">
        <v>300</v>
      </c>
    </row>
    <row r="12" spans="1:13" x14ac:dyDescent="0.25">
      <c r="A12" t="str">
        <f t="shared" si="0"/>
        <v>E055</v>
      </c>
      <c r="B12">
        <v>1</v>
      </c>
      <c r="C12" t="str">
        <f t="shared" si="1"/>
        <v>14185</v>
      </c>
      <c r="D12" t="str">
        <f t="shared" si="2"/>
        <v>5620</v>
      </c>
      <c r="E12" t="str">
        <f t="shared" si="3"/>
        <v>094OMS</v>
      </c>
      <c r="F12" t="str">
        <f>""</f>
        <v/>
      </c>
      <c r="G12" t="str">
        <f>""</f>
        <v/>
      </c>
      <c r="H12" s="1">
        <v>38734</v>
      </c>
      <c r="I12" t="str">
        <f>"076373"</f>
        <v>076373</v>
      </c>
      <c r="J12" t="str">
        <f>""</f>
        <v/>
      </c>
      <c r="K12" t="str">
        <f t="shared" si="4"/>
        <v>INNI</v>
      </c>
      <c r="L12" t="s">
        <v>6</v>
      </c>
      <c r="M12" s="3">
        <v>300</v>
      </c>
    </row>
    <row r="13" spans="1:13" x14ac:dyDescent="0.25">
      <c r="A13" t="str">
        <f t="shared" si="0"/>
        <v>E055</v>
      </c>
      <c r="B13">
        <v>1</v>
      </c>
      <c r="C13" t="str">
        <f t="shared" si="1"/>
        <v>14185</v>
      </c>
      <c r="D13" t="str">
        <f t="shared" si="2"/>
        <v>5620</v>
      </c>
      <c r="E13" t="str">
        <f t="shared" si="3"/>
        <v>094OMS</v>
      </c>
      <c r="F13" t="str">
        <f>""</f>
        <v/>
      </c>
      <c r="G13" t="str">
        <f>""</f>
        <v/>
      </c>
      <c r="H13" s="1">
        <v>38751</v>
      </c>
      <c r="I13" t="str">
        <f>"076377"</f>
        <v>076377</v>
      </c>
      <c r="J13" t="str">
        <f>""</f>
        <v/>
      </c>
      <c r="K13" t="str">
        <f t="shared" si="4"/>
        <v>INNI</v>
      </c>
      <c r="L13" t="s">
        <v>4</v>
      </c>
      <c r="M13" s="3">
        <v>150</v>
      </c>
    </row>
    <row r="14" spans="1:13" x14ac:dyDescent="0.25">
      <c r="A14" t="str">
        <f t="shared" si="0"/>
        <v>E055</v>
      </c>
      <c r="B14">
        <v>1</v>
      </c>
      <c r="C14" t="str">
        <f t="shared" si="1"/>
        <v>14185</v>
      </c>
      <c r="D14" t="str">
        <f t="shared" si="2"/>
        <v>5620</v>
      </c>
      <c r="E14" t="str">
        <f t="shared" si="3"/>
        <v>094OMS</v>
      </c>
      <c r="F14" t="str">
        <f>""</f>
        <v/>
      </c>
      <c r="G14" t="str">
        <f>""</f>
        <v/>
      </c>
      <c r="H14" s="1">
        <v>38848</v>
      </c>
      <c r="I14" t="str">
        <f>"086395"</f>
        <v>086395</v>
      </c>
      <c r="J14" t="str">
        <f>""</f>
        <v/>
      </c>
      <c r="K14" t="str">
        <f t="shared" si="4"/>
        <v>INNI</v>
      </c>
      <c r="L14" t="s">
        <v>4</v>
      </c>
      <c r="M14" s="3">
        <v>150</v>
      </c>
    </row>
    <row r="15" spans="1:13" x14ac:dyDescent="0.25">
      <c r="A15" t="str">
        <f t="shared" si="0"/>
        <v>E055</v>
      </c>
      <c r="B15">
        <v>1</v>
      </c>
      <c r="C15" t="str">
        <f t="shared" si="1"/>
        <v>14185</v>
      </c>
      <c r="D15" t="str">
        <f t="shared" si="2"/>
        <v>5620</v>
      </c>
      <c r="E15" t="str">
        <f t="shared" si="3"/>
        <v>094OMS</v>
      </c>
      <c r="F15" t="str">
        <f>""</f>
        <v/>
      </c>
      <c r="G15" t="str">
        <f>""</f>
        <v/>
      </c>
      <c r="H15" s="1">
        <v>38884</v>
      </c>
      <c r="I15" t="str">
        <f>"076399"</f>
        <v>076399</v>
      </c>
      <c r="J15" t="str">
        <f>""</f>
        <v/>
      </c>
      <c r="K15" t="str">
        <f t="shared" si="4"/>
        <v>INNI</v>
      </c>
      <c r="L15" t="s">
        <v>7</v>
      </c>
      <c r="M15" s="3">
        <v>300</v>
      </c>
    </row>
    <row r="16" spans="1:13" x14ac:dyDescent="0.25">
      <c r="A16" t="str">
        <f t="shared" si="0"/>
        <v>E055</v>
      </c>
      <c r="B16">
        <v>1</v>
      </c>
      <c r="C16" t="str">
        <f t="shared" si="1"/>
        <v>14185</v>
      </c>
      <c r="D16" t="str">
        <f t="shared" si="2"/>
        <v>5620</v>
      </c>
      <c r="E16" t="str">
        <f t="shared" si="3"/>
        <v>094OMS</v>
      </c>
      <c r="F16" t="str">
        <f>""</f>
        <v/>
      </c>
      <c r="G16" t="str">
        <f>""</f>
        <v/>
      </c>
      <c r="H16" s="1">
        <v>38898</v>
      </c>
      <c r="I16" t="str">
        <f>"ACG01486"</f>
        <v>ACG01486</v>
      </c>
      <c r="J16" t="str">
        <f>"6165"</f>
        <v>6165</v>
      </c>
      <c r="K16" t="str">
        <f>"AS89"</f>
        <v>AS89</v>
      </c>
      <c r="L16" t="s">
        <v>8</v>
      </c>
      <c r="M16" s="3">
        <v>150</v>
      </c>
    </row>
    <row r="17" spans="1:13" x14ac:dyDescent="0.25">
      <c r="A17" t="str">
        <f t="shared" si="0"/>
        <v>E055</v>
      </c>
      <c r="B17">
        <v>1</v>
      </c>
      <c r="C17" t="str">
        <f t="shared" ref="C17:C21" si="5">"43007"</f>
        <v>43007</v>
      </c>
      <c r="D17" t="str">
        <f t="shared" ref="D17:D35" si="6">"5740"</f>
        <v>5740</v>
      </c>
      <c r="E17" t="str">
        <f t="shared" ref="E17:E21" si="7">"850GAR"</f>
        <v>850GAR</v>
      </c>
      <c r="F17" t="str">
        <f>""</f>
        <v/>
      </c>
      <c r="G17" t="str">
        <f>""</f>
        <v/>
      </c>
      <c r="H17" s="1">
        <v>38575</v>
      </c>
      <c r="I17" t="str">
        <f>"I0076512"</f>
        <v>I0076512</v>
      </c>
      <c r="J17" t="str">
        <f>"B080176A"</f>
        <v>B080176A</v>
      </c>
      <c r="K17" t="str">
        <f>"INNI"</f>
        <v>INNI</v>
      </c>
      <c r="L17" t="s">
        <v>9</v>
      </c>
      <c r="M17" s="3">
        <v>500</v>
      </c>
    </row>
    <row r="18" spans="1:13" x14ac:dyDescent="0.25">
      <c r="A18" t="str">
        <f t="shared" si="0"/>
        <v>E055</v>
      </c>
      <c r="B18">
        <v>1</v>
      </c>
      <c r="C18" t="str">
        <f t="shared" si="5"/>
        <v>43007</v>
      </c>
      <c r="D18" t="str">
        <f t="shared" si="6"/>
        <v>5740</v>
      </c>
      <c r="E18" t="str">
        <f t="shared" si="7"/>
        <v>850GAR</v>
      </c>
      <c r="F18" t="str">
        <f>""</f>
        <v/>
      </c>
      <c r="G18" t="str">
        <f>""</f>
        <v/>
      </c>
      <c r="H18" s="1">
        <v>38688</v>
      </c>
      <c r="I18" t="str">
        <f>"I0077456"</f>
        <v>I0077456</v>
      </c>
      <c r="J18" t="str">
        <f>"B080176A"</f>
        <v>B080176A</v>
      </c>
      <c r="K18" t="str">
        <f>"INNI"</f>
        <v>INNI</v>
      </c>
      <c r="L18" t="s">
        <v>9</v>
      </c>
      <c r="M18" s="3">
        <v>500</v>
      </c>
    </row>
    <row r="19" spans="1:13" x14ac:dyDescent="0.25">
      <c r="A19" t="str">
        <f t="shared" si="0"/>
        <v>E055</v>
      </c>
      <c r="B19">
        <v>1</v>
      </c>
      <c r="C19" t="str">
        <f t="shared" si="5"/>
        <v>43007</v>
      </c>
      <c r="D19" t="str">
        <f t="shared" si="6"/>
        <v>5740</v>
      </c>
      <c r="E19" t="str">
        <f t="shared" si="7"/>
        <v>850GAR</v>
      </c>
      <c r="F19" t="str">
        <f>""</f>
        <v/>
      </c>
      <c r="G19" t="str">
        <f>""</f>
        <v/>
      </c>
      <c r="H19" s="1">
        <v>38754</v>
      </c>
      <c r="I19" t="str">
        <f>"I0078126"</f>
        <v>I0078126</v>
      </c>
      <c r="J19" t="str">
        <f>"B080176B"</f>
        <v>B080176B</v>
      </c>
      <c r="K19" t="str">
        <f>"INNI"</f>
        <v>INNI</v>
      </c>
      <c r="L19" t="s">
        <v>9</v>
      </c>
      <c r="M19" s="3">
        <v>500</v>
      </c>
    </row>
    <row r="20" spans="1:13" x14ac:dyDescent="0.25">
      <c r="A20" t="str">
        <f t="shared" si="0"/>
        <v>E055</v>
      </c>
      <c r="B20">
        <v>1</v>
      </c>
      <c r="C20" t="str">
        <f t="shared" si="5"/>
        <v>43007</v>
      </c>
      <c r="D20" t="str">
        <f t="shared" si="6"/>
        <v>5740</v>
      </c>
      <c r="E20" t="str">
        <f t="shared" si="7"/>
        <v>850GAR</v>
      </c>
      <c r="F20" t="str">
        <f>""</f>
        <v/>
      </c>
      <c r="G20" t="str">
        <f>""</f>
        <v/>
      </c>
      <c r="H20" s="1">
        <v>38854</v>
      </c>
      <c r="I20" t="str">
        <f>"I0079245"</f>
        <v>I0079245</v>
      </c>
      <c r="J20" t="str">
        <f>"B080176B"</f>
        <v>B080176B</v>
      </c>
      <c r="K20" t="str">
        <f>"INNI"</f>
        <v>INNI</v>
      </c>
      <c r="L20" t="s">
        <v>9</v>
      </c>
      <c r="M20" s="3">
        <v>500</v>
      </c>
    </row>
    <row r="21" spans="1:13" x14ac:dyDescent="0.25">
      <c r="A21" t="str">
        <f t="shared" si="0"/>
        <v>E055</v>
      </c>
      <c r="B21">
        <v>1</v>
      </c>
      <c r="C21" t="str">
        <f t="shared" si="5"/>
        <v>43007</v>
      </c>
      <c r="D21" t="str">
        <f t="shared" si="6"/>
        <v>5740</v>
      </c>
      <c r="E21" t="str">
        <f t="shared" si="7"/>
        <v>850GAR</v>
      </c>
      <c r="F21" t="str">
        <f>""</f>
        <v/>
      </c>
      <c r="G21" t="str">
        <f>""</f>
        <v/>
      </c>
      <c r="H21" s="1">
        <v>38898</v>
      </c>
      <c r="I21" t="str">
        <f>"G0614313"</f>
        <v>G0614313</v>
      </c>
      <c r="J21" t="str">
        <f>""</f>
        <v/>
      </c>
      <c r="K21" t="str">
        <f>"J096"</f>
        <v>J096</v>
      </c>
      <c r="L21" t="s">
        <v>10</v>
      </c>
      <c r="M21" s="3">
        <v>500</v>
      </c>
    </row>
    <row r="22" spans="1:13" x14ac:dyDescent="0.25">
      <c r="A22" t="str">
        <f t="shared" ref="A22:A35" si="8">"E057"</f>
        <v>E057</v>
      </c>
      <c r="B22">
        <v>1</v>
      </c>
      <c r="C22" t="str">
        <f>"43000"</f>
        <v>43000</v>
      </c>
      <c r="D22" t="str">
        <f t="shared" si="6"/>
        <v>5740</v>
      </c>
      <c r="E22" t="str">
        <f t="shared" ref="E22:E30" si="9">"850LOS"</f>
        <v>850LOS</v>
      </c>
      <c r="F22" t="str">
        <f>""</f>
        <v/>
      </c>
      <c r="G22" t="str">
        <f>""</f>
        <v/>
      </c>
      <c r="H22" s="1">
        <v>38778</v>
      </c>
      <c r="I22" t="str">
        <f>"107743"</f>
        <v>107743</v>
      </c>
      <c r="J22" t="str">
        <f>""</f>
        <v/>
      </c>
      <c r="K22" t="str">
        <f t="shared" ref="K22:K32" si="10">"INNI"</f>
        <v>INNI</v>
      </c>
      <c r="L22" t="s">
        <v>11</v>
      </c>
      <c r="M22" s="3">
        <v>4999</v>
      </c>
    </row>
    <row r="23" spans="1:13" x14ac:dyDescent="0.25">
      <c r="A23" t="str">
        <f t="shared" si="8"/>
        <v>E057</v>
      </c>
      <c r="B23">
        <v>1</v>
      </c>
      <c r="C23" t="str">
        <f t="shared" ref="C23:C30" si="11">"43001"</f>
        <v>43001</v>
      </c>
      <c r="D23" t="str">
        <f t="shared" si="6"/>
        <v>5740</v>
      </c>
      <c r="E23" t="str">
        <f t="shared" si="9"/>
        <v>850LOS</v>
      </c>
      <c r="F23" t="str">
        <f>""</f>
        <v/>
      </c>
      <c r="G23" t="str">
        <f>""</f>
        <v/>
      </c>
      <c r="H23" s="1">
        <v>38614</v>
      </c>
      <c r="I23" t="str">
        <f>"17I"</f>
        <v>17I</v>
      </c>
      <c r="J23" t="str">
        <f t="shared" ref="J23:J32" si="12">"B076220B"</f>
        <v>B076220B</v>
      </c>
      <c r="K23" t="str">
        <f t="shared" si="10"/>
        <v>INNI</v>
      </c>
      <c r="L23" t="s">
        <v>12</v>
      </c>
      <c r="M23" s="3">
        <v>4879</v>
      </c>
    </row>
    <row r="24" spans="1:13" x14ac:dyDescent="0.25">
      <c r="A24" t="str">
        <f t="shared" si="8"/>
        <v>E057</v>
      </c>
      <c r="B24">
        <v>1</v>
      </c>
      <c r="C24" t="str">
        <f t="shared" si="11"/>
        <v>43001</v>
      </c>
      <c r="D24" t="str">
        <f t="shared" si="6"/>
        <v>5740</v>
      </c>
      <c r="E24" t="str">
        <f t="shared" si="9"/>
        <v>850LOS</v>
      </c>
      <c r="F24" t="str">
        <f>""</f>
        <v/>
      </c>
      <c r="G24" t="str">
        <f>""</f>
        <v/>
      </c>
      <c r="H24" s="1">
        <v>38650</v>
      </c>
      <c r="I24" t="str">
        <f>"01015318"</f>
        <v>01015318</v>
      </c>
      <c r="J24" t="str">
        <f t="shared" si="12"/>
        <v>B076220B</v>
      </c>
      <c r="K24" t="str">
        <f t="shared" si="10"/>
        <v>INNI</v>
      </c>
      <c r="L24" t="s">
        <v>12</v>
      </c>
      <c r="M24" s="3">
        <v>2915.5</v>
      </c>
    </row>
    <row r="25" spans="1:13" x14ac:dyDescent="0.25">
      <c r="A25" t="str">
        <f t="shared" si="8"/>
        <v>E057</v>
      </c>
      <c r="B25">
        <v>1</v>
      </c>
      <c r="C25" t="str">
        <f t="shared" si="11"/>
        <v>43001</v>
      </c>
      <c r="D25" t="str">
        <f t="shared" si="6"/>
        <v>5740</v>
      </c>
      <c r="E25" t="str">
        <f t="shared" si="9"/>
        <v>850LOS</v>
      </c>
      <c r="F25" t="str">
        <f>""</f>
        <v/>
      </c>
      <c r="G25" t="str">
        <f>""</f>
        <v/>
      </c>
      <c r="H25" s="1">
        <v>38706</v>
      </c>
      <c r="I25" t="str">
        <f>"01015319"</f>
        <v>01015319</v>
      </c>
      <c r="J25" t="str">
        <f t="shared" si="12"/>
        <v>B076220B</v>
      </c>
      <c r="K25" t="str">
        <f t="shared" si="10"/>
        <v>INNI</v>
      </c>
      <c r="L25" t="s">
        <v>12</v>
      </c>
      <c r="M25" s="3">
        <v>5890.5</v>
      </c>
    </row>
    <row r="26" spans="1:13" x14ac:dyDescent="0.25">
      <c r="A26" t="str">
        <f t="shared" si="8"/>
        <v>E057</v>
      </c>
      <c r="B26">
        <v>1</v>
      </c>
      <c r="C26" t="str">
        <f t="shared" si="11"/>
        <v>43001</v>
      </c>
      <c r="D26" t="str">
        <f t="shared" si="6"/>
        <v>5740</v>
      </c>
      <c r="E26" t="str">
        <f t="shared" si="9"/>
        <v>850LOS</v>
      </c>
      <c r="F26" t="str">
        <f>""</f>
        <v/>
      </c>
      <c r="G26" t="str">
        <f>""</f>
        <v/>
      </c>
      <c r="H26" s="1">
        <v>38748</v>
      </c>
      <c r="I26" t="str">
        <f>"01015320"</f>
        <v>01015320</v>
      </c>
      <c r="J26" t="str">
        <f t="shared" si="12"/>
        <v>B076220B</v>
      </c>
      <c r="K26" t="str">
        <f t="shared" si="10"/>
        <v>INNI</v>
      </c>
      <c r="L26" t="s">
        <v>12</v>
      </c>
      <c r="M26" s="3">
        <v>2975</v>
      </c>
    </row>
    <row r="27" spans="1:13" x14ac:dyDescent="0.25">
      <c r="A27" t="str">
        <f t="shared" si="8"/>
        <v>E057</v>
      </c>
      <c r="B27">
        <v>1</v>
      </c>
      <c r="C27" t="str">
        <f t="shared" si="11"/>
        <v>43001</v>
      </c>
      <c r="D27" t="str">
        <f t="shared" si="6"/>
        <v>5740</v>
      </c>
      <c r="E27" t="str">
        <f t="shared" si="9"/>
        <v>850LOS</v>
      </c>
      <c r="F27" t="str">
        <f>""</f>
        <v/>
      </c>
      <c r="G27" t="str">
        <f>""</f>
        <v/>
      </c>
      <c r="H27" s="1">
        <v>38776</v>
      </c>
      <c r="I27" t="str">
        <f>"1015321A"</f>
        <v>1015321A</v>
      </c>
      <c r="J27" t="str">
        <f t="shared" si="12"/>
        <v>B076220B</v>
      </c>
      <c r="K27" t="str">
        <f t="shared" si="10"/>
        <v>INNI</v>
      </c>
      <c r="L27" t="s">
        <v>12</v>
      </c>
      <c r="M27" s="3">
        <v>4462.5</v>
      </c>
    </row>
    <row r="28" spans="1:13" x14ac:dyDescent="0.25">
      <c r="A28" t="str">
        <f t="shared" si="8"/>
        <v>E057</v>
      </c>
      <c r="B28">
        <v>1</v>
      </c>
      <c r="C28" t="str">
        <f t="shared" si="11"/>
        <v>43001</v>
      </c>
      <c r="D28" t="str">
        <f t="shared" si="6"/>
        <v>5740</v>
      </c>
      <c r="E28" t="str">
        <f t="shared" si="9"/>
        <v>850LOS</v>
      </c>
      <c r="F28" t="str">
        <f>""</f>
        <v/>
      </c>
      <c r="G28" t="str">
        <f>""</f>
        <v/>
      </c>
      <c r="H28" s="1">
        <v>38853</v>
      </c>
      <c r="I28" t="str">
        <f>"01015322"</f>
        <v>01015322</v>
      </c>
      <c r="J28" t="str">
        <f t="shared" si="12"/>
        <v>B076220B</v>
      </c>
      <c r="K28" t="str">
        <f t="shared" si="10"/>
        <v>INNI</v>
      </c>
      <c r="L28" t="s">
        <v>12</v>
      </c>
      <c r="M28" s="3">
        <v>2796.5</v>
      </c>
    </row>
    <row r="29" spans="1:13" x14ac:dyDescent="0.25">
      <c r="A29" t="str">
        <f t="shared" si="8"/>
        <v>E057</v>
      </c>
      <c r="B29">
        <v>1</v>
      </c>
      <c r="C29" t="str">
        <f t="shared" si="11"/>
        <v>43001</v>
      </c>
      <c r="D29" t="str">
        <f t="shared" si="6"/>
        <v>5740</v>
      </c>
      <c r="E29" t="str">
        <f t="shared" si="9"/>
        <v>850LOS</v>
      </c>
      <c r="F29" t="str">
        <f>""</f>
        <v/>
      </c>
      <c r="G29" t="str">
        <f>""</f>
        <v/>
      </c>
      <c r="H29" s="1">
        <v>38898</v>
      </c>
      <c r="I29" t="str">
        <f>"1015323A"</f>
        <v>1015323A</v>
      </c>
      <c r="J29" t="str">
        <f t="shared" si="12"/>
        <v>B076220B</v>
      </c>
      <c r="K29" t="str">
        <f t="shared" si="10"/>
        <v>INNI</v>
      </c>
      <c r="L29" t="s">
        <v>12</v>
      </c>
      <c r="M29" s="3">
        <v>10650.5</v>
      </c>
    </row>
    <row r="30" spans="1:13" x14ac:dyDescent="0.25">
      <c r="A30" t="str">
        <f t="shared" si="8"/>
        <v>E057</v>
      </c>
      <c r="B30">
        <v>1</v>
      </c>
      <c r="C30" t="str">
        <f t="shared" si="11"/>
        <v>43001</v>
      </c>
      <c r="D30" t="str">
        <f t="shared" si="6"/>
        <v>5740</v>
      </c>
      <c r="E30" t="str">
        <f t="shared" si="9"/>
        <v>850LOS</v>
      </c>
      <c r="F30" t="str">
        <f>""</f>
        <v/>
      </c>
      <c r="G30" t="str">
        <f>""</f>
        <v/>
      </c>
      <c r="H30" s="1">
        <v>38898</v>
      </c>
      <c r="I30" t="str">
        <f>"15324A"</f>
        <v>15324A</v>
      </c>
      <c r="J30" t="str">
        <f t="shared" si="12"/>
        <v>B076220B</v>
      </c>
      <c r="K30" t="str">
        <f t="shared" si="10"/>
        <v>INNI</v>
      </c>
      <c r="L30" t="s">
        <v>12</v>
      </c>
      <c r="M30" s="3">
        <v>4284</v>
      </c>
    </row>
    <row r="31" spans="1:13" x14ac:dyDescent="0.25">
      <c r="A31" t="str">
        <f t="shared" si="8"/>
        <v>E057</v>
      </c>
      <c r="B31">
        <v>1</v>
      </c>
      <c r="C31" t="str">
        <f t="shared" ref="C31:C35" si="13">"54551"</f>
        <v>54551</v>
      </c>
      <c r="D31" t="str">
        <f t="shared" si="6"/>
        <v>5740</v>
      </c>
      <c r="E31" t="str">
        <f t="shared" ref="E31:E35" si="14">"111ZAA"</f>
        <v>111ZAA</v>
      </c>
      <c r="F31" t="str">
        <f>"GRAADM"</f>
        <v>GRAADM</v>
      </c>
      <c r="G31" t="str">
        <f>""</f>
        <v/>
      </c>
      <c r="H31" s="1">
        <v>38776</v>
      </c>
      <c r="I31" t="str">
        <f>"1015321B"</f>
        <v>1015321B</v>
      </c>
      <c r="J31" t="str">
        <f t="shared" si="12"/>
        <v>B076220B</v>
      </c>
      <c r="K31" t="str">
        <f t="shared" si="10"/>
        <v>INNI</v>
      </c>
      <c r="L31" t="s">
        <v>12</v>
      </c>
      <c r="M31" s="3">
        <v>4641</v>
      </c>
    </row>
    <row r="32" spans="1:13" x14ac:dyDescent="0.25">
      <c r="A32" t="str">
        <f t="shared" si="8"/>
        <v>E057</v>
      </c>
      <c r="B32">
        <v>1</v>
      </c>
      <c r="C32" t="str">
        <f t="shared" si="13"/>
        <v>54551</v>
      </c>
      <c r="D32" t="str">
        <f t="shared" si="6"/>
        <v>5740</v>
      </c>
      <c r="E32" t="str">
        <f t="shared" si="14"/>
        <v>111ZAA</v>
      </c>
      <c r="F32" t="str">
        <f>"GRAADM"</f>
        <v>GRAADM</v>
      </c>
      <c r="G32" t="str">
        <f>""</f>
        <v/>
      </c>
      <c r="H32" s="1">
        <v>38890</v>
      </c>
      <c r="I32" t="str">
        <f>"1015322B"</f>
        <v>1015322B</v>
      </c>
      <c r="J32" t="str">
        <f t="shared" si="12"/>
        <v>B076220B</v>
      </c>
      <c r="K32" t="str">
        <f t="shared" si="10"/>
        <v>INNI</v>
      </c>
      <c r="L32" t="s">
        <v>12</v>
      </c>
      <c r="M32" s="3">
        <v>4423</v>
      </c>
    </row>
    <row r="33" spans="1:13" x14ac:dyDescent="0.25">
      <c r="A33" t="str">
        <f t="shared" si="8"/>
        <v>E057</v>
      </c>
      <c r="B33">
        <v>1</v>
      </c>
      <c r="C33" t="str">
        <f t="shared" si="13"/>
        <v>54551</v>
      </c>
      <c r="D33" t="str">
        <f t="shared" si="6"/>
        <v>5740</v>
      </c>
      <c r="E33" t="str">
        <f t="shared" si="14"/>
        <v>111ZAA</v>
      </c>
      <c r="F33" t="str">
        <f>"GRADES"</f>
        <v>GRADES</v>
      </c>
      <c r="G33" t="str">
        <f>""</f>
        <v/>
      </c>
      <c r="H33" s="1">
        <v>38898</v>
      </c>
      <c r="I33" t="str">
        <f>"G0614310"</f>
        <v>G0614310</v>
      </c>
      <c r="J33" t="str">
        <f>"G614027"</f>
        <v>G614027</v>
      </c>
      <c r="K33" t="str">
        <f>"J079"</f>
        <v>J079</v>
      </c>
      <c r="L33" t="s">
        <v>13</v>
      </c>
      <c r="M33" s="3">
        <v>10922</v>
      </c>
    </row>
    <row r="34" spans="1:13" x14ac:dyDescent="0.25">
      <c r="A34" t="str">
        <f t="shared" si="8"/>
        <v>E057</v>
      </c>
      <c r="B34">
        <v>1</v>
      </c>
      <c r="C34" t="str">
        <f t="shared" si="13"/>
        <v>54551</v>
      </c>
      <c r="D34" t="str">
        <f t="shared" si="6"/>
        <v>5740</v>
      </c>
      <c r="E34" t="str">
        <f t="shared" si="14"/>
        <v>111ZAA</v>
      </c>
      <c r="F34" t="str">
        <f>""</f>
        <v/>
      </c>
      <c r="G34" t="str">
        <f>""</f>
        <v/>
      </c>
      <c r="H34" s="1">
        <v>38776</v>
      </c>
      <c r="I34" t="str">
        <f>"01015321"</f>
        <v>01015321</v>
      </c>
      <c r="J34" t="str">
        <f>"B076220B"</f>
        <v>B076220B</v>
      </c>
      <c r="K34" t="str">
        <f>"INNI"</f>
        <v>INNI</v>
      </c>
      <c r="L34" t="s">
        <v>12</v>
      </c>
      <c r="M34" s="3">
        <v>4641</v>
      </c>
    </row>
    <row r="35" spans="1:13" x14ac:dyDescent="0.25">
      <c r="A35" t="str">
        <f t="shared" si="8"/>
        <v>E057</v>
      </c>
      <c r="B35">
        <v>1</v>
      </c>
      <c r="C35" t="str">
        <f t="shared" si="13"/>
        <v>54551</v>
      </c>
      <c r="D35" t="str">
        <f t="shared" si="6"/>
        <v>5740</v>
      </c>
      <c r="E35" t="str">
        <f t="shared" si="14"/>
        <v>111ZAA</v>
      </c>
      <c r="F35" t="str">
        <f>""</f>
        <v/>
      </c>
      <c r="G35" t="str">
        <f>""</f>
        <v/>
      </c>
      <c r="H35" s="1">
        <v>38898</v>
      </c>
      <c r="I35" t="str">
        <f>"15323B"</f>
        <v>15323B</v>
      </c>
      <c r="J35" t="str">
        <f>"B076220B"</f>
        <v>B076220B</v>
      </c>
      <c r="K35" t="str">
        <f>"INNI"</f>
        <v>INNI</v>
      </c>
      <c r="L35" t="s">
        <v>12</v>
      </c>
      <c r="M35" s="3">
        <v>6247.5</v>
      </c>
    </row>
    <row r="36" spans="1:13" x14ac:dyDescent="0.25">
      <c r="A36" t="str">
        <f t="shared" ref="A36:A47" si="15">"E111"</f>
        <v>E111</v>
      </c>
      <c r="B36">
        <v>1</v>
      </c>
      <c r="C36" t="str">
        <f t="shared" ref="C36:C41" si="16">"14185"</f>
        <v>14185</v>
      </c>
      <c r="D36" t="str">
        <f t="shared" ref="D36:D41" si="17">"5620"</f>
        <v>5620</v>
      </c>
      <c r="E36" t="str">
        <f t="shared" ref="E36:E41" si="18">"094OMS"</f>
        <v>094OMS</v>
      </c>
      <c r="F36" t="str">
        <f>""</f>
        <v/>
      </c>
      <c r="G36" t="str">
        <f>""</f>
        <v/>
      </c>
      <c r="H36" s="1">
        <v>38576</v>
      </c>
      <c r="I36" t="str">
        <f>"50536"</f>
        <v>50536</v>
      </c>
      <c r="J36" t="str">
        <f>"F068496"</f>
        <v>F068496</v>
      </c>
      <c r="K36" t="str">
        <f>"INEI"</f>
        <v>INEI</v>
      </c>
      <c r="L36" t="s">
        <v>14</v>
      </c>
      <c r="M36" s="3">
        <v>516.97</v>
      </c>
    </row>
    <row r="37" spans="1:13" x14ac:dyDescent="0.25">
      <c r="A37" t="str">
        <f t="shared" si="15"/>
        <v>E111</v>
      </c>
      <c r="B37">
        <v>1</v>
      </c>
      <c r="C37" t="str">
        <f t="shared" si="16"/>
        <v>14185</v>
      </c>
      <c r="D37" t="str">
        <f t="shared" si="17"/>
        <v>5620</v>
      </c>
      <c r="E37" t="str">
        <f t="shared" si="18"/>
        <v>094OMS</v>
      </c>
      <c r="F37" t="str">
        <f>""</f>
        <v/>
      </c>
      <c r="G37" t="str">
        <f>""</f>
        <v/>
      </c>
      <c r="H37" s="1">
        <v>38576</v>
      </c>
      <c r="I37" t="str">
        <f>"50536"</f>
        <v>50536</v>
      </c>
      <c r="J37" t="str">
        <f>"F068496"</f>
        <v>F068496</v>
      </c>
      <c r="K37" t="str">
        <f>"INEI"</f>
        <v>INEI</v>
      </c>
      <c r="L37" t="s">
        <v>14</v>
      </c>
      <c r="M37" s="3">
        <v>669.29</v>
      </c>
    </row>
    <row r="38" spans="1:13" x14ac:dyDescent="0.25">
      <c r="A38" t="str">
        <f t="shared" si="15"/>
        <v>E111</v>
      </c>
      <c r="B38">
        <v>1</v>
      </c>
      <c r="C38" t="str">
        <f t="shared" si="16"/>
        <v>14185</v>
      </c>
      <c r="D38" t="str">
        <f t="shared" si="17"/>
        <v>5620</v>
      </c>
      <c r="E38" t="str">
        <f t="shared" si="18"/>
        <v>094OMS</v>
      </c>
      <c r="F38" t="str">
        <f>""</f>
        <v/>
      </c>
      <c r="G38" t="str">
        <f>""</f>
        <v/>
      </c>
      <c r="H38" s="1">
        <v>38580</v>
      </c>
      <c r="I38" t="str">
        <f>"PCD00192"</f>
        <v>PCD00192</v>
      </c>
      <c r="J38" t="str">
        <f>"30395"</f>
        <v>30395</v>
      </c>
      <c r="K38" t="str">
        <f>"AS89"</f>
        <v>AS89</v>
      </c>
      <c r="L38" t="s">
        <v>16</v>
      </c>
      <c r="M38" s="3">
        <v>430.75</v>
      </c>
    </row>
    <row r="39" spans="1:13" x14ac:dyDescent="0.25">
      <c r="A39" t="str">
        <f t="shared" si="15"/>
        <v>E111</v>
      </c>
      <c r="B39">
        <v>1</v>
      </c>
      <c r="C39" t="str">
        <f t="shared" si="16"/>
        <v>14185</v>
      </c>
      <c r="D39" t="str">
        <f t="shared" si="17"/>
        <v>5620</v>
      </c>
      <c r="E39" t="str">
        <f t="shared" si="18"/>
        <v>094OMS</v>
      </c>
      <c r="F39" t="str">
        <f>""</f>
        <v/>
      </c>
      <c r="G39" t="str">
        <f>""</f>
        <v/>
      </c>
      <c r="H39" s="1">
        <v>38580</v>
      </c>
      <c r="I39" t="str">
        <f>"PCD00192"</f>
        <v>PCD00192</v>
      </c>
      <c r="J39" t="str">
        <f>"30438"</f>
        <v>30438</v>
      </c>
      <c r="K39" t="str">
        <f>"AS89"</f>
        <v>AS89</v>
      </c>
      <c r="L39" t="s">
        <v>17</v>
      </c>
      <c r="M39" s="3">
        <v>211.3</v>
      </c>
    </row>
    <row r="40" spans="1:13" x14ac:dyDescent="0.25">
      <c r="A40" t="str">
        <f t="shared" si="15"/>
        <v>E111</v>
      </c>
      <c r="B40">
        <v>1</v>
      </c>
      <c r="C40" t="str">
        <f t="shared" si="16"/>
        <v>14185</v>
      </c>
      <c r="D40" t="str">
        <f t="shared" si="17"/>
        <v>5620</v>
      </c>
      <c r="E40" t="str">
        <f t="shared" si="18"/>
        <v>094OMS</v>
      </c>
      <c r="F40" t="str">
        <f>""</f>
        <v/>
      </c>
      <c r="G40" t="str">
        <f>""</f>
        <v/>
      </c>
      <c r="H40" s="1">
        <v>38593</v>
      </c>
      <c r="I40" t="str">
        <f>"U0024965"</f>
        <v>U0024965</v>
      </c>
      <c r="J40" t="str">
        <f>""</f>
        <v/>
      </c>
      <c r="K40" t="str">
        <f>"ISSU"</f>
        <v>ISSU</v>
      </c>
      <c r="L40" t="s">
        <v>15</v>
      </c>
      <c r="M40" s="3">
        <v>198.56</v>
      </c>
    </row>
    <row r="41" spans="1:13" x14ac:dyDescent="0.25">
      <c r="A41" t="str">
        <f t="shared" si="15"/>
        <v>E111</v>
      </c>
      <c r="B41">
        <v>1</v>
      </c>
      <c r="C41" t="str">
        <f t="shared" si="16"/>
        <v>14185</v>
      </c>
      <c r="D41" t="str">
        <f t="shared" si="17"/>
        <v>5620</v>
      </c>
      <c r="E41" t="str">
        <f t="shared" si="18"/>
        <v>094OMS</v>
      </c>
      <c r="F41" t="str">
        <f>""</f>
        <v/>
      </c>
      <c r="G41" t="str">
        <f>""</f>
        <v/>
      </c>
      <c r="H41" s="1">
        <v>38595</v>
      </c>
      <c r="I41" t="str">
        <f>"CST00317"</f>
        <v>CST00317</v>
      </c>
      <c r="J41" t="str">
        <f>"21703164"</f>
        <v>21703164</v>
      </c>
      <c r="K41" t="str">
        <f>"AS96"</f>
        <v>AS96</v>
      </c>
      <c r="L41" t="s">
        <v>18</v>
      </c>
      <c r="M41" s="3">
        <v>259.29000000000002</v>
      </c>
    </row>
    <row r="42" spans="1:13" x14ac:dyDescent="0.25">
      <c r="A42" t="str">
        <f t="shared" si="15"/>
        <v>E111</v>
      </c>
      <c r="B42">
        <v>1</v>
      </c>
      <c r="C42" t="str">
        <f t="shared" ref="C42:C47" si="19">"14185"</f>
        <v>14185</v>
      </c>
      <c r="D42" t="str">
        <f t="shared" ref="D42:D47" si="20">"5620"</f>
        <v>5620</v>
      </c>
      <c r="E42" t="str">
        <f t="shared" ref="E42:E47" si="21">"094OMS"</f>
        <v>094OMS</v>
      </c>
      <c r="F42" t="str">
        <f>""</f>
        <v/>
      </c>
      <c r="G42" t="str">
        <f>""</f>
        <v/>
      </c>
      <c r="H42" s="1">
        <v>38632</v>
      </c>
      <c r="I42" t="str">
        <f>"PCD00200"</f>
        <v>PCD00200</v>
      </c>
      <c r="J42" t="str">
        <f>"32381"</f>
        <v>32381</v>
      </c>
      <c r="K42" t="str">
        <f>"AS89"</f>
        <v>AS89</v>
      </c>
      <c r="L42" t="s">
        <v>19</v>
      </c>
      <c r="M42" s="3">
        <v>649.77</v>
      </c>
    </row>
    <row r="43" spans="1:13" x14ac:dyDescent="0.25">
      <c r="A43" t="str">
        <f t="shared" si="15"/>
        <v>E111</v>
      </c>
      <c r="B43">
        <v>1</v>
      </c>
      <c r="C43" t="str">
        <f t="shared" si="19"/>
        <v>14185</v>
      </c>
      <c r="D43" t="str">
        <f t="shared" si="20"/>
        <v>5620</v>
      </c>
      <c r="E43" t="str">
        <f t="shared" si="21"/>
        <v>094OMS</v>
      </c>
      <c r="F43" t="str">
        <f>""</f>
        <v/>
      </c>
      <c r="G43" t="str">
        <f>""</f>
        <v/>
      </c>
      <c r="H43" s="1">
        <v>38705</v>
      </c>
      <c r="I43" t="str">
        <f>"PCD00211"</f>
        <v>PCD00211</v>
      </c>
      <c r="J43" t="str">
        <f>"34066"</f>
        <v>34066</v>
      </c>
      <c r="K43" t="str">
        <f>"AS89"</f>
        <v>AS89</v>
      </c>
      <c r="L43" t="s">
        <v>20</v>
      </c>
      <c r="M43" s="3">
        <v>282.39</v>
      </c>
    </row>
    <row r="44" spans="1:13" x14ac:dyDescent="0.25">
      <c r="A44" t="str">
        <f t="shared" si="15"/>
        <v>E111</v>
      </c>
      <c r="B44">
        <v>1</v>
      </c>
      <c r="C44" t="str">
        <f t="shared" si="19"/>
        <v>14185</v>
      </c>
      <c r="D44" t="str">
        <f t="shared" si="20"/>
        <v>5620</v>
      </c>
      <c r="E44" t="str">
        <f t="shared" si="21"/>
        <v>094OMS</v>
      </c>
      <c r="F44" t="str">
        <f>""</f>
        <v/>
      </c>
      <c r="G44" t="str">
        <f>""</f>
        <v/>
      </c>
      <c r="H44" s="1">
        <v>38730</v>
      </c>
      <c r="I44" t="str">
        <f>"PCD00215"</f>
        <v>PCD00215</v>
      </c>
      <c r="J44" t="str">
        <f>"35182"</f>
        <v>35182</v>
      </c>
      <c r="K44" t="str">
        <f>"AS89"</f>
        <v>AS89</v>
      </c>
      <c r="L44" t="s">
        <v>21</v>
      </c>
      <c r="M44" s="3">
        <v>314.01</v>
      </c>
    </row>
    <row r="45" spans="1:13" x14ac:dyDescent="0.25">
      <c r="A45" t="str">
        <f t="shared" si="15"/>
        <v>E111</v>
      </c>
      <c r="B45">
        <v>1</v>
      </c>
      <c r="C45" t="str">
        <f t="shared" si="19"/>
        <v>14185</v>
      </c>
      <c r="D45" t="str">
        <f t="shared" si="20"/>
        <v>5620</v>
      </c>
      <c r="E45" t="str">
        <f t="shared" si="21"/>
        <v>094OMS</v>
      </c>
      <c r="F45" t="str">
        <f>""</f>
        <v/>
      </c>
      <c r="G45" t="str">
        <f>""</f>
        <v/>
      </c>
      <c r="H45" s="1">
        <v>38737</v>
      </c>
      <c r="I45" t="str">
        <f>"PCD00216"</f>
        <v>PCD00216</v>
      </c>
      <c r="J45" t="str">
        <f>"36039"</f>
        <v>36039</v>
      </c>
      <c r="K45" t="str">
        <f>"AS89"</f>
        <v>AS89</v>
      </c>
      <c r="L45" t="s">
        <v>22</v>
      </c>
      <c r="M45" s="3">
        <v>385.48</v>
      </c>
    </row>
    <row r="46" spans="1:13" x14ac:dyDescent="0.25">
      <c r="A46" t="str">
        <f t="shared" si="15"/>
        <v>E111</v>
      </c>
      <c r="B46">
        <v>1</v>
      </c>
      <c r="C46" t="str">
        <f t="shared" si="19"/>
        <v>14185</v>
      </c>
      <c r="D46" t="str">
        <f t="shared" si="20"/>
        <v>5620</v>
      </c>
      <c r="E46" t="str">
        <f t="shared" si="21"/>
        <v>094OMS</v>
      </c>
      <c r="F46" t="str">
        <f>""</f>
        <v/>
      </c>
      <c r="G46" t="str">
        <f>""</f>
        <v/>
      </c>
      <c r="H46" s="1">
        <v>38742</v>
      </c>
      <c r="I46" t="str">
        <f>"C0007191"</f>
        <v>C0007191</v>
      </c>
      <c r="J46" t="str">
        <f>""</f>
        <v/>
      </c>
      <c r="K46" t="str">
        <f>"ISSU"</f>
        <v>ISSU</v>
      </c>
      <c r="L46" t="s">
        <v>23</v>
      </c>
      <c r="M46" s="3">
        <v>110.65</v>
      </c>
    </row>
    <row r="47" spans="1:13" x14ac:dyDescent="0.25">
      <c r="A47" t="str">
        <f t="shared" si="15"/>
        <v>E111</v>
      </c>
      <c r="B47">
        <v>1</v>
      </c>
      <c r="C47" t="str">
        <f t="shared" si="19"/>
        <v>14185</v>
      </c>
      <c r="D47" t="str">
        <f t="shared" si="20"/>
        <v>5620</v>
      </c>
      <c r="E47" t="str">
        <f t="shared" si="21"/>
        <v>094OMS</v>
      </c>
      <c r="F47" t="str">
        <f>""</f>
        <v/>
      </c>
      <c r="G47" t="str">
        <f>""</f>
        <v/>
      </c>
      <c r="H47" s="1">
        <v>38758</v>
      </c>
      <c r="I47" t="str">
        <f>"PCD00219"</f>
        <v>PCD00219</v>
      </c>
      <c r="J47" t="str">
        <f>"36297"</f>
        <v>36297</v>
      </c>
      <c r="K47" t="str">
        <f>"AS89"</f>
        <v>AS89</v>
      </c>
      <c r="L47" t="s">
        <v>24</v>
      </c>
      <c r="M47" s="3">
        <v>162.44</v>
      </c>
    </row>
    <row r="48" spans="1:13" x14ac:dyDescent="0.25">
      <c r="A48" t="str">
        <f t="shared" ref="A48:A62" si="22">"E111"</f>
        <v>E111</v>
      </c>
      <c r="B48">
        <v>1</v>
      </c>
      <c r="C48" t="str">
        <f t="shared" ref="C48:C56" si="23">"14185"</f>
        <v>14185</v>
      </c>
      <c r="D48" t="str">
        <f t="shared" ref="D48:D56" si="24">"5620"</f>
        <v>5620</v>
      </c>
      <c r="E48" t="str">
        <f t="shared" ref="E48:E56" si="25">"094OMS"</f>
        <v>094OMS</v>
      </c>
      <c r="F48" t="str">
        <f>""</f>
        <v/>
      </c>
      <c r="G48" t="str">
        <f>""</f>
        <v/>
      </c>
      <c r="H48" s="1">
        <v>38790</v>
      </c>
      <c r="I48" t="str">
        <f>"C0007597"</f>
        <v>C0007597</v>
      </c>
      <c r="J48" t="str">
        <f>""</f>
        <v/>
      </c>
      <c r="K48" t="str">
        <f>"ISSU"</f>
        <v>ISSU</v>
      </c>
      <c r="L48" t="s">
        <v>15</v>
      </c>
      <c r="M48" s="3">
        <v>106.04</v>
      </c>
    </row>
    <row r="49" spans="1:13" x14ac:dyDescent="0.25">
      <c r="A49" t="str">
        <f t="shared" si="22"/>
        <v>E111</v>
      </c>
      <c r="B49">
        <v>1</v>
      </c>
      <c r="C49" t="str">
        <f t="shared" si="23"/>
        <v>14185</v>
      </c>
      <c r="D49" t="str">
        <f t="shared" si="24"/>
        <v>5620</v>
      </c>
      <c r="E49" t="str">
        <f t="shared" si="25"/>
        <v>094OMS</v>
      </c>
      <c r="F49" t="str">
        <f>""</f>
        <v/>
      </c>
      <c r="G49" t="str">
        <f>""</f>
        <v/>
      </c>
      <c r="H49" s="1">
        <v>38790</v>
      </c>
      <c r="I49" t="str">
        <f>"C0007573"</f>
        <v>C0007573</v>
      </c>
      <c r="J49" t="str">
        <f>""</f>
        <v/>
      </c>
      <c r="K49" t="str">
        <f>"ISSU"</f>
        <v>ISSU</v>
      </c>
      <c r="L49" t="s">
        <v>23</v>
      </c>
      <c r="M49" s="3">
        <v>108.33</v>
      </c>
    </row>
    <row r="50" spans="1:13" x14ac:dyDescent="0.25">
      <c r="A50" t="str">
        <f t="shared" si="22"/>
        <v>E111</v>
      </c>
      <c r="B50">
        <v>1</v>
      </c>
      <c r="C50" t="str">
        <f t="shared" si="23"/>
        <v>14185</v>
      </c>
      <c r="D50" t="str">
        <f t="shared" si="24"/>
        <v>5620</v>
      </c>
      <c r="E50" t="str">
        <f t="shared" si="25"/>
        <v>094OMS</v>
      </c>
      <c r="F50" t="str">
        <f>""</f>
        <v/>
      </c>
      <c r="G50" t="str">
        <f>""</f>
        <v/>
      </c>
      <c r="H50" s="1">
        <v>38821</v>
      </c>
      <c r="I50" t="str">
        <f>"PCD00225"</f>
        <v>PCD00225</v>
      </c>
      <c r="J50" t="str">
        <f>"38331"</f>
        <v>38331</v>
      </c>
      <c r="K50" t="str">
        <f t="shared" ref="K50:K56" si="26">"AS89"</f>
        <v>AS89</v>
      </c>
      <c r="L50" t="s">
        <v>25</v>
      </c>
      <c r="M50" s="3">
        <v>205.78</v>
      </c>
    </row>
    <row r="51" spans="1:13" x14ac:dyDescent="0.25">
      <c r="A51" t="str">
        <f t="shared" si="22"/>
        <v>E111</v>
      </c>
      <c r="B51">
        <v>1</v>
      </c>
      <c r="C51" t="str">
        <f t="shared" si="23"/>
        <v>14185</v>
      </c>
      <c r="D51" t="str">
        <f t="shared" si="24"/>
        <v>5620</v>
      </c>
      <c r="E51" t="str">
        <f t="shared" si="25"/>
        <v>094OMS</v>
      </c>
      <c r="F51" t="str">
        <f>""</f>
        <v/>
      </c>
      <c r="G51" t="str">
        <f>""</f>
        <v/>
      </c>
      <c r="H51" s="1">
        <v>38821</v>
      </c>
      <c r="I51" t="str">
        <f>"PCD00225"</f>
        <v>PCD00225</v>
      </c>
      <c r="J51" t="str">
        <f>"38332"</f>
        <v>38332</v>
      </c>
      <c r="K51" t="str">
        <f t="shared" si="26"/>
        <v>AS89</v>
      </c>
      <c r="L51" t="s">
        <v>26</v>
      </c>
      <c r="M51" s="3">
        <v>167.27</v>
      </c>
    </row>
    <row r="52" spans="1:13" x14ac:dyDescent="0.25">
      <c r="A52" t="str">
        <f t="shared" si="22"/>
        <v>E111</v>
      </c>
      <c r="B52">
        <v>1</v>
      </c>
      <c r="C52" t="str">
        <f t="shared" si="23"/>
        <v>14185</v>
      </c>
      <c r="D52" t="str">
        <f t="shared" si="24"/>
        <v>5620</v>
      </c>
      <c r="E52" t="str">
        <f t="shared" si="25"/>
        <v>094OMS</v>
      </c>
      <c r="F52" t="str">
        <f>""</f>
        <v/>
      </c>
      <c r="G52" t="str">
        <f>""</f>
        <v/>
      </c>
      <c r="H52" s="1">
        <v>38821</v>
      </c>
      <c r="I52" t="str">
        <f>"PCD00225"</f>
        <v>PCD00225</v>
      </c>
      <c r="J52" t="str">
        <f>"38407"</f>
        <v>38407</v>
      </c>
      <c r="K52" t="str">
        <f t="shared" si="26"/>
        <v>AS89</v>
      </c>
      <c r="L52" t="s">
        <v>27</v>
      </c>
      <c r="M52" s="3">
        <v>412.97</v>
      </c>
    </row>
    <row r="53" spans="1:13" x14ac:dyDescent="0.25">
      <c r="A53" t="str">
        <f t="shared" si="22"/>
        <v>E111</v>
      </c>
      <c r="B53">
        <v>1</v>
      </c>
      <c r="C53" t="str">
        <f t="shared" si="23"/>
        <v>14185</v>
      </c>
      <c r="D53" t="str">
        <f t="shared" si="24"/>
        <v>5620</v>
      </c>
      <c r="E53" t="str">
        <f t="shared" si="25"/>
        <v>094OMS</v>
      </c>
      <c r="F53" t="str">
        <f>""</f>
        <v/>
      </c>
      <c r="G53" t="str">
        <f>""</f>
        <v/>
      </c>
      <c r="H53" s="1">
        <v>38849</v>
      </c>
      <c r="I53" t="str">
        <f>"PCD00228"</f>
        <v>PCD00228</v>
      </c>
      <c r="J53" t="str">
        <f>"40545"</f>
        <v>40545</v>
      </c>
      <c r="K53" t="str">
        <f t="shared" si="26"/>
        <v>AS89</v>
      </c>
      <c r="L53" t="s">
        <v>28</v>
      </c>
      <c r="M53" s="3">
        <v>407.97</v>
      </c>
    </row>
    <row r="54" spans="1:13" x14ac:dyDescent="0.25">
      <c r="A54" t="str">
        <f t="shared" si="22"/>
        <v>E111</v>
      </c>
      <c r="B54">
        <v>1</v>
      </c>
      <c r="C54" t="str">
        <f t="shared" si="23"/>
        <v>14185</v>
      </c>
      <c r="D54" t="str">
        <f t="shared" si="24"/>
        <v>5620</v>
      </c>
      <c r="E54" t="str">
        <f t="shared" si="25"/>
        <v>094OMS</v>
      </c>
      <c r="F54" t="str">
        <f>""</f>
        <v/>
      </c>
      <c r="G54" t="str">
        <f>""</f>
        <v/>
      </c>
      <c r="H54" s="1">
        <v>38856</v>
      </c>
      <c r="I54" t="str">
        <f>"PCD00229"</f>
        <v>PCD00229</v>
      </c>
      <c r="J54" t="str">
        <f>"41048"</f>
        <v>41048</v>
      </c>
      <c r="K54" t="str">
        <f t="shared" si="26"/>
        <v>AS89</v>
      </c>
      <c r="L54" t="s">
        <v>29</v>
      </c>
      <c r="M54" s="3">
        <v>275.72000000000003</v>
      </c>
    </row>
    <row r="55" spans="1:13" x14ac:dyDescent="0.25">
      <c r="A55" t="str">
        <f t="shared" si="22"/>
        <v>E111</v>
      </c>
      <c r="B55">
        <v>1</v>
      </c>
      <c r="C55" t="str">
        <f t="shared" si="23"/>
        <v>14185</v>
      </c>
      <c r="D55" t="str">
        <f t="shared" si="24"/>
        <v>5620</v>
      </c>
      <c r="E55" t="str">
        <f t="shared" si="25"/>
        <v>094OMS</v>
      </c>
      <c r="F55" t="str">
        <f>""</f>
        <v/>
      </c>
      <c r="G55" t="str">
        <f>""</f>
        <v/>
      </c>
      <c r="H55" s="1">
        <v>38856</v>
      </c>
      <c r="I55" t="str">
        <f>"PCD00229"</f>
        <v>PCD00229</v>
      </c>
      <c r="J55" t="str">
        <f>"41049"</f>
        <v>41049</v>
      </c>
      <c r="K55" t="str">
        <f t="shared" si="26"/>
        <v>AS89</v>
      </c>
      <c r="L55" t="s">
        <v>29</v>
      </c>
      <c r="M55" s="3">
        <v>104.12</v>
      </c>
    </row>
    <row r="56" spans="1:13" x14ac:dyDescent="0.25">
      <c r="A56" t="str">
        <f t="shared" si="22"/>
        <v>E111</v>
      </c>
      <c r="B56">
        <v>1</v>
      </c>
      <c r="C56" t="str">
        <f t="shared" si="23"/>
        <v>14185</v>
      </c>
      <c r="D56" t="str">
        <f t="shared" si="24"/>
        <v>5620</v>
      </c>
      <c r="E56" t="str">
        <f t="shared" si="25"/>
        <v>094OMS</v>
      </c>
      <c r="F56" t="str">
        <f>""</f>
        <v/>
      </c>
      <c r="G56" t="str">
        <f>""</f>
        <v/>
      </c>
      <c r="H56" s="1">
        <v>38873</v>
      </c>
      <c r="I56" t="str">
        <f>"PCD00231"</f>
        <v>PCD00231</v>
      </c>
      <c r="J56" t="str">
        <f>"41456"</f>
        <v>41456</v>
      </c>
      <c r="K56" t="str">
        <f t="shared" si="26"/>
        <v>AS89</v>
      </c>
      <c r="L56" t="s">
        <v>30</v>
      </c>
      <c r="M56" s="3">
        <v>471.77</v>
      </c>
    </row>
    <row r="57" spans="1:13" x14ac:dyDescent="0.25">
      <c r="A57" t="str">
        <f t="shared" si="22"/>
        <v>E111</v>
      </c>
      <c r="B57">
        <v>1</v>
      </c>
      <c r="C57" t="str">
        <f t="shared" ref="C57:C59" si="27">"14185"</f>
        <v>14185</v>
      </c>
      <c r="D57" t="str">
        <f t="shared" ref="D57:D59" si="28">"5620"</f>
        <v>5620</v>
      </c>
      <c r="E57" t="str">
        <f t="shared" ref="E57:E59" si="29">"094OMS"</f>
        <v>094OMS</v>
      </c>
      <c r="F57" t="str">
        <f>""</f>
        <v/>
      </c>
      <c r="G57" t="str">
        <f>""</f>
        <v/>
      </c>
      <c r="H57" s="1">
        <v>38875</v>
      </c>
      <c r="I57" t="str">
        <f>"C0008264"</f>
        <v>C0008264</v>
      </c>
      <c r="J57" t="str">
        <f>""</f>
        <v/>
      </c>
      <c r="K57" t="str">
        <f>"ISSU"</f>
        <v>ISSU</v>
      </c>
      <c r="L57" t="s">
        <v>15</v>
      </c>
      <c r="M57" s="3">
        <v>198.62</v>
      </c>
    </row>
    <row r="58" spans="1:13" x14ac:dyDescent="0.25">
      <c r="A58" t="str">
        <f t="shared" si="22"/>
        <v>E111</v>
      </c>
      <c r="B58">
        <v>1</v>
      </c>
      <c r="C58" t="str">
        <f t="shared" si="27"/>
        <v>14185</v>
      </c>
      <c r="D58" t="str">
        <f t="shared" si="28"/>
        <v>5620</v>
      </c>
      <c r="E58" t="str">
        <f t="shared" si="29"/>
        <v>094OMS</v>
      </c>
      <c r="F58" t="str">
        <f>""</f>
        <v/>
      </c>
      <c r="G58" t="str">
        <f>""</f>
        <v/>
      </c>
      <c r="H58" s="1">
        <v>38877</v>
      </c>
      <c r="I58" t="str">
        <f>"PCD00232"</f>
        <v>PCD00232</v>
      </c>
      <c r="J58" t="str">
        <f>"41793"</f>
        <v>41793</v>
      </c>
      <c r="K58" t="str">
        <f>"AS89"</f>
        <v>AS89</v>
      </c>
      <c r="L58" t="s">
        <v>31</v>
      </c>
      <c r="M58" s="3">
        <v>108.39</v>
      </c>
    </row>
    <row r="59" spans="1:13" x14ac:dyDescent="0.25">
      <c r="A59" t="str">
        <f t="shared" si="22"/>
        <v>E111</v>
      </c>
      <c r="B59">
        <v>1</v>
      </c>
      <c r="C59" t="str">
        <f t="shared" si="27"/>
        <v>14185</v>
      </c>
      <c r="D59" t="str">
        <f t="shared" si="28"/>
        <v>5620</v>
      </c>
      <c r="E59" t="str">
        <f t="shared" si="29"/>
        <v>094OMS</v>
      </c>
      <c r="F59" t="str">
        <f>""</f>
        <v/>
      </c>
      <c r="G59" t="str">
        <f>""</f>
        <v/>
      </c>
      <c r="H59" s="1">
        <v>38898</v>
      </c>
      <c r="I59" t="str">
        <f>"PCD00235"</f>
        <v>PCD00235</v>
      </c>
      <c r="J59" t="str">
        <f>"42884"</f>
        <v>42884</v>
      </c>
      <c r="K59" t="str">
        <f>"AS89"</f>
        <v>AS89</v>
      </c>
      <c r="L59" t="s">
        <v>32</v>
      </c>
      <c r="M59" s="3">
        <v>210.23</v>
      </c>
    </row>
    <row r="60" spans="1:13" x14ac:dyDescent="0.25">
      <c r="A60" t="str">
        <f t="shared" si="22"/>
        <v>E111</v>
      </c>
      <c r="B60">
        <v>1</v>
      </c>
      <c r="C60" t="str">
        <f t="shared" ref="C60" si="30">"14676"</f>
        <v>14676</v>
      </c>
      <c r="D60" t="str">
        <f t="shared" ref="D60:D62" si="31">"5620"</f>
        <v>5620</v>
      </c>
      <c r="E60" t="str">
        <f t="shared" ref="E60" si="32">"011EQP"</f>
        <v>011EQP</v>
      </c>
      <c r="F60" t="str">
        <f>""</f>
        <v/>
      </c>
      <c r="G60" t="str">
        <f>""</f>
        <v/>
      </c>
      <c r="H60" s="1">
        <v>38898</v>
      </c>
      <c r="I60" t="str">
        <f>"61794"</f>
        <v>61794</v>
      </c>
      <c r="J60" t="str">
        <f>"F076306"</f>
        <v>F076306</v>
      </c>
      <c r="K60" t="str">
        <f>"INEI"</f>
        <v>INEI</v>
      </c>
      <c r="L60" t="s">
        <v>33</v>
      </c>
      <c r="M60" s="3">
        <v>611.16999999999996</v>
      </c>
    </row>
    <row r="61" spans="1:13" x14ac:dyDescent="0.25">
      <c r="A61" t="str">
        <f t="shared" si="22"/>
        <v>E111</v>
      </c>
      <c r="B61">
        <v>1</v>
      </c>
      <c r="C61" t="str">
        <f t="shared" ref="C61:C62" si="33">"31040"</f>
        <v>31040</v>
      </c>
      <c r="D61" t="str">
        <f t="shared" si="31"/>
        <v>5620</v>
      </c>
      <c r="E61" t="str">
        <f t="shared" ref="E61:E62" si="34">"094OMS"</f>
        <v>094OMS</v>
      </c>
      <c r="F61" t="str">
        <f>""</f>
        <v/>
      </c>
      <c r="G61" t="str">
        <f>""</f>
        <v/>
      </c>
      <c r="H61" s="1">
        <v>38824</v>
      </c>
      <c r="I61" t="str">
        <f>"G0610081"</f>
        <v>G0610081</v>
      </c>
      <c r="J61" t="str">
        <f>""</f>
        <v/>
      </c>
      <c r="K61" t="str">
        <f>"J096"</f>
        <v>J096</v>
      </c>
      <c r="L61" t="s">
        <v>34</v>
      </c>
      <c r="M61" s="3">
        <v>2500</v>
      </c>
    </row>
    <row r="62" spans="1:13" x14ac:dyDescent="0.25">
      <c r="A62" t="str">
        <f t="shared" si="22"/>
        <v>E111</v>
      </c>
      <c r="B62">
        <v>1</v>
      </c>
      <c r="C62" t="str">
        <f t="shared" si="33"/>
        <v>31040</v>
      </c>
      <c r="D62" t="str">
        <f t="shared" si="31"/>
        <v>5620</v>
      </c>
      <c r="E62" t="str">
        <f t="shared" si="34"/>
        <v>094OMS</v>
      </c>
      <c r="F62" t="str">
        <f>""</f>
        <v/>
      </c>
      <c r="G62" t="str">
        <f>""</f>
        <v/>
      </c>
      <c r="H62" s="1">
        <v>38873</v>
      </c>
      <c r="I62" t="str">
        <f>"PCD00231"</f>
        <v>PCD00231</v>
      </c>
      <c r="J62" t="str">
        <f>"41297"</f>
        <v>41297</v>
      </c>
      <c r="K62" t="str">
        <f t="shared" ref="K62" si="35">"AS89"</f>
        <v>AS89</v>
      </c>
      <c r="L62" t="s">
        <v>35</v>
      </c>
      <c r="M62" s="3">
        <v>187.3</v>
      </c>
    </row>
    <row r="63" spans="1:13" x14ac:dyDescent="0.25">
      <c r="A63" t="str">
        <f t="shared" ref="A63:A100" si="36">"E111"</f>
        <v>E111</v>
      </c>
      <c r="B63">
        <v>1</v>
      </c>
      <c r="C63" t="str">
        <f t="shared" ref="C63:C82" si="37">"32040"</f>
        <v>32040</v>
      </c>
      <c r="D63" t="str">
        <f t="shared" ref="D63:D82" si="38">"5610"</f>
        <v>5610</v>
      </c>
      <c r="E63" t="str">
        <f t="shared" ref="E63:E100" si="39">"850LOS"</f>
        <v>850LOS</v>
      </c>
      <c r="F63" t="str">
        <f>""</f>
        <v/>
      </c>
      <c r="G63" t="str">
        <f>""</f>
        <v/>
      </c>
      <c r="H63" s="1">
        <v>38560</v>
      </c>
      <c r="I63" t="str">
        <f>"53794801"</f>
        <v>53794801</v>
      </c>
      <c r="J63" t="str">
        <f>"BP52205I"</f>
        <v>BP52205I</v>
      </c>
      <c r="K63" t="str">
        <f>"INNI"</f>
        <v>INNI</v>
      </c>
      <c r="L63" t="s">
        <v>36</v>
      </c>
      <c r="M63" s="3">
        <v>1696.44</v>
      </c>
    </row>
    <row r="64" spans="1:13" x14ac:dyDescent="0.25">
      <c r="A64" t="str">
        <f t="shared" si="36"/>
        <v>E111</v>
      </c>
      <c r="B64">
        <v>1</v>
      </c>
      <c r="C64" t="str">
        <f t="shared" si="37"/>
        <v>32040</v>
      </c>
      <c r="D64" t="str">
        <f t="shared" si="38"/>
        <v>5610</v>
      </c>
      <c r="E64" t="str">
        <f t="shared" si="39"/>
        <v>850LOS</v>
      </c>
      <c r="F64" t="str">
        <f>""</f>
        <v/>
      </c>
      <c r="G64" t="str">
        <f>""</f>
        <v/>
      </c>
      <c r="H64" s="1">
        <v>38574</v>
      </c>
      <c r="I64" t="str">
        <f>"53416802"</f>
        <v>53416802</v>
      </c>
      <c r="J64" t="str">
        <f>"BP52205I"</f>
        <v>BP52205I</v>
      </c>
      <c r="K64" t="str">
        <f>"INNI"</f>
        <v>INNI</v>
      </c>
      <c r="L64" t="s">
        <v>36</v>
      </c>
      <c r="M64" s="3">
        <v>245.34</v>
      </c>
    </row>
    <row r="65" spans="1:13" x14ac:dyDescent="0.25">
      <c r="A65" t="str">
        <f t="shared" si="36"/>
        <v>E111</v>
      </c>
      <c r="B65">
        <v>1</v>
      </c>
      <c r="C65" t="str">
        <f t="shared" si="37"/>
        <v>32040</v>
      </c>
      <c r="D65" t="str">
        <f t="shared" si="38"/>
        <v>5610</v>
      </c>
      <c r="E65" t="str">
        <f t="shared" si="39"/>
        <v>850LOS</v>
      </c>
      <c r="F65" t="str">
        <f>""</f>
        <v/>
      </c>
      <c r="G65" t="str">
        <f>""</f>
        <v/>
      </c>
      <c r="H65" s="1">
        <v>38587</v>
      </c>
      <c r="I65" t="str">
        <f>"PCD00193"</f>
        <v>PCD00193</v>
      </c>
      <c r="J65" t="str">
        <f>"30582"</f>
        <v>30582</v>
      </c>
      <c r="K65" t="str">
        <f>"AS89"</f>
        <v>AS89</v>
      </c>
      <c r="L65" t="s">
        <v>37</v>
      </c>
      <c r="M65" s="3">
        <v>113.27</v>
      </c>
    </row>
    <row r="66" spans="1:13" x14ac:dyDescent="0.25">
      <c r="A66" t="str">
        <f t="shared" si="36"/>
        <v>E111</v>
      </c>
      <c r="B66">
        <v>1</v>
      </c>
      <c r="C66" t="str">
        <f t="shared" si="37"/>
        <v>32040</v>
      </c>
      <c r="D66" t="str">
        <f t="shared" si="38"/>
        <v>5610</v>
      </c>
      <c r="E66" t="str">
        <f t="shared" si="39"/>
        <v>850LOS</v>
      </c>
      <c r="F66" t="str">
        <f>""</f>
        <v/>
      </c>
      <c r="G66" t="str">
        <f>""</f>
        <v/>
      </c>
      <c r="H66" s="1">
        <v>38594</v>
      </c>
      <c r="I66" t="str">
        <f>"54213905"</f>
        <v>54213905</v>
      </c>
      <c r="J66" t="str">
        <f t="shared" ref="J66:J69" si="40">"BP52205I"</f>
        <v>BP52205I</v>
      </c>
      <c r="K66" t="str">
        <f t="shared" ref="K66:K69" si="41">"INNI"</f>
        <v>INNI</v>
      </c>
      <c r="L66" t="s">
        <v>36</v>
      </c>
      <c r="M66" s="3">
        <v>522.32000000000005</v>
      </c>
    </row>
    <row r="67" spans="1:13" x14ac:dyDescent="0.25">
      <c r="A67" t="str">
        <f t="shared" si="36"/>
        <v>E111</v>
      </c>
      <c r="B67">
        <v>1</v>
      </c>
      <c r="C67" t="str">
        <f t="shared" si="37"/>
        <v>32040</v>
      </c>
      <c r="D67" t="str">
        <f t="shared" si="38"/>
        <v>5610</v>
      </c>
      <c r="E67" t="str">
        <f t="shared" si="39"/>
        <v>850LOS</v>
      </c>
      <c r="F67" t="str">
        <f>""</f>
        <v/>
      </c>
      <c r="G67" t="str">
        <f>""</f>
        <v/>
      </c>
      <c r="H67" s="1">
        <v>38594</v>
      </c>
      <c r="I67" t="str">
        <f>"54213902"</f>
        <v>54213902</v>
      </c>
      <c r="J67" t="str">
        <f t="shared" si="40"/>
        <v>BP52205I</v>
      </c>
      <c r="K67" t="str">
        <f t="shared" si="41"/>
        <v>INNI</v>
      </c>
      <c r="L67" t="s">
        <v>36</v>
      </c>
      <c r="M67" s="3">
        <v>287.18</v>
      </c>
    </row>
    <row r="68" spans="1:13" x14ac:dyDescent="0.25">
      <c r="A68" t="str">
        <f t="shared" si="36"/>
        <v>E111</v>
      </c>
      <c r="B68">
        <v>1</v>
      </c>
      <c r="C68" t="str">
        <f t="shared" si="37"/>
        <v>32040</v>
      </c>
      <c r="D68" t="str">
        <f t="shared" si="38"/>
        <v>5610</v>
      </c>
      <c r="E68" t="str">
        <f t="shared" si="39"/>
        <v>850LOS</v>
      </c>
      <c r="F68" t="str">
        <f>""</f>
        <v/>
      </c>
      <c r="G68" t="str">
        <f>""</f>
        <v/>
      </c>
      <c r="H68" s="1">
        <v>38594</v>
      </c>
      <c r="I68" t="str">
        <f>"54213901"</f>
        <v>54213901</v>
      </c>
      <c r="J68" t="str">
        <f t="shared" si="40"/>
        <v>BP52205I</v>
      </c>
      <c r="K68" t="str">
        <f t="shared" si="41"/>
        <v>INNI</v>
      </c>
      <c r="L68" t="s">
        <v>36</v>
      </c>
      <c r="M68" s="3">
        <v>162.81</v>
      </c>
    </row>
    <row r="69" spans="1:13" x14ac:dyDescent="0.25">
      <c r="A69" t="str">
        <f t="shared" si="36"/>
        <v>E111</v>
      </c>
      <c r="B69">
        <v>1</v>
      </c>
      <c r="C69" t="str">
        <f t="shared" si="37"/>
        <v>32040</v>
      </c>
      <c r="D69" t="str">
        <f t="shared" si="38"/>
        <v>5610</v>
      </c>
      <c r="E69" t="str">
        <f t="shared" si="39"/>
        <v>850LOS</v>
      </c>
      <c r="F69" t="str">
        <f>""</f>
        <v/>
      </c>
      <c r="G69" t="str">
        <f>""</f>
        <v/>
      </c>
      <c r="H69" s="1">
        <v>38594</v>
      </c>
      <c r="I69" t="str">
        <f>"54213907"</f>
        <v>54213907</v>
      </c>
      <c r="J69" t="str">
        <f t="shared" si="40"/>
        <v>BP52205I</v>
      </c>
      <c r="K69" t="str">
        <f t="shared" si="41"/>
        <v>INNI</v>
      </c>
      <c r="L69" t="s">
        <v>36</v>
      </c>
      <c r="M69" s="3">
        <v>145.56</v>
      </c>
    </row>
    <row r="70" spans="1:13" x14ac:dyDescent="0.25">
      <c r="A70" t="str">
        <f t="shared" si="36"/>
        <v>E111</v>
      </c>
      <c r="B70">
        <v>1</v>
      </c>
      <c r="C70" t="str">
        <f t="shared" si="37"/>
        <v>32040</v>
      </c>
      <c r="D70" t="str">
        <f t="shared" si="38"/>
        <v>5610</v>
      </c>
      <c r="E70" t="str">
        <f t="shared" si="39"/>
        <v>850LOS</v>
      </c>
      <c r="F70" t="str">
        <f>""</f>
        <v/>
      </c>
      <c r="G70" t="str">
        <f>""</f>
        <v/>
      </c>
      <c r="H70" s="1">
        <v>38604</v>
      </c>
      <c r="I70" t="str">
        <f>"PCD00196"</f>
        <v>PCD00196</v>
      </c>
      <c r="J70" t="str">
        <f>"30653"</f>
        <v>30653</v>
      </c>
      <c r="K70" t="str">
        <f>"AS89"</f>
        <v>AS89</v>
      </c>
      <c r="L70" t="s">
        <v>38</v>
      </c>
      <c r="M70" s="3">
        <v>215.2</v>
      </c>
    </row>
    <row r="71" spans="1:13" x14ac:dyDescent="0.25">
      <c r="A71" t="str">
        <f t="shared" si="36"/>
        <v>E111</v>
      </c>
      <c r="B71">
        <v>1</v>
      </c>
      <c r="C71" t="str">
        <f t="shared" si="37"/>
        <v>32040</v>
      </c>
      <c r="D71" t="str">
        <f t="shared" si="38"/>
        <v>5610</v>
      </c>
      <c r="E71" t="str">
        <f t="shared" si="39"/>
        <v>850LOS</v>
      </c>
      <c r="F71" t="str">
        <f>""</f>
        <v/>
      </c>
      <c r="G71" t="str">
        <f>""</f>
        <v/>
      </c>
      <c r="H71" s="1">
        <v>38621</v>
      </c>
      <c r="I71" t="str">
        <f>"54444803"</f>
        <v>54444803</v>
      </c>
      <c r="J71" t="str">
        <f t="shared" ref="J71:J81" si="42">"BP52205J"</f>
        <v>BP52205J</v>
      </c>
      <c r="K71" t="str">
        <f t="shared" ref="K71:K81" si="43">"INNI"</f>
        <v>INNI</v>
      </c>
      <c r="L71" t="s">
        <v>36</v>
      </c>
      <c r="M71" s="3">
        <v>297.13</v>
      </c>
    </row>
    <row r="72" spans="1:13" x14ac:dyDescent="0.25">
      <c r="A72" t="str">
        <f t="shared" si="36"/>
        <v>E111</v>
      </c>
      <c r="B72">
        <v>1</v>
      </c>
      <c r="C72" t="str">
        <f t="shared" si="37"/>
        <v>32040</v>
      </c>
      <c r="D72" t="str">
        <f t="shared" si="38"/>
        <v>5610</v>
      </c>
      <c r="E72" t="str">
        <f t="shared" si="39"/>
        <v>850LOS</v>
      </c>
      <c r="F72" t="str">
        <f>""</f>
        <v/>
      </c>
      <c r="G72" t="str">
        <f>""</f>
        <v/>
      </c>
      <c r="H72" s="1">
        <v>38623</v>
      </c>
      <c r="I72" t="str">
        <f>"54629701"</f>
        <v>54629701</v>
      </c>
      <c r="J72" t="str">
        <f t="shared" si="42"/>
        <v>BP52205J</v>
      </c>
      <c r="K72" t="str">
        <f t="shared" si="43"/>
        <v>INNI</v>
      </c>
      <c r="L72" t="s">
        <v>36</v>
      </c>
      <c r="M72" s="3">
        <v>415.62</v>
      </c>
    </row>
    <row r="73" spans="1:13" x14ac:dyDescent="0.25">
      <c r="A73" t="str">
        <f t="shared" si="36"/>
        <v>E111</v>
      </c>
      <c r="B73">
        <v>1</v>
      </c>
      <c r="C73" t="str">
        <f t="shared" si="37"/>
        <v>32040</v>
      </c>
      <c r="D73" t="str">
        <f t="shared" si="38"/>
        <v>5610</v>
      </c>
      <c r="E73" t="str">
        <f t="shared" si="39"/>
        <v>850LOS</v>
      </c>
      <c r="F73" t="str">
        <f>""</f>
        <v/>
      </c>
      <c r="G73" t="str">
        <f>""</f>
        <v/>
      </c>
      <c r="H73" s="1">
        <v>38623</v>
      </c>
      <c r="I73" t="str">
        <f>"54444801"</f>
        <v>54444801</v>
      </c>
      <c r="J73" t="str">
        <f t="shared" si="42"/>
        <v>BP52205J</v>
      </c>
      <c r="K73" t="str">
        <f t="shared" si="43"/>
        <v>INNI</v>
      </c>
      <c r="L73" t="s">
        <v>36</v>
      </c>
      <c r="M73" s="3">
        <v>206.39</v>
      </c>
    </row>
    <row r="74" spans="1:13" x14ac:dyDescent="0.25">
      <c r="A74" t="str">
        <f t="shared" si="36"/>
        <v>E111</v>
      </c>
      <c r="B74">
        <v>1</v>
      </c>
      <c r="C74" t="str">
        <f t="shared" si="37"/>
        <v>32040</v>
      </c>
      <c r="D74" t="str">
        <f t="shared" si="38"/>
        <v>5610</v>
      </c>
      <c r="E74" t="str">
        <f t="shared" si="39"/>
        <v>850LOS</v>
      </c>
      <c r="F74" t="str">
        <f>""</f>
        <v/>
      </c>
      <c r="G74" t="str">
        <f>""</f>
        <v/>
      </c>
      <c r="H74" s="1">
        <v>38623</v>
      </c>
      <c r="I74" t="str">
        <f>"53981401"</f>
        <v>53981401</v>
      </c>
      <c r="J74" t="str">
        <f t="shared" si="42"/>
        <v>BP52205J</v>
      </c>
      <c r="K74" t="str">
        <f t="shared" si="43"/>
        <v>INNI</v>
      </c>
      <c r="L74" t="s">
        <v>36</v>
      </c>
      <c r="M74" s="3">
        <v>6319.75</v>
      </c>
    </row>
    <row r="75" spans="1:13" x14ac:dyDescent="0.25">
      <c r="A75" t="str">
        <f t="shared" si="36"/>
        <v>E111</v>
      </c>
      <c r="B75">
        <v>1</v>
      </c>
      <c r="C75" t="str">
        <f t="shared" si="37"/>
        <v>32040</v>
      </c>
      <c r="D75" t="str">
        <f t="shared" si="38"/>
        <v>5610</v>
      </c>
      <c r="E75" t="str">
        <f t="shared" si="39"/>
        <v>850LOS</v>
      </c>
      <c r="F75" t="str">
        <f>""</f>
        <v/>
      </c>
      <c r="G75" t="str">
        <f>""</f>
        <v/>
      </c>
      <c r="H75" s="1">
        <v>38623</v>
      </c>
      <c r="I75" t="str">
        <f>"54444802"</f>
        <v>54444802</v>
      </c>
      <c r="J75" t="str">
        <f t="shared" si="42"/>
        <v>BP52205J</v>
      </c>
      <c r="K75" t="str">
        <f t="shared" si="43"/>
        <v>INNI</v>
      </c>
      <c r="L75" t="s">
        <v>36</v>
      </c>
      <c r="M75" s="3">
        <v>1102.51</v>
      </c>
    </row>
    <row r="76" spans="1:13" x14ac:dyDescent="0.25">
      <c r="A76" t="str">
        <f t="shared" si="36"/>
        <v>E111</v>
      </c>
      <c r="B76">
        <v>1</v>
      </c>
      <c r="C76" t="str">
        <f t="shared" si="37"/>
        <v>32040</v>
      </c>
      <c r="D76" t="str">
        <f t="shared" si="38"/>
        <v>5610</v>
      </c>
      <c r="E76" t="str">
        <f t="shared" si="39"/>
        <v>850LOS</v>
      </c>
      <c r="F76" t="str">
        <f>""</f>
        <v/>
      </c>
      <c r="G76" t="str">
        <f>""</f>
        <v/>
      </c>
      <c r="H76" s="1">
        <v>38623</v>
      </c>
      <c r="I76" t="str">
        <f>"54561901"</f>
        <v>54561901</v>
      </c>
      <c r="J76" t="str">
        <f t="shared" si="42"/>
        <v>BP52205J</v>
      </c>
      <c r="K76" t="str">
        <f t="shared" si="43"/>
        <v>INNI</v>
      </c>
      <c r="L76" t="s">
        <v>36</v>
      </c>
      <c r="M76" s="3">
        <v>1979.4</v>
      </c>
    </row>
    <row r="77" spans="1:13" x14ac:dyDescent="0.25">
      <c r="A77" t="str">
        <f t="shared" si="36"/>
        <v>E111</v>
      </c>
      <c r="B77">
        <v>1</v>
      </c>
      <c r="C77" t="str">
        <f t="shared" si="37"/>
        <v>32040</v>
      </c>
      <c r="D77" t="str">
        <f t="shared" si="38"/>
        <v>5610</v>
      </c>
      <c r="E77" t="str">
        <f t="shared" si="39"/>
        <v>850LOS</v>
      </c>
      <c r="F77" t="str">
        <f>""</f>
        <v/>
      </c>
      <c r="G77" t="str">
        <f>""</f>
        <v/>
      </c>
      <c r="H77" s="1">
        <v>38625</v>
      </c>
      <c r="I77" t="str">
        <f>"54266901"</f>
        <v>54266901</v>
      </c>
      <c r="J77" t="str">
        <f t="shared" si="42"/>
        <v>BP52205J</v>
      </c>
      <c r="K77" t="str">
        <f t="shared" si="43"/>
        <v>INNI</v>
      </c>
      <c r="L77" t="s">
        <v>36</v>
      </c>
      <c r="M77" s="3">
        <v>416.75</v>
      </c>
    </row>
    <row r="78" spans="1:13" x14ac:dyDescent="0.25">
      <c r="A78" t="str">
        <f t="shared" si="36"/>
        <v>E111</v>
      </c>
      <c r="B78">
        <v>1</v>
      </c>
      <c r="C78" t="str">
        <f t="shared" si="37"/>
        <v>32040</v>
      </c>
      <c r="D78" t="str">
        <f t="shared" si="38"/>
        <v>5610</v>
      </c>
      <c r="E78" t="str">
        <f t="shared" si="39"/>
        <v>850LOS</v>
      </c>
      <c r="F78" t="str">
        <f>""</f>
        <v/>
      </c>
      <c r="G78" t="str">
        <f>""</f>
        <v/>
      </c>
      <c r="H78" s="1">
        <v>38625</v>
      </c>
      <c r="I78" t="str">
        <f>"54629702"</f>
        <v>54629702</v>
      </c>
      <c r="J78" t="str">
        <f t="shared" si="42"/>
        <v>BP52205J</v>
      </c>
      <c r="K78" t="str">
        <f t="shared" si="43"/>
        <v>INNI</v>
      </c>
      <c r="L78" t="s">
        <v>36</v>
      </c>
      <c r="M78" s="3">
        <v>746.09</v>
      </c>
    </row>
    <row r="79" spans="1:13" x14ac:dyDescent="0.25">
      <c r="A79" t="str">
        <f t="shared" si="36"/>
        <v>E111</v>
      </c>
      <c r="B79">
        <v>1</v>
      </c>
      <c r="C79" t="str">
        <f t="shared" si="37"/>
        <v>32040</v>
      </c>
      <c r="D79" t="str">
        <f t="shared" si="38"/>
        <v>5610</v>
      </c>
      <c r="E79" t="str">
        <f t="shared" si="39"/>
        <v>850LOS</v>
      </c>
      <c r="F79" t="str">
        <f>""</f>
        <v/>
      </c>
      <c r="G79" t="str">
        <f>""</f>
        <v/>
      </c>
      <c r="H79" s="1">
        <v>38625</v>
      </c>
      <c r="I79" t="str">
        <f>"54384201"</f>
        <v>54384201</v>
      </c>
      <c r="J79" t="str">
        <f t="shared" si="42"/>
        <v>BP52205J</v>
      </c>
      <c r="K79" t="str">
        <f t="shared" si="43"/>
        <v>INNI</v>
      </c>
      <c r="L79" t="s">
        <v>36</v>
      </c>
      <c r="M79" s="3">
        <v>565.48</v>
      </c>
    </row>
    <row r="80" spans="1:13" x14ac:dyDescent="0.25">
      <c r="A80" t="str">
        <f t="shared" si="36"/>
        <v>E111</v>
      </c>
      <c r="B80">
        <v>1</v>
      </c>
      <c r="C80" t="str">
        <f t="shared" si="37"/>
        <v>32040</v>
      </c>
      <c r="D80" t="str">
        <f t="shared" si="38"/>
        <v>5610</v>
      </c>
      <c r="E80" t="str">
        <f t="shared" si="39"/>
        <v>850LOS</v>
      </c>
      <c r="F80" t="str">
        <f>""</f>
        <v/>
      </c>
      <c r="G80" t="str">
        <f>""</f>
        <v/>
      </c>
      <c r="H80" s="1">
        <v>38625</v>
      </c>
      <c r="I80" t="str">
        <f>"54213908"</f>
        <v>54213908</v>
      </c>
      <c r="J80" t="str">
        <f t="shared" si="42"/>
        <v>BP52205J</v>
      </c>
      <c r="K80" t="str">
        <f t="shared" si="43"/>
        <v>INNI</v>
      </c>
      <c r="L80" t="s">
        <v>36</v>
      </c>
      <c r="M80" s="3">
        <v>244.22</v>
      </c>
    </row>
    <row r="81" spans="1:13" x14ac:dyDescent="0.25">
      <c r="A81" t="str">
        <f t="shared" si="36"/>
        <v>E111</v>
      </c>
      <c r="B81">
        <v>1</v>
      </c>
      <c r="C81" t="str">
        <f t="shared" si="37"/>
        <v>32040</v>
      </c>
      <c r="D81" t="str">
        <f t="shared" si="38"/>
        <v>5610</v>
      </c>
      <c r="E81" t="str">
        <f t="shared" si="39"/>
        <v>850LOS</v>
      </c>
      <c r="F81" t="str">
        <f>""</f>
        <v/>
      </c>
      <c r="G81" t="str">
        <f>""</f>
        <v/>
      </c>
      <c r="H81" s="1">
        <v>38625</v>
      </c>
      <c r="I81" t="str">
        <f>"53817201"</f>
        <v>53817201</v>
      </c>
      <c r="J81" t="str">
        <f t="shared" si="42"/>
        <v>BP52205J</v>
      </c>
      <c r="K81" t="str">
        <f t="shared" si="43"/>
        <v>INNI</v>
      </c>
      <c r="L81" t="s">
        <v>36</v>
      </c>
      <c r="M81" s="3">
        <v>565.48</v>
      </c>
    </row>
    <row r="82" spans="1:13" x14ac:dyDescent="0.25">
      <c r="A82" t="str">
        <f t="shared" si="36"/>
        <v>E111</v>
      </c>
      <c r="B82">
        <v>1</v>
      </c>
      <c r="C82" t="str">
        <f t="shared" si="37"/>
        <v>32040</v>
      </c>
      <c r="D82" t="str">
        <f t="shared" si="38"/>
        <v>5610</v>
      </c>
      <c r="E82" t="str">
        <f t="shared" si="39"/>
        <v>850LOS</v>
      </c>
      <c r="F82" t="str">
        <f>""</f>
        <v/>
      </c>
      <c r="G82" t="str">
        <f>""</f>
        <v/>
      </c>
      <c r="H82" s="1">
        <v>38630</v>
      </c>
      <c r="I82" t="str">
        <f>"1291H"</f>
        <v>1291H</v>
      </c>
      <c r="J82" t="str">
        <f>"D076328"</f>
        <v>D076328</v>
      </c>
      <c r="K82" t="str">
        <f>"INEI"</f>
        <v>INEI</v>
      </c>
      <c r="L82" t="s">
        <v>39</v>
      </c>
      <c r="M82" s="3">
        <v>798.13</v>
      </c>
    </row>
    <row r="83" spans="1:13" x14ac:dyDescent="0.25">
      <c r="A83" t="str">
        <f t="shared" si="36"/>
        <v>E111</v>
      </c>
      <c r="B83">
        <v>1</v>
      </c>
      <c r="C83" t="str">
        <f t="shared" ref="C83:C100" si="44">"32040"</f>
        <v>32040</v>
      </c>
      <c r="D83" t="str">
        <f t="shared" ref="D83:D100" si="45">"5610"</f>
        <v>5610</v>
      </c>
      <c r="E83" t="str">
        <f t="shared" si="39"/>
        <v>850LOS</v>
      </c>
      <c r="F83" t="str">
        <f>""</f>
        <v/>
      </c>
      <c r="G83" t="str">
        <f>""</f>
        <v/>
      </c>
      <c r="H83" s="1">
        <v>38639</v>
      </c>
      <c r="I83" t="str">
        <f>"U0025387"</f>
        <v>U0025387</v>
      </c>
      <c r="J83" t="str">
        <f>""</f>
        <v/>
      </c>
      <c r="K83" t="str">
        <f>"ISSU"</f>
        <v>ISSU</v>
      </c>
      <c r="L83" t="s">
        <v>15</v>
      </c>
      <c r="M83" s="3">
        <v>119.39</v>
      </c>
    </row>
    <row r="84" spans="1:13" x14ac:dyDescent="0.25">
      <c r="A84" t="str">
        <f t="shared" si="36"/>
        <v>E111</v>
      </c>
      <c r="B84">
        <v>1</v>
      </c>
      <c r="C84" t="str">
        <f t="shared" si="44"/>
        <v>32040</v>
      </c>
      <c r="D84" t="str">
        <f t="shared" si="45"/>
        <v>5610</v>
      </c>
      <c r="E84" t="str">
        <f t="shared" si="39"/>
        <v>850LOS</v>
      </c>
      <c r="F84" t="str">
        <f>""</f>
        <v/>
      </c>
      <c r="G84" t="str">
        <f>""</f>
        <v/>
      </c>
      <c r="H84" s="1">
        <v>38646</v>
      </c>
      <c r="I84" t="str">
        <f>"54213909"</f>
        <v>54213909</v>
      </c>
      <c r="J84" t="str">
        <f t="shared" ref="J84:J89" si="46">"BP52205J"</f>
        <v>BP52205J</v>
      </c>
      <c r="K84" t="str">
        <f t="shared" ref="K84:K89" si="47">"INNI"</f>
        <v>INNI</v>
      </c>
      <c r="L84" t="s">
        <v>36</v>
      </c>
      <c r="M84" s="3">
        <v>450.18</v>
      </c>
    </row>
    <row r="85" spans="1:13" x14ac:dyDescent="0.25">
      <c r="A85" t="str">
        <f t="shared" si="36"/>
        <v>E111</v>
      </c>
      <c r="B85">
        <v>1</v>
      </c>
      <c r="C85" t="str">
        <f t="shared" si="44"/>
        <v>32040</v>
      </c>
      <c r="D85" t="str">
        <f t="shared" si="45"/>
        <v>5610</v>
      </c>
      <c r="E85" t="str">
        <f t="shared" si="39"/>
        <v>850LOS</v>
      </c>
      <c r="F85" t="str">
        <f>""</f>
        <v/>
      </c>
      <c r="G85" t="str">
        <f>""</f>
        <v/>
      </c>
      <c r="H85" s="1">
        <v>38646</v>
      </c>
      <c r="I85" t="str">
        <f>"54444804"</f>
        <v>54444804</v>
      </c>
      <c r="J85" t="str">
        <f t="shared" si="46"/>
        <v>BP52205J</v>
      </c>
      <c r="K85" t="str">
        <f t="shared" si="47"/>
        <v>INNI</v>
      </c>
      <c r="L85" t="s">
        <v>36</v>
      </c>
      <c r="M85" s="3">
        <v>371.89</v>
      </c>
    </row>
    <row r="86" spans="1:13" x14ac:dyDescent="0.25">
      <c r="A86" t="str">
        <f t="shared" si="36"/>
        <v>E111</v>
      </c>
      <c r="B86">
        <v>1</v>
      </c>
      <c r="C86" t="str">
        <f t="shared" si="44"/>
        <v>32040</v>
      </c>
      <c r="D86" t="str">
        <f t="shared" si="45"/>
        <v>5610</v>
      </c>
      <c r="E86" t="str">
        <f t="shared" si="39"/>
        <v>850LOS</v>
      </c>
      <c r="F86" t="str">
        <f>""</f>
        <v/>
      </c>
      <c r="G86" t="str">
        <f>""</f>
        <v/>
      </c>
      <c r="H86" s="1">
        <v>38646</v>
      </c>
      <c r="I86" t="str">
        <f>"54654401"</f>
        <v>54654401</v>
      </c>
      <c r="J86" t="str">
        <f t="shared" si="46"/>
        <v>BP52205J</v>
      </c>
      <c r="K86" t="str">
        <f t="shared" si="47"/>
        <v>INNI</v>
      </c>
      <c r="L86" t="s">
        <v>36</v>
      </c>
      <c r="M86" s="3">
        <v>188.5</v>
      </c>
    </row>
    <row r="87" spans="1:13" x14ac:dyDescent="0.25">
      <c r="A87" t="str">
        <f t="shared" si="36"/>
        <v>E111</v>
      </c>
      <c r="B87">
        <v>1</v>
      </c>
      <c r="C87" t="str">
        <f t="shared" si="44"/>
        <v>32040</v>
      </c>
      <c r="D87" t="str">
        <f t="shared" si="45"/>
        <v>5610</v>
      </c>
      <c r="E87" t="str">
        <f t="shared" si="39"/>
        <v>850LOS</v>
      </c>
      <c r="F87" t="str">
        <f>""</f>
        <v/>
      </c>
      <c r="G87" t="str">
        <f>""</f>
        <v/>
      </c>
      <c r="H87" s="1">
        <v>38646</v>
      </c>
      <c r="I87" t="str">
        <f>"54629703"</f>
        <v>54629703</v>
      </c>
      <c r="J87" t="str">
        <f t="shared" si="46"/>
        <v>BP52205J</v>
      </c>
      <c r="K87" t="str">
        <f t="shared" si="47"/>
        <v>INNI</v>
      </c>
      <c r="L87" t="s">
        <v>36</v>
      </c>
      <c r="M87" s="3">
        <v>433.54</v>
      </c>
    </row>
    <row r="88" spans="1:13" x14ac:dyDescent="0.25">
      <c r="A88" t="str">
        <f t="shared" si="36"/>
        <v>E111</v>
      </c>
      <c r="B88">
        <v>1</v>
      </c>
      <c r="C88" t="str">
        <f t="shared" si="44"/>
        <v>32040</v>
      </c>
      <c r="D88" t="str">
        <f t="shared" si="45"/>
        <v>5610</v>
      </c>
      <c r="E88" t="str">
        <f t="shared" si="39"/>
        <v>850LOS</v>
      </c>
      <c r="F88" t="str">
        <f>""</f>
        <v/>
      </c>
      <c r="G88" t="str">
        <f>""</f>
        <v/>
      </c>
      <c r="H88" s="1">
        <v>38646</v>
      </c>
      <c r="I88" t="str">
        <f>"55051001"</f>
        <v>55051001</v>
      </c>
      <c r="J88" t="str">
        <f t="shared" si="46"/>
        <v>BP52205J</v>
      </c>
      <c r="K88" t="str">
        <f t="shared" si="47"/>
        <v>INNI</v>
      </c>
      <c r="L88" t="s">
        <v>36</v>
      </c>
      <c r="M88" s="3">
        <v>150.41999999999999</v>
      </c>
    </row>
    <row r="89" spans="1:13" x14ac:dyDescent="0.25">
      <c r="A89" t="str">
        <f t="shared" si="36"/>
        <v>E111</v>
      </c>
      <c r="B89">
        <v>1</v>
      </c>
      <c r="C89" t="str">
        <f t="shared" si="44"/>
        <v>32040</v>
      </c>
      <c r="D89" t="str">
        <f t="shared" si="45"/>
        <v>5610</v>
      </c>
      <c r="E89" t="str">
        <f t="shared" si="39"/>
        <v>850LOS</v>
      </c>
      <c r="F89" t="str">
        <f>""</f>
        <v/>
      </c>
      <c r="G89" t="str">
        <f>""</f>
        <v/>
      </c>
      <c r="H89" s="1">
        <v>38646</v>
      </c>
      <c r="I89" t="str">
        <f>"54663201"</f>
        <v>54663201</v>
      </c>
      <c r="J89" t="str">
        <f t="shared" si="46"/>
        <v>BP52205J</v>
      </c>
      <c r="K89" t="str">
        <f t="shared" si="47"/>
        <v>INNI</v>
      </c>
      <c r="L89" t="s">
        <v>36</v>
      </c>
      <c r="M89" s="3">
        <v>7882.39</v>
      </c>
    </row>
    <row r="90" spans="1:13" x14ac:dyDescent="0.25">
      <c r="A90" t="str">
        <f t="shared" si="36"/>
        <v>E111</v>
      </c>
      <c r="B90">
        <v>1</v>
      </c>
      <c r="C90" t="str">
        <f t="shared" si="44"/>
        <v>32040</v>
      </c>
      <c r="D90" t="str">
        <f t="shared" si="45"/>
        <v>5610</v>
      </c>
      <c r="E90" t="str">
        <f t="shared" si="39"/>
        <v>850LOS</v>
      </c>
      <c r="F90" t="str">
        <f>""</f>
        <v/>
      </c>
      <c r="G90" t="str">
        <f>""</f>
        <v/>
      </c>
      <c r="H90" s="1">
        <v>38657</v>
      </c>
      <c r="I90" t="str">
        <f>"1292G"</f>
        <v>1292G</v>
      </c>
      <c r="J90" t="str">
        <f>"D076329"</f>
        <v>D076329</v>
      </c>
      <c r="K90" t="str">
        <f>"INEI"</f>
        <v>INEI</v>
      </c>
      <c r="L90" t="s">
        <v>39</v>
      </c>
      <c r="M90" s="3">
        <v>809.6</v>
      </c>
    </row>
    <row r="91" spans="1:13" x14ac:dyDescent="0.25">
      <c r="A91" t="str">
        <f t="shared" si="36"/>
        <v>E111</v>
      </c>
      <c r="B91">
        <v>1</v>
      </c>
      <c r="C91" t="str">
        <f t="shared" si="44"/>
        <v>32040</v>
      </c>
      <c r="D91" t="str">
        <f t="shared" si="45"/>
        <v>5610</v>
      </c>
      <c r="E91" t="str">
        <f t="shared" si="39"/>
        <v>850LOS</v>
      </c>
      <c r="F91" t="str">
        <f>""</f>
        <v/>
      </c>
      <c r="G91" t="str">
        <f>""</f>
        <v/>
      </c>
      <c r="H91" s="1">
        <v>38660</v>
      </c>
      <c r="I91" t="str">
        <f>"54654201"</f>
        <v>54654201</v>
      </c>
      <c r="J91" t="str">
        <f>"BP52205J"</f>
        <v>BP52205J</v>
      </c>
      <c r="K91" t="str">
        <f>"INNI"</f>
        <v>INNI</v>
      </c>
      <c r="L91" t="s">
        <v>36</v>
      </c>
      <c r="M91" s="3">
        <v>651.45000000000005</v>
      </c>
    </row>
    <row r="92" spans="1:13" x14ac:dyDescent="0.25">
      <c r="A92" t="str">
        <f t="shared" si="36"/>
        <v>E111</v>
      </c>
      <c r="B92">
        <v>1</v>
      </c>
      <c r="C92" t="str">
        <f t="shared" si="44"/>
        <v>32040</v>
      </c>
      <c r="D92" t="str">
        <f t="shared" si="45"/>
        <v>5610</v>
      </c>
      <c r="E92" t="str">
        <f t="shared" si="39"/>
        <v>850LOS</v>
      </c>
      <c r="F92" t="str">
        <f>""</f>
        <v/>
      </c>
      <c r="G92" t="str">
        <f>""</f>
        <v/>
      </c>
      <c r="H92" s="1">
        <v>38660</v>
      </c>
      <c r="I92" t="str">
        <f>"55051002"</f>
        <v>55051002</v>
      </c>
      <c r="J92" t="str">
        <f>"BP52205J"</f>
        <v>BP52205J</v>
      </c>
      <c r="K92" t="str">
        <f>"INNI"</f>
        <v>INNI</v>
      </c>
      <c r="L92" t="s">
        <v>36</v>
      </c>
      <c r="M92" s="3">
        <v>287.02</v>
      </c>
    </row>
    <row r="93" spans="1:13" x14ac:dyDescent="0.25">
      <c r="A93" t="str">
        <f t="shared" si="36"/>
        <v>E111</v>
      </c>
      <c r="B93">
        <v>1</v>
      </c>
      <c r="C93" t="str">
        <f t="shared" si="44"/>
        <v>32040</v>
      </c>
      <c r="D93" t="str">
        <f t="shared" si="45"/>
        <v>5610</v>
      </c>
      <c r="E93" t="str">
        <f t="shared" si="39"/>
        <v>850LOS</v>
      </c>
      <c r="F93" t="str">
        <f>""</f>
        <v/>
      </c>
      <c r="G93" t="str">
        <f>""</f>
        <v/>
      </c>
      <c r="H93" s="1">
        <v>38663</v>
      </c>
      <c r="I93" t="str">
        <f>"PCD00206"</f>
        <v>PCD00206</v>
      </c>
      <c r="J93" t="str">
        <f>"32936"</f>
        <v>32936</v>
      </c>
      <c r="K93" t="str">
        <f>"AS89"</f>
        <v>AS89</v>
      </c>
      <c r="L93" t="s">
        <v>40</v>
      </c>
      <c r="M93" s="3">
        <v>330.21</v>
      </c>
    </row>
    <row r="94" spans="1:13" x14ac:dyDescent="0.25">
      <c r="A94" t="str">
        <f t="shared" si="36"/>
        <v>E111</v>
      </c>
      <c r="B94">
        <v>1</v>
      </c>
      <c r="C94" t="str">
        <f t="shared" si="44"/>
        <v>32040</v>
      </c>
      <c r="D94" t="str">
        <f t="shared" si="45"/>
        <v>5610</v>
      </c>
      <c r="E94" t="str">
        <f t="shared" si="39"/>
        <v>850LOS</v>
      </c>
      <c r="F94" t="str">
        <f>""</f>
        <v/>
      </c>
      <c r="G94" t="str">
        <f>""</f>
        <v/>
      </c>
      <c r="H94" s="1">
        <v>38700</v>
      </c>
      <c r="I94" t="str">
        <f>"55599701"</f>
        <v>55599701</v>
      </c>
      <c r="J94" t="str">
        <f>"BP52205J"</f>
        <v>BP52205J</v>
      </c>
      <c r="K94" t="str">
        <f>"INNI"</f>
        <v>INNI</v>
      </c>
      <c r="L94" t="s">
        <v>36</v>
      </c>
      <c r="M94" s="3">
        <v>243.04</v>
      </c>
    </row>
    <row r="95" spans="1:13" x14ac:dyDescent="0.25">
      <c r="A95" t="str">
        <f t="shared" si="36"/>
        <v>E111</v>
      </c>
      <c r="B95">
        <v>1</v>
      </c>
      <c r="C95" t="str">
        <f t="shared" si="44"/>
        <v>32040</v>
      </c>
      <c r="D95" t="str">
        <f t="shared" si="45"/>
        <v>5610</v>
      </c>
      <c r="E95" t="str">
        <f t="shared" si="39"/>
        <v>850LOS</v>
      </c>
      <c r="F95" t="str">
        <f>""</f>
        <v/>
      </c>
      <c r="G95" t="str">
        <f>""</f>
        <v/>
      </c>
      <c r="H95" s="1">
        <v>38700</v>
      </c>
      <c r="I95" t="str">
        <f>"55385101"</f>
        <v>55385101</v>
      </c>
      <c r="J95" t="str">
        <f>"BP52205J"</f>
        <v>BP52205J</v>
      </c>
      <c r="K95" t="str">
        <f>"INNI"</f>
        <v>INNI</v>
      </c>
      <c r="L95" t="s">
        <v>36</v>
      </c>
      <c r="M95" s="3">
        <v>625.17999999999995</v>
      </c>
    </row>
    <row r="96" spans="1:13" x14ac:dyDescent="0.25">
      <c r="A96" t="str">
        <f t="shared" si="36"/>
        <v>E111</v>
      </c>
      <c r="B96">
        <v>1</v>
      </c>
      <c r="C96" t="str">
        <f t="shared" si="44"/>
        <v>32040</v>
      </c>
      <c r="D96" t="str">
        <f t="shared" si="45"/>
        <v>5610</v>
      </c>
      <c r="E96" t="str">
        <f t="shared" si="39"/>
        <v>850LOS</v>
      </c>
      <c r="F96" t="str">
        <f>""</f>
        <v/>
      </c>
      <c r="G96" t="str">
        <f>""</f>
        <v/>
      </c>
      <c r="H96" s="1">
        <v>38700</v>
      </c>
      <c r="I96" t="str">
        <f>"55051003"</f>
        <v>55051003</v>
      </c>
      <c r="J96" t="str">
        <f>"BP52205J"</f>
        <v>BP52205J</v>
      </c>
      <c r="K96" t="str">
        <f>"INNI"</f>
        <v>INNI</v>
      </c>
      <c r="L96" t="s">
        <v>36</v>
      </c>
      <c r="M96" s="3">
        <v>613.88</v>
      </c>
    </row>
    <row r="97" spans="1:13" x14ac:dyDescent="0.25">
      <c r="A97" t="str">
        <f t="shared" si="36"/>
        <v>E111</v>
      </c>
      <c r="B97">
        <v>1</v>
      </c>
      <c r="C97" t="str">
        <f t="shared" si="44"/>
        <v>32040</v>
      </c>
      <c r="D97" t="str">
        <f t="shared" si="45"/>
        <v>5610</v>
      </c>
      <c r="E97" t="str">
        <f t="shared" si="39"/>
        <v>850LOS</v>
      </c>
      <c r="F97" t="str">
        <f>""</f>
        <v/>
      </c>
      <c r="G97" t="str">
        <f>""</f>
        <v/>
      </c>
      <c r="H97" s="1">
        <v>38700</v>
      </c>
      <c r="I97" t="str">
        <f>"55283001"</f>
        <v>55283001</v>
      </c>
      <c r="J97" t="str">
        <f>"BP52205J"</f>
        <v>BP52205J</v>
      </c>
      <c r="K97" t="str">
        <f>"INNI"</f>
        <v>INNI</v>
      </c>
      <c r="L97" t="s">
        <v>36</v>
      </c>
      <c r="M97" s="3">
        <v>3263.64</v>
      </c>
    </row>
    <row r="98" spans="1:13" x14ac:dyDescent="0.25">
      <c r="A98" t="str">
        <f t="shared" si="36"/>
        <v>E111</v>
      </c>
      <c r="B98">
        <v>1</v>
      </c>
      <c r="C98" t="str">
        <f t="shared" si="44"/>
        <v>32040</v>
      </c>
      <c r="D98" t="str">
        <f t="shared" si="45"/>
        <v>5610</v>
      </c>
      <c r="E98" t="str">
        <f t="shared" si="39"/>
        <v>850LOS</v>
      </c>
      <c r="F98" t="str">
        <f>""</f>
        <v/>
      </c>
      <c r="G98" t="str">
        <f>""</f>
        <v/>
      </c>
      <c r="H98" s="1">
        <v>38705</v>
      </c>
      <c r="I98" t="str">
        <f>"PCD00211"</f>
        <v>PCD00211</v>
      </c>
      <c r="J98" t="str">
        <f>"34423"</f>
        <v>34423</v>
      </c>
      <c r="K98" t="str">
        <f>"AS89"</f>
        <v>AS89</v>
      </c>
      <c r="L98" t="s">
        <v>41</v>
      </c>
      <c r="M98" s="3">
        <v>521.46</v>
      </c>
    </row>
    <row r="99" spans="1:13" x14ac:dyDescent="0.25">
      <c r="A99" t="str">
        <f t="shared" si="36"/>
        <v>E111</v>
      </c>
      <c r="B99">
        <v>1</v>
      </c>
      <c r="C99" t="str">
        <f t="shared" si="44"/>
        <v>32040</v>
      </c>
      <c r="D99" t="str">
        <f t="shared" si="45"/>
        <v>5610</v>
      </c>
      <c r="E99" t="str">
        <f t="shared" si="39"/>
        <v>850LOS</v>
      </c>
      <c r="F99" t="str">
        <f>""</f>
        <v/>
      </c>
      <c r="G99" t="str">
        <f>""</f>
        <v/>
      </c>
      <c r="H99" s="1">
        <v>38705</v>
      </c>
      <c r="I99" t="str">
        <f>"PCD00211"</f>
        <v>PCD00211</v>
      </c>
      <c r="J99" t="str">
        <f>"34469"</f>
        <v>34469</v>
      </c>
      <c r="K99" t="str">
        <f>"AS89"</f>
        <v>AS89</v>
      </c>
      <c r="L99" t="s">
        <v>42</v>
      </c>
      <c r="M99" s="3">
        <v>330.21</v>
      </c>
    </row>
    <row r="100" spans="1:13" x14ac:dyDescent="0.25">
      <c r="A100" t="str">
        <f t="shared" si="36"/>
        <v>E111</v>
      </c>
      <c r="B100">
        <v>1</v>
      </c>
      <c r="C100" t="str">
        <f t="shared" si="44"/>
        <v>32040</v>
      </c>
      <c r="D100" t="str">
        <f t="shared" si="45"/>
        <v>5610</v>
      </c>
      <c r="E100" t="str">
        <f t="shared" si="39"/>
        <v>850LOS</v>
      </c>
      <c r="F100" t="str">
        <f>""</f>
        <v/>
      </c>
      <c r="G100" t="str">
        <f>""</f>
        <v/>
      </c>
      <c r="H100" s="1">
        <v>38717</v>
      </c>
      <c r="I100" t="str">
        <f>"PCD00213"</f>
        <v>PCD00213</v>
      </c>
      <c r="J100" t="str">
        <f>"34928"</f>
        <v>34928</v>
      </c>
      <c r="K100" t="str">
        <f>"AS89"</f>
        <v>AS89</v>
      </c>
      <c r="L100" t="s">
        <v>43</v>
      </c>
      <c r="M100" s="3">
        <v>146.33000000000001</v>
      </c>
    </row>
    <row r="101" spans="1:13" x14ac:dyDescent="0.25">
      <c r="A101" t="str">
        <f t="shared" ref="A101:A131" si="48">"E111"</f>
        <v>E111</v>
      </c>
      <c r="B101">
        <v>1</v>
      </c>
      <c r="C101" t="str">
        <f t="shared" ref="C101:C115" si="49">"32040"</f>
        <v>32040</v>
      </c>
      <c r="D101" t="str">
        <f t="shared" ref="D101:D115" si="50">"5610"</f>
        <v>5610</v>
      </c>
      <c r="E101" t="str">
        <f t="shared" ref="E101:E131" si="51">"850LOS"</f>
        <v>850LOS</v>
      </c>
      <c r="F101" t="str">
        <f>""</f>
        <v/>
      </c>
      <c r="G101" t="str">
        <f>""</f>
        <v/>
      </c>
      <c r="H101" s="1">
        <v>38720</v>
      </c>
      <c r="I101" t="str">
        <f>"55823502"</f>
        <v>55823502</v>
      </c>
      <c r="J101" t="str">
        <f>"BP52205J"</f>
        <v>BP52205J</v>
      </c>
      <c r="K101" t="str">
        <f>"INNI"</f>
        <v>INNI</v>
      </c>
      <c r="L101" t="s">
        <v>36</v>
      </c>
      <c r="M101" s="3">
        <v>489.06</v>
      </c>
    </row>
    <row r="102" spans="1:13" x14ac:dyDescent="0.25">
      <c r="A102" t="str">
        <f t="shared" si="48"/>
        <v>E111</v>
      </c>
      <c r="B102">
        <v>1</v>
      </c>
      <c r="C102" t="str">
        <f t="shared" si="49"/>
        <v>32040</v>
      </c>
      <c r="D102" t="str">
        <f t="shared" si="50"/>
        <v>5610</v>
      </c>
      <c r="E102" t="str">
        <f t="shared" si="51"/>
        <v>850LOS</v>
      </c>
      <c r="F102" t="str">
        <f>""</f>
        <v/>
      </c>
      <c r="G102" t="str">
        <f>""</f>
        <v/>
      </c>
      <c r="H102" s="1">
        <v>38720</v>
      </c>
      <c r="I102" t="str">
        <f>"55823501"</f>
        <v>55823501</v>
      </c>
      <c r="J102" t="str">
        <f>"BP52205J"</f>
        <v>BP52205J</v>
      </c>
      <c r="K102" t="str">
        <f>"INNI"</f>
        <v>INNI</v>
      </c>
      <c r="L102" t="s">
        <v>36</v>
      </c>
      <c r="M102" s="3">
        <v>407.55</v>
      </c>
    </row>
    <row r="103" spans="1:13" x14ac:dyDescent="0.25">
      <c r="A103" t="str">
        <f t="shared" si="48"/>
        <v>E111</v>
      </c>
      <c r="B103">
        <v>1</v>
      </c>
      <c r="C103" t="str">
        <f t="shared" si="49"/>
        <v>32040</v>
      </c>
      <c r="D103" t="str">
        <f t="shared" si="50"/>
        <v>5610</v>
      </c>
      <c r="E103" t="str">
        <f t="shared" si="51"/>
        <v>850LOS</v>
      </c>
      <c r="F103" t="str">
        <f>""</f>
        <v/>
      </c>
      <c r="G103" t="str">
        <f>""</f>
        <v/>
      </c>
      <c r="H103" s="1">
        <v>38720</v>
      </c>
      <c r="I103" t="str">
        <f>"55833202"</f>
        <v>55833202</v>
      </c>
      <c r="J103" t="str">
        <f>"BP52205J"</f>
        <v>BP52205J</v>
      </c>
      <c r="K103" t="str">
        <f>"INNI"</f>
        <v>INNI</v>
      </c>
      <c r="L103" t="s">
        <v>36</v>
      </c>
      <c r="M103" s="3">
        <v>573.73</v>
      </c>
    </row>
    <row r="104" spans="1:13" x14ac:dyDescent="0.25">
      <c r="A104" t="str">
        <f t="shared" si="48"/>
        <v>E111</v>
      </c>
      <c r="B104">
        <v>1</v>
      </c>
      <c r="C104" t="str">
        <f t="shared" si="49"/>
        <v>32040</v>
      </c>
      <c r="D104" t="str">
        <f t="shared" si="50"/>
        <v>5610</v>
      </c>
      <c r="E104" t="str">
        <f t="shared" si="51"/>
        <v>850LOS</v>
      </c>
      <c r="F104" t="str">
        <f>""</f>
        <v/>
      </c>
      <c r="G104" t="str">
        <f>""</f>
        <v/>
      </c>
      <c r="H104" s="1">
        <v>38735</v>
      </c>
      <c r="I104" t="str">
        <f>"55823801"</f>
        <v>55823801</v>
      </c>
      <c r="J104" t="str">
        <f>"BP52205J"</f>
        <v>BP52205J</v>
      </c>
      <c r="K104" t="str">
        <f>"INNI"</f>
        <v>INNI</v>
      </c>
      <c r="L104" t="s">
        <v>36</v>
      </c>
      <c r="M104" s="3">
        <v>753.97</v>
      </c>
    </row>
    <row r="105" spans="1:13" x14ac:dyDescent="0.25">
      <c r="A105" t="str">
        <f t="shared" si="48"/>
        <v>E111</v>
      </c>
      <c r="B105">
        <v>1</v>
      </c>
      <c r="C105" t="str">
        <f t="shared" si="49"/>
        <v>32040</v>
      </c>
      <c r="D105" t="str">
        <f t="shared" si="50"/>
        <v>5610</v>
      </c>
      <c r="E105" t="str">
        <f t="shared" si="51"/>
        <v>850LOS</v>
      </c>
      <c r="F105" t="str">
        <f>""</f>
        <v/>
      </c>
      <c r="G105" t="str">
        <f>""</f>
        <v/>
      </c>
      <c r="H105" s="1">
        <v>38735</v>
      </c>
      <c r="I105" t="str">
        <f>"56099801"</f>
        <v>56099801</v>
      </c>
      <c r="J105" t="str">
        <f>"BP52205J"</f>
        <v>BP52205J</v>
      </c>
      <c r="K105" t="str">
        <f>"INNI"</f>
        <v>INNI</v>
      </c>
      <c r="L105" t="s">
        <v>36</v>
      </c>
      <c r="M105" s="3">
        <v>230</v>
      </c>
    </row>
    <row r="106" spans="1:13" x14ac:dyDescent="0.25">
      <c r="A106" t="str">
        <f t="shared" si="48"/>
        <v>E111</v>
      </c>
      <c r="B106">
        <v>1</v>
      </c>
      <c r="C106" t="str">
        <f t="shared" si="49"/>
        <v>32040</v>
      </c>
      <c r="D106" t="str">
        <f t="shared" si="50"/>
        <v>5610</v>
      </c>
      <c r="E106" t="str">
        <f t="shared" si="51"/>
        <v>850LOS</v>
      </c>
      <c r="F106" t="str">
        <f>""</f>
        <v/>
      </c>
      <c r="G106" t="str">
        <f>""</f>
        <v/>
      </c>
      <c r="H106" s="1">
        <v>38748</v>
      </c>
      <c r="I106" t="str">
        <f>"56099802"</f>
        <v>56099802</v>
      </c>
      <c r="J106" t="str">
        <f t="shared" ref="J106:J111" si="52">"BP52205J"</f>
        <v>BP52205J</v>
      </c>
      <c r="K106" t="str">
        <f t="shared" ref="K106:K111" si="53">"INNI"</f>
        <v>INNI</v>
      </c>
      <c r="L106" t="s">
        <v>36</v>
      </c>
      <c r="M106" s="3">
        <v>2734.81</v>
      </c>
    </row>
    <row r="107" spans="1:13" x14ac:dyDescent="0.25">
      <c r="A107" t="str">
        <f t="shared" si="48"/>
        <v>E111</v>
      </c>
      <c r="B107">
        <v>1</v>
      </c>
      <c r="C107" t="str">
        <f t="shared" si="49"/>
        <v>32040</v>
      </c>
      <c r="D107" t="str">
        <f t="shared" si="50"/>
        <v>5610</v>
      </c>
      <c r="E107" t="str">
        <f t="shared" si="51"/>
        <v>850LOS</v>
      </c>
      <c r="F107" t="str">
        <f>""</f>
        <v/>
      </c>
      <c r="G107" t="str">
        <f>""</f>
        <v/>
      </c>
      <c r="H107" s="1">
        <v>38749</v>
      </c>
      <c r="I107" t="str">
        <f>"56099806"</f>
        <v>56099806</v>
      </c>
      <c r="J107" t="str">
        <f t="shared" si="52"/>
        <v>BP52205J</v>
      </c>
      <c r="K107" t="str">
        <f t="shared" si="53"/>
        <v>INNI</v>
      </c>
      <c r="L107" t="s">
        <v>36</v>
      </c>
      <c r="M107" s="3">
        <v>1862.65</v>
      </c>
    </row>
    <row r="108" spans="1:13" x14ac:dyDescent="0.25">
      <c r="A108" t="str">
        <f t="shared" si="48"/>
        <v>E111</v>
      </c>
      <c r="B108">
        <v>1</v>
      </c>
      <c r="C108" t="str">
        <f t="shared" si="49"/>
        <v>32040</v>
      </c>
      <c r="D108" t="str">
        <f t="shared" si="50"/>
        <v>5610</v>
      </c>
      <c r="E108" t="str">
        <f t="shared" si="51"/>
        <v>850LOS</v>
      </c>
      <c r="F108" t="str">
        <f>""</f>
        <v/>
      </c>
      <c r="G108" t="str">
        <f>""</f>
        <v/>
      </c>
      <c r="H108" s="1">
        <v>38749</v>
      </c>
      <c r="I108" t="str">
        <f>"56244201"</f>
        <v>56244201</v>
      </c>
      <c r="J108" t="str">
        <f t="shared" si="52"/>
        <v>BP52205J</v>
      </c>
      <c r="K108" t="str">
        <f t="shared" si="53"/>
        <v>INNI</v>
      </c>
      <c r="L108" t="s">
        <v>36</v>
      </c>
      <c r="M108" s="3">
        <v>315.22000000000003</v>
      </c>
    </row>
    <row r="109" spans="1:13" x14ac:dyDescent="0.25">
      <c r="A109" t="str">
        <f t="shared" si="48"/>
        <v>E111</v>
      </c>
      <c r="B109">
        <v>1</v>
      </c>
      <c r="C109" t="str">
        <f t="shared" si="49"/>
        <v>32040</v>
      </c>
      <c r="D109" t="str">
        <f t="shared" si="50"/>
        <v>5610</v>
      </c>
      <c r="E109" t="str">
        <f t="shared" si="51"/>
        <v>850LOS</v>
      </c>
      <c r="F109" t="str">
        <f>""</f>
        <v/>
      </c>
      <c r="G109" t="str">
        <f>""</f>
        <v/>
      </c>
      <c r="H109" s="1">
        <v>38756</v>
      </c>
      <c r="I109" t="str">
        <f>"56339501"</f>
        <v>56339501</v>
      </c>
      <c r="J109" t="str">
        <f t="shared" si="52"/>
        <v>BP52205J</v>
      </c>
      <c r="K109" t="str">
        <f t="shared" si="53"/>
        <v>INNI</v>
      </c>
      <c r="L109" t="s">
        <v>36</v>
      </c>
      <c r="M109" s="3">
        <v>661.9</v>
      </c>
    </row>
    <row r="110" spans="1:13" x14ac:dyDescent="0.25">
      <c r="A110" t="str">
        <f t="shared" si="48"/>
        <v>E111</v>
      </c>
      <c r="B110">
        <v>1</v>
      </c>
      <c r="C110" t="str">
        <f t="shared" si="49"/>
        <v>32040</v>
      </c>
      <c r="D110" t="str">
        <f t="shared" si="50"/>
        <v>5610</v>
      </c>
      <c r="E110" t="str">
        <f t="shared" si="51"/>
        <v>850LOS</v>
      </c>
      <c r="F110" t="str">
        <f>""</f>
        <v/>
      </c>
      <c r="G110" t="str">
        <f>""</f>
        <v/>
      </c>
      <c r="H110" s="1">
        <v>38756</v>
      </c>
      <c r="I110" t="str">
        <f>"56339502"</f>
        <v>56339502</v>
      </c>
      <c r="J110" t="str">
        <f t="shared" si="52"/>
        <v>BP52205J</v>
      </c>
      <c r="K110" t="str">
        <f t="shared" si="53"/>
        <v>INNI</v>
      </c>
      <c r="L110" t="s">
        <v>36</v>
      </c>
      <c r="M110" s="3">
        <v>121.96</v>
      </c>
    </row>
    <row r="111" spans="1:13" x14ac:dyDescent="0.25">
      <c r="A111" t="str">
        <f t="shared" si="48"/>
        <v>E111</v>
      </c>
      <c r="B111">
        <v>1</v>
      </c>
      <c r="C111" t="str">
        <f t="shared" si="49"/>
        <v>32040</v>
      </c>
      <c r="D111" t="str">
        <f t="shared" si="50"/>
        <v>5610</v>
      </c>
      <c r="E111" t="str">
        <f t="shared" si="51"/>
        <v>850LOS</v>
      </c>
      <c r="F111" t="str">
        <f>""</f>
        <v/>
      </c>
      <c r="G111" t="str">
        <f>""</f>
        <v/>
      </c>
      <c r="H111" s="1">
        <v>38765</v>
      </c>
      <c r="I111" t="str">
        <f>"3981401A"</f>
        <v>3981401A</v>
      </c>
      <c r="J111" t="str">
        <f t="shared" si="52"/>
        <v>BP52205J</v>
      </c>
      <c r="K111" t="str">
        <f t="shared" si="53"/>
        <v>INNI</v>
      </c>
      <c r="L111" t="s">
        <v>36</v>
      </c>
      <c r="M111" s="3">
        <v>119.09</v>
      </c>
    </row>
    <row r="112" spans="1:13" x14ac:dyDescent="0.25">
      <c r="A112" t="str">
        <f t="shared" si="48"/>
        <v>E111</v>
      </c>
      <c r="B112">
        <v>1</v>
      </c>
      <c r="C112" t="str">
        <f t="shared" si="49"/>
        <v>32040</v>
      </c>
      <c r="D112" t="str">
        <f t="shared" si="50"/>
        <v>5610</v>
      </c>
      <c r="E112" t="str">
        <f t="shared" si="51"/>
        <v>850LOS</v>
      </c>
      <c r="F112" t="str">
        <f>""</f>
        <v/>
      </c>
      <c r="G112" t="str">
        <f>""</f>
        <v/>
      </c>
      <c r="H112" s="1">
        <v>38785</v>
      </c>
      <c r="I112" t="str">
        <f>"56099807"</f>
        <v>56099807</v>
      </c>
      <c r="J112" t="str">
        <f>"BP52205J"</f>
        <v>BP52205J</v>
      </c>
      <c r="K112" t="str">
        <f t="shared" ref="K112:K118" si="54">"INNI"</f>
        <v>INNI</v>
      </c>
      <c r="L112" t="s">
        <v>36</v>
      </c>
      <c r="M112" s="3">
        <v>162.15</v>
      </c>
    </row>
    <row r="113" spans="1:13" x14ac:dyDescent="0.25">
      <c r="A113" t="str">
        <f t="shared" si="48"/>
        <v>E111</v>
      </c>
      <c r="B113">
        <v>1</v>
      </c>
      <c r="C113" t="str">
        <f t="shared" si="49"/>
        <v>32040</v>
      </c>
      <c r="D113" t="str">
        <f t="shared" si="50"/>
        <v>5610</v>
      </c>
      <c r="E113" t="str">
        <f t="shared" si="51"/>
        <v>850LOS</v>
      </c>
      <c r="F113" t="str">
        <f>""</f>
        <v/>
      </c>
      <c r="G113" t="str">
        <f>""</f>
        <v/>
      </c>
      <c r="H113" s="1">
        <v>38785</v>
      </c>
      <c r="I113" t="str">
        <f>"56810503"</f>
        <v>56810503</v>
      </c>
      <c r="J113" t="str">
        <f>"BP52205J"</f>
        <v>BP52205J</v>
      </c>
      <c r="K113" t="str">
        <f t="shared" si="54"/>
        <v>INNI</v>
      </c>
      <c r="L113" t="s">
        <v>36</v>
      </c>
      <c r="M113" s="3">
        <v>1663.55</v>
      </c>
    </row>
    <row r="114" spans="1:13" x14ac:dyDescent="0.25">
      <c r="A114" t="str">
        <f t="shared" si="48"/>
        <v>E111</v>
      </c>
      <c r="B114">
        <v>1</v>
      </c>
      <c r="C114" t="str">
        <f t="shared" si="49"/>
        <v>32040</v>
      </c>
      <c r="D114" t="str">
        <f t="shared" si="50"/>
        <v>5610</v>
      </c>
      <c r="E114" t="str">
        <f t="shared" si="51"/>
        <v>850LOS</v>
      </c>
      <c r="F114" t="str">
        <f>""</f>
        <v/>
      </c>
      <c r="G114" t="str">
        <f>""</f>
        <v/>
      </c>
      <c r="H114" s="1">
        <v>38791</v>
      </c>
      <c r="I114" t="str">
        <f>"56339503"</f>
        <v>56339503</v>
      </c>
      <c r="J114" t="str">
        <f t="shared" ref="J114:J116" si="55">"BP52205J"</f>
        <v>BP52205J</v>
      </c>
      <c r="K114" t="str">
        <f t="shared" si="54"/>
        <v>INNI</v>
      </c>
      <c r="L114" t="s">
        <v>36</v>
      </c>
      <c r="M114" s="3">
        <v>578.70000000000005</v>
      </c>
    </row>
    <row r="115" spans="1:13" x14ac:dyDescent="0.25">
      <c r="A115" t="str">
        <f t="shared" si="48"/>
        <v>E111</v>
      </c>
      <c r="B115">
        <v>1</v>
      </c>
      <c r="C115" t="str">
        <f t="shared" si="49"/>
        <v>32040</v>
      </c>
      <c r="D115" t="str">
        <f t="shared" si="50"/>
        <v>5610</v>
      </c>
      <c r="E115" t="str">
        <f t="shared" si="51"/>
        <v>850LOS</v>
      </c>
      <c r="F115" t="str">
        <f>""</f>
        <v/>
      </c>
      <c r="G115" t="str">
        <f>""</f>
        <v/>
      </c>
      <c r="H115" s="1">
        <v>38791</v>
      </c>
      <c r="I115" t="str">
        <f>"56810504"</f>
        <v>56810504</v>
      </c>
      <c r="J115" t="str">
        <f t="shared" si="55"/>
        <v>BP52205J</v>
      </c>
      <c r="K115" t="str">
        <f t="shared" si="54"/>
        <v>INNI</v>
      </c>
      <c r="L115" t="s">
        <v>36</v>
      </c>
      <c r="M115" s="3">
        <v>264.77999999999997</v>
      </c>
    </row>
    <row r="116" spans="1:13" x14ac:dyDescent="0.25">
      <c r="A116" t="str">
        <f t="shared" si="48"/>
        <v>E111</v>
      </c>
      <c r="B116">
        <v>1</v>
      </c>
      <c r="C116" t="str">
        <f t="shared" ref="C116:C131" si="56">"32040"</f>
        <v>32040</v>
      </c>
      <c r="D116" t="str">
        <f t="shared" ref="D116:D131" si="57">"5610"</f>
        <v>5610</v>
      </c>
      <c r="E116" t="str">
        <f t="shared" si="51"/>
        <v>850LOS</v>
      </c>
      <c r="F116" t="str">
        <f>""</f>
        <v/>
      </c>
      <c r="G116" t="str">
        <f>""</f>
        <v/>
      </c>
      <c r="H116" s="1">
        <v>38791</v>
      </c>
      <c r="I116" t="str">
        <f>"56812701"</f>
        <v>56812701</v>
      </c>
      <c r="J116" t="str">
        <f t="shared" si="55"/>
        <v>BP52205J</v>
      </c>
      <c r="K116" t="str">
        <f t="shared" si="54"/>
        <v>INNI</v>
      </c>
      <c r="L116" t="s">
        <v>36</v>
      </c>
      <c r="M116" s="3">
        <v>498.3</v>
      </c>
    </row>
    <row r="117" spans="1:13" x14ac:dyDescent="0.25">
      <c r="A117" t="str">
        <f t="shared" si="48"/>
        <v>E111</v>
      </c>
      <c r="B117">
        <v>1</v>
      </c>
      <c r="C117" t="str">
        <f t="shared" si="56"/>
        <v>32040</v>
      </c>
      <c r="D117" t="str">
        <f t="shared" si="57"/>
        <v>5610</v>
      </c>
      <c r="E117" t="str">
        <f t="shared" si="51"/>
        <v>850LOS</v>
      </c>
      <c r="F117" t="str">
        <f>""</f>
        <v/>
      </c>
      <c r="G117" t="str">
        <f>""</f>
        <v/>
      </c>
      <c r="H117" s="1">
        <v>38797</v>
      </c>
      <c r="I117" t="str">
        <f>"56814601"</f>
        <v>56814601</v>
      </c>
      <c r="J117" t="str">
        <f>"BP52205J"</f>
        <v>BP52205J</v>
      </c>
      <c r="K117" t="str">
        <f t="shared" si="54"/>
        <v>INNI</v>
      </c>
      <c r="L117" t="s">
        <v>36</v>
      </c>
      <c r="M117" s="3">
        <v>3562.46</v>
      </c>
    </row>
    <row r="118" spans="1:13" x14ac:dyDescent="0.25">
      <c r="A118" t="str">
        <f t="shared" si="48"/>
        <v>E111</v>
      </c>
      <c r="B118">
        <v>1</v>
      </c>
      <c r="C118" t="str">
        <f t="shared" si="56"/>
        <v>32040</v>
      </c>
      <c r="D118" t="str">
        <f t="shared" si="57"/>
        <v>5610</v>
      </c>
      <c r="E118" t="str">
        <f t="shared" si="51"/>
        <v>850LOS</v>
      </c>
      <c r="F118" t="str">
        <f>""</f>
        <v/>
      </c>
      <c r="G118" t="str">
        <f>""</f>
        <v/>
      </c>
      <c r="H118" s="1">
        <v>38804</v>
      </c>
      <c r="I118" t="str">
        <f>"56339504"</f>
        <v>56339504</v>
      </c>
      <c r="J118" t="str">
        <f>"BP52205J"</f>
        <v>BP52205J</v>
      </c>
      <c r="K118" t="str">
        <f t="shared" si="54"/>
        <v>INNI</v>
      </c>
      <c r="L118" t="s">
        <v>36</v>
      </c>
      <c r="M118" s="3">
        <v>273.49</v>
      </c>
    </row>
    <row r="119" spans="1:13" x14ac:dyDescent="0.25">
      <c r="A119" t="str">
        <f t="shared" si="48"/>
        <v>E111</v>
      </c>
      <c r="B119">
        <v>1</v>
      </c>
      <c r="C119" t="str">
        <f t="shared" si="56"/>
        <v>32040</v>
      </c>
      <c r="D119" t="str">
        <f t="shared" si="57"/>
        <v>5610</v>
      </c>
      <c r="E119" t="str">
        <f t="shared" si="51"/>
        <v>850LOS</v>
      </c>
      <c r="F119" t="str">
        <f>""</f>
        <v/>
      </c>
      <c r="G119" t="str">
        <f>""</f>
        <v/>
      </c>
      <c r="H119" s="1">
        <v>38827</v>
      </c>
      <c r="I119" t="str">
        <f>"56810505"</f>
        <v>56810505</v>
      </c>
      <c r="J119" t="str">
        <f t="shared" ref="J119:J124" si="58">"BP52205J"</f>
        <v>BP52205J</v>
      </c>
      <c r="K119" t="str">
        <f t="shared" ref="K119:K124" si="59">"INNI"</f>
        <v>INNI</v>
      </c>
      <c r="L119" t="s">
        <v>36</v>
      </c>
      <c r="M119" s="3">
        <v>346.96</v>
      </c>
    </row>
    <row r="120" spans="1:13" x14ac:dyDescent="0.25">
      <c r="A120" t="str">
        <f t="shared" si="48"/>
        <v>E111</v>
      </c>
      <c r="B120">
        <v>1</v>
      </c>
      <c r="C120" t="str">
        <f t="shared" si="56"/>
        <v>32040</v>
      </c>
      <c r="D120" t="str">
        <f t="shared" si="57"/>
        <v>5610</v>
      </c>
      <c r="E120" t="str">
        <f t="shared" si="51"/>
        <v>850LOS</v>
      </c>
      <c r="F120" t="str">
        <f>""</f>
        <v/>
      </c>
      <c r="G120" t="str">
        <f>""</f>
        <v/>
      </c>
      <c r="H120" s="1">
        <v>38827</v>
      </c>
      <c r="I120" t="str">
        <f>"56810506"</f>
        <v>56810506</v>
      </c>
      <c r="J120" t="str">
        <f t="shared" si="58"/>
        <v>BP52205J</v>
      </c>
      <c r="K120" t="str">
        <f t="shared" si="59"/>
        <v>INNI</v>
      </c>
      <c r="L120" t="s">
        <v>36</v>
      </c>
      <c r="M120" s="3">
        <v>264.27</v>
      </c>
    </row>
    <row r="121" spans="1:13" x14ac:dyDescent="0.25">
      <c r="A121" t="str">
        <f t="shared" si="48"/>
        <v>E111</v>
      </c>
      <c r="B121">
        <v>1</v>
      </c>
      <c r="C121" t="str">
        <f t="shared" si="56"/>
        <v>32040</v>
      </c>
      <c r="D121" t="str">
        <f t="shared" si="57"/>
        <v>5610</v>
      </c>
      <c r="E121" t="str">
        <f t="shared" si="51"/>
        <v>850LOS</v>
      </c>
      <c r="F121" t="str">
        <f>""</f>
        <v/>
      </c>
      <c r="G121" t="str">
        <f>""</f>
        <v/>
      </c>
      <c r="H121" s="1">
        <v>38833</v>
      </c>
      <c r="I121" t="str">
        <f>"57418801"</f>
        <v>57418801</v>
      </c>
      <c r="J121" t="str">
        <f t="shared" si="58"/>
        <v>BP52205J</v>
      </c>
      <c r="K121" t="str">
        <f t="shared" si="59"/>
        <v>INNI</v>
      </c>
      <c r="L121" t="s">
        <v>36</v>
      </c>
      <c r="M121" s="3">
        <v>127.04</v>
      </c>
    </row>
    <row r="122" spans="1:13" x14ac:dyDescent="0.25">
      <c r="A122" t="str">
        <f t="shared" si="48"/>
        <v>E111</v>
      </c>
      <c r="B122">
        <v>1</v>
      </c>
      <c r="C122" t="str">
        <f t="shared" si="56"/>
        <v>32040</v>
      </c>
      <c r="D122" t="str">
        <f t="shared" si="57"/>
        <v>5610</v>
      </c>
      <c r="E122" t="str">
        <f t="shared" si="51"/>
        <v>850LOS</v>
      </c>
      <c r="F122" t="str">
        <f>""</f>
        <v/>
      </c>
      <c r="G122" t="str">
        <f>""</f>
        <v/>
      </c>
      <c r="H122" s="1">
        <v>38833</v>
      </c>
      <c r="I122" t="str">
        <f>"57418802"</f>
        <v>57418802</v>
      </c>
      <c r="J122" t="str">
        <f t="shared" si="58"/>
        <v>BP52205J</v>
      </c>
      <c r="K122" t="str">
        <f t="shared" si="59"/>
        <v>INNI</v>
      </c>
      <c r="L122" t="s">
        <v>36</v>
      </c>
      <c r="M122" s="3">
        <v>691.68</v>
      </c>
    </row>
    <row r="123" spans="1:13" x14ac:dyDescent="0.25">
      <c r="A123" t="str">
        <f t="shared" si="48"/>
        <v>E111</v>
      </c>
      <c r="B123">
        <v>1</v>
      </c>
      <c r="C123" t="str">
        <f t="shared" si="56"/>
        <v>32040</v>
      </c>
      <c r="D123" t="str">
        <f t="shared" si="57"/>
        <v>5610</v>
      </c>
      <c r="E123" t="str">
        <f t="shared" si="51"/>
        <v>850LOS</v>
      </c>
      <c r="F123" t="str">
        <f>""</f>
        <v/>
      </c>
      <c r="G123" t="str">
        <f>""</f>
        <v/>
      </c>
      <c r="H123" s="1">
        <v>38842</v>
      </c>
      <c r="I123" t="str">
        <f>"57572401"</f>
        <v>57572401</v>
      </c>
      <c r="J123" t="str">
        <f t="shared" si="58"/>
        <v>BP52205J</v>
      </c>
      <c r="K123" t="str">
        <f t="shared" si="59"/>
        <v>INNI</v>
      </c>
      <c r="L123" t="s">
        <v>36</v>
      </c>
      <c r="M123" s="3">
        <v>813.78</v>
      </c>
    </row>
    <row r="124" spans="1:13" x14ac:dyDescent="0.25">
      <c r="A124" t="str">
        <f t="shared" si="48"/>
        <v>E111</v>
      </c>
      <c r="B124">
        <v>1</v>
      </c>
      <c r="C124" t="str">
        <f t="shared" si="56"/>
        <v>32040</v>
      </c>
      <c r="D124" t="str">
        <f t="shared" si="57"/>
        <v>5610</v>
      </c>
      <c r="E124" t="str">
        <f t="shared" si="51"/>
        <v>850LOS</v>
      </c>
      <c r="F124" t="str">
        <f>""</f>
        <v/>
      </c>
      <c r="G124" t="str">
        <f>""</f>
        <v/>
      </c>
      <c r="H124" s="1">
        <v>38842</v>
      </c>
      <c r="I124" t="str">
        <f>"57572402"</f>
        <v>57572402</v>
      </c>
      <c r="J124" t="str">
        <f t="shared" si="58"/>
        <v>BP52205J</v>
      </c>
      <c r="K124" t="str">
        <f t="shared" si="59"/>
        <v>INNI</v>
      </c>
      <c r="L124" t="s">
        <v>36</v>
      </c>
      <c r="M124" s="3">
        <v>1321.78</v>
      </c>
    </row>
    <row r="125" spans="1:13" x14ac:dyDescent="0.25">
      <c r="A125" t="str">
        <f t="shared" si="48"/>
        <v>E111</v>
      </c>
      <c r="B125">
        <v>1</v>
      </c>
      <c r="C125" t="str">
        <f t="shared" si="56"/>
        <v>32040</v>
      </c>
      <c r="D125" t="str">
        <f t="shared" si="57"/>
        <v>5610</v>
      </c>
      <c r="E125" t="str">
        <f t="shared" si="51"/>
        <v>850LOS</v>
      </c>
      <c r="F125" t="str">
        <f>""</f>
        <v/>
      </c>
      <c r="G125" t="str">
        <f>""</f>
        <v/>
      </c>
      <c r="H125" s="1">
        <v>38868</v>
      </c>
      <c r="I125" t="str">
        <f>"57432601"</f>
        <v>57432601</v>
      </c>
      <c r="J125" t="str">
        <f>"BP52205J"</f>
        <v>BP52205J</v>
      </c>
      <c r="K125" t="str">
        <f>"INNI"</f>
        <v>INNI</v>
      </c>
      <c r="L125" t="s">
        <v>36</v>
      </c>
      <c r="M125" s="3">
        <v>297.60000000000002</v>
      </c>
    </row>
    <row r="126" spans="1:13" x14ac:dyDescent="0.25">
      <c r="A126" t="str">
        <f t="shared" si="48"/>
        <v>E111</v>
      </c>
      <c r="B126">
        <v>1</v>
      </c>
      <c r="C126" t="str">
        <f t="shared" si="56"/>
        <v>32040</v>
      </c>
      <c r="D126" t="str">
        <f t="shared" si="57"/>
        <v>5610</v>
      </c>
      <c r="E126" t="str">
        <f t="shared" si="51"/>
        <v>850LOS</v>
      </c>
      <c r="F126" t="str">
        <f>""</f>
        <v/>
      </c>
      <c r="G126" t="str">
        <f>""</f>
        <v/>
      </c>
      <c r="H126" s="1">
        <v>38873</v>
      </c>
      <c r="I126" t="str">
        <f>"57572405"</f>
        <v>57572405</v>
      </c>
      <c r="J126" t="str">
        <f>"BP52205J"</f>
        <v>BP52205J</v>
      </c>
      <c r="K126" t="str">
        <f>"INNI"</f>
        <v>INNI</v>
      </c>
      <c r="L126" t="s">
        <v>36</v>
      </c>
      <c r="M126" s="3">
        <v>323.45</v>
      </c>
    </row>
    <row r="127" spans="1:13" x14ac:dyDescent="0.25">
      <c r="A127" t="str">
        <f t="shared" si="48"/>
        <v>E111</v>
      </c>
      <c r="B127">
        <v>1</v>
      </c>
      <c r="C127" t="str">
        <f t="shared" si="56"/>
        <v>32040</v>
      </c>
      <c r="D127" t="str">
        <f t="shared" si="57"/>
        <v>5610</v>
      </c>
      <c r="E127" t="str">
        <f t="shared" si="51"/>
        <v>850LOS</v>
      </c>
      <c r="F127" t="str">
        <f>""</f>
        <v/>
      </c>
      <c r="G127" t="str">
        <f>""</f>
        <v/>
      </c>
      <c r="H127" s="1">
        <v>38873</v>
      </c>
      <c r="I127" t="str">
        <f>"57931901"</f>
        <v>57931901</v>
      </c>
      <c r="J127" t="str">
        <f>"BP52205J"</f>
        <v>BP52205J</v>
      </c>
      <c r="K127" t="str">
        <f>"INNI"</f>
        <v>INNI</v>
      </c>
      <c r="L127" t="s">
        <v>36</v>
      </c>
      <c r="M127" s="3">
        <v>1552.5</v>
      </c>
    </row>
    <row r="128" spans="1:13" x14ac:dyDescent="0.25">
      <c r="A128" t="str">
        <f t="shared" si="48"/>
        <v>E111</v>
      </c>
      <c r="B128">
        <v>1</v>
      </c>
      <c r="C128" t="str">
        <f t="shared" si="56"/>
        <v>32040</v>
      </c>
      <c r="D128" t="str">
        <f t="shared" si="57"/>
        <v>5610</v>
      </c>
      <c r="E128" t="str">
        <f t="shared" si="51"/>
        <v>850LOS</v>
      </c>
      <c r="F128" t="str">
        <f>""</f>
        <v/>
      </c>
      <c r="G128" t="str">
        <f>""</f>
        <v/>
      </c>
      <c r="H128" s="1">
        <v>38890</v>
      </c>
      <c r="I128" t="str">
        <f>"58016702"</f>
        <v>58016702</v>
      </c>
      <c r="J128" t="str">
        <f t="shared" ref="J128:J131" si="60">"BP52205J"</f>
        <v>BP52205J</v>
      </c>
      <c r="K128" t="str">
        <f t="shared" ref="K128:K131" si="61">"INNI"</f>
        <v>INNI</v>
      </c>
      <c r="L128" t="s">
        <v>36</v>
      </c>
      <c r="M128" s="3">
        <v>166.49</v>
      </c>
    </row>
    <row r="129" spans="1:13" x14ac:dyDescent="0.25">
      <c r="A129" t="str">
        <f t="shared" si="48"/>
        <v>E111</v>
      </c>
      <c r="B129">
        <v>1</v>
      </c>
      <c r="C129" t="str">
        <f t="shared" si="56"/>
        <v>32040</v>
      </c>
      <c r="D129" t="str">
        <f t="shared" si="57"/>
        <v>5610</v>
      </c>
      <c r="E129" t="str">
        <f t="shared" si="51"/>
        <v>850LOS</v>
      </c>
      <c r="F129" t="str">
        <f>""</f>
        <v/>
      </c>
      <c r="G129" t="str">
        <f>""</f>
        <v/>
      </c>
      <c r="H129" s="1">
        <v>38890</v>
      </c>
      <c r="I129" t="str">
        <f>"58016801"</f>
        <v>58016801</v>
      </c>
      <c r="J129" t="str">
        <f t="shared" si="60"/>
        <v>BP52205J</v>
      </c>
      <c r="K129" t="str">
        <f t="shared" si="61"/>
        <v>INNI</v>
      </c>
      <c r="L129" t="s">
        <v>36</v>
      </c>
      <c r="M129" s="3">
        <v>174.45</v>
      </c>
    </row>
    <row r="130" spans="1:13" x14ac:dyDescent="0.25">
      <c r="A130" t="str">
        <f t="shared" si="48"/>
        <v>E111</v>
      </c>
      <c r="B130">
        <v>1</v>
      </c>
      <c r="C130" t="str">
        <f t="shared" si="56"/>
        <v>32040</v>
      </c>
      <c r="D130" t="str">
        <f t="shared" si="57"/>
        <v>5610</v>
      </c>
      <c r="E130" t="str">
        <f t="shared" si="51"/>
        <v>850LOS</v>
      </c>
      <c r="F130" t="str">
        <f>""</f>
        <v/>
      </c>
      <c r="G130" t="str">
        <f>""</f>
        <v/>
      </c>
      <c r="H130" s="1">
        <v>38891</v>
      </c>
      <c r="I130" t="str">
        <f>"58168601"</f>
        <v>58168601</v>
      </c>
      <c r="J130" t="str">
        <f t="shared" si="60"/>
        <v>BP52205J</v>
      </c>
      <c r="K130" t="str">
        <f t="shared" si="61"/>
        <v>INNI</v>
      </c>
      <c r="L130" t="s">
        <v>36</v>
      </c>
      <c r="M130" s="3">
        <v>129.87</v>
      </c>
    </row>
    <row r="131" spans="1:13" x14ac:dyDescent="0.25">
      <c r="A131" t="str">
        <f t="shared" si="48"/>
        <v>E111</v>
      </c>
      <c r="B131">
        <v>1</v>
      </c>
      <c r="C131" t="str">
        <f t="shared" si="56"/>
        <v>32040</v>
      </c>
      <c r="D131" t="str">
        <f t="shared" si="57"/>
        <v>5610</v>
      </c>
      <c r="E131" t="str">
        <f t="shared" si="51"/>
        <v>850LOS</v>
      </c>
      <c r="F131" t="str">
        <f>""</f>
        <v/>
      </c>
      <c r="G131" t="str">
        <f>""</f>
        <v/>
      </c>
      <c r="H131" s="1">
        <v>38891</v>
      </c>
      <c r="I131" t="str">
        <f>"58168602"</f>
        <v>58168602</v>
      </c>
      <c r="J131" t="str">
        <f t="shared" si="60"/>
        <v>BP52205J</v>
      </c>
      <c r="K131" t="str">
        <f t="shared" si="61"/>
        <v>INNI</v>
      </c>
      <c r="L131" t="s">
        <v>36</v>
      </c>
      <c r="M131" s="3">
        <v>519.5</v>
      </c>
    </row>
    <row r="132" spans="1:13" x14ac:dyDescent="0.25">
      <c r="A132" t="str">
        <f t="shared" ref="A132:A144" si="62">"E111"</f>
        <v>E111</v>
      </c>
      <c r="B132">
        <v>1</v>
      </c>
      <c r="C132" t="str">
        <f t="shared" ref="C132:C135" si="63">"32040"</f>
        <v>32040</v>
      </c>
      <c r="D132" t="str">
        <f t="shared" ref="D132:D135" si="64">"5610"</f>
        <v>5610</v>
      </c>
      <c r="E132" t="str">
        <f t="shared" ref="E132:E144" si="65">"850LOS"</f>
        <v>850LOS</v>
      </c>
      <c r="F132" t="str">
        <f>""</f>
        <v/>
      </c>
      <c r="G132" t="str">
        <f>""</f>
        <v/>
      </c>
      <c r="H132" s="1">
        <v>38897</v>
      </c>
      <c r="I132" t="str">
        <f>"57728101"</f>
        <v>57728101</v>
      </c>
      <c r="J132" t="str">
        <f>"BP52205J"</f>
        <v>BP52205J</v>
      </c>
      <c r="K132" t="str">
        <f>"INNI"</f>
        <v>INNI</v>
      </c>
      <c r="L132" t="s">
        <v>36</v>
      </c>
      <c r="M132" s="3">
        <v>761.9</v>
      </c>
    </row>
    <row r="133" spans="1:13" x14ac:dyDescent="0.25">
      <c r="A133" t="str">
        <f t="shared" si="62"/>
        <v>E111</v>
      </c>
      <c r="B133">
        <v>1</v>
      </c>
      <c r="C133" t="str">
        <f t="shared" si="63"/>
        <v>32040</v>
      </c>
      <c r="D133" t="str">
        <f t="shared" si="64"/>
        <v>5610</v>
      </c>
      <c r="E133" t="str">
        <f t="shared" si="65"/>
        <v>850LOS</v>
      </c>
      <c r="F133" t="str">
        <f>""</f>
        <v/>
      </c>
      <c r="G133" t="str">
        <f>""</f>
        <v/>
      </c>
      <c r="H133" s="1">
        <v>38897</v>
      </c>
      <c r="I133" t="str">
        <f>"58016704"</f>
        <v>58016704</v>
      </c>
      <c r="J133" t="str">
        <f>"BP52205J"</f>
        <v>BP52205J</v>
      </c>
      <c r="K133" t="str">
        <f>"INNI"</f>
        <v>INNI</v>
      </c>
      <c r="L133" t="s">
        <v>36</v>
      </c>
      <c r="M133" s="3">
        <v>188.53</v>
      </c>
    </row>
    <row r="134" spans="1:13" x14ac:dyDescent="0.25">
      <c r="A134" t="str">
        <f t="shared" si="62"/>
        <v>E111</v>
      </c>
      <c r="B134">
        <v>1</v>
      </c>
      <c r="C134" t="str">
        <f t="shared" si="63"/>
        <v>32040</v>
      </c>
      <c r="D134" t="str">
        <f t="shared" si="64"/>
        <v>5610</v>
      </c>
      <c r="E134" t="str">
        <f t="shared" si="65"/>
        <v>850LOS</v>
      </c>
      <c r="F134" t="str">
        <f>""</f>
        <v/>
      </c>
      <c r="G134" t="str">
        <f>""</f>
        <v/>
      </c>
      <c r="H134" s="1">
        <v>38898</v>
      </c>
      <c r="I134" t="str">
        <f>"58104801"</f>
        <v>58104801</v>
      </c>
      <c r="J134" t="str">
        <f>"BP52205J"</f>
        <v>BP52205J</v>
      </c>
      <c r="K134" t="str">
        <f>"INNI"</f>
        <v>INNI</v>
      </c>
      <c r="L134" t="s">
        <v>36</v>
      </c>
      <c r="M134" s="3">
        <v>664.17</v>
      </c>
    </row>
    <row r="135" spans="1:13" x14ac:dyDescent="0.25">
      <c r="A135" t="str">
        <f t="shared" si="62"/>
        <v>E111</v>
      </c>
      <c r="B135">
        <v>1</v>
      </c>
      <c r="C135" t="str">
        <f t="shared" si="63"/>
        <v>32040</v>
      </c>
      <c r="D135" t="str">
        <f t="shared" si="64"/>
        <v>5610</v>
      </c>
      <c r="E135" t="str">
        <f t="shared" si="65"/>
        <v>850LOS</v>
      </c>
      <c r="F135" t="str">
        <f>""</f>
        <v/>
      </c>
      <c r="G135" t="str">
        <f>""</f>
        <v/>
      </c>
      <c r="H135" s="1">
        <v>38898</v>
      </c>
      <c r="I135" t="str">
        <f>"ACG01486"</f>
        <v>ACG01486</v>
      </c>
      <c r="J135" t="str">
        <f>"58291601"</f>
        <v>58291601</v>
      </c>
      <c r="K135" t="str">
        <f>"AS89"</f>
        <v>AS89</v>
      </c>
      <c r="L135" t="s">
        <v>8</v>
      </c>
      <c r="M135" s="3">
        <v>3380.59</v>
      </c>
    </row>
    <row r="136" spans="1:13" x14ac:dyDescent="0.25">
      <c r="A136" t="str">
        <f t="shared" si="62"/>
        <v>E111</v>
      </c>
      <c r="B136">
        <v>1</v>
      </c>
      <c r="C136" t="str">
        <f t="shared" ref="C136:C139" si="66">"43000"</f>
        <v>43000</v>
      </c>
      <c r="D136" t="str">
        <f t="shared" ref="D136:D139" si="67">"5740"</f>
        <v>5740</v>
      </c>
      <c r="E136" t="str">
        <f t="shared" si="65"/>
        <v>850LOS</v>
      </c>
      <c r="F136" t="str">
        <f>""</f>
        <v/>
      </c>
      <c r="G136" t="str">
        <f>""</f>
        <v/>
      </c>
      <c r="H136" s="1">
        <v>38539</v>
      </c>
      <c r="I136" t="str">
        <f>"U0024583"</f>
        <v>U0024583</v>
      </c>
      <c r="J136" t="str">
        <f>""</f>
        <v/>
      </c>
      <c r="K136" t="str">
        <f>"ISSU"</f>
        <v>ISSU</v>
      </c>
      <c r="L136" t="s">
        <v>15</v>
      </c>
      <c r="M136" s="3">
        <v>100.87</v>
      </c>
    </row>
    <row r="137" spans="1:13" x14ac:dyDescent="0.25">
      <c r="A137" t="str">
        <f t="shared" si="62"/>
        <v>E111</v>
      </c>
      <c r="B137">
        <v>1</v>
      </c>
      <c r="C137" t="str">
        <f t="shared" si="66"/>
        <v>43000</v>
      </c>
      <c r="D137" t="str">
        <f t="shared" si="67"/>
        <v>5740</v>
      </c>
      <c r="E137" t="str">
        <f t="shared" si="65"/>
        <v>850LOS</v>
      </c>
      <c r="F137" t="str">
        <f>""</f>
        <v/>
      </c>
      <c r="G137" t="str">
        <f>""</f>
        <v/>
      </c>
      <c r="H137" s="1">
        <v>38559</v>
      </c>
      <c r="I137" t="str">
        <f>"U0024741"</f>
        <v>U0024741</v>
      </c>
      <c r="J137" t="str">
        <f>""</f>
        <v/>
      </c>
      <c r="K137" t="str">
        <f>"ISSU"</f>
        <v>ISSU</v>
      </c>
      <c r="L137" t="s">
        <v>15</v>
      </c>
      <c r="M137" s="3">
        <v>254.84</v>
      </c>
    </row>
    <row r="138" spans="1:13" x14ac:dyDescent="0.25">
      <c r="A138" t="str">
        <f t="shared" si="62"/>
        <v>E111</v>
      </c>
      <c r="B138">
        <v>1</v>
      </c>
      <c r="C138" t="str">
        <f t="shared" si="66"/>
        <v>43000</v>
      </c>
      <c r="D138" t="str">
        <f t="shared" si="67"/>
        <v>5740</v>
      </c>
      <c r="E138" t="str">
        <f t="shared" si="65"/>
        <v>850LOS</v>
      </c>
      <c r="F138" t="str">
        <f>""</f>
        <v/>
      </c>
      <c r="G138" t="str">
        <f>""</f>
        <v/>
      </c>
      <c r="H138" s="1">
        <v>38604</v>
      </c>
      <c r="I138" t="str">
        <f>"PCD00196"</f>
        <v>PCD00196</v>
      </c>
      <c r="J138" t="str">
        <f>"31337"</f>
        <v>31337</v>
      </c>
      <c r="K138" t="str">
        <f>"AS89"</f>
        <v>AS89</v>
      </c>
      <c r="L138" t="s">
        <v>45</v>
      </c>
      <c r="M138" s="3">
        <v>119.31</v>
      </c>
    </row>
    <row r="139" spans="1:13" x14ac:dyDescent="0.25">
      <c r="A139" t="str">
        <f t="shared" si="62"/>
        <v>E111</v>
      </c>
      <c r="B139">
        <v>1</v>
      </c>
      <c r="C139" t="str">
        <f t="shared" si="66"/>
        <v>43000</v>
      </c>
      <c r="D139" t="str">
        <f t="shared" si="67"/>
        <v>5740</v>
      </c>
      <c r="E139" t="str">
        <f t="shared" si="65"/>
        <v>850LOS</v>
      </c>
      <c r="F139" t="str">
        <f>""</f>
        <v/>
      </c>
      <c r="G139" t="str">
        <f>""</f>
        <v/>
      </c>
      <c r="H139" s="1">
        <v>38611</v>
      </c>
      <c r="I139" t="str">
        <f>"U0025092"</f>
        <v>U0025092</v>
      </c>
      <c r="J139" t="str">
        <f>""</f>
        <v/>
      </c>
      <c r="K139" t="str">
        <f>"ISSU"</f>
        <v>ISSU</v>
      </c>
      <c r="L139" t="s">
        <v>15</v>
      </c>
      <c r="M139" s="3">
        <v>258.39999999999998</v>
      </c>
    </row>
    <row r="140" spans="1:13" x14ac:dyDescent="0.25">
      <c r="A140" t="str">
        <f t="shared" si="62"/>
        <v>E111</v>
      </c>
      <c r="B140">
        <v>1</v>
      </c>
      <c r="C140" t="str">
        <f t="shared" ref="C140:C149" si="68">"43000"</f>
        <v>43000</v>
      </c>
      <c r="D140" t="str">
        <f t="shared" ref="D140:D149" si="69">"5740"</f>
        <v>5740</v>
      </c>
      <c r="E140" t="str">
        <f t="shared" si="65"/>
        <v>850LOS</v>
      </c>
      <c r="F140" t="str">
        <f>""</f>
        <v/>
      </c>
      <c r="G140" t="str">
        <f>""</f>
        <v/>
      </c>
      <c r="H140" s="1">
        <v>38625</v>
      </c>
      <c r="I140" t="str">
        <f t="shared" ref="I140:I141" si="70">"CST00318"</f>
        <v>CST00318</v>
      </c>
      <c r="J140" t="str">
        <f>"23373245"</f>
        <v>23373245</v>
      </c>
      <c r="K140" t="str">
        <f t="shared" ref="K140:K141" si="71">"AS96"</f>
        <v>AS96</v>
      </c>
      <c r="L140" t="s">
        <v>46</v>
      </c>
      <c r="M140" s="3">
        <v>216.6</v>
      </c>
    </row>
    <row r="141" spans="1:13" x14ac:dyDescent="0.25">
      <c r="A141" t="str">
        <f t="shared" si="62"/>
        <v>E111</v>
      </c>
      <c r="B141">
        <v>1</v>
      </c>
      <c r="C141" t="str">
        <f t="shared" si="68"/>
        <v>43000</v>
      </c>
      <c r="D141" t="str">
        <f t="shared" si="69"/>
        <v>5740</v>
      </c>
      <c r="E141" t="str">
        <f t="shared" si="65"/>
        <v>850LOS</v>
      </c>
      <c r="F141" t="str">
        <f>""</f>
        <v/>
      </c>
      <c r="G141" t="str">
        <f>""</f>
        <v/>
      </c>
      <c r="H141" s="1">
        <v>38625</v>
      </c>
      <c r="I141" t="str">
        <f t="shared" si="70"/>
        <v>CST00318</v>
      </c>
      <c r="J141" t="str">
        <f>"23806056"</f>
        <v>23806056</v>
      </c>
      <c r="K141" t="str">
        <f t="shared" si="71"/>
        <v>AS96</v>
      </c>
      <c r="L141" t="s">
        <v>47</v>
      </c>
      <c r="M141" s="3">
        <v>141.86000000000001</v>
      </c>
    </row>
    <row r="142" spans="1:13" x14ac:dyDescent="0.25">
      <c r="A142" t="str">
        <f t="shared" si="62"/>
        <v>E111</v>
      </c>
      <c r="B142">
        <v>1</v>
      </c>
      <c r="C142" t="str">
        <f t="shared" si="68"/>
        <v>43000</v>
      </c>
      <c r="D142" t="str">
        <f t="shared" si="69"/>
        <v>5740</v>
      </c>
      <c r="E142" t="str">
        <f t="shared" si="65"/>
        <v>850LOS</v>
      </c>
      <c r="F142" t="str">
        <f>""</f>
        <v/>
      </c>
      <c r="G142" t="str">
        <f>""</f>
        <v/>
      </c>
      <c r="H142" s="1">
        <v>38626</v>
      </c>
      <c r="I142" t="str">
        <f>"00276646"</f>
        <v>00276646</v>
      </c>
      <c r="J142" t="str">
        <f>"F076319"</f>
        <v>F076319</v>
      </c>
      <c r="K142" t="str">
        <f>"INEI"</f>
        <v>INEI</v>
      </c>
      <c r="L142" t="s">
        <v>44</v>
      </c>
      <c r="M142" s="3">
        <v>1709.92</v>
      </c>
    </row>
    <row r="143" spans="1:13" x14ac:dyDescent="0.25">
      <c r="A143" t="str">
        <f t="shared" si="62"/>
        <v>E111</v>
      </c>
      <c r="B143">
        <v>1</v>
      </c>
      <c r="C143" t="str">
        <f t="shared" si="68"/>
        <v>43000</v>
      </c>
      <c r="D143" t="str">
        <f t="shared" si="69"/>
        <v>5740</v>
      </c>
      <c r="E143" t="str">
        <f t="shared" si="65"/>
        <v>850LOS</v>
      </c>
      <c r="F143" t="str">
        <f>""</f>
        <v/>
      </c>
      <c r="G143" t="str">
        <f>""</f>
        <v/>
      </c>
      <c r="H143" s="1">
        <v>38632</v>
      </c>
      <c r="I143" t="str">
        <f t="shared" ref="I143" si="72">"PCD00200"</f>
        <v>PCD00200</v>
      </c>
      <c r="J143" t="str">
        <f>"32115"</f>
        <v>32115</v>
      </c>
      <c r="K143" t="str">
        <f t="shared" ref="K143" si="73">"AS89"</f>
        <v>AS89</v>
      </c>
      <c r="L143" t="s">
        <v>49</v>
      </c>
      <c r="M143" s="3">
        <v>125.15</v>
      </c>
    </row>
    <row r="144" spans="1:13" x14ac:dyDescent="0.25">
      <c r="A144" t="str">
        <f t="shared" si="62"/>
        <v>E111</v>
      </c>
      <c r="B144">
        <v>1</v>
      </c>
      <c r="C144" t="str">
        <f t="shared" si="68"/>
        <v>43000</v>
      </c>
      <c r="D144" t="str">
        <f t="shared" si="69"/>
        <v>5740</v>
      </c>
      <c r="E144" t="str">
        <f t="shared" si="65"/>
        <v>850LOS</v>
      </c>
      <c r="F144" t="str">
        <f>""</f>
        <v/>
      </c>
      <c r="G144" t="str">
        <f>""</f>
        <v/>
      </c>
      <c r="H144" s="1">
        <v>38649</v>
      </c>
      <c r="I144" t="str">
        <f>"U0025458"</f>
        <v>U0025458</v>
      </c>
      <c r="J144" t="str">
        <f>""</f>
        <v/>
      </c>
      <c r="K144" t="str">
        <f>"ISSU"</f>
        <v>ISSU</v>
      </c>
      <c r="L144" t="s">
        <v>15</v>
      </c>
      <c r="M144" s="3">
        <v>265.49</v>
      </c>
    </row>
    <row r="145" spans="1:13" x14ac:dyDescent="0.25">
      <c r="A145" t="str">
        <f t="shared" ref="A145:A159" si="74">"E111"</f>
        <v>E111</v>
      </c>
      <c r="B145">
        <v>1</v>
      </c>
      <c r="C145" t="str">
        <f t="shared" si="68"/>
        <v>43000</v>
      </c>
      <c r="D145" t="str">
        <f t="shared" si="69"/>
        <v>5740</v>
      </c>
      <c r="E145" t="str">
        <f t="shared" ref="E145:E159" si="75">"850LOS"</f>
        <v>850LOS</v>
      </c>
      <c r="F145" t="str">
        <f>""</f>
        <v/>
      </c>
      <c r="G145" t="str">
        <f>""</f>
        <v/>
      </c>
      <c r="H145" s="1">
        <v>38663</v>
      </c>
      <c r="I145" t="str">
        <f>"PCD00206"</f>
        <v>PCD00206</v>
      </c>
      <c r="J145" t="str">
        <f>"32787"</f>
        <v>32787</v>
      </c>
      <c r="K145" t="str">
        <f>"AS89"</f>
        <v>AS89</v>
      </c>
      <c r="L145" t="s">
        <v>50</v>
      </c>
      <c r="M145" s="3">
        <v>337.66</v>
      </c>
    </row>
    <row r="146" spans="1:13" x14ac:dyDescent="0.25">
      <c r="A146" t="str">
        <f t="shared" si="74"/>
        <v>E111</v>
      </c>
      <c r="B146">
        <v>1</v>
      </c>
      <c r="C146" t="str">
        <f t="shared" si="68"/>
        <v>43000</v>
      </c>
      <c r="D146" t="str">
        <f t="shared" si="69"/>
        <v>5740</v>
      </c>
      <c r="E146" t="str">
        <f t="shared" si="75"/>
        <v>850LOS</v>
      </c>
      <c r="F146" t="str">
        <f>""</f>
        <v/>
      </c>
      <c r="G146" t="str">
        <f>""</f>
        <v/>
      </c>
      <c r="H146" s="1">
        <v>38663</v>
      </c>
      <c r="I146" t="str">
        <f>"PCD00206"</f>
        <v>PCD00206</v>
      </c>
      <c r="J146" t="str">
        <f>"33171"</f>
        <v>33171</v>
      </c>
      <c r="K146" t="str">
        <f>"AS89"</f>
        <v>AS89</v>
      </c>
      <c r="L146" t="s">
        <v>51</v>
      </c>
      <c r="M146" s="3">
        <v>1000</v>
      </c>
    </row>
    <row r="147" spans="1:13" x14ac:dyDescent="0.25">
      <c r="A147" t="str">
        <f t="shared" si="74"/>
        <v>E111</v>
      </c>
      <c r="B147">
        <v>1</v>
      </c>
      <c r="C147" t="str">
        <f t="shared" si="68"/>
        <v>43000</v>
      </c>
      <c r="D147" t="str">
        <f t="shared" si="69"/>
        <v>5740</v>
      </c>
      <c r="E147" t="str">
        <f t="shared" si="75"/>
        <v>850LOS</v>
      </c>
      <c r="F147" t="str">
        <f>""</f>
        <v/>
      </c>
      <c r="G147" t="str">
        <f>""</f>
        <v/>
      </c>
      <c r="H147" s="1">
        <v>38670</v>
      </c>
      <c r="I147" t="str">
        <f>"PCD00207"</f>
        <v>PCD00207</v>
      </c>
      <c r="J147" t="str">
        <f>"33659"</f>
        <v>33659</v>
      </c>
      <c r="K147" t="str">
        <f>"AS89"</f>
        <v>AS89</v>
      </c>
      <c r="L147" t="s">
        <v>52</v>
      </c>
      <c r="M147" s="3">
        <v>124.45</v>
      </c>
    </row>
    <row r="148" spans="1:13" x14ac:dyDescent="0.25">
      <c r="A148" t="str">
        <f t="shared" si="74"/>
        <v>E111</v>
      </c>
      <c r="B148">
        <v>1</v>
      </c>
      <c r="C148" t="str">
        <f t="shared" si="68"/>
        <v>43000</v>
      </c>
      <c r="D148" t="str">
        <f t="shared" si="69"/>
        <v>5740</v>
      </c>
      <c r="E148" t="str">
        <f t="shared" si="75"/>
        <v>850LOS</v>
      </c>
      <c r="F148" t="str">
        <f>""</f>
        <v/>
      </c>
      <c r="G148" t="str">
        <f>""</f>
        <v/>
      </c>
      <c r="H148" s="1">
        <v>38686</v>
      </c>
      <c r="I148" t="str">
        <f>"CST00322"</f>
        <v>CST00322</v>
      </c>
      <c r="J148" t="str">
        <f>"26972064"</f>
        <v>26972064</v>
      </c>
      <c r="K148" t="str">
        <f>"AS96"</f>
        <v>AS96</v>
      </c>
      <c r="L148" t="s">
        <v>53</v>
      </c>
      <c r="M148" s="3">
        <v>113.4</v>
      </c>
    </row>
    <row r="149" spans="1:13" x14ac:dyDescent="0.25">
      <c r="A149" t="str">
        <f t="shared" si="74"/>
        <v>E111</v>
      </c>
      <c r="B149">
        <v>1</v>
      </c>
      <c r="C149" t="str">
        <f t="shared" si="68"/>
        <v>43000</v>
      </c>
      <c r="D149" t="str">
        <f t="shared" si="69"/>
        <v>5740</v>
      </c>
      <c r="E149" t="str">
        <f t="shared" si="75"/>
        <v>850LOS</v>
      </c>
      <c r="F149" t="str">
        <f>""</f>
        <v/>
      </c>
      <c r="G149" t="str">
        <f>""</f>
        <v/>
      </c>
      <c r="H149" s="1">
        <v>38687</v>
      </c>
      <c r="I149" t="str">
        <f>"19078"</f>
        <v>19078</v>
      </c>
      <c r="J149" t="str">
        <f>"F076336"</f>
        <v>F076336</v>
      </c>
      <c r="K149" t="str">
        <f>"INEI"</f>
        <v>INEI</v>
      </c>
      <c r="L149" t="s">
        <v>48</v>
      </c>
      <c r="M149" s="3">
        <v>1906.08</v>
      </c>
    </row>
    <row r="150" spans="1:13" x14ac:dyDescent="0.25">
      <c r="A150" t="str">
        <f t="shared" si="74"/>
        <v>E111</v>
      </c>
      <c r="B150">
        <v>1</v>
      </c>
      <c r="C150" t="str">
        <f t="shared" ref="C150:C152" si="76">"43000"</f>
        <v>43000</v>
      </c>
      <c r="D150" t="str">
        <f t="shared" ref="D150:D152" si="77">"5740"</f>
        <v>5740</v>
      </c>
      <c r="E150" t="str">
        <f t="shared" si="75"/>
        <v>850LOS</v>
      </c>
      <c r="F150" t="str">
        <f>""</f>
        <v/>
      </c>
      <c r="G150" t="str">
        <f>""</f>
        <v/>
      </c>
      <c r="H150" s="1">
        <v>38751</v>
      </c>
      <c r="I150" t="str">
        <f>"PCD00218"</f>
        <v>PCD00218</v>
      </c>
      <c r="J150" t="str">
        <f>"35872"</f>
        <v>35872</v>
      </c>
      <c r="K150" t="str">
        <f>"AS89"</f>
        <v>AS89</v>
      </c>
      <c r="L150" t="s">
        <v>54</v>
      </c>
      <c r="M150" s="3">
        <v>256.54000000000002</v>
      </c>
    </row>
    <row r="151" spans="1:13" x14ac:dyDescent="0.25">
      <c r="A151" t="str">
        <f t="shared" si="74"/>
        <v>E111</v>
      </c>
      <c r="B151">
        <v>1</v>
      </c>
      <c r="C151" t="str">
        <f t="shared" si="76"/>
        <v>43000</v>
      </c>
      <c r="D151" t="str">
        <f t="shared" si="77"/>
        <v>5740</v>
      </c>
      <c r="E151" t="str">
        <f t="shared" si="75"/>
        <v>850LOS</v>
      </c>
      <c r="F151" t="str">
        <f>""</f>
        <v/>
      </c>
      <c r="G151" t="str">
        <f>""</f>
        <v/>
      </c>
      <c r="H151" s="1">
        <v>38751</v>
      </c>
      <c r="I151" t="str">
        <f>"PCD00218"</f>
        <v>PCD00218</v>
      </c>
      <c r="J151" t="str">
        <f>"36134"</f>
        <v>36134</v>
      </c>
      <c r="K151" t="str">
        <f>"AS89"</f>
        <v>AS89</v>
      </c>
      <c r="L151" t="s">
        <v>55</v>
      </c>
      <c r="M151" s="3">
        <v>349.79</v>
      </c>
    </row>
    <row r="152" spans="1:13" x14ac:dyDescent="0.25">
      <c r="A152" t="str">
        <f t="shared" si="74"/>
        <v>E111</v>
      </c>
      <c r="B152">
        <v>1</v>
      </c>
      <c r="C152" t="str">
        <f t="shared" si="76"/>
        <v>43000</v>
      </c>
      <c r="D152" t="str">
        <f t="shared" si="77"/>
        <v>5740</v>
      </c>
      <c r="E152" t="str">
        <f t="shared" si="75"/>
        <v>850LOS</v>
      </c>
      <c r="F152" t="str">
        <f>""</f>
        <v/>
      </c>
      <c r="G152" t="str">
        <f>""</f>
        <v/>
      </c>
      <c r="H152" s="1">
        <v>38776</v>
      </c>
      <c r="I152" t="str">
        <f>"C0007469"</f>
        <v>C0007469</v>
      </c>
      <c r="J152" t="str">
        <f>""</f>
        <v/>
      </c>
      <c r="K152" t="str">
        <f>"ISSU"</f>
        <v>ISSU</v>
      </c>
      <c r="L152" t="s">
        <v>15</v>
      </c>
      <c r="M152" s="3">
        <v>166.32</v>
      </c>
    </row>
    <row r="153" spans="1:13" x14ac:dyDescent="0.25">
      <c r="A153" t="str">
        <f t="shared" si="74"/>
        <v>E111</v>
      </c>
      <c r="B153">
        <v>1</v>
      </c>
      <c r="C153" t="str">
        <f t="shared" ref="C153:C159" si="78">"43000"</f>
        <v>43000</v>
      </c>
      <c r="D153" t="str">
        <f t="shared" ref="D153:D159" si="79">"5740"</f>
        <v>5740</v>
      </c>
      <c r="E153" t="str">
        <f t="shared" si="75"/>
        <v>850LOS</v>
      </c>
      <c r="F153" t="str">
        <f>""</f>
        <v/>
      </c>
      <c r="G153" t="str">
        <f>""</f>
        <v/>
      </c>
      <c r="H153" s="1">
        <v>38807</v>
      </c>
      <c r="I153" t="str">
        <f>"CST00329"</f>
        <v>CST00329</v>
      </c>
      <c r="J153" t="str">
        <f>"34417303"</f>
        <v>34417303</v>
      </c>
      <c r="K153" t="str">
        <f>"AS96"</f>
        <v>AS96</v>
      </c>
      <c r="L153" t="s">
        <v>56</v>
      </c>
      <c r="M153" s="3">
        <v>139.97999999999999</v>
      </c>
    </row>
    <row r="154" spans="1:13" x14ac:dyDescent="0.25">
      <c r="A154" t="str">
        <f t="shared" si="74"/>
        <v>E111</v>
      </c>
      <c r="B154">
        <v>1</v>
      </c>
      <c r="C154" t="str">
        <f t="shared" si="78"/>
        <v>43000</v>
      </c>
      <c r="D154" t="str">
        <f t="shared" si="79"/>
        <v>5740</v>
      </c>
      <c r="E154" t="str">
        <f t="shared" si="75"/>
        <v>850LOS</v>
      </c>
      <c r="F154" t="str">
        <f>""</f>
        <v/>
      </c>
      <c r="G154" t="str">
        <f>""</f>
        <v/>
      </c>
      <c r="H154" s="1">
        <v>38819</v>
      </c>
      <c r="I154" t="str">
        <f>"C0007820"</f>
        <v>C0007820</v>
      </c>
      <c r="J154" t="str">
        <f>""</f>
        <v/>
      </c>
      <c r="K154" t="str">
        <f>"ISSU"</f>
        <v>ISSU</v>
      </c>
      <c r="L154" t="s">
        <v>15</v>
      </c>
      <c r="M154" s="3">
        <v>268.69</v>
      </c>
    </row>
    <row r="155" spans="1:13" x14ac:dyDescent="0.25">
      <c r="A155" t="str">
        <f t="shared" si="74"/>
        <v>E111</v>
      </c>
      <c r="B155">
        <v>1</v>
      </c>
      <c r="C155" t="str">
        <f t="shared" si="78"/>
        <v>43000</v>
      </c>
      <c r="D155" t="str">
        <f t="shared" si="79"/>
        <v>5740</v>
      </c>
      <c r="E155" t="str">
        <f t="shared" si="75"/>
        <v>850LOS</v>
      </c>
      <c r="F155" t="str">
        <f>""</f>
        <v/>
      </c>
      <c r="G155" t="str">
        <f>""</f>
        <v/>
      </c>
      <c r="H155" s="1">
        <v>38821</v>
      </c>
      <c r="I155" t="str">
        <f>"PCD00225"</f>
        <v>PCD00225</v>
      </c>
      <c r="J155" t="str">
        <f>"38538"</f>
        <v>38538</v>
      </c>
      <c r="K155" t="str">
        <f>"AS89"</f>
        <v>AS89</v>
      </c>
      <c r="L155" t="s">
        <v>57</v>
      </c>
      <c r="M155" s="3">
        <v>199.89</v>
      </c>
    </row>
    <row r="156" spans="1:13" x14ac:dyDescent="0.25">
      <c r="A156" t="str">
        <f t="shared" si="74"/>
        <v>E111</v>
      </c>
      <c r="B156">
        <v>1</v>
      </c>
      <c r="C156" t="str">
        <f t="shared" si="78"/>
        <v>43000</v>
      </c>
      <c r="D156" t="str">
        <f t="shared" si="79"/>
        <v>5740</v>
      </c>
      <c r="E156" t="str">
        <f t="shared" si="75"/>
        <v>850LOS</v>
      </c>
      <c r="F156" t="str">
        <f>""</f>
        <v/>
      </c>
      <c r="G156" t="str">
        <f>""</f>
        <v/>
      </c>
      <c r="H156" s="1">
        <v>38847</v>
      </c>
      <c r="I156" t="str">
        <f>"C0008062"</f>
        <v>C0008062</v>
      </c>
      <c r="J156" t="str">
        <f>""</f>
        <v/>
      </c>
      <c r="K156" t="str">
        <f>"ISSU"</f>
        <v>ISSU</v>
      </c>
      <c r="L156" t="s">
        <v>15</v>
      </c>
      <c r="M156" s="3">
        <v>166.19</v>
      </c>
    </row>
    <row r="157" spans="1:13" x14ac:dyDescent="0.25">
      <c r="A157" t="str">
        <f t="shared" si="74"/>
        <v>E111</v>
      </c>
      <c r="B157">
        <v>1</v>
      </c>
      <c r="C157" t="str">
        <f t="shared" si="78"/>
        <v>43000</v>
      </c>
      <c r="D157" t="str">
        <f t="shared" si="79"/>
        <v>5740</v>
      </c>
      <c r="E157" t="str">
        <f t="shared" si="75"/>
        <v>850LOS</v>
      </c>
      <c r="F157" t="str">
        <f>""</f>
        <v/>
      </c>
      <c r="G157" t="str">
        <f>""</f>
        <v/>
      </c>
      <c r="H157" s="1">
        <v>38856</v>
      </c>
      <c r="I157" t="str">
        <f>"PCD00229"</f>
        <v>PCD00229</v>
      </c>
      <c r="J157" t="str">
        <f>"41023"</f>
        <v>41023</v>
      </c>
      <c r="K157" t="str">
        <f>"AS89"</f>
        <v>AS89</v>
      </c>
      <c r="L157" t="s">
        <v>58</v>
      </c>
      <c r="M157" s="3">
        <v>123.04</v>
      </c>
    </row>
    <row r="158" spans="1:13" x14ac:dyDescent="0.25">
      <c r="A158" t="str">
        <f t="shared" si="74"/>
        <v>E111</v>
      </c>
      <c r="B158">
        <v>1</v>
      </c>
      <c r="C158" t="str">
        <f t="shared" si="78"/>
        <v>43000</v>
      </c>
      <c r="D158" t="str">
        <f t="shared" si="79"/>
        <v>5740</v>
      </c>
      <c r="E158" t="str">
        <f t="shared" si="75"/>
        <v>850LOS</v>
      </c>
      <c r="F158" t="str">
        <f>""</f>
        <v/>
      </c>
      <c r="G158" t="str">
        <f>""</f>
        <v/>
      </c>
      <c r="H158" s="1">
        <v>38868</v>
      </c>
      <c r="I158" t="str">
        <f>"CST00333"</f>
        <v>CST00333</v>
      </c>
      <c r="J158" t="str">
        <f>"38630580"</f>
        <v>38630580</v>
      </c>
      <c r="K158" t="str">
        <f>"AS96"</f>
        <v>AS96</v>
      </c>
      <c r="L158" t="s">
        <v>59</v>
      </c>
      <c r="M158" s="3">
        <v>122.85</v>
      </c>
    </row>
    <row r="159" spans="1:13" x14ac:dyDescent="0.25">
      <c r="A159" t="str">
        <f t="shared" si="74"/>
        <v>E111</v>
      </c>
      <c r="B159">
        <v>1</v>
      </c>
      <c r="C159" t="str">
        <f t="shared" si="78"/>
        <v>43000</v>
      </c>
      <c r="D159" t="str">
        <f t="shared" si="79"/>
        <v>5740</v>
      </c>
      <c r="E159" t="str">
        <f t="shared" si="75"/>
        <v>850LOS</v>
      </c>
      <c r="F159" t="str">
        <f>""</f>
        <v/>
      </c>
      <c r="G159" t="str">
        <f>""</f>
        <v/>
      </c>
      <c r="H159" s="1">
        <v>38884</v>
      </c>
      <c r="I159" t="str">
        <f>"C0008330"</f>
        <v>C0008330</v>
      </c>
      <c r="J159" t="str">
        <f>""</f>
        <v/>
      </c>
      <c r="K159" t="str">
        <f>"ISSU"</f>
        <v>ISSU</v>
      </c>
      <c r="L159" t="s">
        <v>15</v>
      </c>
      <c r="M159" s="3">
        <v>201.39</v>
      </c>
    </row>
    <row r="160" spans="1:13" x14ac:dyDescent="0.25">
      <c r="A160" t="str">
        <f t="shared" ref="A160:A170" si="80">"E111"</f>
        <v>E111</v>
      </c>
      <c r="B160">
        <v>1</v>
      </c>
      <c r="C160" t="str">
        <f t="shared" ref="C160:C166" si="81">"43000"</f>
        <v>43000</v>
      </c>
      <c r="D160" t="str">
        <f t="shared" ref="D160:D166" si="82">"5740"</f>
        <v>5740</v>
      </c>
      <c r="E160" t="str">
        <f t="shared" ref="E160:E166" si="83">"850PKE"</f>
        <v>850PKE</v>
      </c>
      <c r="F160" t="str">
        <f>""</f>
        <v/>
      </c>
      <c r="G160" t="str">
        <f>""</f>
        <v/>
      </c>
      <c r="H160" s="1">
        <v>38632</v>
      </c>
      <c r="I160" t="str">
        <f>"PCD00200"</f>
        <v>PCD00200</v>
      </c>
      <c r="J160" t="str">
        <f>"32515"</f>
        <v>32515</v>
      </c>
      <c r="K160" t="str">
        <f>"AS89"</f>
        <v>AS89</v>
      </c>
      <c r="L160" t="s">
        <v>60</v>
      </c>
      <c r="M160" s="3">
        <v>1000</v>
      </c>
    </row>
    <row r="161" spans="1:13" x14ac:dyDescent="0.25">
      <c r="A161" t="str">
        <f t="shared" si="80"/>
        <v>E111</v>
      </c>
      <c r="B161">
        <v>1</v>
      </c>
      <c r="C161" t="str">
        <f t="shared" si="81"/>
        <v>43000</v>
      </c>
      <c r="D161" t="str">
        <f t="shared" si="82"/>
        <v>5740</v>
      </c>
      <c r="E161" t="str">
        <f t="shared" si="83"/>
        <v>850PKE</v>
      </c>
      <c r="F161" t="str">
        <f>""</f>
        <v/>
      </c>
      <c r="G161" t="str">
        <f>""</f>
        <v/>
      </c>
      <c r="H161" s="1">
        <v>38705</v>
      </c>
      <c r="I161" t="str">
        <f>"PCD00211"</f>
        <v>PCD00211</v>
      </c>
      <c r="J161" t="str">
        <f>"34815"</f>
        <v>34815</v>
      </c>
      <c r="K161" t="str">
        <f>"AS89"</f>
        <v>AS89</v>
      </c>
      <c r="L161" t="s">
        <v>61</v>
      </c>
      <c r="M161" s="3">
        <v>162.30000000000001</v>
      </c>
    </row>
    <row r="162" spans="1:13" x14ac:dyDescent="0.25">
      <c r="A162" t="str">
        <f t="shared" si="80"/>
        <v>E111</v>
      </c>
      <c r="B162">
        <v>1</v>
      </c>
      <c r="C162" t="str">
        <f t="shared" si="81"/>
        <v>43000</v>
      </c>
      <c r="D162" t="str">
        <f t="shared" si="82"/>
        <v>5740</v>
      </c>
      <c r="E162" t="str">
        <f t="shared" si="83"/>
        <v>850PKE</v>
      </c>
      <c r="F162" t="str">
        <f>""</f>
        <v/>
      </c>
      <c r="G162" t="str">
        <f>""</f>
        <v/>
      </c>
      <c r="H162" s="1">
        <v>38741</v>
      </c>
      <c r="I162" t="str">
        <f>"C0007173"</f>
        <v>C0007173</v>
      </c>
      <c r="J162" t="str">
        <f>""</f>
        <v/>
      </c>
      <c r="K162" t="str">
        <f>"ISSU"</f>
        <v>ISSU</v>
      </c>
      <c r="L162" t="s">
        <v>23</v>
      </c>
      <c r="M162" s="3">
        <v>149.41999999999999</v>
      </c>
    </row>
    <row r="163" spans="1:13" x14ac:dyDescent="0.25">
      <c r="A163" t="str">
        <f t="shared" si="80"/>
        <v>E111</v>
      </c>
      <c r="B163">
        <v>1</v>
      </c>
      <c r="C163" t="str">
        <f t="shared" si="81"/>
        <v>43000</v>
      </c>
      <c r="D163" t="str">
        <f t="shared" si="82"/>
        <v>5740</v>
      </c>
      <c r="E163" t="str">
        <f t="shared" si="83"/>
        <v>850PKE</v>
      </c>
      <c r="F163" t="str">
        <f>""</f>
        <v/>
      </c>
      <c r="G163" t="str">
        <f>""</f>
        <v/>
      </c>
      <c r="H163" s="1">
        <v>38764</v>
      </c>
      <c r="I163" t="str">
        <f>"C0007385"</f>
        <v>C0007385</v>
      </c>
      <c r="J163" t="str">
        <f>""</f>
        <v/>
      </c>
      <c r="K163" t="str">
        <f>"ISSU"</f>
        <v>ISSU</v>
      </c>
      <c r="L163" t="s">
        <v>15</v>
      </c>
      <c r="M163" s="3">
        <v>118.61</v>
      </c>
    </row>
    <row r="164" spans="1:13" x14ac:dyDescent="0.25">
      <c r="A164" t="str">
        <f t="shared" si="80"/>
        <v>E111</v>
      </c>
      <c r="B164">
        <v>1</v>
      </c>
      <c r="C164" t="str">
        <f t="shared" si="81"/>
        <v>43000</v>
      </c>
      <c r="D164" t="str">
        <f t="shared" si="82"/>
        <v>5740</v>
      </c>
      <c r="E164" t="str">
        <f t="shared" si="83"/>
        <v>850PKE</v>
      </c>
      <c r="F164" t="str">
        <f>""</f>
        <v/>
      </c>
      <c r="G164" t="str">
        <f>""</f>
        <v/>
      </c>
      <c r="H164" s="1">
        <v>38863</v>
      </c>
      <c r="I164" t="str">
        <f>"PCD00230"</f>
        <v>PCD00230</v>
      </c>
      <c r="J164" t="str">
        <f>"41111"</f>
        <v>41111</v>
      </c>
      <c r="K164" t="str">
        <f t="shared" ref="K164:K166" si="84">"AS89"</f>
        <v>AS89</v>
      </c>
      <c r="L164" t="s">
        <v>62</v>
      </c>
      <c r="M164" s="3">
        <v>1000</v>
      </c>
    </row>
    <row r="165" spans="1:13" x14ac:dyDescent="0.25">
      <c r="A165" t="str">
        <f t="shared" si="80"/>
        <v>E111</v>
      </c>
      <c r="B165">
        <v>1</v>
      </c>
      <c r="C165" t="str">
        <f t="shared" si="81"/>
        <v>43000</v>
      </c>
      <c r="D165" t="str">
        <f t="shared" si="82"/>
        <v>5740</v>
      </c>
      <c r="E165" t="str">
        <f t="shared" si="83"/>
        <v>850PKE</v>
      </c>
      <c r="F165" t="str">
        <f>""</f>
        <v/>
      </c>
      <c r="G165" t="str">
        <f>""</f>
        <v/>
      </c>
      <c r="H165" s="1">
        <v>38898</v>
      </c>
      <c r="I165" t="str">
        <f>"PCD00235"</f>
        <v>PCD00235</v>
      </c>
      <c r="J165" t="str">
        <f>"42227"</f>
        <v>42227</v>
      </c>
      <c r="K165" t="str">
        <f t="shared" si="84"/>
        <v>AS89</v>
      </c>
      <c r="L165" t="s">
        <v>63</v>
      </c>
      <c r="M165" s="3">
        <v>109.73</v>
      </c>
    </row>
    <row r="166" spans="1:13" x14ac:dyDescent="0.25">
      <c r="A166" t="str">
        <f t="shared" si="80"/>
        <v>E111</v>
      </c>
      <c r="B166">
        <v>1</v>
      </c>
      <c r="C166" t="str">
        <f t="shared" si="81"/>
        <v>43000</v>
      </c>
      <c r="D166" t="str">
        <f t="shared" si="82"/>
        <v>5740</v>
      </c>
      <c r="E166" t="str">
        <f t="shared" si="83"/>
        <v>850PKE</v>
      </c>
      <c r="F166" t="str">
        <f>""</f>
        <v/>
      </c>
      <c r="G166" t="str">
        <f>""</f>
        <v/>
      </c>
      <c r="H166" s="1">
        <v>38898</v>
      </c>
      <c r="I166" t="str">
        <f>"PCD00235"</f>
        <v>PCD00235</v>
      </c>
      <c r="J166" t="str">
        <f>"42780"</f>
        <v>42780</v>
      </c>
      <c r="K166" t="str">
        <f t="shared" si="84"/>
        <v>AS89</v>
      </c>
      <c r="L166" t="s">
        <v>64</v>
      </c>
      <c r="M166" s="3">
        <v>1000</v>
      </c>
    </row>
    <row r="167" spans="1:13" x14ac:dyDescent="0.25">
      <c r="A167" t="str">
        <f t="shared" si="80"/>
        <v>E111</v>
      </c>
      <c r="B167">
        <v>1</v>
      </c>
      <c r="C167" t="str">
        <f t="shared" ref="C167" si="85">"43001"</f>
        <v>43001</v>
      </c>
      <c r="D167" t="str">
        <f t="shared" ref="D167:D170" si="86">"5740"</f>
        <v>5740</v>
      </c>
      <c r="E167" t="str">
        <f t="shared" ref="E167:E170" si="87">"850LOS"</f>
        <v>850LOS</v>
      </c>
      <c r="F167" t="str">
        <f>""</f>
        <v/>
      </c>
      <c r="G167" t="str">
        <f>""</f>
        <v/>
      </c>
      <c r="H167" s="1">
        <v>38751</v>
      </c>
      <c r="I167" t="str">
        <f>"PCD00218"</f>
        <v>PCD00218</v>
      </c>
      <c r="J167" t="str">
        <f>"36165"</f>
        <v>36165</v>
      </c>
      <c r="K167" t="str">
        <f>"AS89"</f>
        <v>AS89</v>
      </c>
      <c r="L167" t="s">
        <v>65</v>
      </c>
      <c r="M167" s="3">
        <v>342.29</v>
      </c>
    </row>
    <row r="168" spans="1:13" x14ac:dyDescent="0.25">
      <c r="A168" t="str">
        <f t="shared" si="80"/>
        <v>E111</v>
      </c>
      <c r="B168">
        <v>1</v>
      </c>
      <c r="C168" t="str">
        <f>"43003"</f>
        <v>43003</v>
      </c>
      <c r="D168" t="str">
        <f t="shared" si="86"/>
        <v>5740</v>
      </c>
      <c r="E168" t="str">
        <f t="shared" si="87"/>
        <v>850LOS</v>
      </c>
      <c r="F168" t="str">
        <f>""</f>
        <v/>
      </c>
      <c r="G168" t="str">
        <f>""</f>
        <v/>
      </c>
      <c r="H168" s="1">
        <v>38670</v>
      </c>
      <c r="I168" t="str">
        <f>"PCD00207"</f>
        <v>PCD00207</v>
      </c>
      <c r="J168" t="str">
        <f>"33772"</f>
        <v>33772</v>
      </c>
      <c r="K168" t="str">
        <f t="shared" ref="K168:K170" si="88">"AS89"</f>
        <v>AS89</v>
      </c>
      <c r="L168" t="s">
        <v>66</v>
      </c>
      <c r="M168" s="3">
        <v>119.25</v>
      </c>
    </row>
    <row r="169" spans="1:13" x14ac:dyDescent="0.25">
      <c r="A169" t="str">
        <f t="shared" si="80"/>
        <v>E111</v>
      </c>
      <c r="B169">
        <v>1</v>
      </c>
      <c r="C169" t="str">
        <f>"43003"</f>
        <v>43003</v>
      </c>
      <c r="D169" t="str">
        <f t="shared" si="86"/>
        <v>5740</v>
      </c>
      <c r="E169" t="str">
        <f t="shared" si="87"/>
        <v>850LOS</v>
      </c>
      <c r="F169" t="str">
        <f>""</f>
        <v/>
      </c>
      <c r="G169" t="str">
        <f>""</f>
        <v/>
      </c>
      <c r="H169" s="1">
        <v>38877</v>
      </c>
      <c r="I169" t="str">
        <f>"PCD00232"</f>
        <v>PCD00232</v>
      </c>
      <c r="J169" t="str">
        <f>"41727"</f>
        <v>41727</v>
      </c>
      <c r="K169" t="str">
        <f t="shared" si="88"/>
        <v>AS89</v>
      </c>
      <c r="L169" t="s">
        <v>67</v>
      </c>
      <c r="M169" s="3">
        <v>247.02</v>
      </c>
    </row>
    <row r="170" spans="1:13" x14ac:dyDescent="0.25">
      <c r="A170" t="str">
        <f t="shared" si="80"/>
        <v>E111</v>
      </c>
      <c r="B170">
        <v>1</v>
      </c>
      <c r="C170" t="str">
        <f>"43003"</f>
        <v>43003</v>
      </c>
      <c r="D170" t="str">
        <f t="shared" si="86"/>
        <v>5740</v>
      </c>
      <c r="E170" t="str">
        <f t="shared" si="87"/>
        <v>850LOS</v>
      </c>
      <c r="F170" t="str">
        <f>""</f>
        <v/>
      </c>
      <c r="G170" t="str">
        <f>""</f>
        <v/>
      </c>
      <c r="H170" s="1">
        <v>38898</v>
      </c>
      <c r="I170" t="str">
        <f>"PCD00235"</f>
        <v>PCD00235</v>
      </c>
      <c r="J170" t="str">
        <f>"42228"</f>
        <v>42228</v>
      </c>
      <c r="K170" t="str">
        <f t="shared" si="88"/>
        <v>AS89</v>
      </c>
      <c r="L170" t="s">
        <v>68</v>
      </c>
      <c r="M170" s="3">
        <v>295.92</v>
      </c>
    </row>
    <row r="171" spans="1:13" x14ac:dyDescent="0.25">
      <c r="A171" t="str">
        <f t="shared" ref="A171:A173" si="89">"E112"</f>
        <v>E112</v>
      </c>
      <c r="B171">
        <v>1</v>
      </c>
      <c r="C171" t="str">
        <f t="shared" ref="C171:C172" si="90">"14185"</f>
        <v>14185</v>
      </c>
      <c r="D171" t="str">
        <f t="shared" ref="D171:D172" si="91">"5620"</f>
        <v>5620</v>
      </c>
      <c r="E171" t="str">
        <f t="shared" ref="E171:E172" si="92">"094OMS"</f>
        <v>094OMS</v>
      </c>
      <c r="F171" t="str">
        <f>""</f>
        <v/>
      </c>
      <c r="G171" t="str">
        <f>""</f>
        <v/>
      </c>
      <c r="H171" s="1">
        <v>38632</v>
      </c>
      <c r="I171" t="str">
        <f>"PCD00200"</f>
        <v>PCD00200</v>
      </c>
      <c r="J171" t="str">
        <f>"31791"</f>
        <v>31791</v>
      </c>
      <c r="K171" t="str">
        <f t="shared" ref="K171:K173" si="93">"AS89"</f>
        <v>AS89</v>
      </c>
      <c r="L171" t="s">
        <v>69</v>
      </c>
      <c r="M171" s="3">
        <v>120.63</v>
      </c>
    </row>
    <row r="172" spans="1:13" x14ac:dyDescent="0.25">
      <c r="A172" t="str">
        <f t="shared" si="89"/>
        <v>E112</v>
      </c>
      <c r="B172">
        <v>1</v>
      </c>
      <c r="C172" t="str">
        <f t="shared" si="90"/>
        <v>14185</v>
      </c>
      <c r="D172" t="str">
        <f t="shared" si="91"/>
        <v>5620</v>
      </c>
      <c r="E172" t="str">
        <f t="shared" si="92"/>
        <v>094OMS</v>
      </c>
      <c r="F172" t="str">
        <f>""</f>
        <v/>
      </c>
      <c r="G172" t="str">
        <f>""</f>
        <v/>
      </c>
      <c r="H172" s="1">
        <v>38632</v>
      </c>
      <c r="I172" t="str">
        <f>"PCD00200"</f>
        <v>PCD00200</v>
      </c>
      <c r="J172" t="str">
        <f>"32338"</f>
        <v>32338</v>
      </c>
      <c r="K172" t="str">
        <f t="shared" si="93"/>
        <v>AS89</v>
      </c>
      <c r="L172" t="s">
        <v>70</v>
      </c>
      <c r="M172" s="3">
        <v>229.7</v>
      </c>
    </row>
    <row r="173" spans="1:13" x14ac:dyDescent="0.25">
      <c r="A173" t="str">
        <f t="shared" si="89"/>
        <v>E112</v>
      </c>
      <c r="B173">
        <v>1</v>
      </c>
      <c r="C173" t="str">
        <f>"43000"</f>
        <v>43000</v>
      </c>
      <c r="D173" t="str">
        <f>"5740"</f>
        <v>5740</v>
      </c>
      <c r="E173" t="str">
        <f t="shared" ref="E173:E179" si="94">"850LOS"</f>
        <v>850LOS</v>
      </c>
      <c r="F173" t="str">
        <f>""</f>
        <v/>
      </c>
      <c r="G173" t="str">
        <f>""</f>
        <v/>
      </c>
      <c r="H173" s="1">
        <v>38737</v>
      </c>
      <c r="I173" t="str">
        <f>"PCD00216"</f>
        <v>PCD00216</v>
      </c>
      <c r="J173" t="str">
        <f>"35878"</f>
        <v>35878</v>
      </c>
      <c r="K173" t="str">
        <f t="shared" si="93"/>
        <v>AS89</v>
      </c>
      <c r="L173" t="s">
        <v>71</v>
      </c>
      <c r="M173" s="3">
        <v>107.22</v>
      </c>
    </row>
    <row r="174" spans="1:13" x14ac:dyDescent="0.25">
      <c r="A174" t="str">
        <f t="shared" ref="A174" si="95">"E117"</f>
        <v>E117</v>
      </c>
      <c r="B174">
        <v>1</v>
      </c>
      <c r="C174" t="str">
        <f>"43000"</f>
        <v>43000</v>
      </c>
      <c r="D174" t="str">
        <f t="shared" ref="D174:D179" si="96">"5740"</f>
        <v>5740</v>
      </c>
      <c r="E174" t="str">
        <f t="shared" si="94"/>
        <v>850LOS</v>
      </c>
      <c r="F174" t="str">
        <f>""</f>
        <v/>
      </c>
      <c r="G174" t="str">
        <f>""</f>
        <v/>
      </c>
      <c r="H174" s="1">
        <v>38898</v>
      </c>
      <c r="I174" t="str">
        <f>"PCD00235"</f>
        <v>PCD00235</v>
      </c>
      <c r="J174" t="str">
        <f>"42430"</f>
        <v>42430</v>
      </c>
      <c r="K174" t="str">
        <f>"AS89"</f>
        <v>AS89</v>
      </c>
      <c r="L174" t="s">
        <v>72</v>
      </c>
      <c r="M174" s="3">
        <v>155.16999999999999</v>
      </c>
    </row>
    <row r="175" spans="1:13" x14ac:dyDescent="0.25">
      <c r="A175" t="str">
        <f t="shared" ref="A175:A176" si="97">"E120"</f>
        <v>E120</v>
      </c>
      <c r="B175">
        <v>1</v>
      </c>
      <c r="C175" t="str">
        <f t="shared" ref="C175:C179" si="98">"43000"</f>
        <v>43000</v>
      </c>
      <c r="D175" t="str">
        <f t="shared" si="96"/>
        <v>5740</v>
      </c>
      <c r="E175" t="str">
        <f t="shared" si="94"/>
        <v>850LOS</v>
      </c>
      <c r="F175" t="str">
        <f>""</f>
        <v/>
      </c>
      <c r="G175" t="str">
        <f>""</f>
        <v/>
      </c>
      <c r="H175" s="1">
        <v>38723</v>
      </c>
      <c r="I175" t="str">
        <f>"PCD00214"</f>
        <v>PCD00214</v>
      </c>
      <c r="J175" t="str">
        <f>"35440"</f>
        <v>35440</v>
      </c>
      <c r="K175" t="str">
        <f>"AS89"</f>
        <v>AS89</v>
      </c>
      <c r="L175" t="s">
        <v>73</v>
      </c>
      <c r="M175" s="3">
        <v>178</v>
      </c>
    </row>
    <row r="176" spans="1:13" x14ac:dyDescent="0.25">
      <c r="A176" t="str">
        <f t="shared" si="97"/>
        <v>E120</v>
      </c>
      <c r="B176">
        <v>1</v>
      </c>
      <c r="C176" t="str">
        <f t="shared" si="98"/>
        <v>43000</v>
      </c>
      <c r="D176" t="str">
        <f t="shared" si="96"/>
        <v>5740</v>
      </c>
      <c r="E176" t="str">
        <f t="shared" si="94"/>
        <v>850LOS</v>
      </c>
      <c r="F176" t="str">
        <f>""</f>
        <v/>
      </c>
      <c r="G176" t="str">
        <f>""</f>
        <v/>
      </c>
      <c r="H176" s="1">
        <v>38793</v>
      </c>
      <c r="I176" t="str">
        <f>"PCD00222"</f>
        <v>PCD00222</v>
      </c>
      <c r="J176" t="str">
        <f>"37081"</f>
        <v>37081</v>
      </c>
      <c r="K176" t="str">
        <f>"AS89"</f>
        <v>AS89</v>
      </c>
      <c r="L176" t="s">
        <v>74</v>
      </c>
      <c r="M176" s="3">
        <v>180</v>
      </c>
    </row>
    <row r="177" spans="1:13" x14ac:dyDescent="0.25">
      <c r="A177" t="str">
        <f t="shared" ref="A177:A179" si="99">"E121"</f>
        <v>E121</v>
      </c>
      <c r="B177">
        <v>1</v>
      </c>
      <c r="C177" t="str">
        <f t="shared" si="98"/>
        <v>43000</v>
      </c>
      <c r="D177" t="str">
        <f t="shared" si="96"/>
        <v>5740</v>
      </c>
      <c r="E177" t="str">
        <f t="shared" si="94"/>
        <v>850LOS</v>
      </c>
      <c r="F177" t="str">
        <f>""</f>
        <v/>
      </c>
      <c r="G177" t="str">
        <f>""</f>
        <v/>
      </c>
      <c r="H177" s="1">
        <v>38663</v>
      </c>
      <c r="I177" t="str">
        <f>"PCD00206"</f>
        <v>PCD00206</v>
      </c>
      <c r="J177" t="str">
        <f>"33385"</f>
        <v>33385</v>
      </c>
      <c r="K177" t="str">
        <f>"AS89"</f>
        <v>AS89</v>
      </c>
      <c r="L177" t="s">
        <v>75</v>
      </c>
      <c r="M177" s="3">
        <v>426.01</v>
      </c>
    </row>
    <row r="178" spans="1:13" x14ac:dyDescent="0.25">
      <c r="A178" t="str">
        <f t="shared" si="99"/>
        <v>E121</v>
      </c>
      <c r="B178">
        <v>1</v>
      </c>
      <c r="C178" t="str">
        <f t="shared" si="98"/>
        <v>43000</v>
      </c>
      <c r="D178" t="str">
        <f t="shared" si="96"/>
        <v>5740</v>
      </c>
      <c r="E178" t="str">
        <f t="shared" si="94"/>
        <v>850LOS</v>
      </c>
      <c r="F178" t="str">
        <f>""</f>
        <v/>
      </c>
      <c r="G178" t="str">
        <f>""</f>
        <v/>
      </c>
      <c r="H178" s="1">
        <v>38749</v>
      </c>
      <c r="I178" t="str">
        <f>"296662"</f>
        <v>296662</v>
      </c>
      <c r="J178" t="str">
        <f>"B076226A"</f>
        <v>B076226A</v>
      </c>
      <c r="K178" t="str">
        <f>"INNI"</f>
        <v>INNI</v>
      </c>
      <c r="L178" t="s">
        <v>76</v>
      </c>
      <c r="M178" s="3">
        <v>126.64</v>
      </c>
    </row>
    <row r="179" spans="1:13" x14ac:dyDescent="0.25">
      <c r="A179" t="str">
        <f t="shared" si="99"/>
        <v>E121</v>
      </c>
      <c r="B179">
        <v>1</v>
      </c>
      <c r="C179" t="str">
        <f t="shared" si="98"/>
        <v>43000</v>
      </c>
      <c r="D179" t="str">
        <f t="shared" si="96"/>
        <v>5740</v>
      </c>
      <c r="E179" t="str">
        <f t="shared" si="94"/>
        <v>850LOS</v>
      </c>
      <c r="F179" t="str">
        <f>""</f>
        <v/>
      </c>
      <c r="G179" t="str">
        <f>""</f>
        <v/>
      </c>
      <c r="H179" s="1">
        <v>38793</v>
      </c>
      <c r="I179" t="str">
        <f>"PCD00222"</f>
        <v>PCD00222</v>
      </c>
      <c r="J179" t="str">
        <f>"37677"</f>
        <v>37677</v>
      </c>
      <c r="K179" t="str">
        <f>"AS89"</f>
        <v>AS89</v>
      </c>
      <c r="L179" t="s">
        <v>77</v>
      </c>
      <c r="M179" s="3">
        <v>108.3</v>
      </c>
    </row>
    <row r="180" spans="1:13" x14ac:dyDescent="0.25">
      <c r="A180" t="str">
        <f t="shared" ref="A180:A183" si="100">"E130"</f>
        <v>E130</v>
      </c>
      <c r="B180">
        <v>1</v>
      </c>
      <c r="C180" t="str">
        <f t="shared" ref="C180:C195" si="101">"14185"</f>
        <v>14185</v>
      </c>
      <c r="D180" t="str">
        <f t="shared" ref="D180:D195" si="102">"5620"</f>
        <v>5620</v>
      </c>
      <c r="E180" t="str">
        <f t="shared" ref="E180:E195" si="103">"094OMS"</f>
        <v>094OMS</v>
      </c>
      <c r="F180" t="str">
        <f>""</f>
        <v/>
      </c>
      <c r="G180" t="str">
        <f>""</f>
        <v/>
      </c>
      <c r="H180" s="1">
        <v>38643</v>
      </c>
      <c r="I180" t="str">
        <f>"00026296"</f>
        <v>00026296</v>
      </c>
      <c r="J180" t="str">
        <f t="shared" ref="J180:J183" si="104">"N171000L"</f>
        <v>N171000L</v>
      </c>
      <c r="K180" t="str">
        <f t="shared" ref="K180:K183" si="105">"INEI"</f>
        <v>INEI</v>
      </c>
      <c r="L180" t="s">
        <v>78</v>
      </c>
      <c r="M180" s="3">
        <v>990</v>
      </c>
    </row>
    <row r="181" spans="1:13" x14ac:dyDescent="0.25">
      <c r="A181" t="str">
        <f t="shared" si="100"/>
        <v>E130</v>
      </c>
      <c r="B181">
        <v>1</v>
      </c>
      <c r="C181" t="str">
        <f t="shared" si="101"/>
        <v>14185</v>
      </c>
      <c r="D181" t="str">
        <f t="shared" si="102"/>
        <v>5620</v>
      </c>
      <c r="E181" t="str">
        <f t="shared" si="103"/>
        <v>094OMS</v>
      </c>
      <c r="F181" t="str">
        <f>""</f>
        <v/>
      </c>
      <c r="G181" t="str">
        <f>""</f>
        <v/>
      </c>
      <c r="H181" s="1">
        <v>38723</v>
      </c>
      <c r="I181" t="str">
        <f>"00026993"</f>
        <v>00026993</v>
      </c>
      <c r="J181" t="str">
        <f t="shared" si="104"/>
        <v>N171000L</v>
      </c>
      <c r="K181" t="str">
        <f t="shared" si="105"/>
        <v>INEI</v>
      </c>
      <c r="L181" t="s">
        <v>78</v>
      </c>
      <c r="M181" s="3">
        <v>990</v>
      </c>
    </row>
    <row r="182" spans="1:13" x14ac:dyDescent="0.25">
      <c r="A182" t="str">
        <f t="shared" si="100"/>
        <v>E130</v>
      </c>
      <c r="B182">
        <v>1</v>
      </c>
      <c r="C182" t="str">
        <f t="shared" si="101"/>
        <v>14185</v>
      </c>
      <c r="D182" t="str">
        <f t="shared" si="102"/>
        <v>5620</v>
      </c>
      <c r="E182" t="str">
        <f t="shared" si="103"/>
        <v>094OMS</v>
      </c>
      <c r="F182" t="str">
        <f>""</f>
        <v/>
      </c>
      <c r="G182" t="str">
        <f>""</f>
        <v/>
      </c>
      <c r="H182" s="1">
        <v>38821</v>
      </c>
      <c r="I182" t="str">
        <f>"00027723"</f>
        <v>00027723</v>
      </c>
      <c r="J182" t="str">
        <f t="shared" si="104"/>
        <v>N171000L</v>
      </c>
      <c r="K182" t="str">
        <f t="shared" si="105"/>
        <v>INEI</v>
      </c>
      <c r="L182" t="s">
        <v>78</v>
      </c>
      <c r="M182" s="3">
        <v>990</v>
      </c>
    </row>
    <row r="183" spans="1:13" x14ac:dyDescent="0.25">
      <c r="A183" t="str">
        <f t="shared" si="100"/>
        <v>E130</v>
      </c>
      <c r="B183">
        <v>1</v>
      </c>
      <c r="C183" t="str">
        <f t="shared" si="101"/>
        <v>14185</v>
      </c>
      <c r="D183" t="str">
        <f t="shared" si="102"/>
        <v>5620</v>
      </c>
      <c r="E183" t="str">
        <f t="shared" si="103"/>
        <v>094OMS</v>
      </c>
      <c r="F183" t="str">
        <f>""</f>
        <v/>
      </c>
      <c r="G183" t="str">
        <f>""</f>
        <v/>
      </c>
      <c r="H183" s="1">
        <v>38894</v>
      </c>
      <c r="I183" t="str">
        <f>"00028363"</f>
        <v>00028363</v>
      </c>
      <c r="J183" t="str">
        <f t="shared" si="104"/>
        <v>N171000L</v>
      </c>
      <c r="K183" t="str">
        <f t="shared" si="105"/>
        <v>INEI</v>
      </c>
      <c r="L183" t="s">
        <v>78</v>
      </c>
      <c r="M183" s="3">
        <v>990</v>
      </c>
    </row>
    <row r="184" spans="1:13" x14ac:dyDescent="0.25">
      <c r="A184" t="str">
        <f t="shared" ref="A184:A215" si="106">"E131"</f>
        <v>E131</v>
      </c>
      <c r="B184">
        <v>1</v>
      </c>
      <c r="C184" t="str">
        <f t="shared" si="101"/>
        <v>14185</v>
      </c>
      <c r="D184" t="str">
        <f t="shared" si="102"/>
        <v>5620</v>
      </c>
      <c r="E184" t="str">
        <f t="shared" si="103"/>
        <v>094OMS</v>
      </c>
      <c r="F184" t="str">
        <f>""</f>
        <v/>
      </c>
      <c r="G184" t="str">
        <f>""</f>
        <v/>
      </c>
      <c r="H184" s="1">
        <v>38553</v>
      </c>
      <c r="I184" t="str">
        <f>"TEL00527"</f>
        <v>TEL00527</v>
      </c>
      <c r="J184" t="str">
        <f>""</f>
        <v/>
      </c>
      <c r="K184" t="str">
        <f t="shared" ref="K184:K215" si="107">"AS89"</f>
        <v>AS89</v>
      </c>
      <c r="L184" t="s">
        <v>79</v>
      </c>
      <c r="M184" s="3">
        <v>418.61</v>
      </c>
    </row>
    <row r="185" spans="1:13" x14ac:dyDescent="0.25">
      <c r="A185" t="str">
        <f t="shared" si="106"/>
        <v>E131</v>
      </c>
      <c r="B185">
        <v>1</v>
      </c>
      <c r="C185" t="str">
        <f t="shared" si="101"/>
        <v>14185</v>
      </c>
      <c r="D185" t="str">
        <f t="shared" si="102"/>
        <v>5620</v>
      </c>
      <c r="E185" t="str">
        <f t="shared" si="103"/>
        <v>094OMS</v>
      </c>
      <c r="F185" t="str">
        <f>""</f>
        <v/>
      </c>
      <c r="G185" t="str">
        <f>""</f>
        <v/>
      </c>
      <c r="H185" s="1">
        <v>38582</v>
      </c>
      <c r="I185" t="str">
        <f>"TEL00528"</f>
        <v>TEL00528</v>
      </c>
      <c r="J185" t="str">
        <f>""</f>
        <v/>
      </c>
      <c r="K185" t="str">
        <f t="shared" si="107"/>
        <v>AS89</v>
      </c>
      <c r="L185" t="s">
        <v>80</v>
      </c>
      <c r="M185" s="3">
        <v>408.37</v>
      </c>
    </row>
    <row r="186" spans="1:13" x14ac:dyDescent="0.25">
      <c r="A186" t="str">
        <f t="shared" si="106"/>
        <v>E131</v>
      </c>
      <c r="B186">
        <v>1</v>
      </c>
      <c r="C186" t="str">
        <f t="shared" si="101"/>
        <v>14185</v>
      </c>
      <c r="D186" t="str">
        <f t="shared" si="102"/>
        <v>5620</v>
      </c>
      <c r="E186" t="str">
        <f t="shared" si="103"/>
        <v>094OMS</v>
      </c>
      <c r="F186" t="str">
        <f>""</f>
        <v/>
      </c>
      <c r="G186" t="str">
        <f>""</f>
        <v/>
      </c>
      <c r="H186" s="1">
        <v>38608</v>
      </c>
      <c r="I186" t="str">
        <f>"TEL00529"</f>
        <v>TEL00529</v>
      </c>
      <c r="J186" t="str">
        <f>""</f>
        <v/>
      </c>
      <c r="K186" t="str">
        <f t="shared" si="107"/>
        <v>AS89</v>
      </c>
      <c r="L186" t="s">
        <v>81</v>
      </c>
      <c r="M186" s="3">
        <v>407.49</v>
      </c>
    </row>
    <row r="187" spans="1:13" x14ac:dyDescent="0.25">
      <c r="A187" t="str">
        <f t="shared" si="106"/>
        <v>E131</v>
      </c>
      <c r="B187">
        <v>1</v>
      </c>
      <c r="C187" t="str">
        <f t="shared" si="101"/>
        <v>14185</v>
      </c>
      <c r="D187" t="str">
        <f t="shared" si="102"/>
        <v>5620</v>
      </c>
      <c r="E187" t="str">
        <f t="shared" si="103"/>
        <v>094OMS</v>
      </c>
      <c r="F187" t="str">
        <f>""</f>
        <v/>
      </c>
      <c r="G187" t="str">
        <f>""</f>
        <v/>
      </c>
      <c r="H187" s="1">
        <v>38644</v>
      </c>
      <c r="I187" t="str">
        <f>"TEL00530"</f>
        <v>TEL00530</v>
      </c>
      <c r="J187" t="str">
        <f>""</f>
        <v/>
      </c>
      <c r="K187" t="str">
        <f t="shared" si="107"/>
        <v>AS89</v>
      </c>
      <c r="L187" t="s">
        <v>82</v>
      </c>
      <c r="M187" s="3">
        <v>390.86</v>
      </c>
    </row>
    <row r="188" spans="1:13" x14ac:dyDescent="0.25">
      <c r="A188" t="str">
        <f t="shared" si="106"/>
        <v>E131</v>
      </c>
      <c r="B188">
        <v>1</v>
      </c>
      <c r="C188" t="str">
        <f t="shared" si="101"/>
        <v>14185</v>
      </c>
      <c r="D188" t="str">
        <f t="shared" si="102"/>
        <v>5620</v>
      </c>
      <c r="E188" t="str">
        <f t="shared" si="103"/>
        <v>094OMS</v>
      </c>
      <c r="F188" t="str">
        <f>""</f>
        <v/>
      </c>
      <c r="G188" t="str">
        <f>""</f>
        <v/>
      </c>
      <c r="H188" s="1">
        <v>38677</v>
      </c>
      <c r="I188" t="str">
        <f>"TEL00532"</f>
        <v>TEL00532</v>
      </c>
      <c r="J188" t="str">
        <f>""</f>
        <v/>
      </c>
      <c r="K188" t="str">
        <f t="shared" si="107"/>
        <v>AS89</v>
      </c>
      <c r="L188" t="s">
        <v>83</v>
      </c>
      <c r="M188" s="3">
        <v>548.44000000000005</v>
      </c>
    </row>
    <row r="189" spans="1:13" x14ac:dyDescent="0.25">
      <c r="A189" t="str">
        <f t="shared" si="106"/>
        <v>E131</v>
      </c>
      <c r="B189">
        <v>1</v>
      </c>
      <c r="C189" t="str">
        <f t="shared" si="101"/>
        <v>14185</v>
      </c>
      <c r="D189" t="str">
        <f t="shared" si="102"/>
        <v>5620</v>
      </c>
      <c r="E189" t="str">
        <f t="shared" si="103"/>
        <v>094OMS</v>
      </c>
      <c r="F189" t="str">
        <f>""</f>
        <v/>
      </c>
      <c r="G189" t="str">
        <f>""</f>
        <v/>
      </c>
      <c r="H189" s="1">
        <v>38700</v>
      </c>
      <c r="I189" t="str">
        <f>"TEL00533"</f>
        <v>TEL00533</v>
      </c>
      <c r="J189" t="str">
        <f>""</f>
        <v/>
      </c>
      <c r="K189" t="str">
        <f t="shared" si="107"/>
        <v>AS89</v>
      </c>
      <c r="L189" t="s">
        <v>84</v>
      </c>
      <c r="M189" s="3">
        <v>393.29</v>
      </c>
    </row>
    <row r="190" spans="1:13" x14ac:dyDescent="0.25">
      <c r="A190" t="str">
        <f t="shared" si="106"/>
        <v>E131</v>
      </c>
      <c r="B190">
        <v>1</v>
      </c>
      <c r="C190" t="str">
        <f t="shared" si="101"/>
        <v>14185</v>
      </c>
      <c r="D190" t="str">
        <f t="shared" si="102"/>
        <v>5620</v>
      </c>
      <c r="E190" t="str">
        <f t="shared" si="103"/>
        <v>094OMS</v>
      </c>
      <c r="F190" t="str">
        <f>""</f>
        <v/>
      </c>
      <c r="G190" t="str">
        <f>""</f>
        <v/>
      </c>
      <c r="H190" s="1">
        <v>38728</v>
      </c>
      <c r="I190" t="str">
        <f>"TEL00535"</f>
        <v>TEL00535</v>
      </c>
      <c r="J190" t="str">
        <f>""</f>
        <v/>
      </c>
      <c r="K190" t="str">
        <f t="shared" si="107"/>
        <v>AS89</v>
      </c>
      <c r="L190" t="s">
        <v>85</v>
      </c>
      <c r="M190" s="3">
        <v>368.89</v>
      </c>
    </row>
    <row r="191" spans="1:13" x14ac:dyDescent="0.25">
      <c r="A191" t="str">
        <f t="shared" si="106"/>
        <v>E131</v>
      </c>
      <c r="B191">
        <v>1</v>
      </c>
      <c r="C191" t="str">
        <f t="shared" si="101"/>
        <v>14185</v>
      </c>
      <c r="D191" t="str">
        <f t="shared" si="102"/>
        <v>5620</v>
      </c>
      <c r="E191" t="str">
        <f t="shared" si="103"/>
        <v>094OMS</v>
      </c>
      <c r="F191" t="str">
        <f>""</f>
        <v/>
      </c>
      <c r="G191" t="str">
        <f>""</f>
        <v/>
      </c>
      <c r="H191" s="1">
        <v>38756</v>
      </c>
      <c r="I191" t="str">
        <f>"TEL00536"</f>
        <v>TEL00536</v>
      </c>
      <c r="J191" t="str">
        <f>""</f>
        <v/>
      </c>
      <c r="K191" t="str">
        <f t="shared" si="107"/>
        <v>AS89</v>
      </c>
      <c r="L191" t="s">
        <v>86</v>
      </c>
      <c r="M191" s="3">
        <v>391.76</v>
      </c>
    </row>
    <row r="192" spans="1:13" x14ac:dyDescent="0.25">
      <c r="A192" t="str">
        <f t="shared" si="106"/>
        <v>E131</v>
      </c>
      <c r="B192">
        <v>1</v>
      </c>
      <c r="C192" t="str">
        <f t="shared" si="101"/>
        <v>14185</v>
      </c>
      <c r="D192" t="str">
        <f t="shared" si="102"/>
        <v>5620</v>
      </c>
      <c r="E192" t="str">
        <f t="shared" si="103"/>
        <v>094OMS</v>
      </c>
      <c r="F192" t="str">
        <f>""</f>
        <v/>
      </c>
      <c r="G192" t="str">
        <f>""</f>
        <v/>
      </c>
      <c r="H192" s="1">
        <v>38784</v>
      </c>
      <c r="I192" t="str">
        <f>"TEL00537"</f>
        <v>TEL00537</v>
      </c>
      <c r="J192" t="str">
        <f>""</f>
        <v/>
      </c>
      <c r="K192" t="str">
        <f t="shared" si="107"/>
        <v>AS89</v>
      </c>
      <c r="L192" t="s">
        <v>87</v>
      </c>
      <c r="M192" s="3">
        <v>396.8</v>
      </c>
    </row>
    <row r="193" spans="1:13" x14ac:dyDescent="0.25">
      <c r="A193" t="str">
        <f t="shared" si="106"/>
        <v>E131</v>
      </c>
      <c r="B193">
        <v>1</v>
      </c>
      <c r="C193" t="str">
        <f t="shared" si="101"/>
        <v>14185</v>
      </c>
      <c r="D193" t="str">
        <f t="shared" si="102"/>
        <v>5620</v>
      </c>
      <c r="E193" t="str">
        <f t="shared" si="103"/>
        <v>094OMS</v>
      </c>
      <c r="F193" t="str">
        <f>""</f>
        <v/>
      </c>
      <c r="G193" t="str">
        <f>""</f>
        <v/>
      </c>
      <c r="H193" s="1">
        <v>38820</v>
      </c>
      <c r="I193" t="str">
        <f>"TEL00538"</f>
        <v>TEL00538</v>
      </c>
      <c r="J193" t="str">
        <f>""</f>
        <v/>
      </c>
      <c r="K193" t="str">
        <f t="shared" si="107"/>
        <v>AS89</v>
      </c>
      <c r="L193" t="s">
        <v>88</v>
      </c>
      <c r="M193" s="3">
        <v>484.09</v>
      </c>
    </row>
    <row r="194" spans="1:13" x14ac:dyDescent="0.25">
      <c r="A194" t="str">
        <f t="shared" si="106"/>
        <v>E131</v>
      </c>
      <c r="B194">
        <v>1</v>
      </c>
      <c r="C194" t="str">
        <f t="shared" si="101"/>
        <v>14185</v>
      </c>
      <c r="D194" t="str">
        <f t="shared" si="102"/>
        <v>5620</v>
      </c>
      <c r="E194" t="str">
        <f t="shared" si="103"/>
        <v>094OMS</v>
      </c>
      <c r="F194" t="str">
        <f>""</f>
        <v/>
      </c>
      <c r="G194" t="str">
        <f>""</f>
        <v/>
      </c>
      <c r="H194" s="1">
        <v>38841</v>
      </c>
      <c r="I194" t="str">
        <f>"TEL00539"</f>
        <v>TEL00539</v>
      </c>
      <c r="J194" t="str">
        <f>""</f>
        <v/>
      </c>
      <c r="K194" t="str">
        <f t="shared" si="107"/>
        <v>AS89</v>
      </c>
      <c r="L194" t="s">
        <v>89</v>
      </c>
      <c r="M194" s="3">
        <v>337.34</v>
      </c>
    </row>
    <row r="195" spans="1:13" x14ac:dyDescent="0.25">
      <c r="A195" t="str">
        <f t="shared" si="106"/>
        <v>E131</v>
      </c>
      <c r="B195">
        <v>1</v>
      </c>
      <c r="C195" t="str">
        <f t="shared" si="101"/>
        <v>14185</v>
      </c>
      <c r="D195" t="str">
        <f t="shared" si="102"/>
        <v>5620</v>
      </c>
      <c r="E195" t="str">
        <f t="shared" si="103"/>
        <v>094OMS</v>
      </c>
      <c r="F195" t="str">
        <f>""</f>
        <v/>
      </c>
      <c r="G195" t="str">
        <f>""</f>
        <v/>
      </c>
      <c r="H195" s="1">
        <v>38884</v>
      </c>
      <c r="I195" t="str">
        <f>"TEL00540"</f>
        <v>TEL00540</v>
      </c>
      <c r="J195" t="str">
        <f>""</f>
        <v/>
      </c>
      <c r="K195" t="str">
        <f t="shared" si="107"/>
        <v>AS89</v>
      </c>
      <c r="L195" t="s">
        <v>90</v>
      </c>
      <c r="M195" s="3">
        <v>404.22</v>
      </c>
    </row>
    <row r="196" spans="1:13" x14ac:dyDescent="0.25">
      <c r="A196" t="str">
        <f t="shared" si="106"/>
        <v>E131</v>
      </c>
      <c r="B196">
        <v>1</v>
      </c>
      <c r="C196" t="str">
        <f t="shared" ref="C196:C207" si="108">"32040"</f>
        <v>32040</v>
      </c>
      <c r="D196" t="str">
        <f t="shared" ref="D196:D207" si="109">"5610"</f>
        <v>5610</v>
      </c>
      <c r="E196" t="str">
        <f t="shared" ref="E196:E219" si="110">"850LOS"</f>
        <v>850LOS</v>
      </c>
      <c r="F196" t="str">
        <f>""</f>
        <v/>
      </c>
      <c r="G196" t="str">
        <f>""</f>
        <v/>
      </c>
      <c r="H196" s="1">
        <v>38553</v>
      </c>
      <c r="I196" t="str">
        <f>"TEL00527"</f>
        <v>TEL00527</v>
      </c>
      <c r="J196" t="str">
        <f>""</f>
        <v/>
      </c>
      <c r="K196" t="str">
        <f t="shared" si="107"/>
        <v>AS89</v>
      </c>
      <c r="L196" t="s">
        <v>79</v>
      </c>
      <c r="M196" s="3">
        <v>187</v>
      </c>
    </row>
    <row r="197" spans="1:13" x14ac:dyDescent="0.25">
      <c r="A197" t="str">
        <f t="shared" si="106"/>
        <v>E131</v>
      </c>
      <c r="B197">
        <v>1</v>
      </c>
      <c r="C197" t="str">
        <f t="shared" si="108"/>
        <v>32040</v>
      </c>
      <c r="D197" t="str">
        <f t="shared" si="109"/>
        <v>5610</v>
      </c>
      <c r="E197" t="str">
        <f t="shared" si="110"/>
        <v>850LOS</v>
      </c>
      <c r="F197" t="str">
        <f>""</f>
        <v/>
      </c>
      <c r="G197" t="str">
        <f>""</f>
        <v/>
      </c>
      <c r="H197" s="1">
        <v>38582</v>
      </c>
      <c r="I197" t="str">
        <f>"TEL00528"</f>
        <v>TEL00528</v>
      </c>
      <c r="J197" t="str">
        <f>""</f>
        <v/>
      </c>
      <c r="K197" t="str">
        <f t="shared" si="107"/>
        <v>AS89</v>
      </c>
      <c r="L197" t="s">
        <v>80</v>
      </c>
      <c r="M197" s="3">
        <v>186.67</v>
      </c>
    </row>
    <row r="198" spans="1:13" x14ac:dyDescent="0.25">
      <c r="A198" t="str">
        <f t="shared" si="106"/>
        <v>E131</v>
      </c>
      <c r="B198">
        <v>1</v>
      </c>
      <c r="C198" t="str">
        <f t="shared" si="108"/>
        <v>32040</v>
      </c>
      <c r="D198" t="str">
        <f t="shared" si="109"/>
        <v>5610</v>
      </c>
      <c r="E198" t="str">
        <f t="shared" si="110"/>
        <v>850LOS</v>
      </c>
      <c r="F198" t="str">
        <f>""</f>
        <v/>
      </c>
      <c r="G198" t="str">
        <f>""</f>
        <v/>
      </c>
      <c r="H198" s="1">
        <v>38608</v>
      </c>
      <c r="I198" t="str">
        <f>"TEL00529"</f>
        <v>TEL00529</v>
      </c>
      <c r="J198" t="str">
        <f>""</f>
        <v/>
      </c>
      <c r="K198" t="str">
        <f t="shared" si="107"/>
        <v>AS89</v>
      </c>
      <c r="L198" t="s">
        <v>81</v>
      </c>
      <c r="M198" s="3">
        <v>193.06</v>
      </c>
    </row>
    <row r="199" spans="1:13" x14ac:dyDescent="0.25">
      <c r="A199" t="str">
        <f t="shared" si="106"/>
        <v>E131</v>
      </c>
      <c r="B199">
        <v>1</v>
      </c>
      <c r="C199" t="str">
        <f t="shared" si="108"/>
        <v>32040</v>
      </c>
      <c r="D199" t="str">
        <f t="shared" si="109"/>
        <v>5610</v>
      </c>
      <c r="E199" t="str">
        <f t="shared" si="110"/>
        <v>850LOS</v>
      </c>
      <c r="F199" t="str">
        <f>""</f>
        <v/>
      </c>
      <c r="G199" t="str">
        <f>""</f>
        <v/>
      </c>
      <c r="H199" s="1">
        <v>38644</v>
      </c>
      <c r="I199" t="str">
        <f>"TEL00530"</f>
        <v>TEL00530</v>
      </c>
      <c r="J199" t="str">
        <f>""</f>
        <v/>
      </c>
      <c r="K199" t="str">
        <f t="shared" si="107"/>
        <v>AS89</v>
      </c>
      <c r="L199" t="s">
        <v>82</v>
      </c>
      <c r="M199" s="3">
        <v>184.87</v>
      </c>
    </row>
    <row r="200" spans="1:13" x14ac:dyDescent="0.25">
      <c r="A200" t="str">
        <f t="shared" si="106"/>
        <v>E131</v>
      </c>
      <c r="B200">
        <v>1</v>
      </c>
      <c r="C200" t="str">
        <f t="shared" si="108"/>
        <v>32040</v>
      </c>
      <c r="D200" t="str">
        <f t="shared" si="109"/>
        <v>5610</v>
      </c>
      <c r="E200" t="str">
        <f t="shared" si="110"/>
        <v>850LOS</v>
      </c>
      <c r="F200" t="str">
        <f>""</f>
        <v/>
      </c>
      <c r="G200" t="str">
        <f>""</f>
        <v/>
      </c>
      <c r="H200" s="1">
        <v>38677</v>
      </c>
      <c r="I200" t="str">
        <f>"TEL00532"</f>
        <v>TEL00532</v>
      </c>
      <c r="J200" t="str">
        <f>""</f>
        <v/>
      </c>
      <c r="K200" t="str">
        <f t="shared" si="107"/>
        <v>AS89</v>
      </c>
      <c r="L200" t="s">
        <v>83</v>
      </c>
      <c r="M200" s="3">
        <v>191.37</v>
      </c>
    </row>
    <row r="201" spans="1:13" x14ac:dyDescent="0.25">
      <c r="A201" t="str">
        <f t="shared" si="106"/>
        <v>E131</v>
      </c>
      <c r="B201">
        <v>1</v>
      </c>
      <c r="C201" t="str">
        <f t="shared" si="108"/>
        <v>32040</v>
      </c>
      <c r="D201" t="str">
        <f t="shared" si="109"/>
        <v>5610</v>
      </c>
      <c r="E201" t="str">
        <f t="shared" si="110"/>
        <v>850LOS</v>
      </c>
      <c r="F201" t="str">
        <f>""</f>
        <v/>
      </c>
      <c r="G201" t="str">
        <f>""</f>
        <v/>
      </c>
      <c r="H201" s="1">
        <v>38700</v>
      </c>
      <c r="I201" t="str">
        <f>"TEL00533"</f>
        <v>TEL00533</v>
      </c>
      <c r="J201" t="str">
        <f>""</f>
        <v/>
      </c>
      <c r="K201" t="str">
        <f t="shared" si="107"/>
        <v>AS89</v>
      </c>
      <c r="L201" t="s">
        <v>84</v>
      </c>
      <c r="M201" s="3">
        <v>183.8</v>
      </c>
    </row>
    <row r="202" spans="1:13" x14ac:dyDescent="0.25">
      <c r="A202" t="str">
        <f t="shared" si="106"/>
        <v>E131</v>
      </c>
      <c r="B202">
        <v>1</v>
      </c>
      <c r="C202" t="str">
        <f t="shared" si="108"/>
        <v>32040</v>
      </c>
      <c r="D202" t="str">
        <f t="shared" si="109"/>
        <v>5610</v>
      </c>
      <c r="E202" t="str">
        <f t="shared" si="110"/>
        <v>850LOS</v>
      </c>
      <c r="F202" t="str">
        <f>""</f>
        <v/>
      </c>
      <c r="G202" t="str">
        <f>""</f>
        <v/>
      </c>
      <c r="H202" s="1">
        <v>38728</v>
      </c>
      <c r="I202" t="str">
        <f>"TEL00535"</f>
        <v>TEL00535</v>
      </c>
      <c r="J202" t="str">
        <f>""</f>
        <v/>
      </c>
      <c r="K202" t="str">
        <f t="shared" si="107"/>
        <v>AS89</v>
      </c>
      <c r="L202" t="s">
        <v>85</v>
      </c>
      <c r="M202" s="3">
        <v>184.49</v>
      </c>
    </row>
    <row r="203" spans="1:13" x14ac:dyDescent="0.25">
      <c r="A203" t="str">
        <f t="shared" si="106"/>
        <v>E131</v>
      </c>
      <c r="B203">
        <v>1</v>
      </c>
      <c r="C203" t="str">
        <f t="shared" si="108"/>
        <v>32040</v>
      </c>
      <c r="D203" t="str">
        <f t="shared" si="109"/>
        <v>5610</v>
      </c>
      <c r="E203" t="str">
        <f t="shared" si="110"/>
        <v>850LOS</v>
      </c>
      <c r="F203" t="str">
        <f>""</f>
        <v/>
      </c>
      <c r="G203" t="str">
        <f>""</f>
        <v/>
      </c>
      <c r="H203" s="1">
        <v>38756</v>
      </c>
      <c r="I203" t="str">
        <f>"TEL00536"</f>
        <v>TEL00536</v>
      </c>
      <c r="J203" t="str">
        <f>""</f>
        <v/>
      </c>
      <c r="K203" t="str">
        <f t="shared" si="107"/>
        <v>AS89</v>
      </c>
      <c r="L203" t="s">
        <v>86</v>
      </c>
      <c r="M203" s="3">
        <v>186.48</v>
      </c>
    </row>
    <row r="204" spans="1:13" x14ac:dyDescent="0.25">
      <c r="A204" t="str">
        <f t="shared" si="106"/>
        <v>E131</v>
      </c>
      <c r="B204">
        <v>1</v>
      </c>
      <c r="C204" t="str">
        <f t="shared" si="108"/>
        <v>32040</v>
      </c>
      <c r="D204" t="str">
        <f t="shared" si="109"/>
        <v>5610</v>
      </c>
      <c r="E204" t="str">
        <f t="shared" si="110"/>
        <v>850LOS</v>
      </c>
      <c r="F204" t="str">
        <f>""</f>
        <v/>
      </c>
      <c r="G204" t="str">
        <f>""</f>
        <v/>
      </c>
      <c r="H204" s="1">
        <v>38784</v>
      </c>
      <c r="I204" t="str">
        <f>"TEL00537"</f>
        <v>TEL00537</v>
      </c>
      <c r="J204" t="str">
        <f>""</f>
        <v/>
      </c>
      <c r="K204" t="str">
        <f t="shared" si="107"/>
        <v>AS89</v>
      </c>
      <c r="L204" t="s">
        <v>87</v>
      </c>
      <c r="M204" s="3">
        <v>183.39</v>
      </c>
    </row>
    <row r="205" spans="1:13" x14ac:dyDescent="0.25">
      <c r="A205" t="str">
        <f t="shared" si="106"/>
        <v>E131</v>
      </c>
      <c r="B205">
        <v>1</v>
      </c>
      <c r="C205" t="str">
        <f t="shared" si="108"/>
        <v>32040</v>
      </c>
      <c r="D205" t="str">
        <f t="shared" si="109"/>
        <v>5610</v>
      </c>
      <c r="E205" t="str">
        <f t="shared" si="110"/>
        <v>850LOS</v>
      </c>
      <c r="F205" t="str">
        <f>""</f>
        <v/>
      </c>
      <c r="G205" t="str">
        <f>""</f>
        <v/>
      </c>
      <c r="H205" s="1">
        <v>38820</v>
      </c>
      <c r="I205" t="str">
        <f>"TEL00538"</f>
        <v>TEL00538</v>
      </c>
      <c r="J205" t="str">
        <f>""</f>
        <v/>
      </c>
      <c r="K205" t="str">
        <f t="shared" si="107"/>
        <v>AS89</v>
      </c>
      <c r="L205" t="s">
        <v>88</v>
      </c>
      <c r="M205" s="3">
        <v>186.57</v>
      </c>
    </row>
    <row r="206" spans="1:13" x14ac:dyDescent="0.25">
      <c r="A206" t="str">
        <f t="shared" si="106"/>
        <v>E131</v>
      </c>
      <c r="B206">
        <v>1</v>
      </c>
      <c r="C206" t="str">
        <f t="shared" si="108"/>
        <v>32040</v>
      </c>
      <c r="D206" t="str">
        <f t="shared" si="109"/>
        <v>5610</v>
      </c>
      <c r="E206" t="str">
        <f t="shared" si="110"/>
        <v>850LOS</v>
      </c>
      <c r="F206" t="str">
        <f>""</f>
        <v/>
      </c>
      <c r="G206" t="str">
        <f>""</f>
        <v/>
      </c>
      <c r="H206" s="1">
        <v>38841</v>
      </c>
      <c r="I206" t="str">
        <f>"TEL00539"</f>
        <v>TEL00539</v>
      </c>
      <c r="J206" t="str">
        <f>""</f>
        <v/>
      </c>
      <c r="K206" t="str">
        <f t="shared" si="107"/>
        <v>AS89</v>
      </c>
      <c r="L206" t="s">
        <v>89</v>
      </c>
      <c r="M206" s="3">
        <v>183</v>
      </c>
    </row>
    <row r="207" spans="1:13" x14ac:dyDescent="0.25">
      <c r="A207" t="str">
        <f t="shared" si="106"/>
        <v>E131</v>
      </c>
      <c r="B207">
        <v>1</v>
      </c>
      <c r="C207" t="str">
        <f t="shared" si="108"/>
        <v>32040</v>
      </c>
      <c r="D207" t="str">
        <f t="shared" si="109"/>
        <v>5610</v>
      </c>
      <c r="E207" t="str">
        <f t="shared" si="110"/>
        <v>850LOS</v>
      </c>
      <c r="F207" t="str">
        <f>""</f>
        <v/>
      </c>
      <c r="G207" t="str">
        <f>""</f>
        <v/>
      </c>
      <c r="H207" s="1">
        <v>38884</v>
      </c>
      <c r="I207" t="str">
        <f>"TEL00540"</f>
        <v>TEL00540</v>
      </c>
      <c r="J207" t="str">
        <f>""</f>
        <v/>
      </c>
      <c r="K207" t="str">
        <f t="shared" si="107"/>
        <v>AS89</v>
      </c>
      <c r="L207" t="s">
        <v>90</v>
      </c>
      <c r="M207" s="3">
        <v>183.74</v>
      </c>
    </row>
    <row r="208" spans="1:13" x14ac:dyDescent="0.25">
      <c r="A208" t="str">
        <f t="shared" si="106"/>
        <v>E131</v>
      </c>
      <c r="B208">
        <v>1</v>
      </c>
      <c r="C208" t="str">
        <f t="shared" ref="C208:C231" si="111">"43000"</f>
        <v>43000</v>
      </c>
      <c r="D208" t="str">
        <f t="shared" ref="D208:D233" si="112">"5740"</f>
        <v>5740</v>
      </c>
      <c r="E208" t="str">
        <f t="shared" si="110"/>
        <v>850LOS</v>
      </c>
      <c r="F208" t="str">
        <f>""</f>
        <v/>
      </c>
      <c r="G208" t="str">
        <f>""</f>
        <v/>
      </c>
      <c r="H208" s="1">
        <v>38553</v>
      </c>
      <c r="I208" t="str">
        <f>"TEL00527"</f>
        <v>TEL00527</v>
      </c>
      <c r="J208" t="str">
        <f>""</f>
        <v/>
      </c>
      <c r="K208" t="str">
        <f t="shared" si="107"/>
        <v>AS89</v>
      </c>
      <c r="L208" t="s">
        <v>79</v>
      </c>
      <c r="M208" s="3">
        <v>794.53</v>
      </c>
    </row>
    <row r="209" spans="1:13" x14ac:dyDescent="0.25">
      <c r="A209" t="str">
        <f t="shared" si="106"/>
        <v>E131</v>
      </c>
      <c r="B209">
        <v>1</v>
      </c>
      <c r="C209" t="str">
        <f t="shared" si="111"/>
        <v>43000</v>
      </c>
      <c r="D209" t="str">
        <f t="shared" si="112"/>
        <v>5740</v>
      </c>
      <c r="E209" t="str">
        <f t="shared" si="110"/>
        <v>850LOS</v>
      </c>
      <c r="F209" t="str">
        <f>""</f>
        <v/>
      </c>
      <c r="G209" t="str">
        <f>""</f>
        <v/>
      </c>
      <c r="H209" s="1">
        <v>38582</v>
      </c>
      <c r="I209" t="str">
        <f>"TEL00528"</f>
        <v>TEL00528</v>
      </c>
      <c r="J209" t="str">
        <f>""</f>
        <v/>
      </c>
      <c r="K209" t="str">
        <f t="shared" si="107"/>
        <v>AS89</v>
      </c>
      <c r="L209" t="s">
        <v>80</v>
      </c>
      <c r="M209" s="3">
        <v>820.45</v>
      </c>
    </row>
    <row r="210" spans="1:13" x14ac:dyDescent="0.25">
      <c r="A210" t="str">
        <f t="shared" si="106"/>
        <v>E131</v>
      </c>
      <c r="B210">
        <v>1</v>
      </c>
      <c r="C210" t="str">
        <f t="shared" si="111"/>
        <v>43000</v>
      </c>
      <c r="D210" t="str">
        <f t="shared" si="112"/>
        <v>5740</v>
      </c>
      <c r="E210" t="str">
        <f t="shared" si="110"/>
        <v>850LOS</v>
      </c>
      <c r="F210" t="str">
        <f>""</f>
        <v/>
      </c>
      <c r="G210" t="str">
        <f>""</f>
        <v/>
      </c>
      <c r="H210" s="1">
        <v>38608</v>
      </c>
      <c r="I210" t="str">
        <f>"TEL00529"</f>
        <v>TEL00529</v>
      </c>
      <c r="J210" t="str">
        <f>""</f>
        <v/>
      </c>
      <c r="K210" t="str">
        <f t="shared" si="107"/>
        <v>AS89</v>
      </c>
      <c r="L210" t="s">
        <v>81</v>
      </c>
      <c r="M210" s="3">
        <v>847.22</v>
      </c>
    </row>
    <row r="211" spans="1:13" x14ac:dyDescent="0.25">
      <c r="A211" t="str">
        <f t="shared" si="106"/>
        <v>E131</v>
      </c>
      <c r="B211">
        <v>1</v>
      </c>
      <c r="C211" t="str">
        <f t="shared" si="111"/>
        <v>43000</v>
      </c>
      <c r="D211" t="str">
        <f t="shared" si="112"/>
        <v>5740</v>
      </c>
      <c r="E211" t="str">
        <f t="shared" si="110"/>
        <v>850LOS</v>
      </c>
      <c r="F211" t="str">
        <f>""</f>
        <v/>
      </c>
      <c r="G211" t="str">
        <f>""</f>
        <v/>
      </c>
      <c r="H211" s="1">
        <v>38644</v>
      </c>
      <c r="I211" t="str">
        <f>"TEL00530"</f>
        <v>TEL00530</v>
      </c>
      <c r="J211" t="str">
        <f>""</f>
        <v/>
      </c>
      <c r="K211" t="str">
        <f t="shared" si="107"/>
        <v>AS89</v>
      </c>
      <c r="L211" t="s">
        <v>82</v>
      </c>
      <c r="M211" s="3">
        <v>931.36</v>
      </c>
    </row>
    <row r="212" spans="1:13" x14ac:dyDescent="0.25">
      <c r="A212" t="str">
        <f t="shared" si="106"/>
        <v>E131</v>
      </c>
      <c r="B212">
        <v>1</v>
      </c>
      <c r="C212" t="str">
        <f t="shared" si="111"/>
        <v>43000</v>
      </c>
      <c r="D212" t="str">
        <f t="shared" si="112"/>
        <v>5740</v>
      </c>
      <c r="E212" t="str">
        <f t="shared" si="110"/>
        <v>850LOS</v>
      </c>
      <c r="F212" t="str">
        <f>""</f>
        <v/>
      </c>
      <c r="G212" t="str">
        <f>""</f>
        <v/>
      </c>
      <c r="H212" s="1">
        <v>38677</v>
      </c>
      <c r="I212" t="str">
        <f>"TEL00532"</f>
        <v>TEL00532</v>
      </c>
      <c r="J212" t="str">
        <f>""</f>
        <v/>
      </c>
      <c r="K212" t="str">
        <f t="shared" si="107"/>
        <v>AS89</v>
      </c>
      <c r="L212" t="s">
        <v>83</v>
      </c>
      <c r="M212" s="3">
        <v>885.66</v>
      </c>
    </row>
    <row r="213" spans="1:13" x14ac:dyDescent="0.25">
      <c r="A213" t="str">
        <f t="shared" si="106"/>
        <v>E131</v>
      </c>
      <c r="B213">
        <v>1</v>
      </c>
      <c r="C213" t="str">
        <f t="shared" si="111"/>
        <v>43000</v>
      </c>
      <c r="D213" t="str">
        <f t="shared" si="112"/>
        <v>5740</v>
      </c>
      <c r="E213" t="str">
        <f t="shared" si="110"/>
        <v>850LOS</v>
      </c>
      <c r="F213" t="str">
        <f>""</f>
        <v/>
      </c>
      <c r="G213" t="str">
        <f>""</f>
        <v/>
      </c>
      <c r="H213" s="1">
        <v>38700</v>
      </c>
      <c r="I213" t="str">
        <f>"TEL00533"</f>
        <v>TEL00533</v>
      </c>
      <c r="J213" t="str">
        <f>""</f>
        <v/>
      </c>
      <c r="K213" t="str">
        <f t="shared" si="107"/>
        <v>AS89</v>
      </c>
      <c r="L213" t="s">
        <v>84</v>
      </c>
      <c r="M213" s="3">
        <v>861.33</v>
      </c>
    </row>
    <row r="214" spans="1:13" x14ac:dyDescent="0.25">
      <c r="A214" t="str">
        <f t="shared" si="106"/>
        <v>E131</v>
      </c>
      <c r="B214">
        <v>1</v>
      </c>
      <c r="C214" t="str">
        <f t="shared" si="111"/>
        <v>43000</v>
      </c>
      <c r="D214" t="str">
        <f t="shared" si="112"/>
        <v>5740</v>
      </c>
      <c r="E214" t="str">
        <f t="shared" si="110"/>
        <v>850LOS</v>
      </c>
      <c r="F214" t="str">
        <f>""</f>
        <v/>
      </c>
      <c r="G214" t="str">
        <f>""</f>
        <v/>
      </c>
      <c r="H214" s="1">
        <v>38728</v>
      </c>
      <c r="I214" t="str">
        <f>"TEL00535"</f>
        <v>TEL00535</v>
      </c>
      <c r="J214" t="str">
        <f>""</f>
        <v/>
      </c>
      <c r="K214" t="str">
        <f t="shared" si="107"/>
        <v>AS89</v>
      </c>
      <c r="L214" t="s">
        <v>85</v>
      </c>
      <c r="M214" s="3">
        <v>866.69</v>
      </c>
    </row>
    <row r="215" spans="1:13" x14ac:dyDescent="0.25">
      <c r="A215" t="str">
        <f t="shared" si="106"/>
        <v>E131</v>
      </c>
      <c r="B215">
        <v>1</v>
      </c>
      <c r="C215" t="str">
        <f t="shared" si="111"/>
        <v>43000</v>
      </c>
      <c r="D215" t="str">
        <f t="shared" si="112"/>
        <v>5740</v>
      </c>
      <c r="E215" t="str">
        <f t="shared" si="110"/>
        <v>850LOS</v>
      </c>
      <c r="F215" t="str">
        <f>""</f>
        <v/>
      </c>
      <c r="G215" t="str">
        <f>""</f>
        <v/>
      </c>
      <c r="H215" s="1">
        <v>38756</v>
      </c>
      <c r="I215" t="str">
        <f>"TEL00536"</f>
        <v>TEL00536</v>
      </c>
      <c r="J215" t="str">
        <f>""</f>
        <v/>
      </c>
      <c r="K215" t="str">
        <f t="shared" si="107"/>
        <v>AS89</v>
      </c>
      <c r="L215" t="s">
        <v>86</v>
      </c>
      <c r="M215" s="3">
        <v>835.79</v>
      </c>
    </row>
    <row r="216" spans="1:13" x14ac:dyDescent="0.25">
      <c r="A216" t="str">
        <f t="shared" ref="A216:A233" si="113">"E131"</f>
        <v>E131</v>
      </c>
      <c r="B216">
        <v>1</v>
      </c>
      <c r="C216" t="str">
        <f t="shared" si="111"/>
        <v>43000</v>
      </c>
      <c r="D216" t="str">
        <f t="shared" si="112"/>
        <v>5740</v>
      </c>
      <c r="E216" t="str">
        <f t="shared" si="110"/>
        <v>850LOS</v>
      </c>
      <c r="F216" t="str">
        <f>""</f>
        <v/>
      </c>
      <c r="G216" t="str">
        <f>""</f>
        <v/>
      </c>
      <c r="H216" s="1">
        <v>38784</v>
      </c>
      <c r="I216" t="str">
        <f>"TEL00537"</f>
        <v>TEL00537</v>
      </c>
      <c r="J216" t="str">
        <f>""</f>
        <v/>
      </c>
      <c r="K216" t="str">
        <f t="shared" ref="K216:K233" si="114">"AS89"</f>
        <v>AS89</v>
      </c>
      <c r="L216" t="s">
        <v>87</v>
      </c>
      <c r="M216" s="3">
        <v>870.24</v>
      </c>
    </row>
    <row r="217" spans="1:13" x14ac:dyDescent="0.25">
      <c r="A217" t="str">
        <f t="shared" si="113"/>
        <v>E131</v>
      </c>
      <c r="B217">
        <v>1</v>
      </c>
      <c r="C217" t="str">
        <f t="shared" si="111"/>
        <v>43000</v>
      </c>
      <c r="D217" t="str">
        <f t="shared" si="112"/>
        <v>5740</v>
      </c>
      <c r="E217" t="str">
        <f t="shared" si="110"/>
        <v>850LOS</v>
      </c>
      <c r="F217" t="str">
        <f>""</f>
        <v/>
      </c>
      <c r="G217" t="str">
        <f>""</f>
        <v/>
      </c>
      <c r="H217" s="1">
        <v>38820</v>
      </c>
      <c r="I217" t="str">
        <f>"TEL00538"</f>
        <v>TEL00538</v>
      </c>
      <c r="J217" t="str">
        <f>""</f>
        <v/>
      </c>
      <c r="K217" t="str">
        <f t="shared" si="114"/>
        <v>AS89</v>
      </c>
      <c r="L217" t="s">
        <v>88</v>
      </c>
      <c r="M217" s="3">
        <v>918.87</v>
      </c>
    </row>
    <row r="218" spans="1:13" x14ac:dyDescent="0.25">
      <c r="A218" t="str">
        <f t="shared" si="113"/>
        <v>E131</v>
      </c>
      <c r="B218">
        <v>1</v>
      </c>
      <c r="C218" t="str">
        <f t="shared" si="111"/>
        <v>43000</v>
      </c>
      <c r="D218" t="str">
        <f t="shared" si="112"/>
        <v>5740</v>
      </c>
      <c r="E218" t="str">
        <f t="shared" si="110"/>
        <v>850LOS</v>
      </c>
      <c r="F218" t="str">
        <f>""</f>
        <v/>
      </c>
      <c r="G218" t="str">
        <f>""</f>
        <v/>
      </c>
      <c r="H218" s="1">
        <v>38841</v>
      </c>
      <c r="I218" t="str">
        <f>"TEL00539"</f>
        <v>TEL00539</v>
      </c>
      <c r="J218" t="str">
        <f>""</f>
        <v/>
      </c>
      <c r="K218" t="str">
        <f t="shared" si="114"/>
        <v>AS89</v>
      </c>
      <c r="L218" t="s">
        <v>89</v>
      </c>
      <c r="M218" s="3">
        <v>827.52</v>
      </c>
    </row>
    <row r="219" spans="1:13" x14ac:dyDescent="0.25">
      <c r="A219" t="str">
        <f t="shared" si="113"/>
        <v>E131</v>
      </c>
      <c r="B219">
        <v>1</v>
      </c>
      <c r="C219" t="str">
        <f t="shared" si="111"/>
        <v>43000</v>
      </c>
      <c r="D219" t="str">
        <f t="shared" si="112"/>
        <v>5740</v>
      </c>
      <c r="E219" t="str">
        <f t="shared" si="110"/>
        <v>850LOS</v>
      </c>
      <c r="F219" t="str">
        <f>""</f>
        <v/>
      </c>
      <c r="G219" t="str">
        <f>""</f>
        <v/>
      </c>
      <c r="H219" s="1">
        <v>38884</v>
      </c>
      <c r="I219" t="str">
        <f>"TEL00540"</f>
        <v>TEL00540</v>
      </c>
      <c r="J219" t="str">
        <f>""</f>
        <v/>
      </c>
      <c r="K219" t="str">
        <f t="shared" si="114"/>
        <v>AS89</v>
      </c>
      <c r="L219" t="s">
        <v>90</v>
      </c>
      <c r="M219" s="3">
        <v>805.41</v>
      </c>
    </row>
    <row r="220" spans="1:13" x14ac:dyDescent="0.25">
      <c r="A220" t="str">
        <f t="shared" si="113"/>
        <v>E131</v>
      </c>
      <c r="B220">
        <v>1</v>
      </c>
      <c r="C220" t="str">
        <f t="shared" si="111"/>
        <v>43000</v>
      </c>
      <c r="D220" t="str">
        <f t="shared" si="112"/>
        <v>5740</v>
      </c>
      <c r="E220" t="str">
        <f t="shared" ref="E220:E231" si="115">"850PKE"</f>
        <v>850PKE</v>
      </c>
      <c r="F220" t="str">
        <f>""</f>
        <v/>
      </c>
      <c r="G220" t="str">
        <f>""</f>
        <v/>
      </c>
      <c r="H220" s="1">
        <v>38553</v>
      </c>
      <c r="I220" t="str">
        <f>"TEL00527"</f>
        <v>TEL00527</v>
      </c>
      <c r="J220" t="str">
        <f>""</f>
        <v/>
      </c>
      <c r="K220" t="str">
        <f t="shared" si="114"/>
        <v>AS89</v>
      </c>
      <c r="L220" t="s">
        <v>79</v>
      </c>
      <c r="M220" s="3">
        <v>240.32</v>
      </c>
    </row>
    <row r="221" spans="1:13" x14ac:dyDescent="0.25">
      <c r="A221" t="str">
        <f t="shared" si="113"/>
        <v>E131</v>
      </c>
      <c r="B221">
        <v>1</v>
      </c>
      <c r="C221" t="str">
        <f t="shared" si="111"/>
        <v>43000</v>
      </c>
      <c r="D221" t="str">
        <f t="shared" si="112"/>
        <v>5740</v>
      </c>
      <c r="E221" t="str">
        <f t="shared" si="115"/>
        <v>850PKE</v>
      </c>
      <c r="F221" t="str">
        <f>""</f>
        <v/>
      </c>
      <c r="G221" t="str">
        <f>""</f>
        <v/>
      </c>
      <c r="H221" s="1">
        <v>38582</v>
      </c>
      <c r="I221" t="str">
        <f>"TEL00528"</f>
        <v>TEL00528</v>
      </c>
      <c r="J221" t="str">
        <f>""</f>
        <v/>
      </c>
      <c r="K221" t="str">
        <f t="shared" si="114"/>
        <v>AS89</v>
      </c>
      <c r="L221" t="s">
        <v>80</v>
      </c>
      <c r="M221" s="3">
        <v>207.4</v>
      </c>
    </row>
    <row r="222" spans="1:13" x14ac:dyDescent="0.25">
      <c r="A222" t="str">
        <f t="shared" si="113"/>
        <v>E131</v>
      </c>
      <c r="B222">
        <v>1</v>
      </c>
      <c r="C222" t="str">
        <f t="shared" si="111"/>
        <v>43000</v>
      </c>
      <c r="D222" t="str">
        <f t="shared" si="112"/>
        <v>5740</v>
      </c>
      <c r="E222" t="str">
        <f t="shared" si="115"/>
        <v>850PKE</v>
      </c>
      <c r="F222" t="str">
        <f>""</f>
        <v/>
      </c>
      <c r="G222" t="str">
        <f>""</f>
        <v/>
      </c>
      <c r="H222" s="1">
        <v>38608</v>
      </c>
      <c r="I222" t="str">
        <f>"TEL00529"</f>
        <v>TEL00529</v>
      </c>
      <c r="J222" t="str">
        <f>""</f>
        <v/>
      </c>
      <c r="K222" t="str">
        <f t="shared" si="114"/>
        <v>AS89</v>
      </c>
      <c r="L222" t="s">
        <v>81</v>
      </c>
      <c r="M222" s="3">
        <v>218.92</v>
      </c>
    </row>
    <row r="223" spans="1:13" x14ac:dyDescent="0.25">
      <c r="A223" t="str">
        <f t="shared" si="113"/>
        <v>E131</v>
      </c>
      <c r="B223">
        <v>1</v>
      </c>
      <c r="C223" t="str">
        <f t="shared" si="111"/>
        <v>43000</v>
      </c>
      <c r="D223" t="str">
        <f t="shared" si="112"/>
        <v>5740</v>
      </c>
      <c r="E223" t="str">
        <f t="shared" si="115"/>
        <v>850PKE</v>
      </c>
      <c r="F223" t="str">
        <f>""</f>
        <v/>
      </c>
      <c r="G223" t="str">
        <f>""</f>
        <v/>
      </c>
      <c r="H223" s="1">
        <v>38644</v>
      </c>
      <c r="I223" t="str">
        <f>"TEL00530"</f>
        <v>TEL00530</v>
      </c>
      <c r="J223" t="str">
        <f>""</f>
        <v/>
      </c>
      <c r="K223" t="str">
        <f t="shared" si="114"/>
        <v>AS89</v>
      </c>
      <c r="L223" t="s">
        <v>82</v>
      </c>
      <c r="M223" s="3">
        <v>207.4</v>
      </c>
    </row>
    <row r="224" spans="1:13" x14ac:dyDescent="0.25">
      <c r="A224" t="str">
        <f t="shared" si="113"/>
        <v>E131</v>
      </c>
      <c r="B224">
        <v>1</v>
      </c>
      <c r="C224" t="str">
        <f t="shared" si="111"/>
        <v>43000</v>
      </c>
      <c r="D224" t="str">
        <f t="shared" si="112"/>
        <v>5740</v>
      </c>
      <c r="E224" t="str">
        <f t="shared" si="115"/>
        <v>850PKE</v>
      </c>
      <c r="F224" t="str">
        <f>""</f>
        <v/>
      </c>
      <c r="G224" t="str">
        <f>""</f>
        <v/>
      </c>
      <c r="H224" s="1">
        <v>38677</v>
      </c>
      <c r="I224" t="str">
        <f>"TEL00532"</f>
        <v>TEL00532</v>
      </c>
      <c r="J224" t="str">
        <f>""</f>
        <v/>
      </c>
      <c r="K224" t="str">
        <f t="shared" si="114"/>
        <v>AS89</v>
      </c>
      <c r="L224" t="s">
        <v>83</v>
      </c>
      <c r="M224" s="3">
        <v>209.01</v>
      </c>
    </row>
    <row r="225" spans="1:13" x14ac:dyDescent="0.25">
      <c r="A225" t="str">
        <f t="shared" si="113"/>
        <v>E131</v>
      </c>
      <c r="B225">
        <v>1</v>
      </c>
      <c r="C225" t="str">
        <f t="shared" si="111"/>
        <v>43000</v>
      </c>
      <c r="D225" t="str">
        <f t="shared" si="112"/>
        <v>5740</v>
      </c>
      <c r="E225" t="str">
        <f t="shared" si="115"/>
        <v>850PKE</v>
      </c>
      <c r="F225" t="str">
        <f>""</f>
        <v/>
      </c>
      <c r="G225" t="str">
        <f>""</f>
        <v/>
      </c>
      <c r="H225" s="1">
        <v>38700</v>
      </c>
      <c r="I225" t="str">
        <f>"TEL00533"</f>
        <v>TEL00533</v>
      </c>
      <c r="J225" t="str">
        <f>""</f>
        <v/>
      </c>
      <c r="K225" t="str">
        <f t="shared" si="114"/>
        <v>AS89</v>
      </c>
      <c r="L225" t="s">
        <v>84</v>
      </c>
      <c r="M225" s="3">
        <v>206.51</v>
      </c>
    </row>
    <row r="226" spans="1:13" x14ac:dyDescent="0.25">
      <c r="A226" t="str">
        <f t="shared" si="113"/>
        <v>E131</v>
      </c>
      <c r="B226">
        <v>1</v>
      </c>
      <c r="C226" t="str">
        <f t="shared" si="111"/>
        <v>43000</v>
      </c>
      <c r="D226" t="str">
        <f t="shared" si="112"/>
        <v>5740</v>
      </c>
      <c r="E226" t="str">
        <f t="shared" si="115"/>
        <v>850PKE</v>
      </c>
      <c r="F226" t="str">
        <f>""</f>
        <v/>
      </c>
      <c r="G226" t="str">
        <f>""</f>
        <v/>
      </c>
      <c r="H226" s="1">
        <v>38728</v>
      </c>
      <c r="I226" t="str">
        <f>"TEL00535"</f>
        <v>TEL00535</v>
      </c>
      <c r="J226" t="str">
        <f>""</f>
        <v/>
      </c>
      <c r="K226" t="str">
        <f t="shared" si="114"/>
        <v>AS89</v>
      </c>
      <c r="L226" t="s">
        <v>85</v>
      </c>
      <c r="M226" s="3">
        <v>214.73</v>
      </c>
    </row>
    <row r="227" spans="1:13" x14ac:dyDescent="0.25">
      <c r="A227" t="str">
        <f t="shared" si="113"/>
        <v>E131</v>
      </c>
      <c r="B227">
        <v>1</v>
      </c>
      <c r="C227" t="str">
        <f t="shared" si="111"/>
        <v>43000</v>
      </c>
      <c r="D227" t="str">
        <f t="shared" si="112"/>
        <v>5740</v>
      </c>
      <c r="E227" t="str">
        <f t="shared" si="115"/>
        <v>850PKE</v>
      </c>
      <c r="F227" t="str">
        <f>""</f>
        <v/>
      </c>
      <c r="G227" t="str">
        <f>""</f>
        <v/>
      </c>
      <c r="H227" s="1">
        <v>38756</v>
      </c>
      <c r="I227" t="str">
        <f>"TEL00536"</f>
        <v>TEL00536</v>
      </c>
      <c r="J227" t="str">
        <f>""</f>
        <v/>
      </c>
      <c r="K227" t="str">
        <f t="shared" si="114"/>
        <v>AS89</v>
      </c>
      <c r="L227" t="s">
        <v>86</v>
      </c>
      <c r="M227" s="3">
        <v>209.66</v>
      </c>
    </row>
    <row r="228" spans="1:13" x14ac:dyDescent="0.25">
      <c r="A228" t="str">
        <f t="shared" si="113"/>
        <v>E131</v>
      </c>
      <c r="B228">
        <v>1</v>
      </c>
      <c r="C228" t="str">
        <f t="shared" si="111"/>
        <v>43000</v>
      </c>
      <c r="D228" t="str">
        <f t="shared" si="112"/>
        <v>5740</v>
      </c>
      <c r="E228" t="str">
        <f t="shared" si="115"/>
        <v>850PKE</v>
      </c>
      <c r="F228" t="str">
        <f>""</f>
        <v/>
      </c>
      <c r="G228" t="str">
        <f>""</f>
        <v/>
      </c>
      <c r="H228" s="1">
        <v>38784</v>
      </c>
      <c r="I228" t="str">
        <f>"TEL00537"</f>
        <v>TEL00537</v>
      </c>
      <c r="J228" t="str">
        <f>""</f>
        <v/>
      </c>
      <c r="K228" t="str">
        <f t="shared" si="114"/>
        <v>AS89</v>
      </c>
      <c r="L228" t="s">
        <v>87</v>
      </c>
      <c r="M228" s="3">
        <v>224.76</v>
      </c>
    </row>
    <row r="229" spans="1:13" x14ac:dyDescent="0.25">
      <c r="A229" t="str">
        <f t="shared" si="113"/>
        <v>E131</v>
      </c>
      <c r="B229">
        <v>1</v>
      </c>
      <c r="C229" t="str">
        <f t="shared" si="111"/>
        <v>43000</v>
      </c>
      <c r="D229" t="str">
        <f t="shared" si="112"/>
        <v>5740</v>
      </c>
      <c r="E229" t="str">
        <f t="shared" si="115"/>
        <v>850PKE</v>
      </c>
      <c r="F229" t="str">
        <f>""</f>
        <v/>
      </c>
      <c r="G229" t="str">
        <f>""</f>
        <v/>
      </c>
      <c r="H229" s="1">
        <v>38820</v>
      </c>
      <c r="I229" t="str">
        <f>"TEL00538"</f>
        <v>TEL00538</v>
      </c>
      <c r="J229" t="str">
        <f>""</f>
        <v/>
      </c>
      <c r="K229" t="str">
        <f t="shared" si="114"/>
        <v>AS89</v>
      </c>
      <c r="L229" t="s">
        <v>88</v>
      </c>
      <c r="M229" s="3">
        <v>215.27</v>
      </c>
    </row>
    <row r="230" spans="1:13" x14ac:dyDescent="0.25">
      <c r="A230" t="str">
        <f t="shared" si="113"/>
        <v>E131</v>
      </c>
      <c r="B230">
        <v>1</v>
      </c>
      <c r="C230" t="str">
        <f t="shared" si="111"/>
        <v>43000</v>
      </c>
      <c r="D230" t="str">
        <f t="shared" si="112"/>
        <v>5740</v>
      </c>
      <c r="E230" t="str">
        <f t="shared" si="115"/>
        <v>850PKE</v>
      </c>
      <c r="F230" t="str">
        <f>""</f>
        <v/>
      </c>
      <c r="G230" t="str">
        <f>""</f>
        <v/>
      </c>
      <c r="H230" s="1">
        <v>38841</v>
      </c>
      <c r="I230" t="str">
        <f>"TEL00539"</f>
        <v>TEL00539</v>
      </c>
      <c r="J230" t="str">
        <f>""</f>
        <v/>
      </c>
      <c r="K230" t="str">
        <f t="shared" si="114"/>
        <v>AS89</v>
      </c>
      <c r="L230" t="s">
        <v>89</v>
      </c>
      <c r="M230" s="3">
        <v>204.4</v>
      </c>
    </row>
    <row r="231" spans="1:13" x14ac:dyDescent="0.25">
      <c r="A231" t="str">
        <f t="shared" si="113"/>
        <v>E131</v>
      </c>
      <c r="B231">
        <v>1</v>
      </c>
      <c r="C231" t="str">
        <f t="shared" si="111"/>
        <v>43000</v>
      </c>
      <c r="D231" t="str">
        <f t="shared" si="112"/>
        <v>5740</v>
      </c>
      <c r="E231" t="str">
        <f t="shared" si="115"/>
        <v>850PKE</v>
      </c>
      <c r="F231" t="str">
        <f>""</f>
        <v/>
      </c>
      <c r="G231" t="str">
        <f>""</f>
        <v/>
      </c>
      <c r="H231" s="1">
        <v>38884</v>
      </c>
      <c r="I231" t="str">
        <f>"TEL00540"</f>
        <v>TEL00540</v>
      </c>
      <c r="J231" t="str">
        <f>""</f>
        <v/>
      </c>
      <c r="K231" t="str">
        <f t="shared" si="114"/>
        <v>AS89</v>
      </c>
      <c r="L231" t="s">
        <v>90</v>
      </c>
      <c r="M231" s="3">
        <v>204.52</v>
      </c>
    </row>
    <row r="232" spans="1:13" x14ac:dyDescent="0.25">
      <c r="A232" t="str">
        <f t="shared" si="113"/>
        <v>E131</v>
      </c>
      <c r="B232">
        <v>1</v>
      </c>
      <c r="C232" t="str">
        <f t="shared" ref="C232:C233" si="116">"43001"</f>
        <v>43001</v>
      </c>
      <c r="D232" t="str">
        <f t="shared" si="112"/>
        <v>5740</v>
      </c>
      <c r="E232" t="str">
        <f t="shared" ref="E232:E233" si="117">"850LOS"</f>
        <v>850LOS</v>
      </c>
      <c r="F232" t="str">
        <f>""</f>
        <v/>
      </c>
      <c r="G232" t="str">
        <f>""</f>
        <v/>
      </c>
      <c r="H232" s="1">
        <v>38700</v>
      </c>
      <c r="I232" t="str">
        <f>"TEL00533"</f>
        <v>TEL00533</v>
      </c>
      <c r="J232" t="str">
        <f>""</f>
        <v/>
      </c>
      <c r="K232" t="str">
        <f t="shared" si="114"/>
        <v>AS89</v>
      </c>
      <c r="L232" t="s">
        <v>84</v>
      </c>
      <c r="M232" s="3">
        <v>157.5</v>
      </c>
    </row>
    <row r="233" spans="1:13" x14ac:dyDescent="0.25">
      <c r="A233" t="str">
        <f t="shared" si="113"/>
        <v>E131</v>
      </c>
      <c r="B233">
        <v>1</v>
      </c>
      <c r="C233" t="str">
        <f t="shared" si="116"/>
        <v>43001</v>
      </c>
      <c r="D233" t="str">
        <f t="shared" si="112"/>
        <v>5740</v>
      </c>
      <c r="E233" t="str">
        <f t="shared" si="117"/>
        <v>850LOS</v>
      </c>
      <c r="F233" t="str">
        <f>""</f>
        <v/>
      </c>
      <c r="G233" t="str">
        <f>""</f>
        <v/>
      </c>
      <c r="H233" s="1">
        <v>38756</v>
      </c>
      <c r="I233" t="str">
        <f>"TEL00536"</f>
        <v>TEL00536</v>
      </c>
      <c r="J233" t="str">
        <f>""</f>
        <v/>
      </c>
      <c r="K233" t="str">
        <f t="shared" si="114"/>
        <v>AS89</v>
      </c>
      <c r="L233" t="s">
        <v>86</v>
      </c>
      <c r="M233" s="3">
        <v>157.5</v>
      </c>
    </row>
    <row r="234" spans="1:13" x14ac:dyDescent="0.25">
      <c r="A234" t="str">
        <f t="shared" ref="A234:A256" si="118">"E150"</f>
        <v>E150</v>
      </c>
      <c r="B234">
        <v>1</v>
      </c>
      <c r="C234" t="str">
        <f>"14185"</f>
        <v>14185</v>
      </c>
      <c r="D234" t="str">
        <f>"5620"</f>
        <v>5620</v>
      </c>
      <c r="E234" t="str">
        <f>"094OMS"</f>
        <v>094OMS</v>
      </c>
      <c r="F234" t="str">
        <f>""</f>
        <v/>
      </c>
      <c r="G234" t="str">
        <f>""</f>
        <v/>
      </c>
      <c r="H234" s="1">
        <v>38625</v>
      </c>
      <c r="I234" t="str">
        <f>"MPG00297"</f>
        <v>MPG00297</v>
      </c>
      <c r="J234" t="str">
        <f>""</f>
        <v/>
      </c>
      <c r="K234" t="str">
        <f>"AS89"</f>
        <v>AS89</v>
      </c>
      <c r="L234" t="s">
        <v>91</v>
      </c>
      <c r="M234" s="3">
        <v>49200</v>
      </c>
    </row>
    <row r="235" spans="1:13" x14ac:dyDescent="0.25">
      <c r="A235" t="str">
        <f t="shared" si="118"/>
        <v>E150</v>
      </c>
      <c r="B235">
        <v>1</v>
      </c>
      <c r="C235" t="str">
        <f>"14185"</f>
        <v>14185</v>
      </c>
      <c r="D235" t="str">
        <f>"5620"</f>
        <v>5620</v>
      </c>
      <c r="E235" t="str">
        <f>"094OMS"</f>
        <v>094OMS</v>
      </c>
      <c r="F235" t="str">
        <f>""</f>
        <v/>
      </c>
      <c r="G235" t="str">
        <f>""</f>
        <v/>
      </c>
      <c r="H235" s="1">
        <v>38841</v>
      </c>
      <c r="I235" t="str">
        <f>"076394"</f>
        <v>076394</v>
      </c>
      <c r="J235" t="str">
        <f>""</f>
        <v/>
      </c>
      <c r="K235" t="str">
        <f>"INNI"</f>
        <v>INNI</v>
      </c>
      <c r="L235" t="s">
        <v>92</v>
      </c>
      <c r="M235" s="3">
        <v>997.5</v>
      </c>
    </row>
    <row r="236" spans="1:13" x14ac:dyDescent="0.25">
      <c r="A236" t="str">
        <f t="shared" si="118"/>
        <v>E150</v>
      </c>
      <c r="B236">
        <v>1</v>
      </c>
      <c r="C236" t="str">
        <f>"32040"</f>
        <v>32040</v>
      </c>
      <c r="D236" t="str">
        <f>"5610"</f>
        <v>5610</v>
      </c>
      <c r="E236" t="str">
        <f t="shared" ref="E236:E243" si="119">"850LOS"</f>
        <v>850LOS</v>
      </c>
      <c r="F236" t="str">
        <f>""</f>
        <v/>
      </c>
      <c r="G236" t="str">
        <f>""</f>
        <v/>
      </c>
      <c r="H236" s="1">
        <v>38625</v>
      </c>
      <c r="I236" t="str">
        <f>"MPG00297"</f>
        <v>MPG00297</v>
      </c>
      <c r="J236" t="str">
        <f>""</f>
        <v/>
      </c>
      <c r="K236" t="str">
        <f>"AS89"</f>
        <v>AS89</v>
      </c>
      <c r="L236" t="s">
        <v>93</v>
      </c>
      <c r="M236" s="3">
        <v>5500</v>
      </c>
    </row>
    <row r="237" spans="1:13" x14ac:dyDescent="0.25">
      <c r="A237" t="str">
        <f t="shared" si="118"/>
        <v>E150</v>
      </c>
      <c r="B237">
        <v>1</v>
      </c>
      <c r="C237" t="str">
        <f t="shared" ref="C237:C244" si="120">"43000"</f>
        <v>43000</v>
      </c>
      <c r="D237" t="str">
        <f t="shared" ref="D237:D256" si="121">"5740"</f>
        <v>5740</v>
      </c>
      <c r="E237" t="str">
        <f t="shared" si="119"/>
        <v>850LOS</v>
      </c>
      <c r="F237" t="str">
        <f>""</f>
        <v/>
      </c>
      <c r="G237" t="str">
        <f>""</f>
        <v/>
      </c>
      <c r="H237" s="1">
        <v>38756</v>
      </c>
      <c r="I237" t="str">
        <f>"07858704"</f>
        <v>07858704</v>
      </c>
      <c r="J237" t="str">
        <f t="shared" ref="J237:J243" si="122">"B076350"</f>
        <v>B076350</v>
      </c>
      <c r="K237" t="str">
        <f t="shared" ref="K237:K244" si="123">"INNI"</f>
        <v>INNI</v>
      </c>
      <c r="L237" t="s">
        <v>94</v>
      </c>
      <c r="M237" s="3">
        <v>1667.82</v>
      </c>
    </row>
    <row r="238" spans="1:13" x14ac:dyDescent="0.25">
      <c r="A238" t="str">
        <f t="shared" si="118"/>
        <v>E150</v>
      </c>
      <c r="B238">
        <v>1</v>
      </c>
      <c r="C238" t="str">
        <f t="shared" si="120"/>
        <v>43000</v>
      </c>
      <c r="D238" t="str">
        <f t="shared" si="121"/>
        <v>5740</v>
      </c>
      <c r="E238" t="str">
        <f t="shared" si="119"/>
        <v>850LOS</v>
      </c>
      <c r="F238" t="str">
        <f>""</f>
        <v/>
      </c>
      <c r="G238" t="str">
        <f>""</f>
        <v/>
      </c>
      <c r="H238" s="1">
        <v>38756</v>
      </c>
      <c r="I238" t="str">
        <f>"07859204"</f>
        <v>07859204</v>
      </c>
      <c r="J238" t="str">
        <f t="shared" si="122"/>
        <v>B076350</v>
      </c>
      <c r="K238" t="str">
        <f t="shared" si="123"/>
        <v>INNI</v>
      </c>
      <c r="L238" t="s">
        <v>94</v>
      </c>
      <c r="M238" s="3">
        <v>1089.1600000000001</v>
      </c>
    </row>
    <row r="239" spans="1:13" x14ac:dyDescent="0.25">
      <c r="A239" t="str">
        <f t="shared" si="118"/>
        <v>E150</v>
      </c>
      <c r="B239">
        <v>1</v>
      </c>
      <c r="C239" t="str">
        <f t="shared" si="120"/>
        <v>43000</v>
      </c>
      <c r="D239" t="str">
        <f t="shared" si="121"/>
        <v>5740</v>
      </c>
      <c r="E239" t="str">
        <f t="shared" si="119"/>
        <v>850LOS</v>
      </c>
      <c r="F239" t="str">
        <f>""</f>
        <v/>
      </c>
      <c r="G239" t="str">
        <f>""</f>
        <v/>
      </c>
      <c r="H239" s="1">
        <v>38786</v>
      </c>
      <c r="I239" t="str">
        <f>"07858709"</f>
        <v>07858709</v>
      </c>
      <c r="J239" t="str">
        <f t="shared" si="122"/>
        <v>B076350</v>
      </c>
      <c r="K239" t="str">
        <f t="shared" si="123"/>
        <v>INNI</v>
      </c>
      <c r="L239" t="s">
        <v>94</v>
      </c>
      <c r="M239" s="3">
        <v>1028.8499999999999</v>
      </c>
    </row>
    <row r="240" spans="1:13" x14ac:dyDescent="0.25">
      <c r="A240" t="str">
        <f t="shared" si="118"/>
        <v>E150</v>
      </c>
      <c r="B240">
        <v>1</v>
      </c>
      <c r="C240" t="str">
        <f t="shared" si="120"/>
        <v>43000</v>
      </c>
      <c r="D240" t="str">
        <f t="shared" si="121"/>
        <v>5740</v>
      </c>
      <c r="E240" t="str">
        <f t="shared" si="119"/>
        <v>850LOS</v>
      </c>
      <c r="F240" t="str">
        <f>""</f>
        <v/>
      </c>
      <c r="G240" t="str">
        <f>""</f>
        <v/>
      </c>
      <c r="H240" s="1">
        <v>38797</v>
      </c>
      <c r="I240" t="str">
        <f>"07858710"</f>
        <v>07858710</v>
      </c>
      <c r="J240" t="str">
        <f t="shared" si="122"/>
        <v>B076350</v>
      </c>
      <c r="K240" t="str">
        <f t="shared" si="123"/>
        <v>INNI</v>
      </c>
      <c r="L240" t="s">
        <v>94</v>
      </c>
      <c r="M240" s="3">
        <v>1326.68</v>
      </c>
    </row>
    <row r="241" spans="1:13" x14ac:dyDescent="0.25">
      <c r="A241" t="str">
        <f t="shared" si="118"/>
        <v>E150</v>
      </c>
      <c r="B241">
        <v>1</v>
      </c>
      <c r="C241" t="str">
        <f t="shared" si="120"/>
        <v>43000</v>
      </c>
      <c r="D241" t="str">
        <f t="shared" si="121"/>
        <v>5740</v>
      </c>
      <c r="E241" t="str">
        <f t="shared" si="119"/>
        <v>850LOS</v>
      </c>
      <c r="F241" t="str">
        <f>""</f>
        <v/>
      </c>
      <c r="G241" t="str">
        <f>""</f>
        <v/>
      </c>
      <c r="H241" s="1">
        <v>38832</v>
      </c>
      <c r="I241" t="str">
        <f>"07858712"</f>
        <v>07858712</v>
      </c>
      <c r="J241" t="str">
        <f t="shared" si="122"/>
        <v>B076350</v>
      </c>
      <c r="K241" t="str">
        <f t="shared" si="123"/>
        <v>INNI</v>
      </c>
      <c r="L241" t="s">
        <v>94</v>
      </c>
      <c r="M241" s="3">
        <v>1327.9</v>
      </c>
    </row>
    <row r="242" spans="1:13" x14ac:dyDescent="0.25">
      <c r="A242" t="str">
        <f t="shared" si="118"/>
        <v>E150</v>
      </c>
      <c r="B242">
        <v>1</v>
      </c>
      <c r="C242" t="str">
        <f t="shared" si="120"/>
        <v>43000</v>
      </c>
      <c r="D242" t="str">
        <f t="shared" si="121"/>
        <v>5740</v>
      </c>
      <c r="E242" t="str">
        <f t="shared" si="119"/>
        <v>850LOS</v>
      </c>
      <c r="F242" t="str">
        <f>""</f>
        <v/>
      </c>
      <c r="G242" t="str">
        <f>""</f>
        <v/>
      </c>
      <c r="H242" s="1">
        <v>38832</v>
      </c>
      <c r="I242" t="str">
        <f>"08225104"</f>
        <v>08225104</v>
      </c>
      <c r="J242" t="str">
        <f t="shared" si="122"/>
        <v>B076350</v>
      </c>
      <c r="K242" t="str">
        <f t="shared" si="123"/>
        <v>INNI</v>
      </c>
      <c r="L242" t="s">
        <v>94</v>
      </c>
      <c r="M242" s="3">
        <v>620.20000000000005</v>
      </c>
    </row>
    <row r="243" spans="1:13" x14ac:dyDescent="0.25">
      <c r="A243" t="str">
        <f t="shared" si="118"/>
        <v>E150</v>
      </c>
      <c r="B243">
        <v>1</v>
      </c>
      <c r="C243" t="str">
        <f t="shared" si="120"/>
        <v>43000</v>
      </c>
      <c r="D243" t="str">
        <f t="shared" si="121"/>
        <v>5740</v>
      </c>
      <c r="E243" t="str">
        <f t="shared" si="119"/>
        <v>850LOS</v>
      </c>
      <c r="F243" t="str">
        <f>""</f>
        <v/>
      </c>
      <c r="G243" t="str">
        <f>""</f>
        <v/>
      </c>
      <c r="H243" s="1">
        <v>38861</v>
      </c>
      <c r="I243" t="str">
        <f>"07858713"</f>
        <v>07858713</v>
      </c>
      <c r="J243" t="str">
        <f t="shared" si="122"/>
        <v>B076350</v>
      </c>
      <c r="K243" t="str">
        <f t="shared" si="123"/>
        <v>INNI</v>
      </c>
      <c r="L243" t="s">
        <v>94</v>
      </c>
      <c r="M243" s="3">
        <v>1327.9</v>
      </c>
    </row>
    <row r="244" spans="1:13" x14ac:dyDescent="0.25">
      <c r="A244" t="str">
        <f t="shared" si="118"/>
        <v>E150</v>
      </c>
      <c r="B244">
        <v>1</v>
      </c>
      <c r="C244" t="str">
        <f t="shared" si="120"/>
        <v>43000</v>
      </c>
      <c r="D244" t="str">
        <f t="shared" si="121"/>
        <v>5740</v>
      </c>
      <c r="E244" t="str">
        <f>"850PKE"</f>
        <v>850PKE</v>
      </c>
      <c r="F244" t="str">
        <f>""</f>
        <v/>
      </c>
      <c r="G244" t="str">
        <f>""</f>
        <v/>
      </c>
      <c r="H244" s="1">
        <v>38841</v>
      </c>
      <c r="I244" t="str">
        <f>"076394"</f>
        <v>076394</v>
      </c>
      <c r="J244" t="str">
        <f>""</f>
        <v/>
      </c>
      <c r="K244" t="str">
        <f t="shared" si="123"/>
        <v>INNI</v>
      </c>
      <c r="L244" t="s">
        <v>92</v>
      </c>
      <c r="M244" s="3">
        <v>332.5</v>
      </c>
    </row>
    <row r="245" spans="1:13" x14ac:dyDescent="0.25">
      <c r="A245" t="str">
        <f t="shared" si="118"/>
        <v>E150</v>
      </c>
      <c r="B245">
        <v>1</v>
      </c>
      <c r="C245" t="str">
        <f t="shared" ref="C245:C256" si="124">"43007"</f>
        <v>43007</v>
      </c>
      <c r="D245" t="str">
        <f t="shared" si="121"/>
        <v>5740</v>
      </c>
      <c r="E245" t="str">
        <f t="shared" ref="E245:E256" si="125">"850GAR"</f>
        <v>850GAR</v>
      </c>
      <c r="F245" t="str">
        <f>""</f>
        <v/>
      </c>
      <c r="G245" t="str">
        <f>""</f>
        <v/>
      </c>
      <c r="H245" s="1">
        <v>38553</v>
      </c>
      <c r="I245" t="str">
        <f>"I0076318"</f>
        <v>I0076318</v>
      </c>
      <c r="J245" t="str">
        <f t="shared" ref="J245:J247" si="126">"N088665A"</f>
        <v>N088665A</v>
      </c>
      <c r="K245" t="str">
        <f t="shared" ref="K245:K247" si="127">"INEI"</f>
        <v>INEI</v>
      </c>
      <c r="L245" t="s">
        <v>95</v>
      </c>
      <c r="M245" s="3">
        <v>15000</v>
      </c>
    </row>
    <row r="246" spans="1:13" x14ac:dyDescent="0.25">
      <c r="A246" t="str">
        <f t="shared" si="118"/>
        <v>E150</v>
      </c>
      <c r="B246">
        <v>1</v>
      </c>
      <c r="C246" t="str">
        <f t="shared" si="124"/>
        <v>43007</v>
      </c>
      <c r="D246" t="str">
        <f t="shared" si="121"/>
        <v>5740</v>
      </c>
      <c r="E246" t="str">
        <f t="shared" si="125"/>
        <v>850GAR</v>
      </c>
      <c r="F246" t="str">
        <f>""</f>
        <v/>
      </c>
      <c r="G246" t="str">
        <f>""</f>
        <v/>
      </c>
      <c r="H246" s="1">
        <v>38565</v>
      </c>
      <c r="I246" t="str">
        <f>"I0076437"</f>
        <v>I0076437</v>
      </c>
      <c r="J246" t="str">
        <f t="shared" si="126"/>
        <v>N088665A</v>
      </c>
      <c r="K246" t="str">
        <f t="shared" si="127"/>
        <v>INEI</v>
      </c>
      <c r="L246" t="s">
        <v>95</v>
      </c>
      <c r="M246" s="3">
        <v>15000</v>
      </c>
    </row>
    <row r="247" spans="1:13" x14ac:dyDescent="0.25">
      <c r="A247" t="str">
        <f t="shared" si="118"/>
        <v>E150</v>
      </c>
      <c r="B247">
        <v>1</v>
      </c>
      <c r="C247" t="str">
        <f t="shared" si="124"/>
        <v>43007</v>
      </c>
      <c r="D247" t="str">
        <f t="shared" si="121"/>
        <v>5740</v>
      </c>
      <c r="E247" t="str">
        <f t="shared" si="125"/>
        <v>850GAR</v>
      </c>
      <c r="F247" t="str">
        <f>""</f>
        <v/>
      </c>
      <c r="G247" t="str">
        <f>""</f>
        <v/>
      </c>
      <c r="H247" s="1">
        <v>38596</v>
      </c>
      <c r="I247" t="str">
        <f>"I0076753"</f>
        <v>I0076753</v>
      </c>
      <c r="J247" t="str">
        <f t="shared" si="126"/>
        <v>N088665A</v>
      </c>
      <c r="K247" t="str">
        <f t="shared" si="127"/>
        <v>INEI</v>
      </c>
      <c r="L247" t="s">
        <v>95</v>
      </c>
      <c r="M247" s="3">
        <v>15000</v>
      </c>
    </row>
    <row r="248" spans="1:13" x14ac:dyDescent="0.25">
      <c r="A248" t="str">
        <f t="shared" si="118"/>
        <v>E150</v>
      </c>
      <c r="B248">
        <v>1</v>
      </c>
      <c r="C248" t="str">
        <f t="shared" si="124"/>
        <v>43007</v>
      </c>
      <c r="D248" t="str">
        <f t="shared" si="121"/>
        <v>5740</v>
      </c>
      <c r="E248" t="str">
        <f t="shared" si="125"/>
        <v>850GAR</v>
      </c>
      <c r="F248" t="str">
        <f>""</f>
        <v/>
      </c>
      <c r="G248" t="str">
        <f>""</f>
        <v/>
      </c>
      <c r="H248" s="1">
        <v>38649</v>
      </c>
      <c r="I248" t="str">
        <f>"I0077117"</f>
        <v>I0077117</v>
      </c>
      <c r="J248" t="str">
        <f t="shared" ref="J248:J256" si="128">"N088665B"</f>
        <v>N088665B</v>
      </c>
      <c r="K248" t="str">
        <f t="shared" ref="K248:K256" si="129">"INEI"</f>
        <v>INEI</v>
      </c>
      <c r="L248" t="s">
        <v>95</v>
      </c>
      <c r="M248" s="3">
        <v>18000</v>
      </c>
    </row>
    <row r="249" spans="1:13" x14ac:dyDescent="0.25">
      <c r="A249" t="str">
        <f t="shared" si="118"/>
        <v>E150</v>
      </c>
      <c r="B249">
        <v>1</v>
      </c>
      <c r="C249" t="str">
        <f t="shared" si="124"/>
        <v>43007</v>
      </c>
      <c r="D249" t="str">
        <f t="shared" si="121"/>
        <v>5740</v>
      </c>
      <c r="E249" t="str">
        <f t="shared" si="125"/>
        <v>850GAR</v>
      </c>
      <c r="F249" t="str">
        <f>""</f>
        <v/>
      </c>
      <c r="G249" t="str">
        <f>""</f>
        <v/>
      </c>
      <c r="H249" s="1">
        <v>38657</v>
      </c>
      <c r="I249" t="str">
        <f>"I0077191"</f>
        <v>I0077191</v>
      </c>
      <c r="J249" t="str">
        <f t="shared" si="128"/>
        <v>N088665B</v>
      </c>
      <c r="K249" t="str">
        <f t="shared" si="129"/>
        <v>INEI</v>
      </c>
      <c r="L249" t="s">
        <v>95</v>
      </c>
      <c r="M249" s="3">
        <v>18000</v>
      </c>
    </row>
    <row r="250" spans="1:13" x14ac:dyDescent="0.25">
      <c r="A250" t="str">
        <f t="shared" si="118"/>
        <v>E150</v>
      </c>
      <c r="B250">
        <v>1</v>
      </c>
      <c r="C250" t="str">
        <f t="shared" si="124"/>
        <v>43007</v>
      </c>
      <c r="D250" t="str">
        <f t="shared" si="121"/>
        <v>5740</v>
      </c>
      <c r="E250" t="str">
        <f t="shared" si="125"/>
        <v>850GAR</v>
      </c>
      <c r="F250" t="str">
        <f>""</f>
        <v/>
      </c>
      <c r="G250" t="str">
        <f>""</f>
        <v/>
      </c>
      <c r="H250" s="1">
        <v>38688</v>
      </c>
      <c r="I250" t="str">
        <f>"I0077450"</f>
        <v>I0077450</v>
      </c>
      <c r="J250" t="str">
        <f t="shared" si="128"/>
        <v>N088665B</v>
      </c>
      <c r="K250" t="str">
        <f t="shared" si="129"/>
        <v>INEI</v>
      </c>
      <c r="L250" t="s">
        <v>95</v>
      </c>
      <c r="M250" s="3">
        <v>18000</v>
      </c>
    </row>
    <row r="251" spans="1:13" x14ac:dyDescent="0.25">
      <c r="A251" t="str">
        <f t="shared" si="118"/>
        <v>E150</v>
      </c>
      <c r="B251">
        <v>1</v>
      </c>
      <c r="C251" t="str">
        <f t="shared" si="124"/>
        <v>43007</v>
      </c>
      <c r="D251" t="str">
        <f t="shared" si="121"/>
        <v>5740</v>
      </c>
      <c r="E251" t="str">
        <f t="shared" si="125"/>
        <v>850GAR</v>
      </c>
      <c r="F251" t="str">
        <f>""</f>
        <v/>
      </c>
      <c r="G251" t="str">
        <f>""</f>
        <v/>
      </c>
      <c r="H251" s="1">
        <v>38720</v>
      </c>
      <c r="I251" t="str">
        <f>"I0077788"</f>
        <v>I0077788</v>
      </c>
      <c r="J251" t="str">
        <f t="shared" si="128"/>
        <v>N088665B</v>
      </c>
      <c r="K251" t="str">
        <f t="shared" si="129"/>
        <v>INEI</v>
      </c>
      <c r="L251" t="s">
        <v>95</v>
      </c>
      <c r="M251" s="3">
        <v>18000</v>
      </c>
    </row>
    <row r="252" spans="1:13" x14ac:dyDescent="0.25">
      <c r="A252" t="str">
        <f t="shared" si="118"/>
        <v>E150</v>
      </c>
      <c r="B252">
        <v>1</v>
      </c>
      <c r="C252" t="str">
        <f t="shared" si="124"/>
        <v>43007</v>
      </c>
      <c r="D252" t="str">
        <f t="shared" si="121"/>
        <v>5740</v>
      </c>
      <c r="E252" t="str">
        <f t="shared" si="125"/>
        <v>850GAR</v>
      </c>
      <c r="F252" t="str">
        <f>""</f>
        <v/>
      </c>
      <c r="G252" t="str">
        <f>""</f>
        <v/>
      </c>
      <c r="H252" s="1">
        <v>38751</v>
      </c>
      <c r="I252" t="str">
        <f>"I0078118"</f>
        <v>I0078118</v>
      </c>
      <c r="J252" t="str">
        <f t="shared" si="128"/>
        <v>N088665B</v>
      </c>
      <c r="K252" t="str">
        <f t="shared" si="129"/>
        <v>INEI</v>
      </c>
      <c r="L252" t="s">
        <v>95</v>
      </c>
      <c r="M252" s="3">
        <v>18000</v>
      </c>
    </row>
    <row r="253" spans="1:13" x14ac:dyDescent="0.25">
      <c r="A253" t="str">
        <f t="shared" si="118"/>
        <v>E150</v>
      </c>
      <c r="B253">
        <v>1</v>
      </c>
      <c r="C253" t="str">
        <f t="shared" si="124"/>
        <v>43007</v>
      </c>
      <c r="D253" t="str">
        <f t="shared" si="121"/>
        <v>5740</v>
      </c>
      <c r="E253" t="str">
        <f t="shared" si="125"/>
        <v>850GAR</v>
      </c>
      <c r="F253" t="str">
        <f>""</f>
        <v/>
      </c>
      <c r="G253" t="str">
        <f>""</f>
        <v/>
      </c>
      <c r="H253" s="1">
        <v>38779</v>
      </c>
      <c r="I253" t="str">
        <f>"I0078374"</f>
        <v>I0078374</v>
      </c>
      <c r="J253" t="str">
        <f t="shared" si="128"/>
        <v>N088665B</v>
      </c>
      <c r="K253" t="str">
        <f t="shared" si="129"/>
        <v>INEI</v>
      </c>
      <c r="L253" t="s">
        <v>95</v>
      </c>
      <c r="M253" s="3">
        <v>18000</v>
      </c>
    </row>
    <row r="254" spans="1:13" x14ac:dyDescent="0.25">
      <c r="A254" t="str">
        <f t="shared" si="118"/>
        <v>E150</v>
      </c>
      <c r="B254">
        <v>1</v>
      </c>
      <c r="C254" t="str">
        <f t="shared" si="124"/>
        <v>43007</v>
      </c>
      <c r="D254" t="str">
        <f t="shared" si="121"/>
        <v>5740</v>
      </c>
      <c r="E254" t="str">
        <f t="shared" si="125"/>
        <v>850GAR</v>
      </c>
      <c r="F254" t="str">
        <f>""</f>
        <v/>
      </c>
      <c r="G254" t="str">
        <f>""</f>
        <v/>
      </c>
      <c r="H254" s="1">
        <v>38810</v>
      </c>
      <c r="I254" t="str">
        <f>"I0078698"</f>
        <v>I0078698</v>
      </c>
      <c r="J254" t="str">
        <f t="shared" si="128"/>
        <v>N088665B</v>
      </c>
      <c r="K254" t="str">
        <f t="shared" si="129"/>
        <v>INEI</v>
      </c>
      <c r="L254" t="s">
        <v>95</v>
      </c>
      <c r="M254" s="3">
        <v>18000</v>
      </c>
    </row>
    <row r="255" spans="1:13" x14ac:dyDescent="0.25">
      <c r="A255" t="str">
        <f t="shared" si="118"/>
        <v>E150</v>
      </c>
      <c r="B255">
        <v>1</v>
      </c>
      <c r="C255" t="str">
        <f t="shared" si="124"/>
        <v>43007</v>
      </c>
      <c r="D255" t="str">
        <f t="shared" si="121"/>
        <v>5740</v>
      </c>
      <c r="E255" t="str">
        <f t="shared" si="125"/>
        <v>850GAR</v>
      </c>
      <c r="F255" t="str">
        <f>""</f>
        <v/>
      </c>
      <c r="G255" t="str">
        <f>""</f>
        <v/>
      </c>
      <c r="H255" s="1">
        <v>38838</v>
      </c>
      <c r="I255" t="str">
        <f>"I0079030"</f>
        <v>I0079030</v>
      </c>
      <c r="J255" t="str">
        <f t="shared" si="128"/>
        <v>N088665B</v>
      </c>
      <c r="K255" t="str">
        <f t="shared" si="129"/>
        <v>INEI</v>
      </c>
      <c r="L255" t="s">
        <v>95</v>
      </c>
      <c r="M255" s="3">
        <v>18000</v>
      </c>
    </row>
    <row r="256" spans="1:13" x14ac:dyDescent="0.25">
      <c r="A256" t="str">
        <f t="shared" si="118"/>
        <v>E150</v>
      </c>
      <c r="B256">
        <v>1</v>
      </c>
      <c r="C256" t="str">
        <f t="shared" si="124"/>
        <v>43007</v>
      </c>
      <c r="D256" t="str">
        <f t="shared" si="121"/>
        <v>5740</v>
      </c>
      <c r="E256" t="str">
        <f t="shared" si="125"/>
        <v>850GAR</v>
      </c>
      <c r="F256" t="str">
        <f>""</f>
        <v/>
      </c>
      <c r="G256" t="str">
        <f>""</f>
        <v/>
      </c>
      <c r="H256" s="1">
        <v>38870</v>
      </c>
      <c r="I256" t="str">
        <f>"I0079455"</f>
        <v>I0079455</v>
      </c>
      <c r="J256" t="str">
        <f t="shared" si="128"/>
        <v>N088665B</v>
      </c>
      <c r="K256" t="str">
        <f t="shared" si="129"/>
        <v>INEI</v>
      </c>
      <c r="L256" t="s">
        <v>95</v>
      </c>
      <c r="M256" s="3">
        <v>18000</v>
      </c>
    </row>
    <row r="257" spans="1:13" x14ac:dyDescent="0.25">
      <c r="A257" t="str">
        <f t="shared" ref="A257:A258" si="130">"E159"</f>
        <v>E159</v>
      </c>
      <c r="B257">
        <v>1</v>
      </c>
      <c r="C257" t="str">
        <f t="shared" ref="C257:C258" si="131">"43000"</f>
        <v>43000</v>
      </c>
      <c r="D257" t="str">
        <f t="shared" ref="D257:D258" si="132">"5740"</f>
        <v>5740</v>
      </c>
      <c r="E257" t="str">
        <f t="shared" ref="E257:E258" si="133">"850LOS"</f>
        <v>850LOS</v>
      </c>
      <c r="F257" t="str">
        <f>""</f>
        <v/>
      </c>
      <c r="G257" t="str">
        <f>""</f>
        <v/>
      </c>
      <c r="H257" s="1">
        <v>38705</v>
      </c>
      <c r="I257" t="str">
        <f>"PCD00211"</f>
        <v>PCD00211</v>
      </c>
      <c r="J257" t="str">
        <f>"34654"</f>
        <v>34654</v>
      </c>
      <c r="K257" t="str">
        <f t="shared" ref="K257:K277" si="134">"AS89"</f>
        <v>AS89</v>
      </c>
      <c r="L257" t="s">
        <v>96</v>
      </c>
      <c r="M257" s="3">
        <v>599</v>
      </c>
    </row>
    <row r="258" spans="1:13" x14ac:dyDescent="0.25">
      <c r="A258" t="str">
        <f t="shared" si="130"/>
        <v>E159</v>
      </c>
      <c r="B258">
        <v>1</v>
      </c>
      <c r="C258" t="str">
        <f t="shared" si="131"/>
        <v>43000</v>
      </c>
      <c r="D258" t="str">
        <f t="shared" si="132"/>
        <v>5740</v>
      </c>
      <c r="E258" t="str">
        <f t="shared" si="133"/>
        <v>850LOS</v>
      </c>
      <c r="F258" t="str">
        <f>""</f>
        <v/>
      </c>
      <c r="G258" t="str">
        <f>""</f>
        <v/>
      </c>
      <c r="H258" s="1">
        <v>38751</v>
      </c>
      <c r="I258" t="str">
        <f>"PCD00218"</f>
        <v>PCD00218</v>
      </c>
      <c r="J258" t="str">
        <f>"36135"</f>
        <v>36135</v>
      </c>
      <c r="K258" t="str">
        <f t="shared" si="134"/>
        <v>AS89</v>
      </c>
      <c r="L258" t="s">
        <v>97</v>
      </c>
      <c r="M258" s="3">
        <v>107.81</v>
      </c>
    </row>
    <row r="259" spans="1:13" x14ac:dyDescent="0.25">
      <c r="A259" t="str">
        <f t="shared" ref="A259:A280" si="135">"E160"</f>
        <v>E160</v>
      </c>
      <c r="B259">
        <v>1</v>
      </c>
      <c r="C259" t="str">
        <f t="shared" ref="C259:C274" si="136">"14185"</f>
        <v>14185</v>
      </c>
      <c r="D259" t="str">
        <f t="shared" ref="D259:D275" si="137">"5620"</f>
        <v>5620</v>
      </c>
      <c r="E259" t="str">
        <f t="shared" ref="E259:E275" si="138">"094OMS"</f>
        <v>094OMS</v>
      </c>
      <c r="F259" t="str">
        <f>""</f>
        <v/>
      </c>
      <c r="G259" t="str">
        <f>""</f>
        <v/>
      </c>
      <c r="H259" s="1">
        <v>38562</v>
      </c>
      <c r="I259" t="str">
        <f>"PHY00394"</f>
        <v>PHY00394</v>
      </c>
      <c r="J259" t="str">
        <f>"15043E"</f>
        <v>15043E</v>
      </c>
      <c r="K259" t="str">
        <f t="shared" si="134"/>
        <v>AS89</v>
      </c>
      <c r="L259" t="s">
        <v>98</v>
      </c>
      <c r="M259" s="3">
        <v>101.95</v>
      </c>
    </row>
    <row r="260" spans="1:13" x14ac:dyDescent="0.25">
      <c r="A260" t="str">
        <f t="shared" si="135"/>
        <v>E160</v>
      </c>
      <c r="B260">
        <v>1</v>
      </c>
      <c r="C260" t="str">
        <f t="shared" si="136"/>
        <v>14185</v>
      </c>
      <c r="D260" t="str">
        <f t="shared" si="137"/>
        <v>5620</v>
      </c>
      <c r="E260" t="str">
        <f t="shared" si="138"/>
        <v>094OMS</v>
      </c>
      <c r="F260" t="str">
        <f>""</f>
        <v/>
      </c>
      <c r="G260" t="str">
        <f>""</f>
        <v/>
      </c>
      <c r="H260" s="1">
        <v>38562</v>
      </c>
      <c r="I260" t="str">
        <f>"PHY00394"</f>
        <v>PHY00394</v>
      </c>
      <c r="J260" t="str">
        <f>"OPUP05"</f>
        <v>OPUP05</v>
      </c>
      <c r="K260" t="str">
        <f t="shared" si="134"/>
        <v>AS89</v>
      </c>
      <c r="L260" t="s">
        <v>99</v>
      </c>
      <c r="M260" s="3">
        <v>107.92</v>
      </c>
    </row>
    <row r="261" spans="1:13" x14ac:dyDescent="0.25">
      <c r="A261" t="str">
        <f t="shared" si="135"/>
        <v>E160</v>
      </c>
      <c r="B261">
        <v>1</v>
      </c>
      <c r="C261" t="str">
        <f t="shared" si="136"/>
        <v>14185</v>
      </c>
      <c r="D261" t="str">
        <f t="shared" si="137"/>
        <v>5620</v>
      </c>
      <c r="E261" t="str">
        <f t="shared" si="138"/>
        <v>094OMS</v>
      </c>
      <c r="F261" t="str">
        <f>""</f>
        <v/>
      </c>
      <c r="G261" t="str">
        <f>""</f>
        <v/>
      </c>
      <c r="H261" s="1">
        <v>38562</v>
      </c>
      <c r="I261" t="str">
        <f>"PHY00394"</f>
        <v>PHY00394</v>
      </c>
      <c r="J261" t="str">
        <f>"OPUP06"</f>
        <v>OPUP06</v>
      </c>
      <c r="K261" t="str">
        <f t="shared" si="134"/>
        <v>AS89</v>
      </c>
      <c r="L261" t="s">
        <v>100</v>
      </c>
      <c r="M261" s="3">
        <v>255.21</v>
      </c>
    </row>
    <row r="262" spans="1:13" x14ac:dyDescent="0.25">
      <c r="A262" t="str">
        <f t="shared" si="135"/>
        <v>E160</v>
      </c>
      <c r="B262">
        <v>1</v>
      </c>
      <c r="C262" t="str">
        <f t="shared" si="136"/>
        <v>14185</v>
      </c>
      <c r="D262" t="str">
        <f t="shared" si="137"/>
        <v>5620</v>
      </c>
      <c r="E262" t="str">
        <f t="shared" si="138"/>
        <v>094OMS</v>
      </c>
      <c r="F262" t="str">
        <f>""</f>
        <v/>
      </c>
      <c r="G262" t="str">
        <f>""</f>
        <v/>
      </c>
      <c r="H262" s="1">
        <v>38562</v>
      </c>
      <c r="I262" t="str">
        <f>"PHY00394"</f>
        <v>PHY00394</v>
      </c>
      <c r="J262" t="str">
        <f>"S0139690"</f>
        <v>S0139690</v>
      </c>
      <c r="K262" t="str">
        <f t="shared" si="134"/>
        <v>AS89</v>
      </c>
      <c r="L262" t="s">
        <v>101</v>
      </c>
      <c r="M262" s="3">
        <v>228.8</v>
      </c>
    </row>
    <row r="263" spans="1:13" x14ac:dyDescent="0.25">
      <c r="A263" t="str">
        <f t="shared" si="135"/>
        <v>E160</v>
      </c>
      <c r="B263">
        <v>1</v>
      </c>
      <c r="C263" t="str">
        <f t="shared" si="136"/>
        <v>14185</v>
      </c>
      <c r="D263" t="str">
        <f t="shared" si="137"/>
        <v>5620</v>
      </c>
      <c r="E263" t="str">
        <f t="shared" si="138"/>
        <v>094OMS</v>
      </c>
      <c r="F263" t="str">
        <f>""</f>
        <v/>
      </c>
      <c r="G263" t="str">
        <f>""</f>
        <v/>
      </c>
      <c r="H263" s="1">
        <v>38594</v>
      </c>
      <c r="I263" t="str">
        <f>"PHY00395"</f>
        <v>PHY00395</v>
      </c>
      <c r="J263" t="str">
        <f>"OPUP06"</f>
        <v>OPUP06</v>
      </c>
      <c r="K263" t="str">
        <f t="shared" si="134"/>
        <v>AS89</v>
      </c>
      <c r="L263" t="s">
        <v>100</v>
      </c>
      <c r="M263" s="3">
        <v>272.29000000000002</v>
      </c>
    </row>
    <row r="264" spans="1:13" x14ac:dyDescent="0.25">
      <c r="A264" t="str">
        <f t="shared" si="135"/>
        <v>E160</v>
      </c>
      <c r="B264">
        <v>1</v>
      </c>
      <c r="C264" t="str">
        <f t="shared" si="136"/>
        <v>14185</v>
      </c>
      <c r="D264" t="str">
        <f t="shared" si="137"/>
        <v>5620</v>
      </c>
      <c r="E264" t="str">
        <f t="shared" si="138"/>
        <v>094OMS</v>
      </c>
      <c r="F264" t="str">
        <f>""</f>
        <v/>
      </c>
      <c r="G264" t="str">
        <f>""</f>
        <v/>
      </c>
      <c r="H264" s="1">
        <v>38594</v>
      </c>
      <c r="I264" t="str">
        <f>"PHY00395"</f>
        <v>PHY00395</v>
      </c>
      <c r="J264" t="str">
        <f>"S0139690"</f>
        <v>S0139690</v>
      </c>
      <c r="K264" t="str">
        <f t="shared" si="134"/>
        <v>AS89</v>
      </c>
      <c r="L264" t="s">
        <v>101</v>
      </c>
      <c r="M264" s="3">
        <v>1383.88</v>
      </c>
    </row>
    <row r="265" spans="1:13" x14ac:dyDescent="0.25">
      <c r="A265" t="str">
        <f t="shared" si="135"/>
        <v>E160</v>
      </c>
      <c r="B265">
        <v>1</v>
      </c>
      <c r="C265" t="str">
        <f t="shared" si="136"/>
        <v>14185</v>
      </c>
      <c r="D265" t="str">
        <f t="shared" si="137"/>
        <v>5620</v>
      </c>
      <c r="E265" t="str">
        <f t="shared" si="138"/>
        <v>094OMS</v>
      </c>
      <c r="F265" t="str">
        <f>""</f>
        <v/>
      </c>
      <c r="G265" t="str">
        <f>""</f>
        <v/>
      </c>
      <c r="H265" s="1">
        <v>38653</v>
      </c>
      <c r="I265" t="str">
        <f>"PHY00398"</f>
        <v>PHY00398</v>
      </c>
      <c r="J265" t="str">
        <f>"S0140362"</f>
        <v>S0140362</v>
      </c>
      <c r="K265" t="str">
        <f t="shared" si="134"/>
        <v>AS89</v>
      </c>
      <c r="L265" t="s">
        <v>102</v>
      </c>
      <c r="M265" s="3">
        <v>482.14</v>
      </c>
    </row>
    <row r="266" spans="1:13" x14ac:dyDescent="0.25">
      <c r="A266" t="str">
        <f t="shared" si="135"/>
        <v>E160</v>
      </c>
      <c r="B266">
        <v>1</v>
      </c>
      <c r="C266" t="str">
        <f t="shared" si="136"/>
        <v>14185</v>
      </c>
      <c r="D266" t="str">
        <f t="shared" si="137"/>
        <v>5620</v>
      </c>
      <c r="E266" t="str">
        <f t="shared" si="138"/>
        <v>094OMS</v>
      </c>
      <c r="F266" t="str">
        <f>""</f>
        <v/>
      </c>
      <c r="G266" t="str">
        <f>""</f>
        <v/>
      </c>
      <c r="H266" s="1">
        <v>38686</v>
      </c>
      <c r="I266" t="str">
        <f>"PHY00399"</f>
        <v>PHY00399</v>
      </c>
      <c r="J266" t="str">
        <f>"15043E"</f>
        <v>15043E</v>
      </c>
      <c r="K266" t="str">
        <f t="shared" si="134"/>
        <v>AS89</v>
      </c>
      <c r="L266" t="s">
        <v>98</v>
      </c>
      <c r="M266" s="3">
        <v>163.24</v>
      </c>
    </row>
    <row r="267" spans="1:13" x14ac:dyDescent="0.25">
      <c r="A267" t="str">
        <f t="shared" si="135"/>
        <v>E160</v>
      </c>
      <c r="B267">
        <v>1</v>
      </c>
      <c r="C267" t="str">
        <f t="shared" si="136"/>
        <v>14185</v>
      </c>
      <c r="D267" t="str">
        <f t="shared" si="137"/>
        <v>5620</v>
      </c>
      <c r="E267" t="str">
        <f t="shared" si="138"/>
        <v>094OMS</v>
      </c>
      <c r="F267" t="str">
        <f>""</f>
        <v/>
      </c>
      <c r="G267" t="str">
        <f>""</f>
        <v/>
      </c>
      <c r="H267" s="1">
        <v>38715</v>
      </c>
      <c r="I267" t="str">
        <f>"PHY00400"</f>
        <v>PHY00400</v>
      </c>
      <c r="J267" t="str">
        <f>"15043E"</f>
        <v>15043E</v>
      </c>
      <c r="K267" t="str">
        <f t="shared" si="134"/>
        <v>AS89</v>
      </c>
      <c r="L267" t="s">
        <v>98</v>
      </c>
      <c r="M267" s="3">
        <v>292.93</v>
      </c>
    </row>
    <row r="268" spans="1:13" x14ac:dyDescent="0.25">
      <c r="A268" t="str">
        <f t="shared" si="135"/>
        <v>E160</v>
      </c>
      <c r="B268">
        <v>1</v>
      </c>
      <c r="C268" t="str">
        <f t="shared" si="136"/>
        <v>14185</v>
      </c>
      <c r="D268" t="str">
        <f t="shared" si="137"/>
        <v>5620</v>
      </c>
      <c r="E268" t="str">
        <f t="shared" si="138"/>
        <v>094OMS</v>
      </c>
      <c r="F268" t="str">
        <f>""</f>
        <v/>
      </c>
      <c r="G268" t="str">
        <f>""</f>
        <v/>
      </c>
      <c r="H268" s="1">
        <v>38715</v>
      </c>
      <c r="I268" t="str">
        <f>"PHY00400"</f>
        <v>PHY00400</v>
      </c>
      <c r="J268" t="str">
        <f>"OPUP06"</f>
        <v>OPUP06</v>
      </c>
      <c r="K268" t="str">
        <f t="shared" si="134"/>
        <v>AS89</v>
      </c>
      <c r="L268" t="s">
        <v>100</v>
      </c>
      <c r="M268" s="3">
        <v>120.88</v>
      </c>
    </row>
    <row r="269" spans="1:13" x14ac:dyDescent="0.25">
      <c r="A269" t="str">
        <f t="shared" si="135"/>
        <v>E160</v>
      </c>
      <c r="B269">
        <v>1</v>
      </c>
      <c r="C269" t="str">
        <f t="shared" si="136"/>
        <v>14185</v>
      </c>
      <c r="D269" t="str">
        <f t="shared" si="137"/>
        <v>5620</v>
      </c>
      <c r="E269" t="str">
        <f t="shared" si="138"/>
        <v>094OMS</v>
      </c>
      <c r="F269" t="str">
        <f>""</f>
        <v/>
      </c>
      <c r="G269" t="str">
        <f>""</f>
        <v/>
      </c>
      <c r="H269" s="1">
        <v>38748</v>
      </c>
      <c r="I269" t="str">
        <f>"PHY00401"</f>
        <v>PHY00401</v>
      </c>
      <c r="J269" t="str">
        <f>"20285E"</f>
        <v>20285E</v>
      </c>
      <c r="K269" t="str">
        <f t="shared" si="134"/>
        <v>AS89</v>
      </c>
      <c r="L269" t="s">
        <v>103</v>
      </c>
      <c r="M269" s="3">
        <v>183.62</v>
      </c>
    </row>
    <row r="270" spans="1:13" x14ac:dyDescent="0.25">
      <c r="A270" t="str">
        <f t="shared" si="135"/>
        <v>E160</v>
      </c>
      <c r="B270">
        <v>1</v>
      </c>
      <c r="C270" t="str">
        <f t="shared" si="136"/>
        <v>14185</v>
      </c>
      <c r="D270" t="str">
        <f t="shared" si="137"/>
        <v>5620</v>
      </c>
      <c r="E270" t="str">
        <f t="shared" si="138"/>
        <v>094OMS</v>
      </c>
      <c r="F270" t="str">
        <f>""</f>
        <v/>
      </c>
      <c r="G270" t="str">
        <f>""</f>
        <v/>
      </c>
      <c r="H270" s="1">
        <v>38748</v>
      </c>
      <c r="I270" t="str">
        <f>"PHY00401"</f>
        <v>PHY00401</v>
      </c>
      <c r="J270" t="str">
        <f>"OPUP06"</f>
        <v>OPUP06</v>
      </c>
      <c r="K270" t="str">
        <f t="shared" si="134"/>
        <v>AS89</v>
      </c>
      <c r="L270" t="s">
        <v>100</v>
      </c>
      <c r="M270" s="3">
        <v>310.42</v>
      </c>
    </row>
    <row r="271" spans="1:13" x14ac:dyDescent="0.25">
      <c r="A271" t="str">
        <f t="shared" si="135"/>
        <v>E160</v>
      </c>
      <c r="B271">
        <v>1</v>
      </c>
      <c r="C271" t="str">
        <f t="shared" si="136"/>
        <v>14185</v>
      </c>
      <c r="D271" t="str">
        <f t="shared" si="137"/>
        <v>5620</v>
      </c>
      <c r="E271" t="str">
        <f t="shared" si="138"/>
        <v>094OMS</v>
      </c>
      <c r="F271" t="str">
        <f>""</f>
        <v/>
      </c>
      <c r="G271" t="str">
        <f>""</f>
        <v/>
      </c>
      <c r="H271" s="1">
        <v>38776</v>
      </c>
      <c r="I271" t="str">
        <f>"PHY00402"</f>
        <v>PHY00402</v>
      </c>
      <c r="J271" t="str">
        <f>"OPUP06"</f>
        <v>OPUP06</v>
      </c>
      <c r="K271" t="str">
        <f t="shared" si="134"/>
        <v>AS89</v>
      </c>
      <c r="L271" t="s">
        <v>100</v>
      </c>
      <c r="M271" s="3">
        <v>363.15</v>
      </c>
    </row>
    <row r="272" spans="1:13" x14ac:dyDescent="0.25">
      <c r="A272" t="str">
        <f t="shared" si="135"/>
        <v>E160</v>
      </c>
      <c r="B272">
        <v>1</v>
      </c>
      <c r="C272" t="str">
        <f t="shared" si="136"/>
        <v>14185</v>
      </c>
      <c r="D272" t="str">
        <f t="shared" si="137"/>
        <v>5620</v>
      </c>
      <c r="E272" t="str">
        <f t="shared" si="138"/>
        <v>094OMS</v>
      </c>
      <c r="F272" t="str">
        <f>""</f>
        <v/>
      </c>
      <c r="G272" t="str">
        <f>""</f>
        <v/>
      </c>
      <c r="H272" s="1">
        <v>38807</v>
      </c>
      <c r="I272" t="str">
        <f>"PHY00403"</f>
        <v>PHY00403</v>
      </c>
      <c r="J272" t="str">
        <f>"OPUP06"</f>
        <v>OPUP06</v>
      </c>
      <c r="K272" t="str">
        <f t="shared" si="134"/>
        <v>AS89</v>
      </c>
      <c r="L272" t="s">
        <v>100</v>
      </c>
      <c r="M272" s="3">
        <v>347.83</v>
      </c>
    </row>
    <row r="273" spans="1:13" x14ac:dyDescent="0.25">
      <c r="A273" t="str">
        <f t="shared" si="135"/>
        <v>E160</v>
      </c>
      <c r="B273">
        <v>1</v>
      </c>
      <c r="C273" t="str">
        <f t="shared" si="136"/>
        <v>14185</v>
      </c>
      <c r="D273" t="str">
        <f t="shared" si="137"/>
        <v>5620</v>
      </c>
      <c r="E273" t="str">
        <f t="shared" si="138"/>
        <v>094OMS</v>
      </c>
      <c r="F273" t="str">
        <f>""</f>
        <v/>
      </c>
      <c r="G273" t="str">
        <f>""</f>
        <v/>
      </c>
      <c r="H273" s="1">
        <v>38835</v>
      </c>
      <c r="I273" t="str">
        <f>"PHY00404"</f>
        <v>PHY00404</v>
      </c>
      <c r="J273" t="str">
        <f>"15043E"</f>
        <v>15043E</v>
      </c>
      <c r="K273" t="str">
        <f t="shared" si="134"/>
        <v>AS89</v>
      </c>
      <c r="L273" t="s">
        <v>98</v>
      </c>
      <c r="M273" s="3">
        <v>133.59</v>
      </c>
    </row>
    <row r="274" spans="1:13" x14ac:dyDescent="0.25">
      <c r="A274" t="str">
        <f t="shared" si="135"/>
        <v>E160</v>
      </c>
      <c r="B274">
        <v>1</v>
      </c>
      <c r="C274" t="str">
        <f t="shared" si="136"/>
        <v>14185</v>
      </c>
      <c r="D274" t="str">
        <f t="shared" si="137"/>
        <v>5620</v>
      </c>
      <c r="E274" t="str">
        <f t="shared" si="138"/>
        <v>094OMS</v>
      </c>
      <c r="F274" t="str">
        <f>""</f>
        <v/>
      </c>
      <c r="G274" t="str">
        <f>""</f>
        <v/>
      </c>
      <c r="H274" s="1">
        <v>38897</v>
      </c>
      <c r="I274" t="str">
        <f>"PHY00406"</f>
        <v>PHY00406</v>
      </c>
      <c r="J274" t="str">
        <f>"OPUP06"</f>
        <v>OPUP06</v>
      </c>
      <c r="K274" t="str">
        <f t="shared" si="134"/>
        <v>AS89</v>
      </c>
      <c r="L274" t="s">
        <v>100</v>
      </c>
      <c r="M274" s="3">
        <v>339.92</v>
      </c>
    </row>
    <row r="275" spans="1:13" x14ac:dyDescent="0.25">
      <c r="A275" t="str">
        <f t="shared" si="135"/>
        <v>E160</v>
      </c>
      <c r="B275">
        <v>1</v>
      </c>
      <c r="C275" t="str">
        <f>"31040"</f>
        <v>31040</v>
      </c>
      <c r="D275" t="str">
        <f t="shared" si="137"/>
        <v>5620</v>
      </c>
      <c r="E275" t="str">
        <f t="shared" si="138"/>
        <v>094OMS</v>
      </c>
      <c r="F275" t="str">
        <f>""</f>
        <v/>
      </c>
      <c r="G275" t="str">
        <f>""</f>
        <v/>
      </c>
      <c r="H275" s="1">
        <v>38807</v>
      </c>
      <c r="I275" t="str">
        <f>"PHY00403"</f>
        <v>PHY00403</v>
      </c>
      <c r="J275" t="str">
        <f>"S0141501"</f>
        <v>S0141501</v>
      </c>
      <c r="K275" t="str">
        <f t="shared" si="134"/>
        <v>AS89</v>
      </c>
      <c r="L275" t="s">
        <v>104</v>
      </c>
      <c r="M275" s="3">
        <v>388.11</v>
      </c>
    </row>
    <row r="276" spans="1:13" x14ac:dyDescent="0.25">
      <c r="A276" t="str">
        <f t="shared" si="135"/>
        <v>E160</v>
      </c>
      <c r="B276">
        <v>1</v>
      </c>
      <c r="C276" t="str">
        <f>"32040"</f>
        <v>32040</v>
      </c>
      <c r="D276" t="str">
        <f>"5610"</f>
        <v>5610</v>
      </c>
      <c r="E276" t="str">
        <f t="shared" ref="E276:E293" si="139">"850LOS"</f>
        <v>850LOS</v>
      </c>
      <c r="F276" t="str">
        <f>""</f>
        <v/>
      </c>
      <c r="G276" t="str">
        <f>""</f>
        <v/>
      </c>
      <c r="H276" s="1">
        <v>38776</v>
      </c>
      <c r="I276" t="str">
        <f>"PHY00402"</f>
        <v>PHY00402</v>
      </c>
      <c r="J276" t="str">
        <f>"S0141356"</f>
        <v>S0141356</v>
      </c>
      <c r="K276" t="str">
        <f t="shared" si="134"/>
        <v>AS89</v>
      </c>
      <c r="L276" t="s">
        <v>105</v>
      </c>
      <c r="M276" s="3">
        <v>2397.15</v>
      </c>
    </row>
    <row r="277" spans="1:13" x14ac:dyDescent="0.25">
      <c r="A277" t="str">
        <f t="shared" si="135"/>
        <v>E160</v>
      </c>
      <c r="B277">
        <v>1</v>
      </c>
      <c r="C277" t="str">
        <f>"32040"</f>
        <v>32040</v>
      </c>
      <c r="D277" t="str">
        <f>"5610"</f>
        <v>5610</v>
      </c>
      <c r="E277" t="str">
        <f t="shared" si="139"/>
        <v>850LOS</v>
      </c>
      <c r="F277" t="str">
        <f>""</f>
        <v/>
      </c>
      <c r="G277" t="str">
        <f>""</f>
        <v/>
      </c>
      <c r="H277" s="1">
        <v>38807</v>
      </c>
      <c r="I277" t="str">
        <f>"PHY00403"</f>
        <v>PHY00403</v>
      </c>
      <c r="J277" t="str">
        <f>"S0141356"</f>
        <v>S0141356</v>
      </c>
      <c r="K277" t="str">
        <f t="shared" si="134"/>
        <v>AS89</v>
      </c>
      <c r="L277" t="s">
        <v>105</v>
      </c>
      <c r="M277" s="3">
        <v>707.73</v>
      </c>
    </row>
    <row r="278" spans="1:13" x14ac:dyDescent="0.25">
      <c r="A278" t="str">
        <f t="shared" si="135"/>
        <v>E160</v>
      </c>
      <c r="B278">
        <v>1</v>
      </c>
      <c r="C278" t="str">
        <f t="shared" ref="C278:C300" si="140">"43000"</f>
        <v>43000</v>
      </c>
      <c r="D278" t="str">
        <f t="shared" ref="D278:D294" si="141">"5740"</f>
        <v>5740</v>
      </c>
      <c r="E278" t="str">
        <f t="shared" si="139"/>
        <v>850LOS</v>
      </c>
      <c r="F278" t="str">
        <f>""</f>
        <v/>
      </c>
      <c r="G278" t="str">
        <f>""</f>
        <v/>
      </c>
      <c r="H278" s="1">
        <v>38562</v>
      </c>
      <c r="I278" t="str">
        <f>"PHY00394"</f>
        <v>PHY00394</v>
      </c>
      <c r="J278" t="str">
        <f>"S0139683"</f>
        <v>S0139683</v>
      </c>
      <c r="K278" t="str">
        <f>"AS89"</f>
        <v>AS89</v>
      </c>
      <c r="L278" t="s">
        <v>108</v>
      </c>
      <c r="M278" s="3">
        <v>551.80999999999995</v>
      </c>
    </row>
    <row r="279" spans="1:13" x14ac:dyDescent="0.25">
      <c r="A279" t="str">
        <f t="shared" si="135"/>
        <v>E160</v>
      </c>
      <c r="B279">
        <v>1</v>
      </c>
      <c r="C279" t="str">
        <f t="shared" si="140"/>
        <v>43000</v>
      </c>
      <c r="D279" t="str">
        <f t="shared" si="141"/>
        <v>5740</v>
      </c>
      <c r="E279" t="str">
        <f t="shared" si="139"/>
        <v>850LOS</v>
      </c>
      <c r="F279" t="str">
        <f>""</f>
        <v/>
      </c>
      <c r="G279" t="str">
        <f>""</f>
        <v/>
      </c>
      <c r="H279" s="1">
        <v>38562</v>
      </c>
      <c r="I279" t="str">
        <f>"PHY00394"</f>
        <v>PHY00394</v>
      </c>
      <c r="J279" t="str">
        <f>"S0139914"</f>
        <v>S0139914</v>
      </c>
      <c r="K279" t="str">
        <f>"AS89"</f>
        <v>AS89</v>
      </c>
      <c r="L279" t="s">
        <v>109</v>
      </c>
      <c r="M279" s="3">
        <v>610.14</v>
      </c>
    </row>
    <row r="280" spans="1:13" x14ac:dyDescent="0.25">
      <c r="A280" t="str">
        <f t="shared" si="135"/>
        <v>E160</v>
      </c>
      <c r="B280">
        <v>1</v>
      </c>
      <c r="C280" t="str">
        <f t="shared" si="140"/>
        <v>43000</v>
      </c>
      <c r="D280" t="str">
        <f t="shared" si="141"/>
        <v>5740</v>
      </c>
      <c r="E280" t="str">
        <f t="shared" si="139"/>
        <v>850LOS</v>
      </c>
      <c r="F280" t="str">
        <f>""</f>
        <v/>
      </c>
      <c r="G280" t="str">
        <f>""</f>
        <v/>
      </c>
      <c r="H280" s="1">
        <v>38594</v>
      </c>
      <c r="I280" t="str">
        <f>"PHY00395"</f>
        <v>PHY00395</v>
      </c>
      <c r="J280" t="str">
        <f>"S0139998"</f>
        <v>S0139998</v>
      </c>
      <c r="K280" t="str">
        <f>"AS89"</f>
        <v>AS89</v>
      </c>
      <c r="L280" t="s">
        <v>110</v>
      </c>
      <c r="M280" s="3">
        <v>1367.8</v>
      </c>
    </row>
    <row r="281" spans="1:13" x14ac:dyDescent="0.25">
      <c r="A281" t="str">
        <f t="shared" ref="A281:A298" si="142">"E160"</f>
        <v>E160</v>
      </c>
      <c r="B281">
        <v>1</v>
      </c>
      <c r="C281" t="str">
        <f t="shared" si="140"/>
        <v>43000</v>
      </c>
      <c r="D281" t="str">
        <f t="shared" si="141"/>
        <v>5740</v>
      </c>
      <c r="E281" t="str">
        <f t="shared" si="139"/>
        <v>850LOS</v>
      </c>
      <c r="F281" t="str">
        <f>""</f>
        <v/>
      </c>
      <c r="G281" t="str">
        <f>""</f>
        <v/>
      </c>
      <c r="H281" s="1">
        <v>38614</v>
      </c>
      <c r="I281" t="str">
        <f>"53766"</f>
        <v>53766</v>
      </c>
      <c r="J281" t="str">
        <f>"F068494"</f>
        <v>F068494</v>
      </c>
      <c r="K281" t="str">
        <f>"INEI"</f>
        <v>INEI</v>
      </c>
      <c r="L281" t="s">
        <v>106</v>
      </c>
      <c r="M281" s="3">
        <v>2197.34</v>
      </c>
    </row>
    <row r="282" spans="1:13" x14ac:dyDescent="0.25">
      <c r="A282" t="str">
        <f t="shared" si="142"/>
        <v>E160</v>
      </c>
      <c r="B282">
        <v>1</v>
      </c>
      <c r="C282" t="str">
        <f t="shared" si="140"/>
        <v>43000</v>
      </c>
      <c r="D282" t="str">
        <f t="shared" si="141"/>
        <v>5740</v>
      </c>
      <c r="E282" t="str">
        <f t="shared" si="139"/>
        <v>850LOS</v>
      </c>
      <c r="F282" t="str">
        <f>""</f>
        <v/>
      </c>
      <c r="G282" t="str">
        <f>""</f>
        <v/>
      </c>
      <c r="H282" s="1">
        <v>38653</v>
      </c>
      <c r="I282" t="str">
        <f>"PHY00398"</f>
        <v>PHY00398</v>
      </c>
      <c r="J282" t="str">
        <f>"16513E"</f>
        <v>16513E</v>
      </c>
      <c r="K282" t="str">
        <f t="shared" ref="K282:K291" si="143">"AS89"</f>
        <v>AS89</v>
      </c>
      <c r="L282" t="s">
        <v>107</v>
      </c>
      <c r="M282" s="3">
        <v>261.67</v>
      </c>
    </row>
    <row r="283" spans="1:13" x14ac:dyDescent="0.25">
      <c r="A283" t="str">
        <f t="shared" si="142"/>
        <v>E160</v>
      </c>
      <c r="B283">
        <v>1</v>
      </c>
      <c r="C283" t="str">
        <f t="shared" si="140"/>
        <v>43000</v>
      </c>
      <c r="D283" t="str">
        <f t="shared" si="141"/>
        <v>5740</v>
      </c>
      <c r="E283" t="str">
        <f t="shared" si="139"/>
        <v>850LOS</v>
      </c>
      <c r="F283" t="str">
        <f>""</f>
        <v/>
      </c>
      <c r="G283" t="str">
        <f>""</f>
        <v/>
      </c>
      <c r="H283" s="1">
        <v>38653</v>
      </c>
      <c r="I283" t="str">
        <f>"PHY00398"</f>
        <v>PHY00398</v>
      </c>
      <c r="J283" t="str">
        <f>"P0005138"</f>
        <v>P0005138</v>
      </c>
      <c r="K283" t="str">
        <f t="shared" si="143"/>
        <v>AS89</v>
      </c>
      <c r="L283" t="s">
        <v>111</v>
      </c>
      <c r="M283" s="3">
        <v>830.66</v>
      </c>
    </row>
    <row r="284" spans="1:13" x14ac:dyDescent="0.25">
      <c r="A284" t="str">
        <f t="shared" si="142"/>
        <v>E160</v>
      </c>
      <c r="B284">
        <v>1</v>
      </c>
      <c r="C284" t="str">
        <f t="shared" si="140"/>
        <v>43000</v>
      </c>
      <c r="D284" t="str">
        <f t="shared" si="141"/>
        <v>5740</v>
      </c>
      <c r="E284" t="str">
        <f t="shared" si="139"/>
        <v>850LOS</v>
      </c>
      <c r="F284" t="str">
        <f>""</f>
        <v/>
      </c>
      <c r="G284" t="str">
        <f>""</f>
        <v/>
      </c>
      <c r="H284" s="1">
        <v>38653</v>
      </c>
      <c r="I284" t="str">
        <f>"PHY00398"</f>
        <v>PHY00398</v>
      </c>
      <c r="J284" t="str">
        <f>"S0140552"</f>
        <v>S0140552</v>
      </c>
      <c r="K284" t="str">
        <f t="shared" si="143"/>
        <v>AS89</v>
      </c>
      <c r="L284" t="s">
        <v>112</v>
      </c>
      <c r="M284" s="3">
        <v>224.68</v>
      </c>
    </row>
    <row r="285" spans="1:13" x14ac:dyDescent="0.25">
      <c r="A285" t="str">
        <f t="shared" si="142"/>
        <v>E160</v>
      </c>
      <c r="B285">
        <v>1</v>
      </c>
      <c r="C285" t="str">
        <f t="shared" si="140"/>
        <v>43000</v>
      </c>
      <c r="D285" t="str">
        <f t="shared" si="141"/>
        <v>5740</v>
      </c>
      <c r="E285" t="str">
        <f t="shared" si="139"/>
        <v>850LOS</v>
      </c>
      <c r="F285" t="str">
        <f>""</f>
        <v/>
      </c>
      <c r="G285" t="str">
        <f>""</f>
        <v/>
      </c>
      <c r="H285" s="1">
        <v>38686</v>
      </c>
      <c r="I285" t="str">
        <f>"PHY00399"</f>
        <v>PHY00399</v>
      </c>
      <c r="J285" t="str">
        <f>"S0140552"</f>
        <v>S0140552</v>
      </c>
      <c r="K285" t="str">
        <f t="shared" si="143"/>
        <v>AS89</v>
      </c>
      <c r="L285" t="s">
        <v>112</v>
      </c>
      <c r="M285" s="3">
        <v>109.55</v>
      </c>
    </row>
    <row r="286" spans="1:13" x14ac:dyDescent="0.25">
      <c r="A286" t="str">
        <f t="shared" si="142"/>
        <v>E160</v>
      </c>
      <c r="B286">
        <v>1</v>
      </c>
      <c r="C286" t="str">
        <f t="shared" si="140"/>
        <v>43000</v>
      </c>
      <c r="D286" t="str">
        <f t="shared" si="141"/>
        <v>5740</v>
      </c>
      <c r="E286" t="str">
        <f t="shared" si="139"/>
        <v>850LOS</v>
      </c>
      <c r="F286" t="str">
        <f>""</f>
        <v/>
      </c>
      <c r="G286" t="str">
        <f>""</f>
        <v/>
      </c>
      <c r="H286" s="1">
        <v>38686</v>
      </c>
      <c r="I286" t="str">
        <f>"PHY00399"</f>
        <v>PHY00399</v>
      </c>
      <c r="J286" t="str">
        <f>"S0140620"</f>
        <v>S0140620</v>
      </c>
      <c r="K286" t="str">
        <f t="shared" si="143"/>
        <v>AS89</v>
      </c>
      <c r="L286" t="s">
        <v>113</v>
      </c>
      <c r="M286" s="3">
        <v>1512.8</v>
      </c>
    </row>
    <row r="287" spans="1:13" x14ac:dyDescent="0.25">
      <c r="A287" t="str">
        <f t="shared" si="142"/>
        <v>E160</v>
      </c>
      <c r="B287">
        <v>1</v>
      </c>
      <c r="C287" t="str">
        <f t="shared" si="140"/>
        <v>43000</v>
      </c>
      <c r="D287" t="str">
        <f t="shared" si="141"/>
        <v>5740</v>
      </c>
      <c r="E287" t="str">
        <f t="shared" si="139"/>
        <v>850LOS</v>
      </c>
      <c r="F287" t="str">
        <f>""</f>
        <v/>
      </c>
      <c r="G287" t="str">
        <f>""</f>
        <v/>
      </c>
      <c r="H287" s="1">
        <v>38715</v>
      </c>
      <c r="I287" t="str">
        <f>"PHY00400"</f>
        <v>PHY00400</v>
      </c>
      <c r="J287" t="str">
        <f>"P0005138"</f>
        <v>P0005138</v>
      </c>
      <c r="K287" t="str">
        <f t="shared" si="143"/>
        <v>AS89</v>
      </c>
      <c r="L287" t="s">
        <v>111</v>
      </c>
      <c r="M287" s="3">
        <v>228.3</v>
      </c>
    </row>
    <row r="288" spans="1:13" x14ac:dyDescent="0.25">
      <c r="A288" t="str">
        <f t="shared" si="142"/>
        <v>E160</v>
      </c>
      <c r="B288">
        <v>1</v>
      </c>
      <c r="C288" t="str">
        <f t="shared" si="140"/>
        <v>43000</v>
      </c>
      <c r="D288" t="str">
        <f t="shared" si="141"/>
        <v>5740</v>
      </c>
      <c r="E288" t="str">
        <f t="shared" si="139"/>
        <v>850LOS</v>
      </c>
      <c r="F288" t="str">
        <f>""</f>
        <v/>
      </c>
      <c r="G288" t="str">
        <f>""</f>
        <v/>
      </c>
      <c r="H288" s="1">
        <v>38715</v>
      </c>
      <c r="I288" t="str">
        <f>"PHY00400"</f>
        <v>PHY00400</v>
      </c>
      <c r="J288" t="str">
        <f>"S0140620"</f>
        <v>S0140620</v>
      </c>
      <c r="K288" t="str">
        <f t="shared" si="143"/>
        <v>AS89</v>
      </c>
      <c r="L288" t="s">
        <v>113</v>
      </c>
      <c r="M288" s="3">
        <v>766.93</v>
      </c>
    </row>
    <row r="289" spans="1:13" x14ac:dyDescent="0.25">
      <c r="A289" t="str">
        <f t="shared" si="142"/>
        <v>E160</v>
      </c>
      <c r="B289">
        <v>1</v>
      </c>
      <c r="C289" t="str">
        <f t="shared" si="140"/>
        <v>43000</v>
      </c>
      <c r="D289" t="str">
        <f t="shared" si="141"/>
        <v>5740</v>
      </c>
      <c r="E289" t="str">
        <f t="shared" si="139"/>
        <v>850LOS</v>
      </c>
      <c r="F289" t="str">
        <f>""</f>
        <v/>
      </c>
      <c r="G289" t="str">
        <f>""</f>
        <v/>
      </c>
      <c r="H289" s="1">
        <v>38715</v>
      </c>
      <c r="I289" t="str">
        <f>"PHY00400"</f>
        <v>PHY00400</v>
      </c>
      <c r="J289" t="str">
        <f>"S0140621"</f>
        <v>S0140621</v>
      </c>
      <c r="K289" t="str">
        <f t="shared" si="143"/>
        <v>AS89</v>
      </c>
      <c r="L289" t="s">
        <v>114</v>
      </c>
      <c r="M289" s="3">
        <v>520.65</v>
      </c>
    </row>
    <row r="290" spans="1:13" x14ac:dyDescent="0.25">
      <c r="A290" t="str">
        <f t="shared" si="142"/>
        <v>E160</v>
      </c>
      <c r="B290">
        <v>1</v>
      </c>
      <c r="C290" t="str">
        <f t="shared" si="140"/>
        <v>43000</v>
      </c>
      <c r="D290" t="str">
        <f t="shared" si="141"/>
        <v>5740</v>
      </c>
      <c r="E290" t="str">
        <f t="shared" si="139"/>
        <v>850LOS</v>
      </c>
      <c r="F290" t="str">
        <f>""</f>
        <v/>
      </c>
      <c r="G290" t="str">
        <f>""</f>
        <v/>
      </c>
      <c r="H290" s="1">
        <v>38748</v>
      </c>
      <c r="I290" t="str">
        <f>"PHY00401"</f>
        <v>PHY00401</v>
      </c>
      <c r="J290" t="str">
        <f>"P0005138"</f>
        <v>P0005138</v>
      </c>
      <c r="K290" t="str">
        <f t="shared" si="143"/>
        <v>AS89</v>
      </c>
      <c r="L290" t="s">
        <v>111</v>
      </c>
      <c r="M290" s="3">
        <v>309.5</v>
      </c>
    </row>
    <row r="291" spans="1:13" x14ac:dyDescent="0.25">
      <c r="A291" t="str">
        <f t="shared" si="142"/>
        <v>E160</v>
      </c>
      <c r="B291">
        <v>1</v>
      </c>
      <c r="C291" t="str">
        <f t="shared" si="140"/>
        <v>43000</v>
      </c>
      <c r="D291" t="str">
        <f t="shared" si="141"/>
        <v>5740</v>
      </c>
      <c r="E291" t="str">
        <f t="shared" si="139"/>
        <v>850LOS</v>
      </c>
      <c r="F291" t="str">
        <f>""</f>
        <v/>
      </c>
      <c r="G291" t="str">
        <f>""</f>
        <v/>
      </c>
      <c r="H291" s="1">
        <v>38748</v>
      </c>
      <c r="I291" t="str">
        <f>"PHY00401"</f>
        <v>PHY00401</v>
      </c>
      <c r="J291" t="str">
        <f>"S0140620"</f>
        <v>S0140620</v>
      </c>
      <c r="K291" t="str">
        <f t="shared" si="143"/>
        <v>AS89</v>
      </c>
      <c r="L291" t="s">
        <v>113</v>
      </c>
      <c r="M291" s="3">
        <v>700.25</v>
      </c>
    </row>
    <row r="292" spans="1:13" x14ac:dyDescent="0.25">
      <c r="A292" t="str">
        <f t="shared" si="142"/>
        <v>E160</v>
      </c>
      <c r="B292">
        <v>1</v>
      </c>
      <c r="C292" t="str">
        <f t="shared" si="140"/>
        <v>43000</v>
      </c>
      <c r="D292" t="str">
        <f t="shared" si="141"/>
        <v>5740</v>
      </c>
      <c r="E292" t="str">
        <f t="shared" si="139"/>
        <v>850LOS</v>
      </c>
      <c r="F292" t="str">
        <f>""</f>
        <v/>
      </c>
      <c r="G292" t="str">
        <f>""</f>
        <v/>
      </c>
      <c r="H292" s="1">
        <v>38863</v>
      </c>
      <c r="I292" t="str">
        <f>"076397"</f>
        <v>076397</v>
      </c>
      <c r="J292" t="str">
        <f>""</f>
        <v/>
      </c>
      <c r="K292" t="str">
        <f>"INNI"</f>
        <v>INNI</v>
      </c>
      <c r="L292" t="s">
        <v>116</v>
      </c>
      <c r="M292" s="3">
        <v>250.24</v>
      </c>
    </row>
    <row r="293" spans="1:13" x14ac:dyDescent="0.25">
      <c r="A293" t="str">
        <f t="shared" si="142"/>
        <v>E160</v>
      </c>
      <c r="B293">
        <v>1</v>
      </c>
      <c r="C293" t="str">
        <f t="shared" si="140"/>
        <v>43000</v>
      </c>
      <c r="D293" t="str">
        <f t="shared" si="141"/>
        <v>5740</v>
      </c>
      <c r="E293" t="str">
        <f t="shared" si="139"/>
        <v>850LOS</v>
      </c>
      <c r="F293" t="str">
        <f>""</f>
        <v/>
      </c>
      <c r="G293" t="str">
        <f>""</f>
        <v/>
      </c>
      <c r="H293" s="1">
        <v>38895</v>
      </c>
      <c r="I293" t="str">
        <f>"G0612271"</f>
        <v>G0612271</v>
      </c>
      <c r="J293" t="str">
        <f>""</f>
        <v/>
      </c>
      <c r="K293" t="str">
        <f>"J096"</f>
        <v>J096</v>
      </c>
      <c r="L293" t="s">
        <v>117</v>
      </c>
      <c r="M293" s="3">
        <v>682.54</v>
      </c>
    </row>
    <row r="294" spans="1:13" x14ac:dyDescent="0.25">
      <c r="A294" t="str">
        <f t="shared" si="142"/>
        <v>E160</v>
      </c>
      <c r="B294">
        <v>1</v>
      </c>
      <c r="C294" t="str">
        <f t="shared" si="140"/>
        <v>43000</v>
      </c>
      <c r="D294" t="str">
        <f t="shared" si="141"/>
        <v>5740</v>
      </c>
      <c r="E294" t="str">
        <f t="shared" ref="E294:E300" si="144">"850PKE"</f>
        <v>850PKE</v>
      </c>
      <c r="F294" t="str">
        <f>""</f>
        <v/>
      </c>
      <c r="G294" t="str">
        <f>""</f>
        <v/>
      </c>
      <c r="H294" s="1">
        <v>38562</v>
      </c>
      <c r="I294" t="str">
        <f>"PHY00394"</f>
        <v>PHY00394</v>
      </c>
      <c r="J294" t="str">
        <f>"0707EX"</f>
        <v>0707EX</v>
      </c>
      <c r="K294" t="str">
        <f t="shared" ref="K294:K301" si="145">"AS89"</f>
        <v>AS89</v>
      </c>
      <c r="L294" t="s">
        <v>118</v>
      </c>
      <c r="M294" s="3">
        <v>151.74</v>
      </c>
    </row>
    <row r="295" spans="1:13" x14ac:dyDescent="0.25">
      <c r="A295" t="str">
        <f t="shared" si="142"/>
        <v>E160</v>
      </c>
      <c r="B295">
        <v>1</v>
      </c>
      <c r="C295" t="str">
        <f t="shared" si="140"/>
        <v>43000</v>
      </c>
      <c r="D295" t="str">
        <f t="shared" ref="D295:D308" si="146">"5740"</f>
        <v>5740</v>
      </c>
      <c r="E295" t="str">
        <f t="shared" si="144"/>
        <v>850PKE</v>
      </c>
      <c r="F295" t="str">
        <f>""</f>
        <v/>
      </c>
      <c r="G295" t="str">
        <f>""</f>
        <v/>
      </c>
      <c r="H295" s="1">
        <v>38594</v>
      </c>
      <c r="I295" t="str">
        <f>"PHY00395"</f>
        <v>PHY00395</v>
      </c>
      <c r="J295" t="str">
        <f>"1231EX"</f>
        <v>1231EX</v>
      </c>
      <c r="K295" t="str">
        <f t="shared" si="145"/>
        <v>AS89</v>
      </c>
      <c r="L295" t="s">
        <v>118</v>
      </c>
      <c r="M295" s="3">
        <v>115.26</v>
      </c>
    </row>
    <row r="296" spans="1:13" x14ac:dyDescent="0.25">
      <c r="A296" t="str">
        <f t="shared" si="142"/>
        <v>E160</v>
      </c>
      <c r="B296">
        <v>1</v>
      </c>
      <c r="C296" t="str">
        <f t="shared" si="140"/>
        <v>43000</v>
      </c>
      <c r="D296" t="str">
        <f t="shared" si="146"/>
        <v>5740</v>
      </c>
      <c r="E296" t="str">
        <f t="shared" si="144"/>
        <v>850PKE</v>
      </c>
      <c r="F296" t="str">
        <f>""</f>
        <v/>
      </c>
      <c r="G296" t="str">
        <f>""</f>
        <v/>
      </c>
      <c r="H296" s="1">
        <v>38625</v>
      </c>
      <c r="I296" t="str">
        <f>"PHY00396"</f>
        <v>PHY00396</v>
      </c>
      <c r="J296" t="str">
        <f>"15069E"</f>
        <v>15069E</v>
      </c>
      <c r="K296" t="str">
        <f t="shared" si="145"/>
        <v>AS89</v>
      </c>
      <c r="L296" t="s">
        <v>119</v>
      </c>
      <c r="M296" s="3">
        <v>161.46</v>
      </c>
    </row>
    <row r="297" spans="1:13" x14ac:dyDescent="0.25">
      <c r="A297" t="str">
        <f t="shared" si="142"/>
        <v>E160</v>
      </c>
      <c r="B297">
        <v>1</v>
      </c>
      <c r="C297" t="str">
        <f t="shared" si="140"/>
        <v>43000</v>
      </c>
      <c r="D297" t="str">
        <f t="shared" si="146"/>
        <v>5740</v>
      </c>
      <c r="E297" t="str">
        <f t="shared" si="144"/>
        <v>850PKE</v>
      </c>
      <c r="F297" t="str">
        <f>""</f>
        <v/>
      </c>
      <c r="G297" t="str">
        <f>""</f>
        <v/>
      </c>
      <c r="H297" s="1">
        <v>38653</v>
      </c>
      <c r="I297" t="str">
        <f>"PHY00398"</f>
        <v>PHY00398</v>
      </c>
      <c r="J297" t="str">
        <f>"0707EX"</f>
        <v>0707EX</v>
      </c>
      <c r="K297" t="str">
        <f t="shared" si="145"/>
        <v>AS89</v>
      </c>
      <c r="L297" t="s">
        <v>118</v>
      </c>
      <c r="M297" s="3">
        <v>248.07</v>
      </c>
    </row>
    <row r="298" spans="1:13" x14ac:dyDescent="0.25">
      <c r="A298" t="str">
        <f t="shared" si="142"/>
        <v>E160</v>
      </c>
      <c r="B298">
        <v>1</v>
      </c>
      <c r="C298" t="str">
        <f t="shared" si="140"/>
        <v>43000</v>
      </c>
      <c r="D298" t="str">
        <f t="shared" si="146"/>
        <v>5740</v>
      </c>
      <c r="E298" t="str">
        <f t="shared" si="144"/>
        <v>850PKE</v>
      </c>
      <c r="F298" t="str">
        <f>""</f>
        <v/>
      </c>
      <c r="G298" t="str">
        <f>""</f>
        <v/>
      </c>
      <c r="H298" s="1">
        <v>38686</v>
      </c>
      <c r="I298" t="str">
        <f>"PHY00399"</f>
        <v>PHY00399</v>
      </c>
      <c r="J298" t="str">
        <f>"1231EX"</f>
        <v>1231EX</v>
      </c>
      <c r="K298" t="str">
        <f t="shared" si="145"/>
        <v>AS89</v>
      </c>
      <c r="L298" t="s">
        <v>118</v>
      </c>
      <c r="M298" s="3">
        <v>230.93</v>
      </c>
    </row>
    <row r="299" spans="1:13" x14ac:dyDescent="0.25">
      <c r="A299" t="str">
        <f t="shared" ref="A299:A308" si="147">"E160"</f>
        <v>E160</v>
      </c>
      <c r="B299">
        <v>1</v>
      </c>
      <c r="C299" t="str">
        <f t="shared" si="140"/>
        <v>43000</v>
      </c>
      <c r="D299" t="str">
        <f t="shared" si="146"/>
        <v>5740</v>
      </c>
      <c r="E299" t="str">
        <f t="shared" si="144"/>
        <v>850PKE</v>
      </c>
      <c r="F299" t="str">
        <f>""</f>
        <v/>
      </c>
      <c r="G299" t="str">
        <f>""</f>
        <v/>
      </c>
      <c r="H299" s="1">
        <v>38715</v>
      </c>
      <c r="I299" t="str">
        <f>"PHY00400"</f>
        <v>PHY00400</v>
      </c>
      <c r="J299" t="str">
        <f>"1231EX"</f>
        <v>1231EX</v>
      </c>
      <c r="K299" t="str">
        <f t="shared" si="145"/>
        <v>AS89</v>
      </c>
      <c r="L299" t="s">
        <v>118</v>
      </c>
      <c r="M299" s="3">
        <v>103.21</v>
      </c>
    </row>
    <row r="300" spans="1:13" x14ac:dyDescent="0.25">
      <c r="A300" t="str">
        <f t="shared" si="147"/>
        <v>E160</v>
      </c>
      <c r="B300">
        <v>1</v>
      </c>
      <c r="C300" t="str">
        <f t="shared" si="140"/>
        <v>43000</v>
      </c>
      <c r="D300" t="str">
        <f t="shared" si="146"/>
        <v>5740</v>
      </c>
      <c r="E300" t="str">
        <f t="shared" si="144"/>
        <v>850PKE</v>
      </c>
      <c r="F300" t="str">
        <f>""</f>
        <v/>
      </c>
      <c r="G300" t="str">
        <f>""</f>
        <v/>
      </c>
      <c r="H300" s="1">
        <v>38897</v>
      </c>
      <c r="I300" t="str">
        <f>"PHY00406"</f>
        <v>PHY00406</v>
      </c>
      <c r="J300" t="str">
        <f>"15069E"</f>
        <v>15069E</v>
      </c>
      <c r="K300" t="str">
        <f t="shared" si="145"/>
        <v>AS89</v>
      </c>
      <c r="L300" t="s">
        <v>119</v>
      </c>
      <c r="M300" s="3">
        <v>172.89</v>
      </c>
    </row>
    <row r="301" spans="1:13" x14ac:dyDescent="0.25">
      <c r="A301" t="str">
        <f t="shared" si="147"/>
        <v>E160</v>
      </c>
      <c r="B301">
        <v>1</v>
      </c>
      <c r="C301" t="str">
        <f>"43001"</f>
        <v>43001</v>
      </c>
      <c r="D301" t="str">
        <f t="shared" si="146"/>
        <v>5740</v>
      </c>
      <c r="E301" t="str">
        <f>"850LOS"</f>
        <v>850LOS</v>
      </c>
      <c r="F301" t="str">
        <f>""</f>
        <v/>
      </c>
      <c r="G301" t="str">
        <f>""</f>
        <v/>
      </c>
      <c r="H301" s="1">
        <v>38594</v>
      </c>
      <c r="I301" t="str">
        <f>"PHY00395"</f>
        <v>PHY00395</v>
      </c>
      <c r="J301" t="str">
        <f>"S0139396"</f>
        <v>S0139396</v>
      </c>
      <c r="K301" t="str">
        <f t="shared" si="145"/>
        <v>AS89</v>
      </c>
      <c r="L301" t="s">
        <v>122</v>
      </c>
      <c r="M301" s="3">
        <v>588.91</v>
      </c>
    </row>
    <row r="302" spans="1:13" x14ac:dyDescent="0.25">
      <c r="A302" t="str">
        <f t="shared" si="147"/>
        <v>E160</v>
      </c>
      <c r="B302">
        <v>1</v>
      </c>
      <c r="C302" t="str">
        <f>"43006"</f>
        <v>43006</v>
      </c>
      <c r="D302" t="str">
        <f t="shared" si="146"/>
        <v>5740</v>
      </c>
      <c r="E302" t="str">
        <f>"850LOS"</f>
        <v>850LOS</v>
      </c>
      <c r="F302" t="str">
        <f>""</f>
        <v/>
      </c>
      <c r="G302" t="str">
        <f>""</f>
        <v/>
      </c>
      <c r="H302" s="1">
        <v>38562</v>
      </c>
      <c r="I302" t="str">
        <f>"PHY00394"</f>
        <v>PHY00394</v>
      </c>
      <c r="J302" t="str">
        <f>"P0004760"</f>
        <v>P0004760</v>
      </c>
      <c r="K302" t="str">
        <f>"AS89"</f>
        <v>AS89</v>
      </c>
      <c r="L302" t="s">
        <v>123</v>
      </c>
      <c r="M302" s="3">
        <v>682.54</v>
      </c>
    </row>
    <row r="303" spans="1:13" x14ac:dyDescent="0.25">
      <c r="A303" t="str">
        <f t="shared" si="147"/>
        <v>E160</v>
      </c>
      <c r="B303">
        <v>1</v>
      </c>
      <c r="C303" t="str">
        <f t="shared" ref="C303:C308" si="148">"43007"</f>
        <v>43007</v>
      </c>
      <c r="D303" t="str">
        <f t="shared" si="146"/>
        <v>5740</v>
      </c>
      <c r="E303" t="str">
        <f t="shared" ref="E303:E308" si="149">"850GAR"</f>
        <v>850GAR</v>
      </c>
      <c r="F303" t="str">
        <f>""</f>
        <v/>
      </c>
      <c r="G303" t="str">
        <f>""</f>
        <v/>
      </c>
      <c r="H303" s="1">
        <v>38562</v>
      </c>
      <c r="I303" t="str">
        <f>"PHY00394"</f>
        <v>PHY00394</v>
      </c>
      <c r="J303" t="str">
        <f>"S0139681"</f>
        <v>S0139681</v>
      </c>
      <c r="K303" t="str">
        <f t="shared" ref="K303:K310" si="150">"AS89"</f>
        <v>AS89</v>
      </c>
      <c r="L303" t="s">
        <v>124</v>
      </c>
      <c r="M303" s="3">
        <v>812.14</v>
      </c>
    </row>
    <row r="304" spans="1:13" x14ac:dyDescent="0.25">
      <c r="A304" t="str">
        <f t="shared" si="147"/>
        <v>E160</v>
      </c>
      <c r="B304">
        <v>1</v>
      </c>
      <c r="C304" t="str">
        <f t="shared" si="148"/>
        <v>43007</v>
      </c>
      <c r="D304" t="str">
        <f t="shared" si="146"/>
        <v>5740</v>
      </c>
      <c r="E304" t="str">
        <f t="shared" si="149"/>
        <v>850GAR</v>
      </c>
      <c r="F304" t="str">
        <f>""</f>
        <v/>
      </c>
      <c r="G304" t="str">
        <f>""</f>
        <v/>
      </c>
      <c r="H304" s="1">
        <v>38594</v>
      </c>
      <c r="I304" t="str">
        <f>"PHY00395"</f>
        <v>PHY00395</v>
      </c>
      <c r="J304" t="str">
        <f>"S0139905"</f>
        <v>S0139905</v>
      </c>
      <c r="K304" t="str">
        <f t="shared" si="150"/>
        <v>AS89</v>
      </c>
      <c r="L304" t="s">
        <v>125</v>
      </c>
      <c r="M304" s="3">
        <v>1000.2</v>
      </c>
    </row>
    <row r="305" spans="1:13" x14ac:dyDescent="0.25">
      <c r="A305" t="str">
        <f t="shared" si="147"/>
        <v>E160</v>
      </c>
      <c r="B305">
        <v>1</v>
      </c>
      <c r="C305" t="str">
        <f t="shared" si="148"/>
        <v>43007</v>
      </c>
      <c r="D305" t="str">
        <f t="shared" si="146"/>
        <v>5740</v>
      </c>
      <c r="E305" t="str">
        <f t="shared" si="149"/>
        <v>850GAR</v>
      </c>
      <c r="F305" t="str">
        <f>""</f>
        <v/>
      </c>
      <c r="G305" t="str">
        <f>""</f>
        <v/>
      </c>
      <c r="H305" s="1">
        <v>38625</v>
      </c>
      <c r="I305" t="str">
        <f>"PHY00396"</f>
        <v>PHY00396</v>
      </c>
      <c r="J305" t="str">
        <f>"S0139681"</f>
        <v>S0139681</v>
      </c>
      <c r="K305" t="str">
        <f t="shared" si="150"/>
        <v>AS89</v>
      </c>
      <c r="L305" t="s">
        <v>124</v>
      </c>
      <c r="M305" s="3">
        <v>187.54</v>
      </c>
    </row>
    <row r="306" spans="1:13" x14ac:dyDescent="0.25">
      <c r="A306" t="str">
        <f t="shared" si="147"/>
        <v>E160</v>
      </c>
      <c r="B306">
        <v>1</v>
      </c>
      <c r="C306" t="str">
        <f t="shared" si="148"/>
        <v>43007</v>
      </c>
      <c r="D306" t="str">
        <f t="shared" si="146"/>
        <v>5740</v>
      </c>
      <c r="E306" t="str">
        <f t="shared" si="149"/>
        <v>850GAR</v>
      </c>
      <c r="F306" t="str">
        <f>""</f>
        <v/>
      </c>
      <c r="G306" t="str">
        <f>""</f>
        <v/>
      </c>
      <c r="H306" s="1">
        <v>38625</v>
      </c>
      <c r="I306" t="str">
        <f>"PHY00396"</f>
        <v>PHY00396</v>
      </c>
      <c r="J306" t="str">
        <f>"S0139905"</f>
        <v>S0139905</v>
      </c>
      <c r="K306" t="str">
        <f t="shared" si="150"/>
        <v>AS89</v>
      </c>
      <c r="L306" t="s">
        <v>125</v>
      </c>
      <c r="M306" s="3">
        <v>132.22999999999999</v>
      </c>
    </row>
    <row r="307" spans="1:13" x14ac:dyDescent="0.25">
      <c r="A307" t="str">
        <f t="shared" si="147"/>
        <v>E160</v>
      </c>
      <c r="B307">
        <v>1</v>
      </c>
      <c r="C307" t="str">
        <f t="shared" si="148"/>
        <v>43007</v>
      </c>
      <c r="D307" t="str">
        <f t="shared" si="146"/>
        <v>5740</v>
      </c>
      <c r="E307" t="str">
        <f t="shared" si="149"/>
        <v>850GAR</v>
      </c>
      <c r="F307" t="str">
        <f>""</f>
        <v/>
      </c>
      <c r="G307" t="str">
        <f>""</f>
        <v/>
      </c>
      <c r="H307" s="1">
        <v>38653</v>
      </c>
      <c r="I307" t="str">
        <f>"PHY00398"</f>
        <v>PHY00398</v>
      </c>
      <c r="J307" t="str">
        <f>"S0140581"</f>
        <v>S0140581</v>
      </c>
      <c r="K307" t="str">
        <f t="shared" si="150"/>
        <v>AS89</v>
      </c>
      <c r="L307" t="s">
        <v>126</v>
      </c>
      <c r="M307" s="3">
        <v>112</v>
      </c>
    </row>
    <row r="308" spans="1:13" x14ac:dyDescent="0.25">
      <c r="A308" t="str">
        <f t="shared" si="147"/>
        <v>E160</v>
      </c>
      <c r="B308">
        <v>1</v>
      </c>
      <c r="C308" t="str">
        <f t="shared" si="148"/>
        <v>43007</v>
      </c>
      <c r="D308" t="str">
        <f t="shared" si="146"/>
        <v>5740</v>
      </c>
      <c r="E308" t="str">
        <f t="shared" si="149"/>
        <v>850GAR</v>
      </c>
      <c r="F308" t="str">
        <f>""</f>
        <v/>
      </c>
      <c r="G308" t="str">
        <f>""</f>
        <v/>
      </c>
      <c r="H308" s="1">
        <v>38686</v>
      </c>
      <c r="I308" t="str">
        <f>"PHY00399"</f>
        <v>PHY00399</v>
      </c>
      <c r="J308" t="str">
        <f>"S0140581"</f>
        <v>S0140581</v>
      </c>
      <c r="K308" t="str">
        <f t="shared" si="150"/>
        <v>AS89</v>
      </c>
      <c r="L308" t="s">
        <v>126</v>
      </c>
      <c r="M308" s="3">
        <v>746.1</v>
      </c>
    </row>
    <row r="309" spans="1:13" x14ac:dyDescent="0.25">
      <c r="A309" t="str">
        <f t="shared" ref="A309:A314" si="151">"E162"</f>
        <v>E162</v>
      </c>
      <c r="B309">
        <v>1</v>
      </c>
      <c r="C309" t="str">
        <f>"14185"</f>
        <v>14185</v>
      </c>
      <c r="D309" t="str">
        <f>"5620"</f>
        <v>5620</v>
      </c>
      <c r="E309" t="str">
        <f>"094OMS"</f>
        <v>094OMS</v>
      </c>
      <c r="F309" t="str">
        <f>""</f>
        <v/>
      </c>
      <c r="G309" t="str">
        <f>""</f>
        <v/>
      </c>
      <c r="H309" s="1">
        <v>38758</v>
      </c>
      <c r="I309" t="str">
        <f>"PCD00219"</f>
        <v>PCD00219</v>
      </c>
      <c r="J309" t="str">
        <f>"37019"</f>
        <v>37019</v>
      </c>
      <c r="K309" t="str">
        <f t="shared" si="150"/>
        <v>AS89</v>
      </c>
      <c r="L309" t="s">
        <v>127</v>
      </c>
      <c r="M309" s="3">
        <v>216.6</v>
      </c>
    </row>
    <row r="310" spans="1:13" x14ac:dyDescent="0.25">
      <c r="A310" t="str">
        <f t="shared" si="151"/>
        <v>E162</v>
      </c>
      <c r="B310">
        <v>1</v>
      </c>
      <c r="C310" t="str">
        <f>"14185"</f>
        <v>14185</v>
      </c>
      <c r="D310" t="str">
        <f>"5620"</f>
        <v>5620</v>
      </c>
      <c r="E310" t="str">
        <f>"094OMS"</f>
        <v>094OMS</v>
      </c>
      <c r="F310" t="str">
        <f>""</f>
        <v/>
      </c>
      <c r="G310" t="str">
        <f>""</f>
        <v/>
      </c>
      <c r="H310" s="1">
        <v>38820</v>
      </c>
      <c r="I310" t="str">
        <f>"TEL00538"</f>
        <v>TEL00538</v>
      </c>
      <c r="J310" t="str">
        <f>""</f>
        <v/>
      </c>
      <c r="K310" t="str">
        <f t="shared" si="150"/>
        <v>AS89</v>
      </c>
      <c r="L310" t="s">
        <v>88</v>
      </c>
      <c r="M310" s="3">
        <v>100</v>
      </c>
    </row>
    <row r="311" spans="1:13" x14ac:dyDescent="0.25">
      <c r="A311" t="str">
        <f t="shared" si="151"/>
        <v>E162</v>
      </c>
      <c r="B311">
        <v>1</v>
      </c>
      <c r="C311" t="str">
        <f>"43000"</f>
        <v>43000</v>
      </c>
      <c r="D311" t="str">
        <f>"5740"</f>
        <v>5740</v>
      </c>
      <c r="E311" t="str">
        <f>"850LOS"</f>
        <v>850LOS</v>
      </c>
      <c r="F311" t="str">
        <f>""</f>
        <v/>
      </c>
      <c r="G311" t="str">
        <f>""</f>
        <v/>
      </c>
      <c r="H311" s="1">
        <v>38537</v>
      </c>
      <c r="I311" t="str">
        <f>"G0601051"</f>
        <v>G0601051</v>
      </c>
      <c r="J311" t="str">
        <f>""</f>
        <v/>
      </c>
      <c r="K311" t="str">
        <f>"J096"</f>
        <v>J096</v>
      </c>
      <c r="L311" t="s">
        <v>128</v>
      </c>
      <c r="M311" s="3">
        <v>900</v>
      </c>
    </row>
    <row r="312" spans="1:13" x14ac:dyDescent="0.25">
      <c r="A312" t="str">
        <f t="shared" si="151"/>
        <v>E162</v>
      </c>
      <c r="B312">
        <v>1</v>
      </c>
      <c r="C312" t="str">
        <f>"43000"</f>
        <v>43000</v>
      </c>
      <c r="D312" t="str">
        <f>"5740"</f>
        <v>5740</v>
      </c>
      <c r="E312" t="str">
        <f>"850LOS"</f>
        <v>850LOS</v>
      </c>
      <c r="F312" t="str">
        <f>""</f>
        <v/>
      </c>
      <c r="G312" t="str">
        <f>""</f>
        <v/>
      </c>
      <c r="H312" s="1">
        <v>38649</v>
      </c>
      <c r="I312" t="str">
        <f>"G0604061"</f>
        <v>G0604061</v>
      </c>
      <c r="J312" t="str">
        <f>""</f>
        <v/>
      </c>
      <c r="K312" t="str">
        <f>"J096"</f>
        <v>J096</v>
      </c>
      <c r="L312" t="s">
        <v>129</v>
      </c>
      <c r="M312" s="3">
        <v>900</v>
      </c>
    </row>
    <row r="313" spans="1:13" x14ac:dyDescent="0.25">
      <c r="A313" t="str">
        <f t="shared" si="151"/>
        <v>E162</v>
      </c>
      <c r="B313">
        <v>1</v>
      </c>
      <c r="C313" t="str">
        <f>"43000"</f>
        <v>43000</v>
      </c>
      <c r="D313" t="str">
        <f>"5740"</f>
        <v>5740</v>
      </c>
      <c r="E313" t="str">
        <f>"850LOS"</f>
        <v>850LOS</v>
      </c>
      <c r="F313" t="str">
        <f>""</f>
        <v/>
      </c>
      <c r="G313" t="str">
        <f>""</f>
        <v/>
      </c>
      <c r="H313" s="1">
        <v>38742</v>
      </c>
      <c r="I313" t="str">
        <f>"G0607131"</f>
        <v>G0607131</v>
      </c>
      <c r="J313" t="str">
        <f>""</f>
        <v/>
      </c>
      <c r="K313" t="str">
        <f>"J096"</f>
        <v>J096</v>
      </c>
      <c r="L313" t="s">
        <v>130</v>
      </c>
      <c r="M313" s="3">
        <v>900</v>
      </c>
    </row>
    <row r="314" spans="1:13" x14ac:dyDescent="0.25">
      <c r="A314" t="str">
        <f t="shared" si="151"/>
        <v>E162</v>
      </c>
      <c r="B314">
        <v>1</v>
      </c>
      <c r="C314" t="str">
        <f>"43000"</f>
        <v>43000</v>
      </c>
      <c r="D314" t="str">
        <f>"5740"</f>
        <v>5740</v>
      </c>
      <c r="E314" t="str">
        <f>"850LOS"</f>
        <v>850LOS</v>
      </c>
      <c r="F314" t="str">
        <f>""</f>
        <v/>
      </c>
      <c r="G314" t="str">
        <f>""</f>
        <v/>
      </c>
      <c r="H314" s="1">
        <v>38827</v>
      </c>
      <c r="I314" t="str">
        <f>"G0610166"</f>
        <v>G0610166</v>
      </c>
      <c r="J314" t="str">
        <f>""</f>
        <v/>
      </c>
      <c r="K314" t="str">
        <f>"J096"</f>
        <v>J096</v>
      </c>
      <c r="L314" t="s">
        <v>129</v>
      </c>
      <c r="M314" s="3">
        <v>900</v>
      </c>
    </row>
    <row r="315" spans="1:13" x14ac:dyDescent="0.25">
      <c r="A315" t="str">
        <f t="shared" ref="A315:A332" si="152">"E163"</f>
        <v>E163</v>
      </c>
      <c r="B315">
        <v>1</v>
      </c>
      <c r="C315" t="str">
        <f t="shared" ref="C315:C316" si="153">"43000"</f>
        <v>43000</v>
      </c>
      <c r="D315" t="str">
        <f t="shared" ref="D315:D332" si="154">"5740"</f>
        <v>5740</v>
      </c>
      <c r="E315" t="str">
        <f t="shared" ref="E315:E316" si="155">"850LOS"</f>
        <v>850LOS</v>
      </c>
      <c r="F315" t="str">
        <f>""</f>
        <v/>
      </c>
      <c r="G315" t="str">
        <f>""</f>
        <v/>
      </c>
      <c r="H315" s="1">
        <v>38705</v>
      </c>
      <c r="I315" t="str">
        <f t="shared" ref="I315" si="156">"PCD00211"</f>
        <v>PCD00211</v>
      </c>
      <c r="J315" t="str">
        <f>"34653"</f>
        <v>34653</v>
      </c>
      <c r="K315" t="str">
        <f t="shared" ref="K315" si="157">"AS89"</f>
        <v>AS89</v>
      </c>
      <c r="L315" t="s">
        <v>131</v>
      </c>
      <c r="M315" s="3">
        <v>104.48</v>
      </c>
    </row>
    <row r="316" spans="1:13" x14ac:dyDescent="0.25">
      <c r="A316" t="str">
        <f t="shared" si="152"/>
        <v>E163</v>
      </c>
      <c r="B316">
        <v>1</v>
      </c>
      <c r="C316" t="str">
        <f t="shared" si="153"/>
        <v>43000</v>
      </c>
      <c r="D316" t="str">
        <f t="shared" si="154"/>
        <v>5740</v>
      </c>
      <c r="E316" t="str">
        <f t="shared" si="155"/>
        <v>850LOS</v>
      </c>
      <c r="F316" t="str">
        <f>""</f>
        <v/>
      </c>
      <c r="G316" t="str">
        <f>""</f>
        <v/>
      </c>
      <c r="H316" s="1">
        <v>38863</v>
      </c>
      <c r="I316" t="str">
        <f>"076397"</f>
        <v>076397</v>
      </c>
      <c r="J316" t="str">
        <f>""</f>
        <v/>
      </c>
      <c r="K316" t="str">
        <f>"INNI"</f>
        <v>INNI</v>
      </c>
      <c r="L316" t="s">
        <v>116</v>
      </c>
      <c r="M316" s="3">
        <v>782.41</v>
      </c>
    </row>
    <row r="317" spans="1:13" x14ac:dyDescent="0.25">
      <c r="A317" t="str">
        <f t="shared" si="152"/>
        <v>E163</v>
      </c>
      <c r="B317">
        <v>1</v>
      </c>
      <c r="C317" t="str">
        <f t="shared" ref="C317:C332" si="158">"43003"</f>
        <v>43003</v>
      </c>
      <c r="D317" t="str">
        <f t="shared" si="154"/>
        <v>5740</v>
      </c>
      <c r="E317" t="str">
        <f t="shared" ref="E317:E332" si="159">"850LOS"</f>
        <v>850LOS</v>
      </c>
      <c r="F317" t="str">
        <f>""</f>
        <v/>
      </c>
      <c r="G317" t="str">
        <f>""</f>
        <v/>
      </c>
      <c r="H317" s="1">
        <v>38565</v>
      </c>
      <c r="I317" t="str">
        <f>"2031E"</f>
        <v>2031E</v>
      </c>
      <c r="J317" t="str">
        <f t="shared" ref="J317:J332" si="160">"B064707B"</f>
        <v>B064707B</v>
      </c>
      <c r="K317" t="str">
        <f t="shared" ref="K317:K332" si="161">"INNI"</f>
        <v>INNI</v>
      </c>
      <c r="L317" t="s">
        <v>132</v>
      </c>
      <c r="M317" s="3">
        <v>350</v>
      </c>
    </row>
    <row r="318" spans="1:13" x14ac:dyDescent="0.25">
      <c r="A318" t="str">
        <f t="shared" si="152"/>
        <v>E163</v>
      </c>
      <c r="B318">
        <v>1</v>
      </c>
      <c r="C318" t="str">
        <f t="shared" si="158"/>
        <v>43003</v>
      </c>
      <c r="D318" t="str">
        <f t="shared" si="154"/>
        <v>5740</v>
      </c>
      <c r="E318" t="str">
        <f t="shared" si="159"/>
        <v>850LOS</v>
      </c>
      <c r="F318" t="str">
        <f>""</f>
        <v/>
      </c>
      <c r="G318" t="str">
        <f>""</f>
        <v/>
      </c>
      <c r="H318" s="1">
        <v>38575</v>
      </c>
      <c r="I318" t="str">
        <f>"5595B"</f>
        <v>5595B</v>
      </c>
      <c r="J318" t="str">
        <f t="shared" si="160"/>
        <v>B064707B</v>
      </c>
      <c r="K318" t="str">
        <f t="shared" si="161"/>
        <v>INNI</v>
      </c>
      <c r="L318" t="s">
        <v>132</v>
      </c>
      <c r="M318" s="3">
        <v>231.06</v>
      </c>
    </row>
    <row r="319" spans="1:13" x14ac:dyDescent="0.25">
      <c r="A319" t="str">
        <f t="shared" si="152"/>
        <v>E163</v>
      </c>
      <c r="B319">
        <v>1</v>
      </c>
      <c r="C319" t="str">
        <f t="shared" si="158"/>
        <v>43003</v>
      </c>
      <c r="D319" t="str">
        <f t="shared" si="154"/>
        <v>5740</v>
      </c>
      <c r="E319" t="str">
        <f t="shared" si="159"/>
        <v>850LOS</v>
      </c>
      <c r="F319" t="str">
        <f>""</f>
        <v/>
      </c>
      <c r="G319" t="str">
        <f>""</f>
        <v/>
      </c>
      <c r="H319" s="1">
        <v>38611</v>
      </c>
      <c r="I319" t="str">
        <f>"2506D"</f>
        <v>2506D</v>
      </c>
      <c r="J319" t="str">
        <f t="shared" si="160"/>
        <v>B064707B</v>
      </c>
      <c r="K319" t="str">
        <f t="shared" si="161"/>
        <v>INNI</v>
      </c>
      <c r="L319" t="s">
        <v>132</v>
      </c>
      <c r="M319" s="3">
        <v>350</v>
      </c>
    </row>
    <row r="320" spans="1:13" x14ac:dyDescent="0.25">
      <c r="A320" t="str">
        <f t="shared" si="152"/>
        <v>E163</v>
      </c>
      <c r="B320">
        <v>1</v>
      </c>
      <c r="C320" t="str">
        <f t="shared" si="158"/>
        <v>43003</v>
      </c>
      <c r="D320" t="str">
        <f t="shared" si="154"/>
        <v>5740</v>
      </c>
      <c r="E320" t="str">
        <f t="shared" si="159"/>
        <v>850LOS</v>
      </c>
      <c r="F320" t="str">
        <f>""</f>
        <v/>
      </c>
      <c r="G320" t="str">
        <f>""</f>
        <v/>
      </c>
      <c r="H320" s="1">
        <v>38652</v>
      </c>
      <c r="I320" t="str">
        <f>"2774A"</f>
        <v>2774A</v>
      </c>
      <c r="J320" t="str">
        <f t="shared" si="160"/>
        <v>B064707B</v>
      </c>
      <c r="K320" t="str">
        <f t="shared" si="161"/>
        <v>INNI</v>
      </c>
      <c r="L320" t="s">
        <v>132</v>
      </c>
      <c r="M320" s="3">
        <v>350</v>
      </c>
    </row>
    <row r="321" spans="1:13" x14ac:dyDescent="0.25">
      <c r="A321" t="str">
        <f t="shared" si="152"/>
        <v>E163</v>
      </c>
      <c r="B321">
        <v>1</v>
      </c>
      <c r="C321" t="str">
        <f t="shared" si="158"/>
        <v>43003</v>
      </c>
      <c r="D321" t="str">
        <f t="shared" si="154"/>
        <v>5740</v>
      </c>
      <c r="E321" t="str">
        <f t="shared" si="159"/>
        <v>850LOS</v>
      </c>
      <c r="F321" t="str">
        <f>""</f>
        <v/>
      </c>
      <c r="G321" t="str">
        <f>""</f>
        <v/>
      </c>
      <c r="H321" s="1">
        <v>38652</v>
      </c>
      <c r="I321" t="str">
        <f>"2946D"</f>
        <v>2946D</v>
      </c>
      <c r="J321" t="str">
        <f t="shared" si="160"/>
        <v>B064707B</v>
      </c>
      <c r="K321" t="str">
        <f t="shared" si="161"/>
        <v>INNI</v>
      </c>
      <c r="L321" t="s">
        <v>132</v>
      </c>
      <c r="M321" s="3">
        <v>350</v>
      </c>
    </row>
    <row r="322" spans="1:13" x14ac:dyDescent="0.25">
      <c r="A322" t="str">
        <f t="shared" si="152"/>
        <v>E163</v>
      </c>
      <c r="B322">
        <v>1</v>
      </c>
      <c r="C322" t="str">
        <f t="shared" si="158"/>
        <v>43003</v>
      </c>
      <c r="D322" t="str">
        <f t="shared" si="154"/>
        <v>5740</v>
      </c>
      <c r="E322" t="str">
        <f t="shared" si="159"/>
        <v>850LOS</v>
      </c>
      <c r="F322" t="str">
        <f>""</f>
        <v/>
      </c>
      <c r="G322" t="str">
        <f>""</f>
        <v/>
      </c>
      <c r="H322" s="1">
        <v>38652</v>
      </c>
      <c r="I322" t="str">
        <f>"3065B"</f>
        <v>3065B</v>
      </c>
      <c r="J322" t="str">
        <f t="shared" si="160"/>
        <v>B064707B</v>
      </c>
      <c r="K322" t="str">
        <f t="shared" si="161"/>
        <v>INNI</v>
      </c>
      <c r="L322" t="s">
        <v>132</v>
      </c>
      <c r="M322" s="3">
        <v>2481.9299999999998</v>
      </c>
    </row>
    <row r="323" spans="1:13" x14ac:dyDescent="0.25">
      <c r="A323" t="str">
        <f t="shared" si="152"/>
        <v>E163</v>
      </c>
      <c r="B323">
        <v>1</v>
      </c>
      <c r="C323" t="str">
        <f t="shared" si="158"/>
        <v>43003</v>
      </c>
      <c r="D323" t="str">
        <f t="shared" si="154"/>
        <v>5740</v>
      </c>
      <c r="E323" t="str">
        <f t="shared" si="159"/>
        <v>850LOS</v>
      </c>
      <c r="F323" t="str">
        <f>""</f>
        <v/>
      </c>
      <c r="G323" t="str">
        <f>""</f>
        <v/>
      </c>
      <c r="H323" s="1">
        <v>38706</v>
      </c>
      <c r="I323" t="str">
        <f>"3529"</f>
        <v>3529</v>
      </c>
      <c r="J323" t="str">
        <f t="shared" si="160"/>
        <v>B064707B</v>
      </c>
      <c r="K323" t="str">
        <f t="shared" si="161"/>
        <v>INNI</v>
      </c>
      <c r="L323" t="s">
        <v>132</v>
      </c>
      <c r="M323" s="3">
        <v>350</v>
      </c>
    </row>
    <row r="324" spans="1:13" x14ac:dyDescent="0.25">
      <c r="A324" t="str">
        <f t="shared" si="152"/>
        <v>E163</v>
      </c>
      <c r="B324">
        <v>1</v>
      </c>
      <c r="C324" t="str">
        <f t="shared" si="158"/>
        <v>43003</v>
      </c>
      <c r="D324" t="str">
        <f t="shared" si="154"/>
        <v>5740</v>
      </c>
      <c r="E324" t="str">
        <f t="shared" si="159"/>
        <v>850LOS</v>
      </c>
      <c r="F324" t="str">
        <f>""</f>
        <v/>
      </c>
      <c r="G324" t="str">
        <f>""</f>
        <v/>
      </c>
      <c r="H324" s="1">
        <v>38706</v>
      </c>
      <c r="I324" t="str">
        <f>"3254A"</f>
        <v>3254A</v>
      </c>
      <c r="J324" t="str">
        <f t="shared" si="160"/>
        <v>B064707B</v>
      </c>
      <c r="K324" t="str">
        <f t="shared" si="161"/>
        <v>INNI</v>
      </c>
      <c r="L324" t="s">
        <v>132</v>
      </c>
      <c r="M324" s="3">
        <v>350</v>
      </c>
    </row>
    <row r="325" spans="1:13" x14ac:dyDescent="0.25">
      <c r="A325" t="str">
        <f t="shared" si="152"/>
        <v>E163</v>
      </c>
      <c r="B325">
        <v>1</v>
      </c>
      <c r="C325" t="str">
        <f t="shared" si="158"/>
        <v>43003</v>
      </c>
      <c r="D325" t="str">
        <f t="shared" si="154"/>
        <v>5740</v>
      </c>
      <c r="E325" t="str">
        <f t="shared" si="159"/>
        <v>850LOS</v>
      </c>
      <c r="F325" t="str">
        <f>""</f>
        <v/>
      </c>
      <c r="G325" t="str">
        <f>""</f>
        <v/>
      </c>
      <c r="H325" s="1">
        <v>38754</v>
      </c>
      <c r="I325" t="str">
        <f>"3836B"</f>
        <v>3836B</v>
      </c>
      <c r="J325" t="str">
        <f t="shared" si="160"/>
        <v>B064707B</v>
      </c>
      <c r="K325" t="str">
        <f t="shared" si="161"/>
        <v>INNI</v>
      </c>
      <c r="L325" t="s">
        <v>132</v>
      </c>
      <c r="M325" s="3">
        <v>385</v>
      </c>
    </row>
    <row r="326" spans="1:13" x14ac:dyDescent="0.25">
      <c r="A326" t="str">
        <f t="shared" si="152"/>
        <v>E163</v>
      </c>
      <c r="B326">
        <v>1</v>
      </c>
      <c r="C326" t="str">
        <f t="shared" si="158"/>
        <v>43003</v>
      </c>
      <c r="D326" t="str">
        <f t="shared" si="154"/>
        <v>5740</v>
      </c>
      <c r="E326" t="str">
        <f t="shared" si="159"/>
        <v>850LOS</v>
      </c>
      <c r="F326" t="str">
        <f>""</f>
        <v/>
      </c>
      <c r="G326" t="str">
        <f>""</f>
        <v/>
      </c>
      <c r="H326" s="1">
        <v>38754</v>
      </c>
      <c r="I326" t="str">
        <f>"3884B"</f>
        <v>3884B</v>
      </c>
      <c r="J326" t="str">
        <f t="shared" si="160"/>
        <v>B064707B</v>
      </c>
      <c r="K326" t="str">
        <f t="shared" si="161"/>
        <v>INNI</v>
      </c>
      <c r="L326" t="s">
        <v>132</v>
      </c>
      <c r="M326" s="3">
        <v>900.02</v>
      </c>
    </row>
    <row r="327" spans="1:13" x14ac:dyDescent="0.25">
      <c r="A327" t="str">
        <f t="shared" si="152"/>
        <v>E163</v>
      </c>
      <c r="B327">
        <v>1</v>
      </c>
      <c r="C327" t="str">
        <f t="shared" si="158"/>
        <v>43003</v>
      </c>
      <c r="D327" t="str">
        <f t="shared" si="154"/>
        <v>5740</v>
      </c>
      <c r="E327" t="str">
        <f t="shared" si="159"/>
        <v>850LOS</v>
      </c>
      <c r="F327" t="str">
        <f>""</f>
        <v/>
      </c>
      <c r="G327" t="str">
        <f>""</f>
        <v/>
      </c>
      <c r="H327" s="1">
        <v>38754</v>
      </c>
      <c r="I327" t="str">
        <f>"3887A"</f>
        <v>3887A</v>
      </c>
      <c r="J327" t="str">
        <f t="shared" si="160"/>
        <v>B064707B</v>
      </c>
      <c r="K327" t="str">
        <f t="shared" si="161"/>
        <v>INNI</v>
      </c>
      <c r="L327" t="s">
        <v>132</v>
      </c>
      <c r="M327" s="3">
        <v>196</v>
      </c>
    </row>
    <row r="328" spans="1:13" x14ac:dyDescent="0.25">
      <c r="A328" t="str">
        <f t="shared" si="152"/>
        <v>E163</v>
      </c>
      <c r="B328">
        <v>1</v>
      </c>
      <c r="C328" t="str">
        <f t="shared" si="158"/>
        <v>43003</v>
      </c>
      <c r="D328" t="str">
        <f t="shared" si="154"/>
        <v>5740</v>
      </c>
      <c r="E328" t="str">
        <f t="shared" si="159"/>
        <v>850LOS</v>
      </c>
      <c r="F328" t="str">
        <f>""</f>
        <v/>
      </c>
      <c r="G328" t="str">
        <f>""</f>
        <v/>
      </c>
      <c r="H328" s="1">
        <v>38754</v>
      </c>
      <c r="I328" t="str">
        <f>"3962A"</f>
        <v>3962A</v>
      </c>
      <c r="J328" t="str">
        <f t="shared" si="160"/>
        <v>B064707B</v>
      </c>
      <c r="K328" t="str">
        <f t="shared" si="161"/>
        <v>INNI</v>
      </c>
      <c r="L328" t="s">
        <v>132</v>
      </c>
      <c r="M328" s="3">
        <v>350</v>
      </c>
    </row>
    <row r="329" spans="1:13" x14ac:dyDescent="0.25">
      <c r="A329" t="str">
        <f t="shared" si="152"/>
        <v>E163</v>
      </c>
      <c r="B329">
        <v>1</v>
      </c>
      <c r="C329" t="str">
        <f t="shared" si="158"/>
        <v>43003</v>
      </c>
      <c r="D329" t="str">
        <f t="shared" si="154"/>
        <v>5740</v>
      </c>
      <c r="E329" t="str">
        <f t="shared" si="159"/>
        <v>850LOS</v>
      </c>
      <c r="F329" t="str">
        <f>""</f>
        <v/>
      </c>
      <c r="G329" t="str">
        <f>""</f>
        <v/>
      </c>
      <c r="H329" s="1">
        <v>38804</v>
      </c>
      <c r="I329" t="str">
        <f>"0034972A"</f>
        <v>0034972A</v>
      </c>
      <c r="J329" t="str">
        <f t="shared" si="160"/>
        <v>B064707B</v>
      </c>
      <c r="K329" t="str">
        <f t="shared" si="161"/>
        <v>INNI</v>
      </c>
      <c r="L329" t="s">
        <v>132</v>
      </c>
      <c r="M329" s="3">
        <v>385</v>
      </c>
    </row>
    <row r="330" spans="1:13" x14ac:dyDescent="0.25">
      <c r="A330" t="str">
        <f t="shared" si="152"/>
        <v>E163</v>
      </c>
      <c r="B330">
        <v>1</v>
      </c>
      <c r="C330" t="str">
        <f t="shared" si="158"/>
        <v>43003</v>
      </c>
      <c r="D330" t="str">
        <f t="shared" si="154"/>
        <v>5740</v>
      </c>
      <c r="E330" t="str">
        <f t="shared" si="159"/>
        <v>850LOS</v>
      </c>
      <c r="F330" t="str">
        <f>""</f>
        <v/>
      </c>
      <c r="G330" t="str">
        <f>""</f>
        <v/>
      </c>
      <c r="H330" s="1">
        <v>38817</v>
      </c>
      <c r="I330" t="str">
        <f>"00035779"</f>
        <v>00035779</v>
      </c>
      <c r="J330" t="str">
        <f t="shared" si="160"/>
        <v>B064707B</v>
      </c>
      <c r="K330" t="str">
        <f t="shared" si="161"/>
        <v>INNI</v>
      </c>
      <c r="L330" t="s">
        <v>132</v>
      </c>
      <c r="M330" s="3">
        <v>385</v>
      </c>
    </row>
    <row r="331" spans="1:13" x14ac:dyDescent="0.25">
      <c r="A331" t="str">
        <f t="shared" si="152"/>
        <v>E163</v>
      </c>
      <c r="B331">
        <v>1</v>
      </c>
      <c r="C331" t="str">
        <f t="shared" si="158"/>
        <v>43003</v>
      </c>
      <c r="D331" t="str">
        <f t="shared" si="154"/>
        <v>5740</v>
      </c>
      <c r="E331" t="str">
        <f t="shared" si="159"/>
        <v>850LOS</v>
      </c>
      <c r="F331" t="str">
        <f>""</f>
        <v/>
      </c>
      <c r="G331" t="str">
        <f>""</f>
        <v/>
      </c>
      <c r="H331" s="1">
        <v>38867</v>
      </c>
      <c r="I331" t="str">
        <f>"00036995"</f>
        <v>00036995</v>
      </c>
      <c r="J331" t="str">
        <f t="shared" si="160"/>
        <v>B064707B</v>
      </c>
      <c r="K331" t="str">
        <f t="shared" si="161"/>
        <v>INNI</v>
      </c>
      <c r="L331" t="s">
        <v>132</v>
      </c>
      <c r="M331" s="3">
        <v>385</v>
      </c>
    </row>
    <row r="332" spans="1:13" x14ac:dyDescent="0.25">
      <c r="A332" t="str">
        <f t="shared" si="152"/>
        <v>E163</v>
      </c>
      <c r="B332">
        <v>1</v>
      </c>
      <c r="C332" t="str">
        <f t="shared" si="158"/>
        <v>43003</v>
      </c>
      <c r="D332" t="str">
        <f t="shared" si="154"/>
        <v>5740</v>
      </c>
      <c r="E332" t="str">
        <f t="shared" si="159"/>
        <v>850LOS</v>
      </c>
      <c r="F332" t="str">
        <f>""</f>
        <v/>
      </c>
      <c r="G332" t="str">
        <f>""</f>
        <v/>
      </c>
      <c r="H332" s="1">
        <v>38897</v>
      </c>
      <c r="I332" t="str">
        <f>"00037483"</f>
        <v>00037483</v>
      </c>
      <c r="J332" t="str">
        <f t="shared" si="160"/>
        <v>B064707B</v>
      </c>
      <c r="K332" t="str">
        <f t="shared" si="161"/>
        <v>INNI</v>
      </c>
      <c r="L332" t="s">
        <v>132</v>
      </c>
      <c r="M332" s="3">
        <v>379.4</v>
      </c>
    </row>
    <row r="333" spans="1:13" x14ac:dyDescent="0.25">
      <c r="A333" t="str">
        <f t="shared" ref="A333:A343" si="162">"E164"</f>
        <v>E164</v>
      </c>
      <c r="B333">
        <v>1</v>
      </c>
      <c r="C333" t="str">
        <f t="shared" ref="C333:C338" si="163">"14185"</f>
        <v>14185</v>
      </c>
      <c r="D333" t="str">
        <f t="shared" ref="D333:D338" si="164">"5620"</f>
        <v>5620</v>
      </c>
      <c r="E333" t="str">
        <f t="shared" ref="E333:E338" si="165">"094OMS"</f>
        <v>094OMS</v>
      </c>
      <c r="F333" t="str">
        <f>""</f>
        <v/>
      </c>
      <c r="G333" t="str">
        <f>""</f>
        <v/>
      </c>
      <c r="H333" s="1">
        <v>38587</v>
      </c>
      <c r="I333" t="str">
        <f>"PCD00193"</f>
        <v>PCD00193</v>
      </c>
      <c r="J333" t="str">
        <f>"30543"</f>
        <v>30543</v>
      </c>
      <c r="K333" t="str">
        <f>"AS89"</f>
        <v>AS89</v>
      </c>
      <c r="L333" t="s">
        <v>134</v>
      </c>
      <c r="M333" s="3">
        <v>349.55</v>
      </c>
    </row>
    <row r="334" spans="1:13" x14ac:dyDescent="0.25">
      <c r="A334" t="str">
        <f t="shared" si="162"/>
        <v>E164</v>
      </c>
      <c r="B334">
        <v>1</v>
      </c>
      <c r="C334" t="str">
        <f t="shared" si="163"/>
        <v>14185</v>
      </c>
      <c r="D334" t="str">
        <f t="shared" si="164"/>
        <v>5620</v>
      </c>
      <c r="E334" t="str">
        <f t="shared" si="165"/>
        <v>094OMS</v>
      </c>
      <c r="F334" t="str">
        <f>""</f>
        <v/>
      </c>
      <c r="G334" t="str">
        <f>""</f>
        <v/>
      </c>
      <c r="H334" s="1">
        <v>38663</v>
      </c>
      <c r="I334" t="str">
        <f>"PCD00206"</f>
        <v>PCD00206</v>
      </c>
      <c r="J334" t="str">
        <f>"33413"</f>
        <v>33413</v>
      </c>
      <c r="K334" t="str">
        <f>"AS89"</f>
        <v>AS89</v>
      </c>
      <c r="L334" t="s">
        <v>135</v>
      </c>
      <c r="M334" s="3">
        <v>221.77</v>
      </c>
    </row>
    <row r="335" spans="1:13" x14ac:dyDescent="0.25">
      <c r="A335" t="str">
        <f t="shared" si="162"/>
        <v>E164</v>
      </c>
      <c r="B335">
        <v>1</v>
      </c>
      <c r="C335" t="str">
        <f t="shared" si="163"/>
        <v>14185</v>
      </c>
      <c r="D335" t="str">
        <f t="shared" si="164"/>
        <v>5620</v>
      </c>
      <c r="E335" t="str">
        <f t="shared" si="165"/>
        <v>094OMS</v>
      </c>
      <c r="F335" t="str">
        <f>""</f>
        <v/>
      </c>
      <c r="G335" t="str">
        <f>""</f>
        <v/>
      </c>
      <c r="H335" s="1">
        <v>38748</v>
      </c>
      <c r="I335" t="str">
        <f>"LKS00126"</f>
        <v>LKS00126</v>
      </c>
      <c r="J335" t="str">
        <f>"L30034"</f>
        <v>L30034</v>
      </c>
      <c r="K335" t="str">
        <f>"LKW1"</f>
        <v>LKW1</v>
      </c>
      <c r="L335" t="s">
        <v>133</v>
      </c>
      <c r="M335" s="3">
        <v>116.18</v>
      </c>
    </row>
    <row r="336" spans="1:13" x14ac:dyDescent="0.25">
      <c r="A336" t="str">
        <f t="shared" si="162"/>
        <v>E164</v>
      </c>
      <c r="B336">
        <v>1</v>
      </c>
      <c r="C336" t="str">
        <f t="shared" si="163"/>
        <v>14185</v>
      </c>
      <c r="D336" t="str">
        <f t="shared" si="164"/>
        <v>5620</v>
      </c>
      <c r="E336" t="str">
        <f t="shared" si="165"/>
        <v>094OMS</v>
      </c>
      <c r="F336" t="str">
        <f>""</f>
        <v/>
      </c>
      <c r="G336" t="str">
        <f>""</f>
        <v/>
      </c>
      <c r="H336" s="1">
        <v>38776</v>
      </c>
      <c r="I336" t="str">
        <f>"LKS00127"</f>
        <v>LKS00127</v>
      </c>
      <c r="J336" t="str">
        <f>"L30034"</f>
        <v>L30034</v>
      </c>
      <c r="K336" t="str">
        <f>"LKW1"</f>
        <v>LKW1</v>
      </c>
      <c r="L336" t="s">
        <v>133</v>
      </c>
      <c r="M336" s="3">
        <v>272.64999999999998</v>
      </c>
    </row>
    <row r="337" spans="1:13" x14ac:dyDescent="0.25">
      <c r="A337" t="str">
        <f t="shared" si="162"/>
        <v>E164</v>
      </c>
      <c r="B337">
        <v>1</v>
      </c>
      <c r="C337" t="str">
        <f t="shared" si="163"/>
        <v>14185</v>
      </c>
      <c r="D337" t="str">
        <f t="shared" si="164"/>
        <v>5620</v>
      </c>
      <c r="E337" t="str">
        <f t="shared" si="165"/>
        <v>094OMS</v>
      </c>
      <c r="F337" t="str">
        <f>""</f>
        <v/>
      </c>
      <c r="G337" t="str">
        <f>""</f>
        <v/>
      </c>
      <c r="H337" s="1">
        <v>38868</v>
      </c>
      <c r="I337" t="str">
        <f>"LKS00129"</f>
        <v>LKS00129</v>
      </c>
      <c r="J337" t="str">
        <f>"L30034"</f>
        <v>L30034</v>
      </c>
      <c r="K337" t="str">
        <f>"LKW1"</f>
        <v>LKW1</v>
      </c>
      <c r="L337" t="s">
        <v>133</v>
      </c>
      <c r="M337" s="3">
        <v>211.77</v>
      </c>
    </row>
    <row r="338" spans="1:13" x14ac:dyDescent="0.25">
      <c r="A338" t="str">
        <f t="shared" si="162"/>
        <v>E164</v>
      </c>
      <c r="B338">
        <v>1</v>
      </c>
      <c r="C338" t="str">
        <f t="shared" si="163"/>
        <v>14185</v>
      </c>
      <c r="D338" t="str">
        <f t="shared" si="164"/>
        <v>5620</v>
      </c>
      <c r="E338" t="str">
        <f t="shared" si="165"/>
        <v>094OMS</v>
      </c>
      <c r="F338" t="str">
        <f>""</f>
        <v/>
      </c>
      <c r="G338" t="str">
        <f>""</f>
        <v/>
      </c>
      <c r="H338" s="1">
        <v>38898</v>
      </c>
      <c r="I338" t="str">
        <f>"PCD00235"</f>
        <v>PCD00235</v>
      </c>
      <c r="J338" t="str">
        <f>"42049"</f>
        <v>42049</v>
      </c>
      <c r="K338" t="str">
        <f>"AS89"</f>
        <v>AS89</v>
      </c>
      <c r="L338" t="s">
        <v>136</v>
      </c>
      <c r="M338" s="3">
        <v>301.3</v>
      </c>
    </row>
    <row r="339" spans="1:13" x14ac:dyDescent="0.25">
      <c r="A339" t="str">
        <f t="shared" si="162"/>
        <v>E164</v>
      </c>
      <c r="B339">
        <v>1</v>
      </c>
      <c r="C339" t="str">
        <f t="shared" ref="C339" si="166">"32040"</f>
        <v>32040</v>
      </c>
      <c r="D339" t="str">
        <f t="shared" ref="D339" si="167">"5610"</f>
        <v>5610</v>
      </c>
      <c r="E339" t="str">
        <f t="shared" ref="E339:E349" si="168">"850LOS"</f>
        <v>850LOS</v>
      </c>
      <c r="F339" t="str">
        <f>""</f>
        <v/>
      </c>
      <c r="G339" t="str">
        <f>""</f>
        <v/>
      </c>
      <c r="H339" s="1">
        <v>38807</v>
      </c>
      <c r="I339" t="str">
        <f>"LKS00128"</f>
        <v>LKS00128</v>
      </c>
      <c r="J339" t="str">
        <f>"L50007"</f>
        <v>L50007</v>
      </c>
      <c r="K339" t="str">
        <f t="shared" ref="K339" si="169">"LKW1"</f>
        <v>LKW1</v>
      </c>
      <c r="L339" t="s">
        <v>137</v>
      </c>
      <c r="M339" s="3">
        <v>11408.32</v>
      </c>
    </row>
    <row r="340" spans="1:13" x14ac:dyDescent="0.25">
      <c r="A340" t="str">
        <f t="shared" si="162"/>
        <v>E164</v>
      </c>
      <c r="B340">
        <v>1</v>
      </c>
      <c r="C340" t="str">
        <f t="shared" ref="C340:C349" si="170">"43000"</f>
        <v>43000</v>
      </c>
      <c r="D340" t="str">
        <f t="shared" ref="D340:D349" si="171">"5740"</f>
        <v>5740</v>
      </c>
      <c r="E340" t="str">
        <f t="shared" si="168"/>
        <v>850LOS</v>
      </c>
      <c r="F340" t="str">
        <f>""</f>
        <v/>
      </c>
      <c r="G340" t="str">
        <f>""</f>
        <v/>
      </c>
      <c r="H340" s="1">
        <v>38751</v>
      </c>
      <c r="I340" t="str">
        <f>"PCD00218"</f>
        <v>PCD00218</v>
      </c>
      <c r="J340" t="str">
        <f>"36066"</f>
        <v>36066</v>
      </c>
      <c r="K340" t="str">
        <f>"AS89"</f>
        <v>AS89</v>
      </c>
      <c r="L340" t="s">
        <v>139</v>
      </c>
      <c r="M340" s="3">
        <v>184.11</v>
      </c>
    </row>
    <row r="341" spans="1:13" x14ac:dyDescent="0.25">
      <c r="A341" t="str">
        <f t="shared" si="162"/>
        <v>E164</v>
      </c>
      <c r="B341">
        <v>1</v>
      </c>
      <c r="C341" t="str">
        <f t="shared" si="170"/>
        <v>43000</v>
      </c>
      <c r="D341" t="str">
        <f t="shared" si="171"/>
        <v>5740</v>
      </c>
      <c r="E341" t="str">
        <f t="shared" si="168"/>
        <v>850LOS</v>
      </c>
      <c r="F341" t="str">
        <f>""</f>
        <v/>
      </c>
      <c r="G341" t="str">
        <f>""</f>
        <v/>
      </c>
      <c r="H341" s="1">
        <v>38776</v>
      </c>
      <c r="I341" t="str">
        <f>"LKS00127"</f>
        <v>LKS00127</v>
      </c>
      <c r="J341" t="str">
        <f>"L60367"</f>
        <v>L60367</v>
      </c>
      <c r="K341" t="str">
        <f>"LKW1"</f>
        <v>LKW1</v>
      </c>
      <c r="L341" t="s">
        <v>138</v>
      </c>
      <c r="M341" s="3">
        <v>131.74</v>
      </c>
    </row>
    <row r="342" spans="1:13" x14ac:dyDescent="0.25">
      <c r="A342" t="str">
        <f t="shared" si="162"/>
        <v>E164</v>
      </c>
      <c r="B342">
        <v>1</v>
      </c>
      <c r="C342" t="str">
        <f t="shared" si="170"/>
        <v>43000</v>
      </c>
      <c r="D342" t="str">
        <f t="shared" si="171"/>
        <v>5740</v>
      </c>
      <c r="E342" t="str">
        <f t="shared" si="168"/>
        <v>850LOS</v>
      </c>
      <c r="F342" t="str">
        <f>""</f>
        <v/>
      </c>
      <c r="G342" t="str">
        <f>""</f>
        <v/>
      </c>
      <c r="H342" s="1">
        <v>38807</v>
      </c>
      <c r="I342" t="str">
        <f>"LKS00128"</f>
        <v>LKS00128</v>
      </c>
      <c r="J342" t="str">
        <f>"L60367"</f>
        <v>L60367</v>
      </c>
      <c r="K342" t="str">
        <f>"LKW1"</f>
        <v>LKW1</v>
      </c>
      <c r="L342" t="s">
        <v>138</v>
      </c>
      <c r="M342" s="3">
        <v>120.72</v>
      </c>
    </row>
    <row r="343" spans="1:13" x14ac:dyDescent="0.25">
      <c r="A343" t="str">
        <f t="shared" si="162"/>
        <v>E164</v>
      </c>
      <c r="B343">
        <v>1</v>
      </c>
      <c r="C343" t="str">
        <f t="shared" si="170"/>
        <v>43000</v>
      </c>
      <c r="D343" t="str">
        <f t="shared" si="171"/>
        <v>5740</v>
      </c>
      <c r="E343" t="str">
        <f t="shared" si="168"/>
        <v>850LOS</v>
      </c>
      <c r="F343" t="str">
        <f>""</f>
        <v/>
      </c>
      <c r="G343" t="str">
        <f>""</f>
        <v/>
      </c>
      <c r="H343" s="1">
        <v>38868</v>
      </c>
      <c r="I343" t="str">
        <f>"LKS00129"</f>
        <v>LKS00129</v>
      </c>
      <c r="J343" t="str">
        <f>"L60367"</f>
        <v>L60367</v>
      </c>
      <c r="K343" t="str">
        <f>"LKW1"</f>
        <v>LKW1</v>
      </c>
      <c r="L343" t="s">
        <v>138</v>
      </c>
      <c r="M343" s="3">
        <v>313.05</v>
      </c>
    </row>
    <row r="344" spans="1:13" x14ac:dyDescent="0.25">
      <c r="A344" t="str">
        <f t="shared" ref="A344:A349" si="172">"E166"</f>
        <v>E166</v>
      </c>
      <c r="B344">
        <v>1</v>
      </c>
      <c r="C344" t="str">
        <f t="shared" si="170"/>
        <v>43000</v>
      </c>
      <c r="D344" t="str">
        <f t="shared" si="171"/>
        <v>5740</v>
      </c>
      <c r="E344" t="str">
        <f t="shared" si="168"/>
        <v>850LOS</v>
      </c>
      <c r="F344" t="str">
        <f>""</f>
        <v/>
      </c>
      <c r="G344" t="str">
        <f>""</f>
        <v/>
      </c>
      <c r="H344" s="1">
        <v>38789</v>
      </c>
      <c r="I344" t="str">
        <f>"59340"</f>
        <v>59340</v>
      </c>
      <c r="J344" t="str">
        <f t="shared" ref="J344:J349" si="173">"B076383"</f>
        <v>B076383</v>
      </c>
      <c r="K344" t="str">
        <f t="shared" ref="K344:K349" si="174">"INNI"</f>
        <v>INNI</v>
      </c>
      <c r="L344" t="s">
        <v>140</v>
      </c>
      <c r="M344" s="3">
        <v>622.73</v>
      </c>
    </row>
    <row r="345" spans="1:13" x14ac:dyDescent="0.25">
      <c r="A345" t="str">
        <f t="shared" si="172"/>
        <v>E166</v>
      </c>
      <c r="B345">
        <v>1</v>
      </c>
      <c r="C345" t="str">
        <f t="shared" si="170"/>
        <v>43000</v>
      </c>
      <c r="D345" t="str">
        <f t="shared" si="171"/>
        <v>5740</v>
      </c>
      <c r="E345" t="str">
        <f t="shared" si="168"/>
        <v>850LOS</v>
      </c>
      <c r="F345" t="str">
        <f>""</f>
        <v/>
      </c>
      <c r="G345" t="str">
        <f>""</f>
        <v/>
      </c>
      <c r="H345" s="1">
        <v>38789</v>
      </c>
      <c r="I345" t="str">
        <f>"59341A"</f>
        <v>59341A</v>
      </c>
      <c r="J345" t="str">
        <f t="shared" si="173"/>
        <v>B076383</v>
      </c>
      <c r="K345" t="str">
        <f t="shared" si="174"/>
        <v>INNI</v>
      </c>
      <c r="L345" t="s">
        <v>140</v>
      </c>
      <c r="M345" s="3">
        <v>622.73</v>
      </c>
    </row>
    <row r="346" spans="1:13" x14ac:dyDescent="0.25">
      <c r="A346" t="str">
        <f t="shared" si="172"/>
        <v>E166</v>
      </c>
      <c r="B346">
        <v>1</v>
      </c>
      <c r="C346" t="str">
        <f t="shared" si="170"/>
        <v>43000</v>
      </c>
      <c r="D346" t="str">
        <f t="shared" si="171"/>
        <v>5740</v>
      </c>
      <c r="E346" t="str">
        <f t="shared" si="168"/>
        <v>850LOS</v>
      </c>
      <c r="F346" t="str">
        <f>""</f>
        <v/>
      </c>
      <c r="G346" t="str">
        <f>""</f>
        <v/>
      </c>
      <c r="H346" s="1">
        <v>38817</v>
      </c>
      <c r="I346" t="str">
        <f>"60478A"</f>
        <v>60478A</v>
      </c>
      <c r="J346" t="str">
        <f t="shared" si="173"/>
        <v>B076383</v>
      </c>
      <c r="K346" t="str">
        <f t="shared" si="174"/>
        <v>INNI</v>
      </c>
      <c r="L346" t="s">
        <v>140</v>
      </c>
      <c r="M346" s="3">
        <v>1340.22</v>
      </c>
    </row>
    <row r="347" spans="1:13" x14ac:dyDescent="0.25">
      <c r="A347" t="str">
        <f t="shared" si="172"/>
        <v>E166</v>
      </c>
      <c r="B347">
        <v>1</v>
      </c>
      <c r="C347" t="str">
        <f t="shared" si="170"/>
        <v>43000</v>
      </c>
      <c r="D347" t="str">
        <f t="shared" si="171"/>
        <v>5740</v>
      </c>
      <c r="E347" t="str">
        <f t="shared" si="168"/>
        <v>850LOS</v>
      </c>
      <c r="F347" t="str">
        <f>""</f>
        <v/>
      </c>
      <c r="G347" t="str">
        <f>""</f>
        <v/>
      </c>
      <c r="H347" s="1">
        <v>38856</v>
      </c>
      <c r="I347" t="str">
        <f>"61418B"</f>
        <v>61418B</v>
      </c>
      <c r="J347" t="str">
        <f t="shared" si="173"/>
        <v>B076383</v>
      </c>
      <c r="K347" t="str">
        <f t="shared" si="174"/>
        <v>INNI</v>
      </c>
      <c r="L347" t="s">
        <v>140</v>
      </c>
      <c r="M347" s="3">
        <v>657.18</v>
      </c>
    </row>
    <row r="348" spans="1:13" x14ac:dyDescent="0.25">
      <c r="A348" t="str">
        <f t="shared" si="172"/>
        <v>E166</v>
      </c>
      <c r="B348">
        <v>1</v>
      </c>
      <c r="C348" t="str">
        <f t="shared" si="170"/>
        <v>43000</v>
      </c>
      <c r="D348" t="str">
        <f t="shared" si="171"/>
        <v>5740</v>
      </c>
      <c r="E348" t="str">
        <f t="shared" si="168"/>
        <v>850LOS</v>
      </c>
      <c r="F348" t="str">
        <f>""</f>
        <v/>
      </c>
      <c r="G348" t="str">
        <f>""</f>
        <v/>
      </c>
      <c r="H348" s="1">
        <v>38856</v>
      </c>
      <c r="I348" t="str">
        <f>"61419"</f>
        <v>61419</v>
      </c>
      <c r="J348" t="str">
        <f t="shared" si="173"/>
        <v>B076383</v>
      </c>
      <c r="K348" t="str">
        <f t="shared" si="174"/>
        <v>INNI</v>
      </c>
      <c r="L348" t="s">
        <v>140</v>
      </c>
      <c r="M348" s="3">
        <v>657.18</v>
      </c>
    </row>
    <row r="349" spans="1:13" x14ac:dyDescent="0.25">
      <c r="A349" t="str">
        <f t="shared" si="172"/>
        <v>E166</v>
      </c>
      <c r="B349">
        <v>1</v>
      </c>
      <c r="C349" t="str">
        <f t="shared" si="170"/>
        <v>43000</v>
      </c>
      <c r="D349" t="str">
        <f t="shared" si="171"/>
        <v>5740</v>
      </c>
      <c r="E349" t="str">
        <f t="shared" si="168"/>
        <v>850LOS</v>
      </c>
      <c r="F349" t="str">
        <f>""</f>
        <v/>
      </c>
      <c r="G349" t="str">
        <f>""</f>
        <v/>
      </c>
      <c r="H349" s="1">
        <v>38896</v>
      </c>
      <c r="I349" t="str">
        <f>"63498A"</f>
        <v>63498A</v>
      </c>
      <c r="J349" t="str">
        <f t="shared" si="173"/>
        <v>B076383</v>
      </c>
      <c r="K349" t="str">
        <f t="shared" si="174"/>
        <v>INNI</v>
      </c>
      <c r="L349" t="s">
        <v>140</v>
      </c>
      <c r="M349" s="3">
        <v>1330.62</v>
      </c>
    </row>
    <row r="350" spans="1:13" x14ac:dyDescent="0.25">
      <c r="A350" t="str">
        <f t="shared" ref="A350:A367" si="175">"E171"</f>
        <v>E171</v>
      </c>
      <c r="B350">
        <v>1</v>
      </c>
      <c r="C350" t="str">
        <f t="shared" ref="C350:C351" si="176">"14185"</f>
        <v>14185</v>
      </c>
      <c r="D350" t="str">
        <f t="shared" ref="D350:D351" si="177">"5620"</f>
        <v>5620</v>
      </c>
      <c r="E350" t="str">
        <f t="shared" ref="E350:E351" si="178">"094OMS"</f>
        <v>094OMS</v>
      </c>
      <c r="F350" t="str">
        <f>""</f>
        <v/>
      </c>
      <c r="G350" t="str">
        <f>""</f>
        <v/>
      </c>
      <c r="H350" s="1">
        <v>38748</v>
      </c>
      <c r="I350" t="str">
        <f>"PRT00184"</f>
        <v>PRT00184</v>
      </c>
      <c r="J350" t="str">
        <f>""</f>
        <v/>
      </c>
      <c r="K350" t="str">
        <f t="shared" ref="K350:K358" si="179">"PR01"</f>
        <v>PR01</v>
      </c>
      <c r="L350" t="s">
        <v>141</v>
      </c>
      <c r="M350" s="3">
        <v>214.35</v>
      </c>
    </row>
    <row r="351" spans="1:13" x14ac:dyDescent="0.25">
      <c r="A351" t="str">
        <f t="shared" si="175"/>
        <v>E171</v>
      </c>
      <c r="B351">
        <v>1</v>
      </c>
      <c r="C351" t="str">
        <f t="shared" si="176"/>
        <v>14185</v>
      </c>
      <c r="D351" t="str">
        <f t="shared" si="177"/>
        <v>5620</v>
      </c>
      <c r="E351" t="str">
        <f t="shared" si="178"/>
        <v>094OMS</v>
      </c>
      <c r="F351" t="str">
        <f>""</f>
        <v/>
      </c>
      <c r="G351" t="str">
        <f>""</f>
        <v/>
      </c>
      <c r="H351" s="1">
        <v>38868</v>
      </c>
      <c r="I351" t="str">
        <f>"PRT00192"</f>
        <v>PRT00192</v>
      </c>
      <c r="J351" t="str">
        <f>""</f>
        <v/>
      </c>
      <c r="K351" t="str">
        <f t="shared" si="179"/>
        <v>PR01</v>
      </c>
      <c r="L351" t="s">
        <v>142</v>
      </c>
      <c r="M351" s="3">
        <v>130.41</v>
      </c>
    </row>
    <row r="352" spans="1:13" x14ac:dyDescent="0.25">
      <c r="A352" t="str">
        <f t="shared" si="175"/>
        <v>E171</v>
      </c>
      <c r="B352">
        <v>1</v>
      </c>
      <c r="C352" t="str">
        <f>"32040"</f>
        <v>32040</v>
      </c>
      <c r="D352" t="str">
        <f>"5610"</f>
        <v>5610</v>
      </c>
      <c r="E352" t="str">
        <f t="shared" ref="E352:E359" si="180">"850LOS"</f>
        <v>850LOS</v>
      </c>
      <c r="F352" t="str">
        <f>""</f>
        <v/>
      </c>
      <c r="G352" t="str">
        <f>""</f>
        <v/>
      </c>
      <c r="H352" s="1">
        <v>38625</v>
      </c>
      <c r="I352" t="str">
        <f>"PRT00176"</f>
        <v>PRT00176</v>
      </c>
      <c r="J352" t="str">
        <f>""</f>
        <v/>
      </c>
      <c r="K352" t="str">
        <f t="shared" si="179"/>
        <v>PR01</v>
      </c>
      <c r="L352" t="s">
        <v>143</v>
      </c>
      <c r="M352" s="3">
        <v>518.9</v>
      </c>
    </row>
    <row r="353" spans="1:13" x14ac:dyDescent="0.25">
      <c r="A353" t="str">
        <f t="shared" si="175"/>
        <v>E171</v>
      </c>
      <c r="B353">
        <v>1</v>
      </c>
      <c r="C353" t="str">
        <f t="shared" ref="C353:C364" si="181">"43000"</f>
        <v>43000</v>
      </c>
      <c r="D353" t="str">
        <f t="shared" ref="D353:D367" si="182">"5740"</f>
        <v>5740</v>
      </c>
      <c r="E353" t="str">
        <f t="shared" si="180"/>
        <v>850LOS</v>
      </c>
      <c r="F353" t="str">
        <f>""</f>
        <v/>
      </c>
      <c r="G353" t="str">
        <f>""</f>
        <v/>
      </c>
      <c r="H353" s="1">
        <v>38564</v>
      </c>
      <c r="I353" t="str">
        <f>"PRT00172"</f>
        <v>PRT00172</v>
      </c>
      <c r="J353" t="str">
        <f>""</f>
        <v/>
      </c>
      <c r="K353" t="str">
        <f t="shared" si="179"/>
        <v>PR01</v>
      </c>
      <c r="L353" t="s">
        <v>144</v>
      </c>
      <c r="M353" s="3">
        <v>974.63</v>
      </c>
    </row>
    <row r="354" spans="1:13" x14ac:dyDescent="0.25">
      <c r="A354" t="str">
        <f t="shared" si="175"/>
        <v>E171</v>
      </c>
      <c r="B354">
        <v>1</v>
      </c>
      <c r="C354" t="str">
        <f t="shared" si="181"/>
        <v>43000</v>
      </c>
      <c r="D354" t="str">
        <f t="shared" si="182"/>
        <v>5740</v>
      </c>
      <c r="E354" t="str">
        <f t="shared" si="180"/>
        <v>850LOS</v>
      </c>
      <c r="F354" t="str">
        <f>""</f>
        <v/>
      </c>
      <c r="G354" t="str">
        <f>""</f>
        <v/>
      </c>
      <c r="H354" s="1">
        <v>38564</v>
      </c>
      <c r="I354" t="str">
        <f>"PRT00172"</f>
        <v>PRT00172</v>
      </c>
      <c r="J354" t="str">
        <f>""</f>
        <v/>
      </c>
      <c r="K354" t="str">
        <f t="shared" si="179"/>
        <v>PR01</v>
      </c>
      <c r="L354" t="s">
        <v>145</v>
      </c>
      <c r="M354" s="3">
        <v>1163.9100000000001</v>
      </c>
    </row>
    <row r="355" spans="1:13" x14ac:dyDescent="0.25">
      <c r="A355" t="str">
        <f t="shared" si="175"/>
        <v>E171</v>
      </c>
      <c r="B355">
        <v>1</v>
      </c>
      <c r="C355" t="str">
        <f t="shared" si="181"/>
        <v>43000</v>
      </c>
      <c r="D355" t="str">
        <f t="shared" si="182"/>
        <v>5740</v>
      </c>
      <c r="E355" t="str">
        <f t="shared" si="180"/>
        <v>850LOS</v>
      </c>
      <c r="F355" t="str">
        <f>""</f>
        <v/>
      </c>
      <c r="G355" t="str">
        <f>""</f>
        <v/>
      </c>
      <c r="H355" s="1">
        <v>38625</v>
      </c>
      <c r="I355" t="str">
        <f>"PRT00176"</f>
        <v>PRT00176</v>
      </c>
      <c r="J355" t="str">
        <f>""</f>
        <v/>
      </c>
      <c r="K355" t="str">
        <f t="shared" si="179"/>
        <v>PR01</v>
      </c>
      <c r="L355" t="s">
        <v>146</v>
      </c>
      <c r="M355" s="3">
        <v>1598.87</v>
      </c>
    </row>
    <row r="356" spans="1:13" x14ac:dyDescent="0.25">
      <c r="A356" t="str">
        <f t="shared" si="175"/>
        <v>E171</v>
      </c>
      <c r="B356">
        <v>1</v>
      </c>
      <c r="C356" t="str">
        <f t="shared" si="181"/>
        <v>43000</v>
      </c>
      <c r="D356" t="str">
        <f t="shared" si="182"/>
        <v>5740</v>
      </c>
      <c r="E356" t="str">
        <f t="shared" si="180"/>
        <v>850LOS</v>
      </c>
      <c r="F356" t="str">
        <f>""</f>
        <v/>
      </c>
      <c r="G356" t="str">
        <f>""</f>
        <v/>
      </c>
      <c r="H356" s="1">
        <v>38656</v>
      </c>
      <c r="I356" t="str">
        <f>"PRT00178"</f>
        <v>PRT00178</v>
      </c>
      <c r="J356" t="str">
        <f>""</f>
        <v/>
      </c>
      <c r="K356" t="str">
        <f t="shared" si="179"/>
        <v>PR01</v>
      </c>
      <c r="L356" t="s">
        <v>147</v>
      </c>
      <c r="M356" s="3">
        <v>354.11</v>
      </c>
    </row>
    <row r="357" spans="1:13" x14ac:dyDescent="0.25">
      <c r="A357" t="str">
        <f t="shared" si="175"/>
        <v>E171</v>
      </c>
      <c r="B357">
        <v>1</v>
      </c>
      <c r="C357" t="str">
        <f t="shared" si="181"/>
        <v>43000</v>
      </c>
      <c r="D357" t="str">
        <f t="shared" si="182"/>
        <v>5740</v>
      </c>
      <c r="E357" t="str">
        <f t="shared" si="180"/>
        <v>850LOS</v>
      </c>
      <c r="F357" t="str">
        <f>""</f>
        <v/>
      </c>
      <c r="G357" t="str">
        <f>""</f>
        <v/>
      </c>
      <c r="H357" s="1">
        <v>38686</v>
      </c>
      <c r="I357" t="str">
        <f>"PRT00180"</f>
        <v>PRT00180</v>
      </c>
      <c r="J357" t="str">
        <f>""</f>
        <v/>
      </c>
      <c r="K357" t="str">
        <f t="shared" si="179"/>
        <v>PR01</v>
      </c>
      <c r="L357" t="s">
        <v>148</v>
      </c>
      <c r="M357" s="3">
        <v>304.83</v>
      </c>
    </row>
    <row r="358" spans="1:13" x14ac:dyDescent="0.25">
      <c r="A358" t="str">
        <f t="shared" si="175"/>
        <v>E171</v>
      </c>
      <c r="B358">
        <v>1</v>
      </c>
      <c r="C358" t="str">
        <f t="shared" si="181"/>
        <v>43000</v>
      </c>
      <c r="D358" t="str">
        <f t="shared" si="182"/>
        <v>5740</v>
      </c>
      <c r="E358" t="str">
        <f t="shared" si="180"/>
        <v>850LOS</v>
      </c>
      <c r="F358" t="str">
        <f>""</f>
        <v/>
      </c>
      <c r="G358" t="str">
        <f>""</f>
        <v/>
      </c>
      <c r="H358" s="1">
        <v>38807</v>
      </c>
      <c r="I358" t="str">
        <f>"PRT00188"</f>
        <v>PRT00188</v>
      </c>
      <c r="J358" t="str">
        <f>""</f>
        <v/>
      </c>
      <c r="K358" t="str">
        <f t="shared" si="179"/>
        <v>PR01</v>
      </c>
      <c r="L358" t="s">
        <v>149</v>
      </c>
      <c r="M358" s="3">
        <v>691.1</v>
      </c>
    </row>
    <row r="359" spans="1:13" x14ac:dyDescent="0.25">
      <c r="A359" t="str">
        <f t="shared" si="175"/>
        <v>E171</v>
      </c>
      <c r="B359">
        <v>1</v>
      </c>
      <c r="C359" t="str">
        <f t="shared" si="181"/>
        <v>43000</v>
      </c>
      <c r="D359" t="str">
        <f t="shared" si="182"/>
        <v>5740</v>
      </c>
      <c r="E359" t="str">
        <f t="shared" si="180"/>
        <v>850LOS</v>
      </c>
      <c r="F359" t="str">
        <f>""</f>
        <v/>
      </c>
      <c r="G359" t="str">
        <f>""</f>
        <v/>
      </c>
      <c r="H359" s="1">
        <v>38898</v>
      </c>
      <c r="I359" t="str">
        <f>"PRT00194"</f>
        <v>PRT00194</v>
      </c>
      <c r="J359" t="str">
        <f>""</f>
        <v/>
      </c>
      <c r="K359" t="str">
        <f t="shared" ref="K359:K367" si="183">"PR01"</f>
        <v>PR01</v>
      </c>
      <c r="L359" t="s">
        <v>146</v>
      </c>
      <c r="M359" s="3">
        <v>871.09</v>
      </c>
    </row>
    <row r="360" spans="1:13" x14ac:dyDescent="0.25">
      <c r="A360" t="str">
        <f t="shared" si="175"/>
        <v>E171</v>
      </c>
      <c r="B360">
        <v>1</v>
      </c>
      <c r="C360" t="str">
        <f t="shared" si="181"/>
        <v>43000</v>
      </c>
      <c r="D360" t="str">
        <f t="shared" si="182"/>
        <v>5740</v>
      </c>
      <c r="E360" t="str">
        <f>"850PKE"</f>
        <v>850PKE</v>
      </c>
      <c r="F360" t="str">
        <f>""</f>
        <v/>
      </c>
      <c r="G360" t="str">
        <f>""</f>
        <v/>
      </c>
      <c r="H360" s="1">
        <v>38564</v>
      </c>
      <c r="I360" t="str">
        <f>"PRT00172"</f>
        <v>PRT00172</v>
      </c>
      <c r="J360" t="str">
        <f>""</f>
        <v/>
      </c>
      <c r="K360" t="str">
        <f t="shared" si="183"/>
        <v>PR01</v>
      </c>
      <c r="L360" t="s">
        <v>150</v>
      </c>
      <c r="M360" s="3">
        <v>239.67</v>
      </c>
    </row>
    <row r="361" spans="1:13" x14ac:dyDescent="0.25">
      <c r="A361" t="str">
        <f t="shared" si="175"/>
        <v>E171</v>
      </c>
      <c r="B361">
        <v>1</v>
      </c>
      <c r="C361" t="str">
        <f t="shared" si="181"/>
        <v>43000</v>
      </c>
      <c r="D361" t="str">
        <f t="shared" si="182"/>
        <v>5740</v>
      </c>
      <c r="E361" t="str">
        <f>"850PKE"</f>
        <v>850PKE</v>
      </c>
      <c r="F361" t="str">
        <f>""</f>
        <v/>
      </c>
      <c r="G361" t="str">
        <f>""</f>
        <v/>
      </c>
      <c r="H361" s="1">
        <v>38564</v>
      </c>
      <c r="I361" t="str">
        <f>"PRT00172"</f>
        <v>PRT00172</v>
      </c>
      <c r="J361" t="str">
        <f>""</f>
        <v/>
      </c>
      <c r="K361" t="str">
        <f t="shared" si="183"/>
        <v>PR01</v>
      </c>
      <c r="L361" t="s">
        <v>151</v>
      </c>
      <c r="M361" s="3">
        <v>285.55</v>
      </c>
    </row>
    <row r="362" spans="1:13" x14ac:dyDescent="0.25">
      <c r="A362" t="str">
        <f t="shared" si="175"/>
        <v>E171</v>
      </c>
      <c r="B362">
        <v>1</v>
      </c>
      <c r="C362" t="str">
        <f t="shared" si="181"/>
        <v>43000</v>
      </c>
      <c r="D362" t="str">
        <f t="shared" si="182"/>
        <v>5740</v>
      </c>
      <c r="E362" t="str">
        <f>"850PKE"</f>
        <v>850PKE</v>
      </c>
      <c r="F362" t="str">
        <f>""</f>
        <v/>
      </c>
      <c r="G362" t="str">
        <f>""</f>
        <v/>
      </c>
      <c r="H362" s="1">
        <v>38656</v>
      </c>
      <c r="I362" t="str">
        <f>"PRT00178"</f>
        <v>PRT00178</v>
      </c>
      <c r="J362" t="str">
        <f>""</f>
        <v/>
      </c>
      <c r="K362" t="str">
        <f t="shared" si="183"/>
        <v>PR01</v>
      </c>
      <c r="L362" t="s">
        <v>152</v>
      </c>
      <c r="M362" s="3">
        <v>205.74</v>
      </c>
    </row>
    <row r="363" spans="1:13" x14ac:dyDescent="0.25">
      <c r="A363" t="str">
        <f t="shared" si="175"/>
        <v>E171</v>
      </c>
      <c r="B363">
        <v>1</v>
      </c>
      <c r="C363" t="str">
        <f t="shared" si="181"/>
        <v>43000</v>
      </c>
      <c r="D363" t="str">
        <f t="shared" si="182"/>
        <v>5740</v>
      </c>
      <c r="E363" t="str">
        <f>"850PKE"</f>
        <v>850PKE</v>
      </c>
      <c r="F363" t="str">
        <f>""</f>
        <v/>
      </c>
      <c r="G363" t="str">
        <f>""</f>
        <v/>
      </c>
      <c r="H363" s="1">
        <v>38715</v>
      </c>
      <c r="I363" t="str">
        <f>"PRT00182"</f>
        <v>PRT00182</v>
      </c>
      <c r="J363" t="str">
        <f>""</f>
        <v/>
      </c>
      <c r="K363" t="str">
        <f t="shared" si="183"/>
        <v>PR01</v>
      </c>
      <c r="L363" t="s">
        <v>153</v>
      </c>
      <c r="M363" s="3">
        <v>188.57</v>
      </c>
    </row>
    <row r="364" spans="1:13" x14ac:dyDescent="0.25">
      <c r="A364" t="str">
        <f t="shared" si="175"/>
        <v>E171</v>
      </c>
      <c r="B364">
        <v>1</v>
      </c>
      <c r="C364" t="str">
        <f t="shared" si="181"/>
        <v>43000</v>
      </c>
      <c r="D364" t="str">
        <f t="shared" si="182"/>
        <v>5740</v>
      </c>
      <c r="E364" t="str">
        <f>"850PKE"</f>
        <v>850PKE</v>
      </c>
      <c r="F364" t="str">
        <f>""</f>
        <v/>
      </c>
      <c r="G364" t="str">
        <f>""</f>
        <v/>
      </c>
      <c r="H364" s="1">
        <v>38837</v>
      </c>
      <c r="I364" t="str">
        <f>"PRT00190"</f>
        <v>PRT00190</v>
      </c>
      <c r="J364" t="str">
        <f>""</f>
        <v/>
      </c>
      <c r="K364" t="str">
        <f t="shared" si="183"/>
        <v>PR01</v>
      </c>
      <c r="L364" t="s">
        <v>154</v>
      </c>
      <c r="M364" s="3">
        <v>306.18</v>
      </c>
    </row>
    <row r="365" spans="1:13" x14ac:dyDescent="0.25">
      <c r="A365" t="str">
        <f t="shared" si="175"/>
        <v>E171</v>
      </c>
      <c r="B365">
        <v>1</v>
      </c>
      <c r="C365" t="str">
        <f>"43001"</f>
        <v>43001</v>
      </c>
      <c r="D365" t="str">
        <f t="shared" si="182"/>
        <v>5740</v>
      </c>
      <c r="E365" t="str">
        <f>"850LOS"</f>
        <v>850LOS</v>
      </c>
      <c r="F365" t="str">
        <f>""</f>
        <v/>
      </c>
      <c r="G365" t="str">
        <f>""</f>
        <v/>
      </c>
      <c r="H365" s="1">
        <v>38625</v>
      </c>
      <c r="I365" t="str">
        <f>"PRT00176"</f>
        <v>PRT00176</v>
      </c>
      <c r="J365" t="str">
        <f>""</f>
        <v/>
      </c>
      <c r="K365" t="str">
        <f t="shared" si="183"/>
        <v>PR01</v>
      </c>
      <c r="L365" t="s">
        <v>155</v>
      </c>
      <c r="M365" s="3">
        <v>488.15</v>
      </c>
    </row>
    <row r="366" spans="1:13" x14ac:dyDescent="0.25">
      <c r="A366" t="str">
        <f t="shared" si="175"/>
        <v>E171</v>
      </c>
      <c r="B366">
        <v>1</v>
      </c>
      <c r="C366" t="str">
        <f>"43001"</f>
        <v>43001</v>
      </c>
      <c r="D366" t="str">
        <f t="shared" si="182"/>
        <v>5740</v>
      </c>
      <c r="E366" t="str">
        <f>"850LOS"</f>
        <v>850LOS</v>
      </c>
      <c r="F366" t="str">
        <f>""</f>
        <v/>
      </c>
      <c r="G366" t="str">
        <f>""</f>
        <v/>
      </c>
      <c r="H366" s="1">
        <v>38625</v>
      </c>
      <c r="I366" t="str">
        <f>"PRT00176"</f>
        <v>PRT00176</v>
      </c>
      <c r="J366" t="str">
        <f>""</f>
        <v/>
      </c>
      <c r="K366" t="str">
        <f t="shared" si="183"/>
        <v>PR01</v>
      </c>
      <c r="L366" t="s">
        <v>156</v>
      </c>
      <c r="M366" s="3">
        <v>325.89</v>
      </c>
    </row>
    <row r="367" spans="1:13" x14ac:dyDescent="0.25">
      <c r="A367" t="str">
        <f t="shared" si="175"/>
        <v>E171</v>
      </c>
      <c r="B367">
        <v>1</v>
      </c>
      <c r="C367" t="str">
        <f>"43001"</f>
        <v>43001</v>
      </c>
      <c r="D367" t="str">
        <f t="shared" si="182"/>
        <v>5740</v>
      </c>
      <c r="E367" t="str">
        <f>"850LOS"</f>
        <v>850LOS</v>
      </c>
      <c r="F367" t="str">
        <f>""</f>
        <v/>
      </c>
      <c r="G367" t="str">
        <f>""</f>
        <v/>
      </c>
      <c r="H367" s="1">
        <v>38776</v>
      </c>
      <c r="I367" t="str">
        <f>"PRT00186"</f>
        <v>PRT00186</v>
      </c>
      <c r="J367" t="str">
        <f>""</f>
        <v/>
      </c>
      <c r="K367" t="str">
        <f t="shared" si="183"/>
        <v>PR01</v>
      </c>
      <c r="L367" t="s">
        <v>157</v>
      </c>
      <c r="M367" s="3">
        <v>136.46</v>
      </c>
    </row>
    <row r="368" spans="1:13" x14ac:dyDescent="0.25">
      <c r="A368" t="str">
        <f t="shared" ref="A368:A377" si="184">"E172"</f>
        <v>E172</v>
      </c>
      <c r="B368">
        <v>1</v>
      </c>
      <c r="C368" t="str">
        <f t="shared" ref="C368:C369" si="185">"14185"</f>
        <v>14185</v>
      </c>
      <c r="D368" t="str">
        <f t="shared" ref="D368:D369" si="186">"5620"</f>
        <v>5620</v>
      </c>
      <c r="E368" t="str">
        <f t="shared" ref="E368:E369" si="187">"094OMS"</f>
        <v>094OMS</v>
      </c>
      <c r="F368" t="str">
        <f>""</f>
        <v/>
      </c>
      <c r="G368" t="str">
        <f>""</f>
        <v/>
      </c>
      <c r="H368" s="1">
        <v>38594</v>
      </c>
      <c r="I368" t="str">
        <f>"COP00181"</f>
        <v>COP00181</v>
      </c>
      <c r="J368" t="str">
        <f t="shared" ref="J368:J377" si="188">"JOB ORDR"</f>
        <v>JOB ORDR</v>
      </c>
      <c r="K368" t="str">
        <f t="shared" ref="K368:K388" si="189">"AS89"</f>
        <v>AS89</v>
      </c>
      <c r="L368" t="s">
        <v>158</v>
      </c>
      <c r="M368" s="3">
        <v>148.86000000000001</v>
      </c>
    </row>
    <row r="369" spans="1:13" x14ac:dyDescent="0.25">
      <c r="A369" t="str">
        <f t="shared" si="184"/>
        <v>E172</v>
      </c>
      <c r="B369">
        <v>1</v>
      </c>
      <c r="C369" t="str">
        <f t="shared" si="185"/>
        <v>14185</v>
      </c>
      <c r="D369" t="str">
        <f t="shared" si="186"/>
        <v>5620</v>
      </c>
      <c r="E369" t="str">
        <f t="shared" si="187"/>
        <v>094OMS</v>
      </c>
      <c r="F369" t="str">
        <f>""</f>
        <v/>
      </c>
      <c r="G369" t="str">
        <f>""</f>
        <v/>
      </c>
      <c r="H369" s="1">
        <v>38806</v>
      </c>
      <c r="I369" t="str">
        <f>"COP00188"</f>
        <v>COP00188</v>
      </c>
      <c r="J369" t="str">
        <f t="shared" si="188"/>
        <v>JOB ORDR</v>
      </c>
      <c r="K369" t="str">
        <f t="shared" si="189"/>
        <v>AS89</v>
      </c>
      <c r="L369" t="s">
        <v>161</v>
      </c>
      <c r="M369" s="3">
        <v>119.54</v>
      </c>
    </row>
    <row r="370" spans="1:13" x14ac:dyDescent="0.25">
      <c r="A370" t="str">
        <f t="shared" si="184"/>
        <v>E172</v>
      </c>
      <c r="B370">
        <v>1</v>
      </c>
      <c r="C370" t="str">
        <f t="shared" ref="C370:C376" si="190">"43000"</f>
        <v>43000</v>
      </c>
      <c r="D370" t="str">
        <f t="shared" ref="D370:D377" si="191">"5740"</f>
        <v>5740</v>
      </c>
      <c r="E370" t="str">
        <f t="shared" ref="E370:E374" si="192">"850LOS"</f>
        <v>850LOS</v>
      </c>
      <c r="F370" t="str">
        <f>""</f>
        <v/>
      </c>
      <c r="G370" t="str">
        <f>""</f>
        <v/>
      </c>
      <c r="H370" s="1">
        <v>38562</v>
      </c>
      <c r="I370" t="str">
        <f>"COP00180"</f>
        <v>COP00180</v>
      </c>
      <c r="J370" t="str">
        <f t="shared" si="188"/>
        <v>JOB ORDR</v>
      </c>
      <c r="K370" t="str">
        <f t="shared" si="189"/>
        <v>AS89</v>
      </c>
      <c r="L370" t="s">
        <v>168</v>
      </c>
      <c r="M370" s="3">
        <v>358.99</v>
      </c>
    </row>
    <row r="371" spans="1:13" x14ac:dyDescent="0.25">
      <c r="A371" t="str">
        <f t="shared" si="184"/>
        <v>E172</v>
      </c>
      <c r="B371">
        <v>1</v>
      </c>
      <c r="C371" t="str">
        <f t="shared" si="190"/>
        <v>43000</v>
      </c>
      <c r="D371" t="str">
        <f t="shared" si="191"/>
        <v>5740</v>
      </c>
      <c r="E371" t="str">
        <f t="shared" si="192"/>
        <v>850LOS</v>
      </c>
      <c r="F371" t="str">
        <f>""</f>
        <v/>
      </c>
      <c r="G371" t="str">
        <f>""</f>
        <v/>
      </c>
      <c r="H371" s="1">
        <v>38625</v>
      </c>
      <c r="I371" t="str">
        <f>"COP00182"</f>
        <v>COP00182</v>
      </c>
      <c r="J371" t="str">
        <f t="shared" si="188"/>
        <v>JOB ORDR</v>
      </c>
      <c r="K371" t="str">
        <f t="shared" si="189"/>
        <v>AS89</v>
      </c>
      <c r="L371" t="s">
        <v>159</v>
      </c>
      <c r="M371" s="3">
        <v>147.75</v>
      </c>
    </row>
    <row r="372" spans="1:13" x14ac:dyDescent="0.25">
      <c r="A372" t="str">
        <f t="shared" si="184"/>
        <v>E172</v>
      </c>
      <c r="B372">
        <v>1</v>
      </c>
      <c r="C372" t="str">
        <f t="shared" si="190"/>
        <v>43000</v>
      </c>
      <c r="D372" t="str">
        <f t="shared" si="191"/>
        <v>5740</v>
      </c>
      <c r="E372" t="str">
        <f t="shared" si="192"/>
        <v>850LOS</v>
      </c>
      <c r="F372" t="str">
        <f>""</f>
        <v/>
      </c>
      <c r="G372" t="str">
        <f>""</f>
        <v/>
      </c>
      <c r="H372" s="1">
        <v>38686</v>
      </c>
      <c r="I372" t="str">
        <f>"COP00184"</f>
        <v>COP00184</v>
      </c>
      <c r="J372" t="str">
        <f t="shared" si="188"/>
        <v>JOB ORDR</v>
      </c>
      <c r="K372" t="str">
        <f t="shared" si="189"/>
        <v>AS89</v>
      </c>
      <c r="L372" t="s">
        <v>164</v>
      </c>
      <c r="M372" s="3">
        <v>127.24</v>
      </c>
    </row>
    <row r="373" spans="1:13" x14ac:dyDescent="0.25">
      <c r="A373" t="str">
        <f t="shared" si="184"/>
        <v>E172</v>
      </c>
      <c r="B373">
        <v>1</v>
      </c>
      <c r="C373" t="str">
        <f t="shared" si="190"/>
        <v>43000</v>
      </c>
      <c r="D373" t="str">
        <f t="shared" si="191"/>
        <v>5740</v>
      </c>
      <c r="E373" t="str">
        <f t="shared" si="192"/>
        <v>850LOS</v>
      </c>
      <c r="F373" t="str">
        <f>""</f>
        <v/>
      </c>
      <c r="G373" t="str">
        <f>""</f>
        <v/>
      </c>
      <c r="H373" s="1">
        <v>38868</v>
      </c>
      <c r="I373" t="str">
        <f>"COP00190"</f>
        <v>COP00190</v>
      </c>
      <c r="J373" t="str">
        <f t="shared" si="188"/>
        <v>JOB ORDR</v>
      </c>
      <c r="K373" t="str">
        <f t="shared" si="189"/>
        <v>AS89</v>
      </c>
      <c r="L373" t="s">
        <v>162</v>
      </c>
      <c r="M373" s="3">
        <v>543.61</v>
      </c>
    </row>
    <row r="374" spans="1:13" x14ac:dyDescent="0.25">
      <c r="A374" t="str">
        <f t="shared" si="184"/>
        <v>E172</v>
      </c>
      <c r="B374">
        <v>1</v>
      </c>
      <c r="C374" t="str">
        <f t="shared" si="190"/>
        <v>43000</v>
      </c>
      <c r="D374" t="str">
        <f t="shared" si="191"/>
        <v>5740</v>
      </c>
      <c r="E374" t="str">
        <f t="shared" si="192"/>
        <v>850LOS</v>
      </c>
      <c r="F374" t="str">
        <f>""</f>
        <v/>
      </c>
      <c r="G374" t="str">
        <f>""</f>
        <v/>
      </c>
      <c r="H374" s="1">
        <v>38898</v>
      </c>
      <c r="I374" t="str">
        <f>"COP00191"</f>
        <v>COP00191</v>
      </c>
      <c r="J374" t="str">
        <f t="shared" si="188"/>
        <v>JOB ORDR</v>
      </c>
      <c r="K374" t="str">
        <f t="shared" si="189"/>
        <v>AS89</v>
      </c>
      <c r="L374" t="s">
        <v>163</v>
      </c>
      <c r="M374" s="3">
        <v>372.55</v>
      </c>
    </row>
    <row r="375" spans="1:13" x14ac:dyDescent="0.25">
      <c r="A375" t="str">
        <f t="shared" si="184"/>
        <v>E172</v>
      </c>
      <c r="B375">
        <v>1</v>
      </c>
      <c r="C375" t="str">
        <f t="shared" si="190"/>
        <v>43000</v>
      </c>
      <c r="D375" t="str">
        <f t="shared" si="191"/>
        <v>5740</v>
      </c>
      <c r="E375" t="str">
        <f>"850PKC"</f>
        <v>850PKC</v>
      </c>
      <c r="F375" t="str">
        <f>""</f>
        <v/>
      </c>
      <c r="G375" t="str">
        <f>""</f>
        <v/>
      </c>
      <c r="H375" s="1">
        <v>38835</v>
      </c>
      <c r="I375" t="str">
        <f>"COP00189"</f>
        <v>COP00189</v>
      </c>
      <c r="J375" t="str">
        <f t="shared" si="188"/>
        <v>JOB ORDR</v>
      </c>
      <c r="K375" t="str">
        <f t="shared" si="189"/>
        <v>AS89</v>
      </c>
      <c r="L375" t="s">
        <v>169</v>
      </c>
      <c r="M375" s="3">
        <v>173.4</v>
      </c>
    </row>
    <row r="376" spans="1:13" x14ac:dyDescent="0.25">
      <c r="A376" t="str">
        <f t="shared" si="184"/>
        <v>E172</v>
      </c>
      <c r="B376">
        <v>1</v>
      </c>
      <c r="C376" t="str">
        <f t="shared" si="190"/>
        <v>43000</v>
      </c>
      <c r="D376" t="str">
        <f t="shared" si="191"/>
        <v>5740</v>
      </c>
      <c r="E376" t="str">
        <f>"850PKE"</f>
        <v>850PKE</v>
      </c>
      <c r="F376" t="str">
        <f>""</f>
        <v/>
      </c>
      <c r="G376" t="str">
        <f>""</f>
        <v/>
      </c>
      <c r="H376" s="1">
        <v>38714</v>
      </c>
      <c r="I376" t="str">
        <f>"COP00185"</f>
        <v>COP00185</v>
      </c>
      <c r="J376" t="str">
        <f t="shared" si="188"/>
        <v>JOB ORDR</v>
      </c>
      <c r="K376" t="str">
        <f t="shared" si="189"/>
        <v>AS89</v>
      </c>
      <c r="L376" t="s">
        <v>165</v>
      </c>
      <c r="M376" s="3">
        <v>164.2</v>
      </c>
    </row>
    <row r="377" spans="1:13" x14ac:dyDescent="0.25">
      <c r="A377" t="str">
        <f t="shared" si="184"/>
        <v>E172</v>
      </c>
      <c r="B377">
        <v>1</v>
      </c>
      <c r="C377" t="str">
        <f>"43001"</f>
        <v>43001</v>
      </c>
      <c r="D377" t="str">
        <f t="shared" si="191"/>
        <v>5740</v>
      </c>
      <c r="E377" t="str">
        <f>"850LOS"</f>
        <v>850LOS</v>
      </c>
      <c r="F377" t="str">
        <f>""</f>
        <v/>
      </c>
      <c r="G377" t="str">
        <f>""</f>
        <v/>
      </c>
      <c r="H377" s="1">
        <v>38898</v>
      </c>
      <c r="I377" t="str">
        <f>"COP00191"</f>
        <v>COP00191</v>
      </c>
      <c r="J377" t="str">
        <f t="shared" si="188"/>
        <v>JOB ORDR</v>
      </c>
      <c r="K377" t="str">
        <f t="shared" si="189"/>
        <v>AS89</v>
      </c>
      <c r="L377" t="s">
        <v>163</v>
      </c>
      <c r="M377" s="3">
        <v>400.15</v>
      </c>
    </row>
    <row r="378" spans="1:13" x14ac:dyDescent="0.25">
      <c r="A378" t="str">
        <f t="shared" ref="A378:A400" si="193">"E173"</f>
        <v>E173</v>
      </c>
      <c r="B378">
        <v>1</v>
      </c>
      <c r="C378" t="str">
        <f t="shared" ref="C378:C389" si="194">"14185"</f>
        <v>14185</v>
      </c>
      <c r="D378" t="str">
        <f t="shared" ref="D378:D389" si="195">"5620"</f>
        <v>5620</v>
      </c>
      <c r="E378" t="str">
        <f t="shared" ref="E378:E389" si="196">"094OMS"</f>
        <v>094OMS</v>
      </c>
      <c r="F378" t="str">
        <f>""</f>
        <v/>
      </c>
      <c r="G378" t="str">
        <f>""</f>
        <v/>
      </c>
      <c r="H378" s="1">
        <v>38562</v>
      </c>
      <c r="I378" t="str">
        <f>"COP00180"</f>
        <v>COP00180</v>
      </c>
      <c r="J378" t="str">
        <f t="shared" ref="J378:J400" si="197">"AUDITRON"</f>
        <v>AUDITRON</v>
      </c>
      <c r="K378" t="str">
        <f t="shared" si="189"/>
        <v>AS89</v>
      </c>
      <c r="L378" t="s">
        <v>168</v>
      </c>
      <c r="M378" s="3">
        <v>276</v>
      </c>
    </row>
    <row r="379" spans="1:13" x14ac:dyDescent="0.25">
      <c r="A379" t="str">
        <f t="shared" si="193"/>
        <v>E173</v>
      </c>
      <c r="B379">
        <v>1</v>
      </c>
      <c r="C379" t="str">
        <f t="shared" si="194"/>
        <v>14185</v>
      </c>
      <c r="D379" t="str">
        <f t="shared" si="195"/>
        <v>5620</v>
      </c>
      <c r="E379" t="str">
        <f t="shared" si="196"/>
        <v>094OMS</v>
      </c>
      <c r="F379" t="str">
        <f>""</f>
        <v/>
      </c>
      <c r="G379" t="str">
        <f>""</f>
        <v/>
      </c>
      <c r="H379" s="1">
        <v>38594</v>
      </c>
      <c r="I379" t="str">
        <f>"COP00181"</f>
        <v>COP00181</v>
      </c>
      <c r="J379" t="str">
        <f t="shared" si="197"/>
        <v>AUDITRON</v>
      </c>
      <c r="K379" t="str">
        <f t="shared" si="189"/>
        <v>AS89</v>
      </c>
      <c r="L379" t="s">
        <v>158</v>
      </c>
      <c r="M379" s="3">
        <v>253.95</v>
      </c>
    </row>
    <row r="380" spans="1:13" x14ac:dyDescent="0.25">
      <c r="A380" t="str">
        <f t="shared" si="193"/>
        <v>E173</v>
      </c>
      <c r="B380">
        <v>1</v>
      </c>
      <c r="C380" t="str">
        <f t="shared" si="194"/>
        <v>14185</v>
      </c>
      <c r="D380" t="str">
        <f t="shared" si="195"/>
        <v>5620</v>
      </c>
      <c r="E380" t="str">
        <f t="shared" si="196"/>
        <v>094OMS</v>
      </c>
      <c r="F380" t="str">
        <f>""</f>
        <v/>
      </c>
      <c r="G380" t="str">
        <f>""</f>
        <v/>
      </c>
      <c r="H380" s="1">
        <v>38625</v>
      </c>
      <c r="I380" t="str">
        <f>"COP00182"</f>
        <v>COP00182</v>
      </c>
      <c r="J380" t="str">
        <f t="shared" si="197"/>
        <v>AUDITRON</v>
      </c>
      <c r="K380" t="str">
        <f t="shared" si="189"/>
        <v>AS89</v>
      </c>
      <c r="L380" t="s">
        <v>159</v>
      </c>
      <c r="M380" s="3">
        <v>253.41</v>
      </c>
    </row>
    <row r="381" spans="1:13" x14ac:dyDescent="0.25">
      <c r="A381" t="str">
        <f t="shared" si="193"/>
        <v>E173</v>
      </c>
      <c r="B381">
        <v>1</v>
      </c>
      <c r="C381" t="str">
        <f t="shared" si="194"/>
        <v>14185</v>
      </c>
      <c r="D381" t="str">
        <f t="shared" si="195"/>
        <v>5620</v>
      </c>
      <c r="E381" t="str">
        <f t="shared" si="196"/>
        <v>094OMS</v>
      </c>
      <c r="F381" t="str">
        <f>""</f>
        <v/>
      </c>
      <c r="G381" t="str">
        <f>""</f>
        <v/>
      </c>
      <c r="H381" s="1">
        <v>38656</v>
      </c>
      <c r="I381" t="str">
        <f>"COP00183"</f>
        <v>COP00183</v>
      </c>
      <c r="J381" t="str">
        <f t="shared" si="197"/>
        <v>AUDITRON</v>
      </c>
      <c r="K381" t="str">
        <f t="shared" si="189"/>
        <v>AS89</v>
      </c>
      <c r="L381" t="s">
        <v>160</v>
      </c>
      <c r="M381" s="3">
        <v>223.63</v>
      </c>
    </row>
    <row r="382" spans="1:13" x14ac:dyDescent="0.25">
      <c r="A382" t="str">
        <f t="shared" si="193"/>
        <v>E173</v>
      </c>
      <c r="B382">
        <v>1</v>
      </c>
      <c r="C382" t="str">
        <f t="shared" si="194"/>
        <v>14185</v>
      </c>
      <c r="D382" t="str">
        <f t="shared" si="195"/>
        <v>5620</v>
      </c>
      <c r="E382" t="str">
        <f t="shared" si="196"/>
        <v>094OMS</v>
      </c>
      <c r="F382" t="str">
        <f>""</f>
        <v/>
      </c>
      <c r="G382" t="str">
        <f>""</f>
        <v/>
      </c>
      <c r="H382" s="1">
        <v>38686</v>
      </c>
      <c r="I382" t="str">
        <f>"COP00184"</f>
        <v>COP00184</v>
      </c>
      <c r="J382" t="str">
        <f t="shared" si="197"/>
        <v>AUDITRON</v>
      </c>
      <c r="K382" t="str">
        <f t="shared" si="189"/>
        <v>AS89</v>
      </c>
      <c r="L382" t="s">
        <v>164</v>
      </c>
      <c r="M382" s="3">
        <v>240.77</v>
      </c>
    </row>
    <row r="383" spans="1:13" x14ac:dyDescent="0.25">
      <c r="A383" t="str">
        <f t="shared" si="193"/>
        <v>E173</v>
      </c>
      <c r="B383">
        <v>1</v>
      </c>
      <c r="C383" t="str">
        <f t="shared" si="194"/>
        <v>14185</v>
      </c>
      <c r="D383" t="str">
        <f t="shared" si="195"/>
        <v>5620</v>
      </c>
      <c r="E383" t="str">
        <f t="shared" si="196"/>
        <v>094OMS</v>
      </c>
      <c r="F383" t="str">
        <f>""</f>
        <v/>
      </c>
      <c r="G383" t="str">
        <f>""</f>
        <v/>
      </c>
      <c r="H383" s="1">
        <v>38714</v>
      </c>
      <c r="I383" t="str">
        <f>"COP00185"</f>
        <v>COP00185</v>
      </c>
      <c r="J383" t="str">
        <f t="shared" si="197"/>
        <v>AUDITRON</v>
      </c>
      <c r="K383" t="str">
        <f t="shared" si="189"/>
        <v>AS89</v>
      </c>
      <c r="L383" t="s">
        <v>165</v>
      </c>
      <c r="M383" s="3">
        <v>247.28</v>
      </c>
    </row>
    <row r="384" spans="1:13" x14ac:dyDescent="0.25">
      <c r="A384" t="str">
        <f t="shared" si="193"/>
        <v>E173</v>
      </c>
      <c r="B384">
        <v>1</v>
      </c>
      <c r="C384" t="str">
        <f t="shared" si="194"/>
        <v>14185</v>
      </c>
      <c r="D384" t="str">
        <f t="shared" si="195"/>
        <v>5620</v>
      </c>
      <c r="E384" t="str">
        <f t="shared" si="196"/>
        <v>094OMS</v>
      </c>
      <c r="F384" t="str">
        <f>""</f>
        <v/>
      </c>
      <c r="G384" t="str">
        <f>""</f>
        <v/>
      </c>
      <c r="H384" s="1">
        <v>38748</v>
      </c>
      <c r="I384" t="str">
        <f>"COP00186"</f>
        <v>COP00186</v>
      </c>
      <c r="J384" t="str">
        <f t="shared" si="197"/>
        <v>AUDITRON</v>
      </c>
      <c r="K384" t="str">
        <f t="shared" si="189"/>
        <v>AS89</v>
      </c>
      <c r="L384" t="s">
        <v>166</v>
      </c>
      <c r="M384" s="3">
        <v>239.09</v>
      </c>
    </row>
    <row r="385" spans="1:13" x14ac:dyDescent="0.25">
      <c r="A385" t="str">
        <f t="shared" si="193"/>
        <v>E173</v>
      </c>
      <c r="B385">
        <v>1</v>
      </c>
      <c r="C385" t="str">
        <f t="shared" si="194"/>
        <v>14185</v>
      </c>
      <c r="D385" t="str">
        <f t="shared" si="195"/>
        <v>5620</v>
      </c>
      <c r="E385" t="str">
        <f t="shared" si="196"/>
        <v>094OMS</v>
      </c>
      <c r="F385" t="str">
        <f>""</f>
        <v/>
      </c>
      <c r="G385" t="str">
        <f>""</f>
        <v/>
      </c>
      <c r="H385" s="1">
        <v>38776</v>
      </c>
      <c r="I385" t="str">
        <f>"COP00187"</f>
        <v>COP00187</v>
      </c>
      <c r="J385" t="str">
        <f t="shared" si="197"/>
        <v>AUDITRON</v>
      </c>
      <c r="K385" t="str">
        <f t="shared" si="189"/>
        <v>AS89</v>
      </c>
      <c r="L385" t="s">
        <v>167</v>
      </c>
      <c r="M385" s="3">
        <v>255.21</v>
      </c>
    </row>
    <row r="386" spans="1:13" x14ac:dyDescent="0.25">
      <c r="A386" t="str">
        <f t="shared" si="193"/>
        <v>E173</v>
      </c>
      <c r="B386">
        <v>1</v>
      </c>
      <c r="C386" t="str">
        <f t="shared" si="194"/>
        <v>14185</v>
      </c>
      <c r="D386" t="str">
        <f t="shared" si="195"/>
        <v>5620</v>
      </c>
      <c r="E386" t="str">
        <f t="shared" si="196"/>
        <v>094OMS</v>
      </c>
      <c r="F386" t="str">
        <f>""</f>
        <v/>
      </c>
      <c r="G386" t="str">
        <f>""</f>
        <v/>
      </c>
      <c r="H386" s="1">
        <v>38806</v>
      </c>
      <c r="I386" t="str">
        <f>"COP00188"</f>
        <v>COP00188</v>
      </c>
      <c r="J386" t="str">
        <f t="shared" si="197"/>
        <v>AUDITRON</v>
      </c>
      <c r="K386" t="str">
        <f t="shared" si="189"/>
        <v>AS89</v>
      </c>
      <c r="L386" t="s">
        <v>161</v>
      </c>
      <c r="M386" s="3">
        <v>261.77</v>
      </c>
    </row>
    <row r="387" spans="1:13" x14ac:dyDescent="0.25">
      <c r="A387" t="str">
        <f t="shared" si="193"/>
        <v>E173</v>
      </c>
      <c r="B387">
        <v>1</v>
      </c>
      <c r="C387" t="str">
        <f t="shared" si="194"/>
        <v>14185</v>
      </c>
      <c r="D387" t="str">
        <f t="shared" si="195"/>
        <v>5620</v>
      </c>
      <c r="E387" t="str">
        <f t="shared" si="196"/>
        <v>094OMS</v>
      </c>
      <c r="F387" t="str">
        <f>""</f>
        <v/>
      </c>
      <c r="G387" t="str">
        <f>""</f>
        <v/>
      </c>
      <c r="H387" s="1">
        <v>38835</v>
      </c>
      <c r="I387" t="str">
        <f>"COP00189"</f>
        <v>COP00189</v>
      </c>
      <c r="J387" t="str">
        <f t="shared" si="197"/>
        <v>AUDITRON</v>
      </c>
      <c r="K387" t="str">
        <f t="shared" si="189"/>
        <v>AS89</v>
      </c>
      <c r="L387" t="s">
        <v>169</v>
      </c>
      <c r="M387" s="3">
        <v>231.15</v>
      </c>
    </row>
    <row r="388" spans="1:13" x14ac:dyDescent="0.25">
      <c r="A388" t="str">
        <f t="shared" si="193"/>
        <v>E173</v>
      </c>
      <c r="B388">
        <v>1</v>
      </c>
      <c r="C388" t="str">
        <f t="shared" si="194"/>
        <v>14185</v>
      </c>
      <c r="D388" t="str">
        <f t="shared" si="195"/>
        <v>5620</v>
      </c>
      <c r="E388" t="str">
        <f t="shared" si="196"/>
        <v>094OMS</v>
      </c>
      <c r="F388" t="str">
        <f>""</f>
        <v/>
      </c>
      <c r="G388" t="str">
        <f>""</f>
        <v/>
      </c>
      <c r="H388" s="1">
        <v>38868</v>
      </c>
      <c r="I388" t="str">
        <f>"COP00190"</f>
        <v>COP00190</v>
      </c>
      <c r="J388" t="str">
        <f t="shared" si="197"/>
        <v>AUDITRON</v>
      </c>
      <c r="K388" t="str">
        <f t="shared" si="189"/>
        <v>AS89</v>
      </c>
      <c r="L388" t="s">
        <v>162</v>
      </c>
      <c r="M388" s="3">
        <v>221.28</v>
      </c>
    </row>
    <row r="389" spans="1:13" x14ac:dyDescent="0.25">
      <c r="A389" t="str">
        <f t="shared" si="193"/>
        <v>E173</v>
      </c>
      <c r="B389">
        <v>1</v>
      </c>
      <c r="C389" t="str">
        <f t="shared" si="194"/>
        <v>14185</v>
      </c>
      <c r="D389" t="str">
        <f t="shared" si="195"/>
        <v>5620</v>
      </c>
      <c r="E389" t="str">
        <f t="shared" si="196"/>
        <v>094OMS</v>
      </c>
      <c r="F389" t="str">
        <f>""</f>
        <v/>
      </c>
      <c r="G389" t="str">
        <f>""</f>
        <v/>
      </c>
      <c r="H389" s="1">
        <v>38898</v>
      </c>
      <c r="I389" t="str">
        <f>"COP00191"</f>
        <v>COP00191</v>
      </c>
      <c r="J389" t="str">
        <f t="shared" si="197"/>
        <v>AUDITRON</v>
      </c>
      <c r="K389" t="str">
        <f t="shared" ref="K389:K404" si="198">"AS89"</f>
        <v>AS89</v>
      </c>
      <c r="L389" t="s">
        <v>163</v>
      </c>
      <c r="M389" s="3">
        <v>229.64</v>
      </c>
    </row>
    <row r="390" spans="1:13" x14ac:dyDescent="0.25">
      <c r="A390" t="str">
        <f t="shared" si="193"/>
        <v>E173</v>
      </c>
      <c r="B390">
        <v>1</v>
      </c>
      <c r="C390" t="str">
        <f t="shared" ref="C390:C401" si="199">"43000"</f>
        <v>43000</v>
      </c>
      <c r="D390" t="str">
        <f t="shared" ref="D390:D401" si="200">"5740"</f>
        <v>5740</v>
      </c>
      <c r="E390" t="str">
        <f t="shared" ref="E390:E401" si="201">"850LOS"</f>
        <v>850LOS</v>
      </c>
      <c r="F390" t="str">
        <f>""</f>
        <v/>
      </c>
      <c r="G390" t="str">
        <f>""</f>
        <v/>
      </c>
      <c r="H390" s="1">
        <v>38562</v>
      </c>
      <c r="I390" t="str">
        <f>"COP00180"</f>
        <v>COP00180</v>
      </c>
      <c r="J390" t="str">
        <f t="shared" si="197"/>
        <v>AUDITRON</v>
      </c>
      <c r="K390" t="str">
        <f t="shared" si="198"/>
        <v>AS89</v>
      </c>
      <c r="L390" t="s">
        <v>168</v>
      </c>
      <c r="M390" s="3">
        <v>138.6</v>
      </c>
    </row>
    <row r="391" spans="1:13" x14ac:dyDescent="0.25">
      <c r="A391" t="str">
        <f t="shared" si="193"/>
        <v>E173</v>
      </c>
      <c r="B391">
        <v>1</v>
      </c>
      <c r="C391" t="str">
        <f t="shared" si="199"/>
        <v>43000</v>
      </c>
      <c r="D391" t="str">
        <f t="shared" si="200"/>
        <v>5740</v>
      </c>
      <c r="E391" t="str">
        <f t="shared" si="201"/>
        <v>850LOS</v>
      </c>
      <c r="F391" t="str">
        <f>""</f>
        <v/>
      </c>
      <c r="G391" t="str">
        <f>""</f>
        <v/>
      </c>
      <c r="H391" s="1">
        <v>38594</v>
      </c>
      <c r="I391" t="str">
        <f>"COP00181"</f>
        <v>COP00181</v>
      </c>
      <c r="J391" t="str">
        <f t="shared" si="197"/>
        <v>AUDITRON</v>
      </c>
      <c r="K391" t="str">
        <f t="shared" si="198"/>
        <v>AS89</v>
      </c>
      <c r="L391" t="s">
        <v>158</v>
      </c>
      <c r="M391" s="3">
        <v>219.07</v>
      </c>
    </row>
    <row r="392" spans="1:13" x14ac:dyDescent="0.25">
      <c r="A392" t="str">
        <f t="shared" si="193"/>
        <v>E173</v>
      </c>
      <c r="B392">
        <v>1</v>
      </c>
      <c r="C392" t="str">
        <f t="shared" si="199"/>
        <v>43000</v>
      </c>
      <c r="D392" t="str">
        <f t="shared" si="200"/>
        <v>5740</v>
      </c>
      <c r="E392" t="str">
        <f t="shared" si="201"/>
        <v>850LOS</v>
      </c>
      <c r="F392" t="str">
        <f>""</f>
        <v/>
      </c>
      <c r="G392" t="str">
        <f>""</f>
        <v/>
      </c>
      <c r="H392" s="1">
        <v>38625</v>
      </c>
      <c r="I392" t="str">
        <f>"COP00182"</f>
        <v>COP00182</v>
      </c>
      <c r="J392" t="str">
        <f t="shared" si="197"/>
        <v>AUDITRON</v>
      </c>
      <c r="K392" t="str">
        <f t="shared" si="198"/>
        <v>AS89</v>
      </c>
      <c r="L392" t="s">
        <v>159</v>
      </c>
      <c r="M392" s="3">
        <v>642.42999999999995</v>
      </c>
    </row>
    <row r="393" spans="1:13" x14ac:dyDescent="0.25">
      <c r="A393" t="str">
        <f t="shared" si="193"/>
        <v>E173</v>
      </c>
      <c r="B393">
        <v>1</v>
      </c>
      <c r="C393" t="str">
        <f t="shared" si="199"/>
        <v>43000</v>
      </c>
      <c r="D393" t="str">
        <f t="shared" si="200"/>
        <v>5740</v>
      </c>
      <c r="E393" t="str">
        <f t="shared" si="201"/>
        <v>850LOS</v>
      </c>
      <c r="F393" t="str">
        <f>""</f>
        <v/>
      </c>
      <c r="G393" t="str">
        <f>""</f>
        <v/>
      </c>
      <c r="H393" s="1">
        <v>38656</v>
      </c>
      <c r="I393" t="str">
        <f>"COP00183"</f>
        <v>COP00183</v>
      </c>
      <c r="J393" t="str">
        <f t="shared" si="197"/>
        <v>AUDITRON</v>
      </c>
      <c r="K393" t="str">
        <f t="shared" si="198"/>
        <v>AS89</v>
      </c>
      <c r="L393" t="s">
        <v>160</v>
      </c>
      <c r="M393" s="3">
        <v>149.86000000000001</v>
      </c>
    </row>
    <row r="394" spans="1:13" x14ac:dyDescent="0.25">
      <c r="A394" t="str">
        <f t="shared" si="193"/>
        <v>E173</v>
      </c>
      <c r="B394">
        <v>1</v>
      </c>
      <c r="C394" t="str">
        <f t="shared" si="199"/>
        <v>43000</v>
      </c>
      <c r="D394" t="str">
        <f t="shared" si="200"/>
        <v>5740</v>
      </c>
      <c r="E394" t="str">
        <f t="shared" si="201"/>
        <v>850LOS</v>
      </c>
      <c r="F394" t="str">
        <f>""</f>
        <v/>
      </c>
      <c r="G394" t="str">
        <f>""</f>
        <v/>
      </c>
      <c r="H394" s="1">
        <v>38686</v>
      </c>
      <c r="I394" t="str">
        <f>"COP00184"</f>
        <v>COP00184</v>
      </c>
      <c r="J394" t="str">
        <f t="shared" si="197"/>
        <v>AUDITRON</v>
      </c>
      <c r="K394" t="str">
        <f t="shared" si="198"/>
        <v>AS89</v>
      </c>
      <c r="L394" t="s">
        <v>164</v>
      </c>
      <c r="M394" s="3">
        <v>132.09</v>
      </c>
    </row>
    <row r="395" spans="1:13" x14ac:dyDescent="0.25">
      <c r="A395" t="str">
        <f t="shared" si="193"/>
        <v>E173</v>
      </c>
      <c r="B395">
        <v>1</v>
      </c>
      <c r="C395" t="str">
        <f t="shared" si="199"/>
        <v>43000</v>
      </c>
      <c r="D395" t="str">
        <f t="shared" si="200"/>
        <v>5740</v>
      </c>
      <c r="E395" t="str">
        <f t="shared" si="201"/>
        <v>850LOS</v>
      </c>
      <c r="F395" t="str">
        <f>""</f>
        <v/>
      </c>
      <c r="G395" t="str">
        <f>""</f>
        <v/>
      </c>
      <c r="H395" s="1">
        <v>38748</v>
      </c>
      <c r="I395" t="str">
        <f>"COP00186"</f>
        <v>COP00186</v>
      </c>
      <c r="J395" t="str">
        <f t="shared" si="197"/>
        <v>AUDITRON</v>
      </c>
      <c r="K395" t="str">
        <f t="shared" si="198"/>
        <v>AS89</v>
      </c>
      <c r="L395" t="s">
        <v>166</v>
      </c>
      <c r="M395" s="3">
        <v>117.85</v>
      </c>
    </row>
    <row r="396" spans="1:13" x14ac:dyDescent="0.25">
      <c r="A396" t="str">
        <f t="shared" si="193"/>
        <v>E173</v>
      </c>
      <c r="B396">
        <v>1</v>
      </c>
      <c r="C396" t="str">
        <f t="shared" si="199"/>
        <v>43000</v>
      </c>
      <c r="D396" t="str">
        <f t="shared" si="200"/>
        <v>5740</v>
      </c>
      <c r="E396" t="str">
        <f t="shared" si="201"/>
        <v>850LOS</v>
      </c>
      <c r="F396" t="str">
        <f>""</f>
        <v/>
      </c>
      <c r="G396" t="str">
        <f>""</f>
        <v/>
      </c>
      <c r="H396" s="1">
        <v>38776</v>
      </c>
      <c r="I396" t="str">
        <f>"COP00187"</f>
        <v>COP00187</v>
      </c>
      <c r="J396" t="str">
        <f t="shared" si="197"/>
        <v>AUDITRON</v>
      </c>
      <c r="K396" t="str">
        <f t="shared" si="198"/>
        <v>AS89</v>
      </c>
      <c r="L396" t="s">
        <v>167</v>
      </c>
      <c r="M396" s="3">
        <v>118.06</v>
      </c>
    </row>
    <row r="397" spans="1:13" x14ac:dyDescent="0.25">
      <c r="A397" t="str">
        <f t="shared" si="193"/>
        <v>E173</v>
      </c>
      <c r="B397">
        <v>1</v>
      </c>
      <c r="C397" t="str">
        <f t="shared" si="199"/>
        <v>43000</v>
      </c>
      <c r="D397" t="str">
        <f t="shared" si="200"/>
        <v>5740</v>
      </c>
      <c r="E397" t="str">
        <f t="shared" si="201"/>
        <v>850LOS</v>
      </c>
      <c r="F397" t="str">
        <f>""</f>
        <v/>
      </c>
      <c r="G397" t="str">
        <f>""</f>
        <v/>
      </c>
      <c r="H397" s="1">
        <v>38806</v>
      </c>
      <c r="I397" t="str">
        <f>"COP00188"</f>
        <v>COP00188</v>
      </c>
      <c r="J397" t="str">
        <f t="shared" si="197"/>
        <v>AUDITRON</v>
      </c>
      <c r="K397" t="str">
        <f t="shared" si="198"/>
        <v>AS89</v>
      </c>
      <c r="L397" t="s">
        <v>161</v>
      </c>
      <c r="M397" s="3">
        <v>140.49</v>
      </c>
    </row>
    <row r="398" spans="1:13" x14ac:dyDescent="0.25">
      <c r="A398" t="str">
        <f t="shared" si="193"/>
        <v>E173</v>
      </c>
      <c r="B398">
        <v>1</v>
      </c>
      <c r="C398" t="str">
        <f t="shared" si="199"/>
        <v>43000</v>
      </c>
      <c r="D398" t="str">
        <f t="shared" si="200"/>
        <v>5740</v>
      </c>
      <c r="E398" t="str">
        <f t="shared" si="201"/>
        <v>850LOS</v>
      </c>
      <c r="F398" t="str">
        <f>""</f>
        <v/>
      </c>
      <c r="G398" t="str">
        <f>""</f>
        <v/>
      </c>
      <c r="H398" s="1">
        <v>38835</v>
      </c>
      <c r="I398" t="str">
        <f>"COP00189"</f>
        <v>COP00189</v>
      </c>
      <c r="J398" t="str">
        <f t="shared" si="197"/>
        <v>AUDITRON</v>
      </c>
      <c r="K398" t="str">
        <f t="shared" si="198"/>
        <v>AS89</v>
      </c>
      <c r="L398" t="s">
        <v>169</v>
      </c>
      <c r="M398" s="3">
        <v>279.13</v>
      </c>
    </row>
    <row r="399" spans="1:13" x14ac:dyDescent="0.25">
      <c r="A399" t="str">
        <f t="shared" si="193"/>
        <v>E173</v>
      </c>
      <c r="B399">
        <v>1</v>
      </c>
      <c r="C399" t="str">
        <f t="shared" si="199"/>
        <v>43000</v>
      </c>
      <c r="D399" t="str">
        <f t="shared" si="200"/>
        <v>5740</v>
      </c>
      <c r="E399" t="str">
        <f t="shared" si="201"/>
        <v>850LOS</v>
      </c>
      <c r="F399" t="str">
        <f>""</f>
        <v/>
      </c>
      <c r="G399" t="str">
        <f>""</f>
        <v/>
      </c>
      <c r="H399" s="1">
        <v>38868</v>
      </c>
      <c r="I399" t="str">
        <f>"COP00190"</f>
        <v>COP00190</v>
      </c>
      <c r="J399" t="str">
        <f t="shared" si="197"/>
        <v>AUDITRON</v>
      </c>
      <c r="K399" t="str">
        <f t="shared" si="198"/>
        <v>AS89</v>
      </c>
      <c r="L399" t="s">
        <v>162</v>
      </c>
      <c r="M399" s="3">
        <v>261.2</v>
      </c>
    </row>
    <row r="400" spans="1:13" x14ac:dyDescent="0.25">
      <c r="A400" t="str">
        <f t="shared" si="193"/>
        <v>E173</v>
      </c>
      <c r="B400">
        <v>1</v>
      </c>
      <c r="C400" t="str">
        <f t="shared" si="199"/>
        <v>43000</v>
      </c>
      <c r="D400" t="str">
        <f t="shared" si="200"/>
        <v>5740</v>
      </c>
      <c r="E400" t="str">
        <f t="shared" si="201"/>
        <v>850LOS</v>
      </c>
      <c r="F400" t="str">
        <f>""</f>
        <v/>
      </c>
      <c r="G400" t="str">
        <f>""</f>
        <v/>
      </c>
      <c r="H400" s="1">
        <v>38898</v>
      </c>
      <c r="I400" t="str">
        <f>"COP00191"</f>
        <v>COP00191</v>
      </c>
      <c r="J400" t="str">
        <f t="shared" si="197"/>
        <v>AUDITRON</v>
      </c>
      <c r="K400" t="str">
        <f t="shared" si="198"/>
        <v>AS89</v>
      </c>
      <c r="L400" t="s">
        <v>163</v>
      </c>
      <c r="M400" s="3">
        <v>177.07</v>
      </c>
    </row>
    <row r="401" spans="1:13" x14ac:dyDescent="0.25">
      <c r="A401" t="str">
        <f>"E179"</f>
        <v>E179</v>
      </c>
      <c r="B401">
        <v>1</v>
      </c>
      <c r="C401" t="str">
        <f t="shared" si="199"/>
        <v>43000</v>
      </c>
      <c r="D401" t="str">
        <f t="shared" si="200"/>
        <v>5740</v>
      </c>
      <c r="E401" t="str">
        <f t="shared" si="201"/>
        <v>850LOS</v>
      </c>
      <c r="F401" t="str">
        <f>""</f>
        <v/>
      </c>
      <c r="G401" t="str">
        <f>""</f>
        <v/>
      </c>
      <c r="H401" s="1">
        <v>38705</v>
      </c>
      <c r="I401" t="str">
        <f>"PCD00211"</f>
        <v>PCD00211</v>
      </c>
      <c r="J401" t="str">
        <f>"33994"</f>
        <v>33994</v>
      </c>
      <c r="K401" t="str">
        <f t="shared" si="198"/>
        <v>AS89</v>
      </c>
      <c r="L401" t="s">
        <v>170</v>
      </c>
      <c r="M401" s="3">
        <v>202.35</v>
      </c>
    </row>
    <row r="402" spans="1:13" x14ac:dyDescent="0.25">
      <c r="A402" t="str">
        <f>"E190"</f>
        <v>E190</v>
      </c>
      <c r="B402">
        <v>1</v>
      </c>
      <c r="C402" t="str">
        <f>"14185"</f>
        <v>14185</v>
      </c>
      <c r="D402" t="str">
        <f>"5620"</f>
        <v>5620</v>
      </c>
      <c r="E402" t="str">
        <f>"094OMS"</f>
        <v>094OMS</v>
      </c>
      <c r="F402" t="str">
        <f>""</f>
        <v/>
      </c>
      <c r="G402" t="str">
        <f>""</f>
        <v/>
      </c>
      <c r="H402" s="1">
        <v>38663</v>
      </c>
      <c r="I402" t="str">
        <f>"PCD00206"</f>
        <v>PCD00206</v>
      </c>
      <c r="J402" t="str">
        <f>"33024"</f>
        <v>33024</v>
      </c>
      <c r="K402" t="str">
        <f t="shared" si="198"/>
        <v>AS89</v>
      </c>
      <c r="L402" t="s">
        <v>171</v>
      </c>
      <c r="M402" s="3">
        <v>481.95</v>
      </c>
    </row>
    <row r="403" spans="1:13" x14ac:dyDescent="0.25">
      <c r="A403" t="str">
        <f t="shared" ref="A403:A420" si="202">"E191"</f>
        <v>E191</v>
      </c>
      <c r="B403">
        <v>1</v>
      </c>
      <c r="C403" t="str">
        <f t="shared" ref="C403:C412" si="203">"14185"</f>
        <v>14185</v>
      </c>
      <c r="D403" t="str">
        <f t="shared" ref="D403:D412" si="204">"5620"</f>
        <v>5620</v>
      </c>
      <c r="E403" t="str">
        <f t="shared" ref="E403:E412" si="205">"094OMS"</f>
        <v>094OMS</v>
      </c>
      <c r="F403" t="str">
        <f>""</f>
        <v/>
      </c>
      <c r="G403" t="str">
        <f>""</f>
        <v/>
      </c>
      <c r="H403" s="1">
        <v>38580</v>
      </c>
      <c r="I403" t="str">
        <f>"PCD00192"</f>
        <v>PCD00192</v>
      </c>
      <c r="J403" t="str">
        <f>"30074"</f>
        <v>30074</v>
      </c>
      <c r="K403" t="str">
        <f t="shared" si="198"/>
        <v>AS89</v>
      </c>
      <c r="L403" t="s">
        <v>172</v>
      </c>
      <c r="M403" s="3">
        <v>563.95000000000005</v>
      </c>
    </row>
    <row r="404" spans="1:13" x14ac:dyDescent="0.25">
      <c r="A404" t="str">
        <f t="shared" si="202"/>
        <v>E191</v>
      </c>
      <c r="B404">
        <v>1</v>
      </c>
      <c r="C404" t="str">
        <f t="shared" si="203"/>
        <v>14185</v>
      </c>
      <c r="D404" t="str">
        <f t="shared" si="204"/>
        <v>5620</v>
      </c>
      <c r="E404" t="str">
        <f t="shared" si="205"/>
        <v>094OMS</v>
      </c>
      <c r="F404" t="str">
        <f>""</f>
        <v/>
      </c>
      <c r="G404" t="str">
        <f>""</f>
        <v/>
      </c>
      <c r="H404" s="1">
        <v>38604</v>
      </c>
      <c r="I404" t="str">
        <f>"PCD00196"</f>
        <v>PCD00196</v>
      </c>
      <c r="J404" t="str">
        <f>"31153"</f>
        <v>31153</v>
      </c>
      <c r="K404" t="str">
        <f t="shared" si="198"/>
        <v>AS89</v>
      </c>
      <c r="L404" t="s">
        <v>173</v>
      </c>
      <c r="M404" s="3">
        <v>349</v>
      </c>
    </row>
    <row r="405" spans="1:13" x14ac:dyDescent="0.25">
      <c r="A405" t="str">
        <f t="shared" si="202"/>
        <v>E191</v>
      </c>
      <c r="B405">
        <v>1</v>
      </c>
      <c r="C405" t="str">
        <f t="shared" si="203"/>
        <v>14185</v>
      </c>
      <c r="D405" t="str">
        <f t="shared" si="204"/>
        <v>5620</v>
      </c>
      <c r="E405" t="str">
        <f t="shared" si="205"/>
        <v>094OMS</v>
      </c>
      <c r="F405" t="str">
        <f>""</f>
        <v/>
      </c>
      <c r="G405" t="str">
        <f>""</f>
        <v/>
      </c>
      <c r="H405" s="1">
        <v>38621</v>
      </c>
      <c r="I405" t="str">
        <f>"076334"</f>
        <v>076334</v>
      </c>
      <c r="J405" t="str">
        <f>""</f>
        <v/>
      </c>
      <c r="K405" t="str">
        <f>"INNI"</f>
        <v>INNI</v>
      </c>
      <c r="L405" t="s">
        <v>174</v>
      </c>
      <c r="M405" s="3">
        <v>125</v>
      </c>
    </row>
    <row r="406" spans="1:13" x14ac:dyDescent="0.25">
      <c r="A406" t="str">
        <f t="shared" si="202"/>
        <v>E191</v>
      </c>
      <c r="B406">
        <v>1</v>
      </c>
      <c r="C406" t="str">
        <f t="shared" si="203"/>
        <v>14185</v>
      </c>
      <c r="D406" t="str">
        <f t="shared" si="204"/>
        <v>5620</v>
      </c>
      <c r="E406" t="str">
        <f t="shared" si="205"/>
        <v>094OMS</v>
      </c>
      <c r="F406" t="str">
        <f>""</f>
        <v/>
      </c>
      <c r="G406" t="str">
        <f>""</f>
        <v/>
      </c>
      <c r="H406" s="1">
        <v>38632</v>
      </c>
      <c r="I406" t="str">
        <f>"PCD00200"</f>
        <v>PCD00200</v>
      </c>
      <c r="J406" t="str">
        <f>"31755"</f>
        <v>31755</v>
      </c>
      <c r="K406" t="str">
        <f>"AS89"</f>
        <v>AS89</v>
      </c>
      <c r="L406" t="s">
        <v>175</v>
      </c>
      <c r="M406" s="3">
        <v>249</v>
      </c>
    </row>
    <row r="407" spans="1:13" x14ac:dyDescent="0.25">
      <c r="A407" t="str">
        <f t="shared" si="202"/>
        <v>E191</v>
      </c>
      <c r="B407">
        <v>1</v>
      </c>
      <c r="C407" t="str">
        <f t="shared" si="203"/>
        <v>14185</v>
      </c>
      <c r="D407" t="str">
        <f t="shared" si="204"/>
        <v>5620</v>
      </c>
      <c r="E407" t="str">
        <f t="shared" si="205"/>
        <v>094OMS</v>
      </c>
      <c r="F407" t="str">
        <f>""</f>
        <v/>
      </c>
      <c r="G407" t="str">
        <f>""</f>
        <v/>
      </c>
      <c r="H407" s="1">
        <v>38663</v>
      </c>
      <c r="I407" t="str">
        <f>"PCD00206"</f>
        <v>PCD00206</v>
      </c>
      <c r="J407" t="str">
        <f>"33500"</f>
        <v>33500</v>
      </c>
      <c r="K407" t="str">
        <f>"AS89"</f>
        <v>AS89</v>
      </c>
      <c r="L407" t="s">
        <v>176</v>
      </c>
      <c r="M407" s="3">
        <v>800</v>
      </c>
    </row>
    <row r="408" spans="1:13" x14ac:dyDescent="0.25">
      <c r="A408" t="str">
        <f t="shared" si="202"/>
        <v>E191</v>
      </c>
      <c r="B408">
        <v>1</v>
      </c>
      <c r="C408" t="str">
        <f t="shared" si="203"/>
        <v>14185</v>
      </c>
      <c r="D408" t="str">
        <f t="shared" si="204"/>
        <v>5620</v>
      </c>
      <c r="E408" t="str">
        <f t="shared" si="205"/>
        <v>094OMS</v>
      </c>
      <c r="F408" t="str">
        <f>""</f>
        <v/>
      </c>
      <c r="G408" t="str">
        <f>""</f>
        <v/>
      </c>
      <c r="H408" s="1">
        <v>38717</v>
      </c>
      <c r="I408" t="str">
        <f>"PCD00213"</f>
        <v>PCD00213</v>
      </c>
      <c r="J408" t="str">
        <f>"34873"</f>
        <v>34873</v>
      </c>
      <c r="K408" t="str">
        <f>"AS89"</f>
        <v>AS89</v>
      </c>
      <c r="L408" t="s">
        <v>177</v>
      </c>
      <c r="M408" s="3">
        <v>154</v>
      </c>
    </row>
    <row r="409" spans="1:13" x14ac:dyDescent="0.25">
      <c r="A409" t="str">
        <f t="shared" si="202"/>
        <v>E191</v>
      </c>
      <c r="B409">
        <v>1</v>
      </c>
      <c r="C409" t="str">
        <f t="shared" si="203"/>
        <v>14185</v>
      </c>
      <c r="D409" t="str">
        <f t="shared" si="204"/>
        <v>5620</v>
      </c>
      <c r="E409" t="str">
        <f t="shared" si="205"/>
        <v>094OMS</v>
      </c>
      <c r="F409" t="str">
        <f>""</f>
        <v/>
      </c>
      <c r="G409" t="str">
        <f>""</f>
        <v/>
      </c>
      <c r="H409" s="1">
        <v>38730</v>
      </c>
      <c r="I409" t="str">
        <f>"PCD00215"</f>
        <v>PCD00215</v>
      </c>
      <c r="J409" t="str">
        <f>"35347"</f>
        <v>35347</v>
      </c>
      <c r="K409" t="str">
        <f>"AS89"</f>
        <v>AS89</v>
      </c>
      <c r="L409" t="s">
        <v>178</v>
      </c>
      <c r="M409" s="3">
        <v>100</v>
      </c>
    </row>
    <row r="410" spans="1:13" x14ac:dyDescent="0.25">
      <c r="A410" t="str">
        <f t="shared" si="202"/>
        <v>E191</v>
      </c>
      <c r="B410">
        <v>1</v>
      </c>
      <c r="C410" t="str">
        <f t="shared" si="203"/>
        <v>14185</v>
      </c>
      <c r="D410" t="str">
        <f t="shared" si="204"/>
        <v>5620</v>
      </c>
      <c r="E410" t="str">
        <f t="shared" si="205"/>
        <v>094OMS</v>
      </c>
      <c r="F410" t="str">
        <f>""</f>
        <v/>
      </c>
      <c r="G410" t="str">
        <f>""</f>
        <v/>
      </c>
      <c r="H410" s="1">
        <v>38757</v>
      </c>
      <c r="I410" t="str">
        <f>"076381"</f>
        <v>076381</v>
      </c>
      <c r="J410" t="str">
        <f>""</f>
        <v/>
      </c>
      <c r="K410" t="str">
        <f>"INNI"</f>
        <v>INNI</v>
      </c>
      <c r="L410" t="s">
        <v>179</v>
      </c>
      <c r="M410" s="3">
        <v>4220.5</v>
      </c>
    </row>
    <row r="411" spans="1:13" x14ac:dyDescent="0.25">
      <c r="A411" t="str">
        <f t="shared" si="202"/>
        <v>E191</v>
      </c>
      <c r="B411">
        <v>1</v>
      </c>
      <c r="C411" t="str">
        <f t="shared" si="203"/>
        <v>14185</v>
      </c>
      <c r="D411" t="str">
        <f t="shared" si="204"/>
        <v>5620</v>
      </c>
      <c r="E411" t="str">
        <f t="shared" si="205"/>
        <v>094OMS</v>
      </c>
      <c r="F411" t="str">
        <f>""</f>
        <v/>
      </c>
      <c r="G411" t="str">
        <f>""</f>
        <v/>
      </c>
      <c r="H411" s="1">
        <v>38849</v>
      </c>
      <c r="I411" t="str">
        <f>"PCD00228"</f>
        <v>PCD00228</v>
      </c>
      <c r="J411" t="str">
        <f>"40336"</f>
        <v>40336</v>
      </c>
      <c r="K411" t="str">
        <f>"AS89"</f>
        <v>AS89</v>
      </c>
      <c r="L411" t="s">
        <v>180</v>
      </c>
      <c r="M411" s="3">
        <v>149</v>
      </c>
    </row>
    <row r="412" spans="1:13" x14ac:dyDescent="0.25">
      <c r="A412" t="str">
        <f t="shared" si="202"/>
        <v>E191</v>
      </c>
      <c r="B412">
        <v>1</v>
      </c>
      <c r="C412" t="str">
        <f t="shared" si="203"/>
        <v>14185</v>
      </c>
      <c r="D412" t="str">
        <f t="shared" si="204"/>
        <v>5620</v>
      </c>
      <c r="E412" t="str">
        <f t="shared" si="205"/>
        <v>094OMS</v>
      </c>
      <c r="F412" t="str">
        <f>""</f>
        <v/>
      </c>
      <c r="G412" t="str">
        <f>""</f>
        <v/>
      </c>
      <c r="H412" s="1">
        <v>38877</v>
      </c>
      <c r="I412" t="str">
        <f>"076398"</f>
        <v>076398</v>
      </c>
      <c r="J412" t="str">
        <f>""</f>
        <v/>
      </c>
      <c r="K412" t="str">
        <f>"INNI"</f>
        <v>INNI</v>
      </c>
      <c r="L412" t="s">
        <v>181</v>
      </c>
      <c r="M412" s="3">
        <v>100</v>
      </c>
    </row>
    <row r="413" spans="1:13" x14ac:dyDescent="0.25">
      <c r="A413" t="str">
        <f t="shared" si="202"/>
        <v>E191</v>
      </c>
      <c r="B413">
        <v>1</v>
      </c>
      <c r="C413" t="str">
        <f t="shared" ref="C413:C419" si="206">"43000"</f>
        <v>43000</v>
      </c>
      <c r="D413" t="str">
        <f t="shared" ref="D413:D420" si="207">"5740"</f>
        <v>5740</v>
      </c>
      <c r="E413" t="str">
        <f t="shared" ref="E413:E418" si="208">"850LOS"</f>
        <v>850LOS</v>
      </c>
      <c r="F413" t="str">
        <f>""</f>
        <v/>
      </c>
      <c r="G413" t="str">
        <f>""</f>
        <v/>
      </c>
      <c r="H413" s="1">
        <v>38663</v>
      </c>
      <c r="I413" t="str">
        <f>"PCD00206"</f>
        <v>PCD00206</v>
      </c>
      <c r="J413" t="str">
        <f>"32877"</f>
        <v>32877</v>
      </c>
      <c r="K413" t="str">
        <f t="shared" ref="K413:K420" si="209">"AS89"</f>
        <v>AS89</v>
      </c>
      <c r="L413" t="s">
        <v>182</v>
      </c>
      <c r="M413" s="3">
        <v>645</v>
      </c>
    </row>
    <row r="414" spans="1:13" x14ac:dyDescent="0.25">
      <c r="A414" t="str">
        <f t="shared" si="202"/>
        <v>E191</v>
      </c>
      <c r="B414">
        <v>1</v>
      </c>
      <c r="C414" t="str">
        <f t="shared" si="206"/>
        <v>43000</v>
      </c>
      <c r="D414" t="str">
        <f t="shared" si="207"/>
        <v>5740</v>
      </c>
      <c r="E414" t="str">
        <f t="shared" si="208"/>
        <v>850LOS</v>
      </c>
      <c r="F414" t="str">
        <f>""</f>
        <v/>
      </c>
      <c r="G414" t="str">
        <f>""</f>
        <v/>
      </c>
      <c r="H414" s="1">
        <v>38663</v>
      </c>
      <c r="I414" t="str">
        <f>"PCD00206"</f>
        <v>PCD00206</v>
      </c>
      <c r="J414" t="str">
        <f>"32878"</f>
        <v>32878</v>
      </c>
      <c r="K414" t="str">
        <f t="shared" si="209"/>
        <v>AS89</v>
      </c>
      <c r="L414" t="s">
        <v>182</v>
      </c>
      <c r="M414" s="3">
        <v>645</v>
      </c>
    </row>
    <row r="415" spans="1:13" x14ac:dyDescent="0.25">
      <c r="A415" t="str">
        <f t="shared" si="202"/>
        <v>E191</v>
      </c>
      <c r="B415">
        <v>1</v>
      </c>
      <c r="C415" t="str">
        <f t="shared" si="206"/>
        <v>43000</v>
      </c>
      <c r="D415" t="str">
        <f t="shared" si="207"/>
        <v>5740</v>
      </c>
      <c r="E415" t="str">
        <f t="shared" si="208"/>
        <v>850LOS</v>
      </c>
      <c r="F415" t="str">
        <f>""</f>
        <v/>
      </c>
      <c r="G415" t="str">
        <f>""</f>
        <v/>
      </c>
      <c r="H415" s="1">
        <v>38705</v>
      </c>
      <c r="I415" t="str">
        <f>"PCD00211"</f>
        <v>PCD00211</v>
      </c>
      <c r="J415" t="str">
        <f>"34171"</f>
        <v>34171</v>
      </c>
      <c r="K415" t="str">
        <f t="shared" si="209"/>
        <v>AS89</v>
      </c>
      <c r="L415" t="s">
        <v>183</v>
      </c>
      <c r="M415" s="3">
        <v>447</v>
      </c>
    </row>
    <row r="416" spans="1:13" x14ac:dyDescent="0.25">
      <c r="A416" t="str">
        <f t="shared" si="202"/>
        <v>E191</v>
      </c>
      <c r="B416">
        <v>1</v>
      </c>
      <c r="C416" t="str">
        <f t="shared" si="206"/>
        <v>43000</v>
      </c>
      <c r="D416" t="str">
        <f t="shared" si="207"/>
        <v>5740</v>
      </c>
      <c r="E416" t="str">
        <f t="shared" si="208"/>
        <v>850LOS</v>
      </c>
      <c r="F416" t="str">
        <f>""</f>
        <v/>
      </c>
      <c r="G416" t="str">
        <f>""</f>
        <v/>
      </c>
      <c r="H416" s="1">
        <v>38751</v>
      </c>
      <c r="I416" t="str">
        <f>"PCD00218"</f>
        <v>PCD00218</v>
      </c>
      <c r="J416" t="str">
        <f>"36899"</f>
        <v>36899</v>
      </c>
      <c r="K416" t="str">
        <f t="shared" si="209"/>
        <v>AS89</v>
      </c>
      <c r="L416" t="s">
        <v>184</v>
      </c>
      <c r="M416" s="3">
        <v>119</v>
      </c>
    </row>
    <row r="417" spans="1:13" x14ac:dyDescent="0.25">
      <c r="A417" t="str">
        <f t="shared" si="202"/>
        <v>E191</v>
      </c>
      <c r="B417">
        <v>1</v>
      </c>
      <c r="C417" t="str">
        <f t="shared" si="206"/>
        <v>43000</v>
      </c>
      <c r="D417" t="str">
        <f t="shared" si="207"/>
        <v>5740</v>
      </c>
      <c r="E417" t="str">
        <f t="shared" si="208"/>
        <v>850LOS</v>
      </c>
      <c r="F417" t="str">
        <f>""</f>
        <v/>
      </c>
      <c r="G417" t="str">
        <f>""</f>
        <v/>
      </c>
      <c r="H417" s="1">
        <v>38821</v>
      </c>
      <c r="I417" t="str">
        <f>"PCD00225"</f>
        <v>PCD00225</v>
      </c>
      <c r="J417" t="str">
        <f>"39134"</f>
        <v>39134</v>
      </c>
      <c r="K417" t="str">
        <f t="shared" si="209"/>
        <v>AS89</v>
      </c>
      <c r="L417" t="s">
        <v>185</v>
      </c>
      <c r="M417" s="3">
        <v>399</v>
      </c>
    </row>
    <row r="418" spans="1:13" x14ac:dyDescent="0.25">
      <c r="A418" t="str">
        <f t="shared" si="202"/>
        <v>E191</v>
      </c>
      <c r="B418">
        <v>1</v>
      </c>
      <c r="C418" t="str">
        <f t="shared" si="206"/>
        <v>43000</v>
      </c>
      <c r="D418" t="str">
        <f t="shared" si="207"/>
        <v>5740</v>
      </c>
      <c r="E418" t="str">
        <f t="shared" si="208"/>
        <v>850LOS</v>
      </c>
      <c r="F418" t="str">
        <f>""</f>
        <v/>
      </c>
      <c r="G418" t="str">
        <f>""</f>
        <v/>
      </c>
      <c r="H418" s="1">
        <v>38821</v>
      </c>
      <c r="I418" t="str">
        <f>"PCD00225"</f>
        <v>PCD00225</v>
      </c>
      <c r="J418" t="str">
        <f>"39285"</f>
        <v>39285</v>
      </c>
      <c r="K418" t="str">
        <f t="shared" si="209"/>
        <v>AS89</v>
      </c>
      <c r="L418" t="s">
        <v>186</v>
      </c>
      <c r="M418" s="3">
        <v>199</v>
      </c>
    </row>
    <row r="419" spans="1:13" x14ac:dyDescent="0.25">
      <c r="A419" t="str">
        <f t="shared" si="202"/>
        <v>E191</v>
      </c>
      <c r="B419">
        <v>1</v>
      </c>
      <c r="C419" t="str">
        <f t="shared" si="206"/>
        <v>43000</v>
      </c>
      <c r="D419" t="str">
        <f t="shared" si="207"/>
        <v>5740</v>
      </c>
      <c r="E419" t="str">
        <f>"850PKC"</f>
        <v>850PKC</v>
      </c>
      <c r="F419" t="str">
        <f>""</f>
        <v/>
      </c>
      <c r="G419" t="str">
        <f>""</f>
        <v/>
      </c>
      <c r="H419" s="1">
        <v>38751</v>
      </c>
      <c r="I419" t="str">
        <f>"PCD00218"</f>
        <v>PCD00218</v>
      </c>
      <c r="J419" t="str">
        <f>"36900"</f>
        <v>36900</v>
      </c>
      <c r="K419" t="str">
        <f t="shared" si="209"/>
        <v>AS89</v>
      </c>
      <c r="L419" t="s">
        <v>184</v>
      </c>
      <c r="M419" s="3">
        <v>119</v>
      </c>
    </row>
    <row r="420" spans="1:13" x14ac:dyDescent="0.25">
      <c r="A420" t="str">
        <f t="shared" si="202"/>
        <v>E191</v>
      </c>
      <c r="B420">
        <v>1</v>
      </c>
      <c r="C420" t="str">
        <f>"43001"</f>
        <v>43001</v>
      </c>
      <c r="D420" t="str">
        <f t="shared" si="207"/>
        <v>5740</v>
      </c>
      <c r="E420" t="str">
        <f>"850LOS"</f>
        <v>850LOS</v>
      </c>
      <c r="F420" t="str">
        <f>""</f>
        <v/>
      </c>
      <c r="G420" t="str">
        <f>""</f>
        <v/>
      </c>
      <c r="H420" s="1">
        <v>38604</v>
      </c>
      <c r="I420" t="str">
        <f>"PCD00196"</f>
        <v>PCD00196</v>
      </c>
      <c r="J420" t="str">
        <f>"31046"</f>
        <v>31046</v>
      </c>
      <c r="K420" t="str">
        <f t="shared" si="209"/>
        <v>AS89</v>
      </c>
      <c r="L420" t="s">
        <v>187</v>
      </c>
      <c r="M420" s="3">
        <v>150</v>
      </c>
    </row>
    <row r="421" spans="1:13" x14ac:dyDescent="0.25">
      <c r="A421" t="str">
        <f t="shared" ref="A421:A426" si="210">"E192"</f>
        <v>E192</v>
      </c>
      <c r="B421">
        <v>1</v>
      </c>
      <c r="C421" t="str">
        <f t="shared" ref="C421:C426" si="211">"14185"</f>
        <v>14185</v>
      </c>
      <c r="D421" t="str">
        <f t="shared" ref="D421:D426" si="212">"5620"</f>
        <v>5620</v>
      </c>
      <c r="E421" t="str">
        <f t="shared" ref="E421:E426" si="213">"094OMS"</f>
        <v>094OMS</v>
      </c>
      <c r="F421" t="str">
        <f>""</f>
        <v/>
      </c>
      <c r="G421" t="str">
        <f>""</f>
        <v/>
      </c>
      <c r="H421" s="1">
        <v>38576</v>
      </c>
      <c r="I421" t="str">
        <f>"076325"</f>
        <v>076325</v>
      </c>
      <c r="J421" t="str">
        <f>""</f>
        <v/>
      </c>
      <c r="K421" t="str">
        <f>"INNI"</f>
        <v>INNI</v>
      </c>
      <c r="L421" t="s">
        <v>188</v>
      </c>
      <c r="M421" s="3">
        <v>180</v>
      </c>
    </row>
    <row r="422" spans="1:13" x14ac:dyDescent="0.25">
      <c r="A422" t="str">
        <f t="shared" si="210"/>
        <v>E192</v>
      </c>
      <c r="B422">
        <v>1</v>
      </c>
      <c r="C422" t="str">
        <f t="shared" si="211"/>
        <v>14185</v>
      </c>
      <c r="D422" t="str">
        <f t="shared" si="212"/>
        <v>5620</v>
      </c>
      <c r="E422" t="str">
        <f t="shared" si="213"/>
        <v>094OMS</v>
      </c>
      <c r="F422" t="str">
        <f>""</f>
        <v/>
      </c>
      <c r="G422" t="str">
        <f>""</f>
        <v/>
      </c>
      <c r="H422" s="1">
        <v>38643</v>
      </c>
      <c r="I422" t="str">
        <f>"PCD00201"</f>
        <v>PCD00201</v>
      </c>
      <c r="J422" t="str">
        <f>"32604"</f>
        <v>32604</v>
      </c>
      <c r="K422" t="str">
        <f>"AS89"</f>
        <v>AS89</v>
      </c>
      <c r="L422" t="s">
        <v>189</v>
      </c>
      <c r="M422" s="3">
        <v>350</v>
      </c>
    </row>
    <row r="423" spans="1:13" x14ac:dyDescent="0.25">
      <c r="A423" t="str">
        <f t="shared" si="210"/>
        <v>E192</v>
      </c>
      <c r="B423">
        <v>1</v>
      </c>
      <c r="C423" t="str">
        <f t="shared" si="211"/>
        <v>14185</v>
      </c>
      <c r="D423" t="str">
        <f t="shared" si="212"/>
        <v>5620</v>
      </c>
      <c r="E423" t="str">
        <f t="shared" si="213"/>
        <v>094OMS</v>
      </c>
      <c r="F423" t="str">
        <f>""</f>
        <v/>
      </c>
      <c r="G423" t="str">
        <f>""</f>
        <v/>
      </c>
      <c r="H423" s="1">
        <v>38736</v>
      </c>
      <c r="I423" t="str">
        <f>"076375"</f>
        <v>076375</v>
      </c>
      <c r="J423" t="str">
        <f>""</f>
        <v/>
      </c>
      <c r="K423" t="str">
        <f>"INNI"</f>
        <v>INNI</v>
      </c>
      <c r="L423" t="s">
        <v>191</v>
      </c>
      <c r="M423" s="3">
        <v>160</v>
      </c>
    </row>
    <row r="424" spans="1:13" x14ac:dyDescent="0.25">
      <c r="A424" t="str">
        <f t="shared" si="210"/>
        <v>E192</v>
      </c>
      <c r="B424">
        <v>1</v>
      </c>
      <c r="C424" t="str">
        <f t="shared" si="211"/>
        <v>14185</v>
      </c>
      <c r="D424" t="str">
        <f t="shared" si="212"/>
        <v>5620</v>
      </c>
      <c r="E424" t="str">
        <f t="shared" si="213"/>
        <v>094OMS</v>
      </c>
      <c r="F424" t="str">
        <f>""</f>
        <v/>
      </c>
      <c r="G424" t="str">
        <f>""</f>
        <v/>
      </c>
      <c r="H424" s="1">
        <v>38744</v>
      </c>
      <c r="I424" t="str">
        <f>"076376"</f>
        <v>076376</v>
      </c>
      <c r="J424" t="str">
        <f>""</f>
        <v/>
      </c>
      <c r="K424" t="str">
        <f>"INNI"</f>
        <v>INNI</v>
      </c>
      <c r="L424" t="s">
        <v>192</v>
      </c>
      <c r="M424" s="3">
        <v>180</v>
      </c>
    </row>
    <row r="425" spans="1:13" x14ac:dyDescent="0.25">
      <c r="A425" t="str">
        <f t="shared" si="210"/>
        <v>E192</v>
      </c>
      <c r="B425">
        <v>1</v>
      </c>
      <c r="C425" t="str">
        <f t="shared" si="211"/>
        <v>14185</v>
      </c>
      <c r="D425" t="str">
        <f t="shared" si="212"/>
        <v>5620</v>
      </c>
      <c r="E425" t="str">
        <f t="shared" si="213"/>
        <v>094OMS</v>
      </c>
      <c r="F425" t="str">
        <f>""</f>
        <v/>
      </c>
      <c r="G425" t="str">
        <f>""</f>
        <v/>
      </c>
      <c r="H425" s="1">
        <v>38758</v>
      </c>
      <c r="I425" t="str">
        <f>"PCD00219"</f>
        <v>PCD00219</v>
      </c>
      <c r="J425" t="str">
        <f>"36367"</f>
        <v>36367</v>
      </c>
      <c r="K425" t="str">
        <f>"AS89"</f>
        <v>AS89</v>
      </c>
      <c r="L425" t="s">
        <v>193</v>
      </c>
      <c r="M425" s="3">
        <v>100</v>
      </c>
    </row>
    <row r="426" spans="1:13" x14ac:dyDescent="0.25">
      <c r="A426" t="str">
        <f t="shared" si="210"/>
        <v>E192</v>
      </c>
      <c r="B426">
        <v>1</v>
      </c>
      <c r="C426" t="str">
        <f t="shared" si="211"/>
        <v>14185</v>
      </c>
      <c r="D426" t="str">
        <f t="shared" si="212"/>
        <v>5620</v>
      </c>
      <c r="E426" t="str">
        <f t="shared" si="213"/>
        <v>094OMS</v>
      </c>
      <c r="F426" t="str">
        <f>""</f>
        <v/>
      </c>
      <c r="G426" t="str">
        <f>""</f>
        <v/>
      </c>
      <c r="H426" s="1">
        <v>38873</v>
      </c>
      <c r="I426" t="str">
        <f>"PCD00231"</f>
        <v>PCD00231</v>
      </c>
      <c r="J426" t="str">
        <f>"41598"</f>
        <v>41598</v>
      </c>
      <c r="K426" t="str">
        <f>"AS89"</f>
        <v>AS89</v>
      </c>
      <c r="L426" t="s">
        <v>195</v>
      </c>
      <c r="M426" s="3">
        <v>350</v>
      </c>
    </row>
    <row r="427" spans="1:13" x14ac:dyDescent="0.25">
      <c r="A427" t="str">
        <f t="shared" ref="A427:A433" si="214">"E193"</f>
        <v>E193</v>
      </c>
      <c r="B427">
        <v>1</v>
      </c>
      <c r="C427" t="str">
        <f>"14185"</f>
        <v>14185</v>
      </c>
      <c r="D427" t="str">
        <f>"5620"</f>
        <v>5620</v>
      </c>
      <c r="E427" t="str">
        <f>"094OMS"</f>
        <v>094OMS</v>
      </c>
      <c r="F427" t="str">
        <f>""</f>
        <v/>
      </c>
      <c r="G427" t="str">
        <f>""</f>
        <v/>
      </c>
      <c r="H427" s="1">
        <v>38551</v>
      </c>
      <c r="I427" t="str">
        <f>"068493"</f>
        <v>068493</v>
      </c>
      <c r="J427" t="str">
        <f>""</f>
        <v/>
      </c>
      <c r="K427" t="str">
        <f>"INNI"</f>
        <v>INNI</v>
      </c>
      <c r="L427" t="s">
        <v>196</v>
      </c>
      <c r="M427" s="3">
        <v>275</v>
      </c>
    </row>
    <row r="428" spans="1:13" x14ac:dyDescent="0.25">
      <c r="A428" t="str">
        <f t="shared" si="214"/>
        <v>E193</v>
      </c>
      <c r="B428">
        <v>1</v>
      </c>
      <c r="C428" t="str">
        <f>"14185"</f>
        <v>14185</v>
      </c>
      <c r="D428" t="str">
        <f>"5620"</f>
        <v>5620</v>
      </c>
      <c r="E428" t="str">
        <f>"094OMS"</f>
        <v>094OMS</v>
      </c>
      <c r="F428" t="str">
        <f>""</f>
        <v/>
      </c>
      <c r="G428" t="str">
        <f>""</f>
        <v/>
      </c>
      <c r="H428" s="1">
        <v>38601</v>
      </c>
      <c r="I428" t="str">
        <f>"076331"</f>
        <v>076331</v>
      </c>
      <c r="J428" t="str">
        <f>""</f>
        <v/>
      </c>
      <c r="K428" t="str">
        <f>"INNI"</f>
        <v>INNI</v>
      </c>
      <c r="L428" t="s">
        <v>174</v>
      </c>
      <c r="M428" s="3">
        <v>125</v>
      </c>
    </row>
    <row r="429" spans="1:13" x14ac:dyDescent="0.25">
      <c r="A429" t="str">
        <f t="shared" si="214"/>
        <v>E193</v>
      </c>
      <c r="B429">
        <v>1</v>
      </c>
      <c r="C429" t="str">
        <f>"14185"</f>
        <v>14185</v>
      </c>
      <c r="D429" t="str">
        <f>"5620"</f>
        <v>5620</v>
      </c>
      <c r="E429" t="str">
        <f>"094OMS"</f>
        <v>094OMS</v>
      </c>
      <c r="F429" t="str">
        <f>""</f>
        <v/>
      </c>
      <c r="G429" t="str">
        <f>""</f>
        <v/>
      </c>
      <c r="H429" s="1">
        <v>38618</v>
      </c>
      <c r="I429" t="str">
        <f>"V80630"</f>
        <v>V80630</v>
      </c>
      <c r="J429" t="str">
        <f>""</f>
        <v/>
      </c>
      <c r="K429" t="str">
        <f>"INNI"</f>
        <v>INNI</v>
      </c>
      <c r="L429" t="s">
        <v>197</v>
      </c>
      <c r="M429" s="3">
        <v>524.98</v>
      </c>
    </row>
    <row r="430" spans="1:13" x14ac:dyDescent="0.25">
      <c r="A430" t="str">
        <f t="shared" si="214"/>
        <v>E193</v>
      </c>
      <c r="B430">
        <v>1</v>
      </c>
      <c r="C430" t="str">
        <f>"14185"</f>
        <v>14185</v>
      </c>
      <c r="D430" t="str">
        <f>"5620"</f>
        <v>5620</v>
      </c>
      <c r="E430" t="str">
        <f>"094OMS"</f>
        <v>094OMS</v>
      </c>
      <c r="F430" t="str">
        <f>""</f>
        <v/>
      </c>
      <c r="G430" t="str">
        <f>""</f>
        <v/>
      </c>
      <c r="H430" s="1">
        <v>38793</v>
      </c>
      <c r="I430" t="str">
        <f>"PCD00222"</f>
        <v>PCD00222</v>
      </c>
      <c r="J430" t="str">
        <f>"37711"</f>
        <v>37711</v>
      </c>
      <c r="K430" t="str">
        <f>"AS89"</f>
        <v>AS89</v>
      </c>
      <c r="L430" t="s">
        <v>198</v>
      </c>
      <c r="M430" s="3">
        <v>250</v>
      </c>
    </row>
    <row r="431" spans="1:13" x14ac:dyDescent="0.25">
      <c r="A431" t="str">
        <f t="shared" si="214"/>
        <v>E193</v>
      </c>
      <c r="B431">
        <v>1</v>
      </c>
      <c r="C431" t="str">
        <f>"14185"</f>
        <v>14185</v>
      </c>
      <c r="D431" t="str">
        <f>"5620"</f>
        <v>5620</v>
      </c>
      <c r="E431" t="str">
        <f>"094OMS"</f>
        <v>094OMS</v>
      </c>
      <c r="F431" t="str">
        <f>""</f>
        <v/>
      </c>
      <c r="G431" t="str">
        <f>""</f>
        <v/>
      </c>
      <c r="H431" s="1">
        <v>38800</v>
      </c>
      <c r="I431" t="str">
        <f>"PCD00223"</f>
        <v>PCD00223</v>
      </c>
      <c r="J431" t="str">
        <f>"38206"</f>
        <v>38206</v>
      </c>
      <c r="K431" t="str">
        <f>"AS89"</f>
        <v>AS89</v>
      </c>
      <c r="L431" t="s">
        <v>199</v>
      </c>
      <c r="M431" s="3">
        <v>250</v>
      </c>
    </row>
    <row r="432" spans="1:13" x14ac:dyDescent="0.25">
      <c r="A432" t="str">
        <f t="shared" si="214"/>
        <v>E193</v>
      </c>
      <c r="B432">
        <v>1</v>
      </c>
      <c r="C432" t="str">
        <f>"43001"</f>
        <v>43001</v>
      </c>
      <c r="D432" t="str">
        <f>"5740"</f>
        <v>5740</v>
      </c>
      <c r="E432" t="str">
        <f>"850LOS"</f>
        <v>850LOS</v>
      </c>
      <c r="F432" t="str">
        <f>""</f>
        <v/>
      </c>
      <c r="G432" t="str">
        <f>""</f>
        <v/>
      </c>
      <c r="H432" s="1">
        <v>38715</v>
      </c>
      <c r="I432" t="str">
        <f>"076342"</f>
        <v>076342</v>
      </c>
      <c r="J432" t="str">
        <f>""</f>
        <v/>
      </c>
      <c r="K432" t="str">
        <f>"INNI"</f>
        <v>INNI</v>
      </c>
      <c r="L432" t="s">
        <v>200</v>
      </c>
      <c r="M432" s="3">
        <v>150</v>
      </c>
    </row>
    <row r="433" spans="1:13" x14ac:dyDescent="0.25">
      <c r="A433" t="str">
        <f t="shared" si="214"/>
        <v>E193</v>
      </c>
      <c r="B433">
        <v>1</v>
      </c>
      <c r="C433" t="str">
        <f>"43001"</f>
        <v>43001</v>
      </c>
      <c r="D433" t="str">
        <f>"5740"</f>
        <v>5740</v>
      </c>
      <c r="E433" t="str">
        <f>"850LOS"</f>
        <v>850LOS</v>
      </c>
      <c r="F433" t="str">
        <f>""</f>
        <v/>
      </c>
      <c r="G433" t="str">
        <f>""</f>
        <v/>
      </c>
      <c r="H433" s="1">
        <v>38821</v>
      </c>
      <c r="I433" t="str">
        <f>"PCD00225"</f>
        <v>PCD00225</v>
      </c>
      <c r="J433" t="str">
        <f>"38910"</f>
        <v>38910</v>
      </c>
      <c r="K433" t="str">
        <f t="shared" ref="K433:K435" si="215">"AS89"</f>
        <v>AS89</v>
      </c>
      <c r="L433" t="s">
        <v>201</v>
      </c>
      <c r="M433" s="3">
        <v>745</v>
      </c>
    </row>
    <row r="434" spans="1:13" x14ac:dyDescent="0.25">
      <c r="A434" t="str">
        <f t="shared" ref="A434:A435" si="216">"E200"</f>
        <v>E200</v>
      </c>
      <c r="B434">
        <v>1</v>
      </c>
      <c r="C434" t="str">
        <f>"14185"</f>
        <v>14185</v>
      </c>
      <c r="D434" t="str">
        <f>"5620"</f>
        <v>5620</v>
      </c>
      <c r="E434" t="str">
        <f>"094OMS"</f>
        <v>094OMS</v>
      </c>
      <c r="F434" t="str">
        <f>""</f>
        <v/>
      </c>
      <c r="G434" t="str">
        <f>""</f>
        <v/>
      </c>
      <c r="H434" s="1">
        <v>38663</v>
      </c>
      <c r="I434" t="str">
        <f>"PCD00206"</f>
        <v>PCD00206</v>
      </c>
      <c r="J434" t="str">
        <f>"33501"</f>
        <v>33501</v>
      </c>
      <c r="K434" t="str">
        <f t="shared" si="215"/>
        <v>AS89</v>
      </c>
      <c r="L434" t="s">
        <v>202</v>
      </c>
      <c r="M434" s="3">
        <v>125.1</v>
      </c>
    </row>
    <row r="435" spans="1:13" x14ac:dyDescent="0.25">
      <c r="A435" t="str">
        <f t="shared" si="216"/>
        <v>E200</v>
      </c>
      <c r="B435">
        <v>1</v>
      </c>
      <c r="C435" t="str">
        <f>"43000"</f>
        <v>43000</v>
      </c>
      <c r="D435" t="str">
        <f>"5740"</f>
        <v>5740</v>
      </c>
      <c r="E435" t="str">
        <f t="shared" ref="E435" si="217">"850LOS"</f>
        <v>850LOS</v>
      </c>
      <c r="F435" t="str">
        <f>""</f>
        <v/>
      </c>
      <c r="G435" t="str">
        <f>""</f>
        <v/>
      </c>
      <c r="H435" s="1">
        <v>38877</v>
      </c>
      <c r="I435" t="str">
        <f>"PCD00232"</f>
        <v>PCD00232</v>
      </c>
      <c r="J435" t="str">
        <f>"41992"</f>
        <v>41992</v>
      </c>
      <c r="K435" t="str">
        <f t="shared" si="215"/>
        <v>AS89</v>
      </c>
      <c r="L435" t="s">
        <v>203</v>
      </c>
      <c r="M435" s="3">
        <v>114</v>
      </c>
    </row>
    <row r="436" spans="1:13" x14ac:dyDescent="0.25">
      <c r="A436" t="str">
        <f t="shared" ref="A436:A464" si="218">"E210"</f>
        <v>E210</v>
      </c>
      <c r="B436">
        <v>1</v>
      </c>
      <c r="C436" t="str">
        <f>"14185"</f>
        <v>14185</v>
      </c>
      <c r="D436" t="str">
        <f>"5620"</f>
        <v>5620</v>
      </c>
      <c r="E436" t="str">
        <f>"094OMS"</f>
        <v>094OMS</v>
      </c>
      <c r="F436" t="str">
        <f>""</f>
        <v/>
      </c>
      <c r="G436" t="str">
        <f>""</f>
        <v/>
      </c>
      <c r="H436" s="1">
        <v>38761</v>
      </c>
      <c r="I436" t="str">
        <f>"076384"</f>
        <v>076384</v>
      </c>
      <c r="J436" t="str">
        <f>""</f>
        <v/>
      </c>
      <c r="K436" t="str">
        <f>"INNI"</f>
        <v>INNI</v>
      </c>
      <c r="L436" t="s">
        <v>204</v>
      </c>
      <c r="M436" s="3">
        <v>400</v>
      </c>
    </row>
    <row r="437" spans="1:13" x14ac:dyDescent="0.25">
      <c r="A437" t="str">
        <f t="shared" si="218"/>
        <v>E210</v>
      </c>
      <c r="B437">
        <v>1</v>
      </c>
      <c r="C437" t="str">
        <f t="shared" ref="C437:C465" si="219">"14288"</f>
        <v>14288</v>
      </c>
      <c r="D437" t="str">
        <f t="shared" ref="D437:D465" si="220">"5740"</f>
        <v>5740</v>
      </c>
      <c r="E437" t="str">
        <f t="shared" ref="E437:E461" si="221">"094VIS"</f>
        <v>094VIS</v>
      </c>
      <c r="F437" t="str">
        <f>""</f>
        <v/>
      </c>
      <c r="G437" t="str">
        <f>""</f>
        <v/>
      </c>
      <c r="H437" s="1">
        <v>38700</v>
      </c>
      <c r="I437" t="str">
        <f>"00004471"</f>
        <v>00004471</v>
      </c>
      <c r="J437" t="str">
        <f t="shared" ref="J437:J443" si="222">"B076276A"</f>
        <v>B076276A</v>
      </c>
      <c r="K437" t="str">
        <f t="shared" ref="K437:K443" si="223">"INNI"</f>
        <v>INNI</v>
      </c>
      <c r="L437" t="s">
        <v>205</v>
      </c>
      <c r="M437" s="3">
        <v>8708.81</v>
      </c>
    </row>
    <row r="438" spans="1:13" x14ac:dyDescent="0.25">
      <c r="A438" t="str">
        <f t="shared" si="218"/>
        <v>E210</v>
      </c>
      <c r="B438">
        <v>1</v>
      </c>
      <c r="C438" t="str">
        <f t="shared" si="219"/>
        <v>14288</v>
      </c>
      <c r="D438" t="str">
        <f t="shared" si="220"/>
        <v>5740</v>
      </c>
      <c r="E438" t="str">
        <f t="shared" si="221"/>
        <v>094VIS</v>
      </c>
      <c r="F438" t="str">
        <f>""</f>
        <v/>
      </c>
      <c r="G438" t="str">
        <f>""</f>
        <v/>
      </c>
      <c r="H438" s="1">
        <v>38702</v>
      </c>
      <c r="I438" t="str">
        <f>"00004392"</f>
        <v>00004392</v>
      </c>
      <c r="J438" t="str">
        <f t="shared" si="222"/>
        <v>B076276A</v>
      </c>
      <c r="K438" t="str">
        <f t="shared" si="223"/>
        <v>INNI</v>
      </c>
      <c r="L438" t="s">
        <v>205</v>
      </c>
      <c r="M438" s="3">
        <v>8708.81</v>
      </c>
    </row>
    <row r="439" spans="1:13" x14ac:dyDescent="0.25">
      <c r="A439" t="str">
        <f t="shared" si="218"/>
        <v>E210</v>
      </c>
      <c r="B439">
        <v>1</v>
      </c>
      <c r="C439" t="str">
        <f t="shared" si="219"/>
        <v>14288</v>
      </c>
      <c r="D439" t="str">
        <f t="shared" si="220"/>
        <v>5740</v>
      </c>
      <c r="E439" t="str">
        <f t="shared" si="221"/>
        <v>094VIS</v>
      </c>
      <c r="F439" t="str">
        <f>""</f>
        <v/>
      </c>
      <c r="G439" t="str">
        <f>""</f>
        <v/>
      </c>
      <c r="H439" s="1">
        <v>38702</v>
      </c>
      <c r="I439" t="str">
        <f>"00004410"</f>
        <v>00004410</v>
      </c>
      <c r="J439" t="str">
        <f t="shared" si="222"/>
        <v>B076276A</v>
      </c>
      <c r="K439" t="str">
        <f t="shared" si="223"/>
        <v>INNI</v>
      </c>
      <c r="L439" t="s">
        <v>205</v>
      </c>
      <c r="M439" s="3">
        <v>8708.81</v>
      </c>
    </row>
    <row r="440" spans="1:13" x14ac:dyDescent="0.25">
      <c r="A440" t="str">
        <f t="shared" si="218"/>
        <v>E210</v>
      </c>
      <c r="B440">
        <v>1</v>
      </c>
      <c r="C440" t="str">
        <f t="shared" si="219"/>
        <v>14288</v>
      </c>
      <c r="D440" t="str">
        <f t="shared" si="220"/>
        <v>5740</v>
      </c>
      <c r="E440" t="str">
        <f t="shared" si="221"/>
        <v>094VIS</v>
      </c>
      <c r="F440" t="str">
        <f>""</f>
        <v/>
      </c>
      <c r="G440" t="str">
        <f>""</f>
        <v/>
      </c>
      <c r="H440" s="1">
        <v>38702</v>
      </c>
      <c r="I440" t="str">
        <f>"00004411"</f>
        <v>00004411</v>
      </c>
      <c r="J440" t="str">
        <f t="shared" si="222"/>
        <v>B076276A</v>
      </c>
      <c r="K440" t="str">
        <f t="shared" si="223"/>
        <v>INNI</v>
      </c>
      <c r="L440" t="s">
        <v>205</v>
      </c>
      <c r="M440" s="3">
        <v>8708.81</v>
      </c>
    </row>
    <row r="441" spans="1:13" x14ac:dyDescent="0.25">
      <c r="A441" t="str">
        <f t="shared" si="218"/>
        <v>E210</v>
      </c>
      <c r="B441">
        <v>1</v>
      </c>
      <c r="C441" t="str">
        <f t="shared" si="219"/>
        <v>14288</v>
      </c>
      <c r="D441" t="str">
        <f t="shared" si="220"/>
        <v>5740</v>
      </c>
      <c r="E441" t="str">
        <f t="shared" si="221"/>
        <v>094VIS</v>
      </c>
      <c r="F441" t="str">
        <f>""</f>
        <v/>
      </c>
      <c r="G441" t="str">
        <f>""</f>
        <v/>
      </c>
      <c r="H441" s="1">
        <v>38702</v>
      </c>
      <c r="I441" t="str">
        <f>"00004498"</f>
        <v>00004498</v>
      </c>
      <c r="J441" t="str">
        <f t="shared" si="222"/>
        <v>B076276A</v>
      </c>
      <c r="K441" t="str">
        <f t="shared" si="223"/>
        <v>INNI</v>
      </c>
      <c r="L441" t="s">
        <v>205</v>
      </c>
      <c r="M441" s="3">
        <v>5811.79</v>
      </c>
    </row>
    <row r="442" spans="1:13" x14ac:dyDescent="0.25">
      <c r="A442" t="str">
        <f t="shared" si="218"/>
        <v>E210</v>
      </c>
      <c r="B442">
        <v>1</v>
      </c>
      <c r="C442" t="str">
        <f t="shared" si="219"/>
        <v>14288</v>
      </c>
      <c r="D442" t="str">
        <f t="shared" si="220"/>
        <v>5740</v>
      </c>
      <c r="E442" t="str">
        <f t="shared" si="221"/>
        <v>094VIS</v>
      </c>
      <c r="F442" t="str">
        <f>""</f>
        <v/>
      </c>
      <c r="G442" t="str">
        <f>""</f>
        <v/>
      </c>
      <c r="H442" s="1">
        <v>38707</v>
      </c>
      <c r="I442" t="str">
        <f>"00004512"</f>
        <v>00004512</v>
      </c>
      <c r="J442" t="str">
        <f t="shared" si="222"/>
        <v>B076276A</v>
      </c>
      <c r="K442" t="str">
        <f t="shared" si="223"/>
        <v>INNI</v>
      </c>
      <c r="L442" t="s">
        <v>205</v>
      </c>
      <c r="M442" s="3">
        <v>6390.93</v>
      </c>
    </row>
    <row r="443" spans="1:13" x14ac:dyDescent="0.25">
      <c r="A443" t="str">
        <f t="shared" si="218"/>
        <v>E210</v>
      </c>
      <c r="B443">
        <v>1</v>
      </c>
      <c r="C443" t="str">
        <f t="shared" si="219"/>
        <v>14288</v>
      </c>
      <c r="D443" t="str">
        <f t="shared" si="220"/>
        <v>5740</v>
      </c>
      <c r="E443" t="str">
        <f t="shared" si="221"/>
        <v>094VIS</v>
      </c>
      <c r="F443" t="str">
        <f>""</f>
        <v/>
      </c>
      <c r="G443" t="str">
        <f>""</f>
        <v/>
      </c>
      <c r="H443" s="1">
        <v>38715</v>
      </c>
      <c r="I443" t="str">
        <f>"00004517"</f>
        <v>00004517</v>
      </c>
      <c r="J443" t="str">
        <f t="shared" si="222"/>
        <v>B076276A</v>
      </c>
      <c r="K443" t="str">
        <f t="shared" si="223"/>
        <v>INNI</v>
      </c>
      <c r="L443" t="s">
        <v>205</v>
      </c>
      <c r="M443" s="3">
        <v>2257.6</v>
      </c>
    </row>
    <row r="444" spans="1:13" x14ac:dyDescent="0.25">
      <c r="A444" t="str">
        <f t="shared" si="218"/>
        <v>E210</v>
      </c>
      <c r="B444">
        <v>1</v>
      </c>
      <c r="C444" t="str">
        <f t="shared" si="219"/>
        <v>14288</v>
      </c>
      <c r="D444" t="str">
        <f t="shared" si="220"/>
        <v>5740</v>
      </c>
      <c r="E444" t="str">
        <f t="shared" si="221"/>
        <v>094VIS</v>
      </c>
      <c r="F444" t="str">
        <f>""</f>
        <v/>
      </c>
      <c r="G444" t="str">
        <f>""</f>
        <v/>
      </c>
      <c r="H444" s="1">
        <v>38826</v>
      </c>
      <c r="I444" t="str">
        <f t="shared" ref="I444:I449" si="224">"G0610056"</f>
        <v>G0610056</v>
      </c>
      <c r="J444" t="str">
        <f>""</f>
        <v/>
      </c>
      <c r="K444" t="str">
        <f t="shared" ref="K444:K449" si="225">"J096"</f>
        <v>J096</v>
      </c>
      <c r="L444" t="s">
        <v>206</v>
      </c>
      <c r="M444" s="3">
        <v>1232.6300000000001</v>
      </c>
    </row>
    <row r="445" spans="1:13" x14ac:dyDescent="0.25">
      <c r="A445" t="str">
        <f t="shared" si="218"/>
        <v>E210</v>
      </c>
      <c r="B445">
        <v>1</v>
      </c>
      <c r="C445" t="str">
        <f t="shared" si="219"/>
        <v>14288</v>
      </c>
      <c r="D445" t="str">
        <f t="shared" si="220"/>
        <v>5740</v>
      </c>
      <c r="E445" t="str">
        <f t="shared" si="221"/>
        <v>094VIS</v>
      </c>
      <c r="F445" t="str">
        <f>""</f>
        <v/>
      </c>
      <c r="G445" t="str">
        <f>""</f>
        <v/>
      </c>
      <c r="H445" s="1">
        <v>38826</v>
      </c>
      <c r="I445" t="str">
        <f t="shared" si="224"/>
        <v>G0610056</v>
      </c>
      <c r="J445" t="str">
        <f>""</f>
        <v/>
      </c>
      <c r="K445" t="str">
        <f t="shared" si="225"/>
        <v>J096</v>
      </c>
      <c r="L445" t="s">
        <v>207</v>
      </c>
      <c r="M445" s="3">
        <v>6330.64</v>
      </c>
    </row>
    <row r="446" spans="1:13" x14ac:dyDescent="0.25">
      <c r="A446" t="str">
        <f t="shared" si="218"/>
        <v>E210</v>
      </c>
      <c r="B446">
        <v>1</v>
      </c>
      <c r="C446" t="str">
        <f t="shared" si="219"/>
        <v>14288</v>
      </c>
      <c r="D446" t="str">
        <f t="shared" si="220"/>
        <v>5740</v>
      </c>
      <c r="E446" t="str">
        <f t="shared" si="221"/>
        <v>094VIS</v>
      </c>
      <c r="F446" t="str">
        <f>""</f>
        <v/>
      </c>
      <c r="G446" t="str">
        <f>""</f>
        <v/>
      </c>
      <c r="H446" s="1">
        <v>38826</v>
      </c>
      <c r="I446" t="str">
        <f t="shared" si="224"/>
        <v>G0610056</v>
      </c>
      <c r="J446" t="str">
        <f>""</f>
        <v/>
      </c>
      <c r="K446" t="str">
        <f t="shared" si="225"/>
        <v>J096</v>
      </c>
      <c r="L446" t="s">
        <v>208</v>
      </c>
      <c r="M446" s="3">
        <v>3535.28</v>
      </c>
    </row>
    <row r="447" spans="1:13" x14ac:dyDescent="0.25">
      <c r="A447" t="str">
        <f t="shared" si="218"/>
        <v>E210</v>
      </c>
      <c r="B447">
        <v>1</v>
      </c>
      <c r="C447" t="str">
        <f t="shared" si="219"/>
        <v>14288</v>
      </c>
      <c r="D447" t="str">
        <f t="shared" si="220"/>
        <v>5740</v>
      </c>
      <c r="E447" t="str">
        <f t="shared" si="221"/>
        <v>094VIS</v>
      </c>
      <c r="F447" t="str">
        <f>""</f>
        <v/>
      </c>
      <c r="G447" t="str">
        <f>""</f>
        <v/>
      </c>
      <c r="H447" s="1">
        <v>38826</v>
      </c>
      <c r="I447" t="str">
        <f t="shared" si="224"/>
        <v>G0610056</v>
      </c>
      <c r="J447" t="str">
        <f>""</f>
        <v/>
      </c>
      <c r="K447" t="str">
        <f t="shared" si="225"/>
        <v>J096</v>
      </c>
      <c r="L447" t="s">
        <v>209</v>
      </c>
      <c r="M447" s="3">
        <v>2788.71</v>
      </c>
    </row>
    <row r="448" spans="1:13" x14ac:dyDescent="0.25">
      <c r="A448" t="str">
        <f t="shared" si="218"/>
        <v>E210</v>
      </c>
      <c r="B448">
        <v>1</v>
      </c>
      <c r="C448" t="str">
        <f t="shared" si="219"/>
        <v>14288</v>
      </c>
      <c r="D448" t="str">
        <f t="shared" si="220"/>
        <v>5740</v>
      </c>
      <c r="E448" t="str">
        <f t="shared" si="221"/>
        <v>094VIS</v>
      </c>
      <c r="F448" t="str">
        <f>""</f>
        <v/>
      </c>
      <c r="G448" t="str">
        <f>""</f>
        <v/>
      </c>
      <c r="H448" s="1">
        <v>38826</v>
      </c>
      <c r="I448" t="str">
        <f t="shared" si="224"/>
        <v>G0610056</v>
      </c>
      <c r="J448" t="str">
        <f>""</f>
        <v/>
      </c>
      <c r="K448" t="str">
        <f t="shared" si="225"/>
        <v>J096</v>
      </c>
      <c r="L448" t="s">
        <v>210</v>
      </c>
      <c r="M448" s="3">
        <v>3931.47</v>
      </c>
    </row>
    <row r="449" spans="1:13" x14ac:dyDescent="0.25">
      <c r="A449" t="str">
        <f t="shared" si="218"/>
        <v>E210</v>
      </c>
      <c r="B449">
        <v>1</v>
      </c>
      <c r="C449" t="str">
        <f t="shared" si="219"/>
        <v>14288</v>
      </c>
      <c r="D449" t="str">
        <f t="shared" si="220"/>
        <v>5740</v>
      </c>
      <c r="E449" t="str">
        <f t="shared" si="221"/>
        <v>094VIS</v>
      </c>
      <c r="F449" t="str">
        <f>""</f>
        <v/>
      </c>
      <c r="G449" t="str">
        <f>""</f>
        <v/>
      </c>
      <c r="H449" s="1">
        <v>38826</v>
      </c>
      <c r="I449" t="str">
        <f t="shared" si="224"/>
        <v>G0610056</v>
      </c>
      <c r="J449" t="str">
        <f>""</f>
        <v/>
      </c>
      <c r="K449" t="str">
        <f t="shared" si="225"/>
        <v>J096</v>
      </c>
      <c r="L449" t="s">
        <v>211</v>
      </c>
      <c r="M449" s="3">
        <v>3537.03</v>
      </c>
    </row>
    <row r="450" spans="1:13" x14ac:dyDescent="0.25">
      <c r="A450" t="str">
        <f t="shared" si="218"/>
        <v>E210</v>
      </c>
      <c r="B450">
        <v>1</v>
      </c>
      <c r="C450" t="str">
        <f t="shared" si="219"/>
        <v>14288</v>
      </c>
      <c r="D450" t="str">
        <f t="shared" si="220"/>
        <v>5740</v>
      </c>
      <c r="E450" t="str">
        <f t="shared" si="221"/>
        <v>094VIS</v>
      </c>
      <c r="F450" t="str">
        <f>""</f>
        <v/>
      </c>
      <c r="G450" t="str">
        <f>""</f>
        <v/>
      </c>
      <c r="H450" s="1">
        <v>38831</v>
      </c>
      <c r="I450" t="str">
        <f>"00004604"</f>
        <v>00004604</v>
      </c>
      <c r="J450" t="str">
        <f>"B076276A"</f>
        <v>B076276A</v>
      </c>
      <c r="K450" t="str">
        <f>"INNI"</f>
        <v>INNI</v>
      </c>
      <c r="L450" t="s">
        <v>205</v>
      </c>
      <c r="M450" s="3">
        <v>6211.02</v>
      </c>
    </row>
    <row r="451" spans="1:13" x14ac:dyDescent="0.25">
      <c r="A451" t="str">
        <f t="shared" si="218"/>
        <v>E210</v>
      </c>
      <c r="B451">
        <v>1</v>
      </c>
      <c r="C451" t="str">
        <f t="shared" si="219"/>
        <v>14288</v>
      </c>
      <c r="D451" t="str">
        <f t="shared" si="220"/>
        <v>5740</v>
      </c>
      <c r="E451" t="str">
        <f t="shared" si="221"/>
        <v>094VIS</v>
      </c>
      <c r="F451" t="str">
        <f>""</f>
        <v/>
      </c>
      <c r="G451" t="str">
        <f>""</f>
        <v/>
      </c>
      <c r="H451" s="1">
        <v>38831</v>
      </c>
      <c r="I451" t="str">
        <f>"00004605"</f>
        <v>00004605</v>
      </c>
      <c r="J451" t="str">
        <f>"B076276A"</f>
        <v>B076276A</v>
      </c>
      <c r="K451" t="str">
        <f>"INNI"</f>
        <v>INNI</v>
      </c>
      <c r="L451" t="s">
        <v>205</v>
      </c>
      <c r="M451" s="3">
        <v>6848.55</v>
      </c>
    </row>
    <row r="452" spans="1:13" x14ac:dyDescent="0.25">
      <c r="A452" t="str">
        <f t="shared" si="218"/>
        <v>E210</v>
      </c>
      <c r="B452">
        <v>1</v>
      </c>
      <c r="C452" t="str">
        <f t="shared" si="219"/>
        <v>14288</v>
      </c>
      <c r="D452" t="str">
        <f t="shared" si="220"/>
        <v>5740</v>
      </c>
      <c r="E452" t="str">
        <f t="shared" si="221"/>
        <v>094VIS</v>
      </c>
      <c r="F452" t="str">
        <f>""</f>
        <v/>
      </c>
      <c r="G452" t="str">
        <f>""</f>
        <v/>
      </c>
      <c r="H452" s="1">
        <v>38895</v>
      </c>
      <c r="I452" t="str">
        <f t="shared" ref="I452:I459" si="226">"G0612271"</f>
        <v>G0612271</v>
      </c>
      <c r="J452" t="str">
        <f>""</f>
        <v/>
      </c>
      <c r="K452" t="str">
        <f t="shared" ref="K452:K459" si="227">"J096"</f>
        <v>J096</v>
      </c>
      <c r="L452" t="s">
        <v>212</v>
      </c>
      <c r="M452" s="3">
        <v>1511.7</v>
      </c>
    </row>
    <row r="453" spans="1:13" x14ac:dyDescent="0.25">
      <c r="A453" t="str">
        <f t="shared" si="218"/>
        <v>E210</v>
      </c>
      <c r="B453">
        <v>1</v>
      </c>
      <c r="C453" t="str">
        <f t="shared" si="219"/>
        <v>14288</v>
      </c>
      <c r="D453" t="str">
        <f t="shared" si="220"/>
        <v>5740</v>
      </c>
      <c r="E453" t="str">
        <f t="shared" si="221"/>
        <v>094VIS</v>
      </c>
      <c r="F453" t="str">
        <f>""</f>
        <v/>
      </c>
      <c r="G453" t="str">
        <f>""</f>
        <v/>
      </c>
      <c r="H453" s="1">
        <v>38895</v>
      </c>
      <c r="I453" t="str">
        <f t="shared" si="226"/>
        <v>G0612271</v>
      </c>
      <c r="J453" t="str">
        <f>""</f>
        <v/>
      </c>
      <c r="K453" t="str">
        <f t="shared" si="227"/>
        <v>J096</v>
      </c>
      <c r="L453" t="s">
        <v>213</v>
      </c>
      <c r="M453" s="3">
        <v>3577.46</v>
      </c>
    </row>
    <row r="454" spans="1:13" x14ac:dyDescent="0.25">
      <c r="A454" t="str">
        <f t="shared" si="218"/>
        <v>E210</v>
      </c>
      <c r="B454">
        <v>1</v>
      </c>
      <c r="C454" t="str">
        <f t="shared" si="219"/>
        <v>14288</v>
      </c>
      <c r="D454" t="str">
        <f t="shared" si="220"/>
        <v>5740</v>
      </c>
      <c r="E454" t="str">
        <f t="shared" si="221"/>
        <v>094VIS</v>
      </c>
      <c r="F454" t="str">
        <f>""</f>
        <v/>
      </c>
      <c r="G454" t="str">
        <f>""</f>
        <v/>
      </c>
      <c r="H454" s="1">
        <v>38895</v>
      </c>
      <c r="I454" t="str">
        <f t="shared" si="226"/>
        <v>G0612271</v>
      </c>
      <c r="J454" t="str">
        <f>""</f>
        <v/>
      </c>
      <c r="K454" t="str">
        <f t="shared" si="227"/>
        <v>J096</v>
      </c>
      <c r="L454" t="s">
        <v>214</v>
      </c>
      <c r="M454" s="3">
        <v>3513.55</v>
      </c>
    </row>
    <row r="455" spans="1:13" x14ac:dyDescent="0.25">
      <c r="A455" t="str">
        <f t="shared" si="218"/>
        <v>E210</v>
      </c>
      <c r="B455">
        <v>1</v>
      </c>
      <c r="C455" t="str">
        <f t="shared" si="219"/>
        <v>14288</v>
      </c>
      <c r="D455" t="str">
        <f t="shared" si="220"/>
        <v>5740</v>
      </c>
      <c r="E455" t="str">
        <f t="shared" si="221"/>
        <v>094VIS</v>
      </c>
      <c r="F455" t="str">
        <f>""</f>
        <v/>
      </c>
      <c r="G455" t="str">
        <f>""</f>
        <v/>
      </c>
      <c r="H455" s="1">
        <v>38895</v>
      </c>
      <c r="I455" t="str">
        <f t="shared" si="226"/>
        <v>G0612271</v>
      </c>
      <c r="J455" t="str">
        <f>""</f>
        <v/>
      </c>
      <c r="K455" t="str">
        <f t="shared" si="227"/>
        <v>J096</v>
      </c>
      <c r="L455" t="s">
        <v>215</v>
      </c>
      <c r="M455" s="3">
        <v>3481.79</v>
      </c>
    </row>
    <row r="456" spans="1:13" x14ac:dyDescent="0.25">
      <c r="A456" t="str">
        <f t="shared" si="218"/>
        <v>E210</v>
      </c>
      <c r="B456">
        <v>1</v>
      </c>
      <c r="C456" t="str">
        <f t="shared" si="219"/>
        <v>14288</v>
      </c>
      <c r="D456" t="str">
        <f t="shared" si="220"/>
        <v>5740</v>
      </c>
      <c r="E456" t="str">
        <f t="shared" si="221"/>
        <v>094VIS</v>
      </c>
      <c r="F456" t="str">
        <f>""</f>
        <v/>
      </c>
      <c r="G456" t="str">
        <f>""</f>
        <v/>
      </c>
      <c r="H456" s="1">
        <v>38895</v>
      </c>
      <c r="I456" t="str">
        <f t="shared" si="226"/>
        <v>G0612271</v>
      </c>
      <c r="J456" t="str">
        <f>""</f>
        <v/>
      </c>
      <c r="K456" t="str">
        <f t="shared" si="227"/>
        <v>J096</v>
      </c>
      <c r="L456" t="s">
        <v>216</v>
      </c>
      <c r="M456" s="3">
        <v>3450.6</v>
      </c>
    </row>
    <row r="457" spans="1:13" x14ac:dyDescent="0.25">
      <c r="A457" t="str">
        <f t="shared" si="218"/>
        <v>E210</v>
      </c>
      <c r="B457">
        <v>1</v>
      </c>
      <c r="C457" t="str">
        <f t="shared" si="219"/>
        <v>14288</v>
      </c>
      <c r="D457" t="str">
        <f t="shared" si="220"/>
        <v>5740</v>
      </c>
      <c r="E457" t="str">
        <f t="shared" si="221"/>
        <v>094VIS</v>
      </c>
      <c r="F457" t="str">
        <f>""</f>
        <v/>
      </c>
      <c r="G457" t="str">
        <f>""</f>
        <v/>
      </c>
      <c r="H457" s="1">
        <v>38895</v>
      </c>
      <c r="I457" t="str">
        <f t="shared" si="226"/>
        <v>G0612271</v>
      </c>
      <c r="J457" t="str">
        <f>""</f>
        <v/>
      </c>
      <c r="K457" t="str">
        <f t="shared" si="227"/>
        <v>J096</v>
      </c>
      <c r="L457" t="s">
        <v>217</v>
      </c>
      <c r="M457" s="3">
        <v>3563.51</v>
      </c>
    </row>
    <row r="458" spans="1:13" x14ac:dyDescent="0.25">
      <c r="A458" t="str">
        <f t="shared" si="218"/>
        <v>E210</v>
      </c>
      <c r="B458">
        <v>1</v>
      </c>
      <c r="C458" t="str">
        <f t="shared" si="219"/>
        <v>14288</v>
      </c>
      <c r="D458" t="str">
        <f t="shared" si="220"/>
        <v>5740</v>
      </c>
      <c r="E458" t="str">
        <f t="shared" si="221"/>
        <v>094VIS</v>
      </c>
      <c r="F458" t="str">
        <f>""</f>
        <v/>
      </c>
      <c r="G458" t="str">
        <f>""</f>
        <v/>
      </c>
      <c r="H458" s="1">
        <v>38895</v>
      </c>
      <c r="I458" t="str">
        <f t="shared" si="226"/>
        <v>G0612271</v>
      </c>
      <c r="J458" t="str">
        <f>""</f>
        <v/>
      </c>
      <c r="K458" t="str">
        <f t="shared" si="227"/>
        <v>J096</v>
      </c>
      <c r="L458" t="s">
        <v>218</v>
      </c>
      <c r="M458" s="3">
        <v>3591.74</v>
      </c>
    </row>
    <row r="459" spans="1:13" x14ac:dyDescent="0.25">
      <c r="A459" t="str">
        <f t="shared" si="218"/>
        <v>E210</v>
      </c>
      <c r="B459">
        <v>1</v>
      </c>
      <c r="C459" t="str">
        <f t="shared" si="219"/>
        <v>14288</v>
      </c>
      <c r="D459" t="str">
        <f t="shared" si="220"/>
        <v>5740</v>
      </c>
      <c r="E459" t="str">
        <f t="shared" si="221"/>
        <v>094VIS</v>
      </c>
      <c r="F459" t="str">
        <f>""</f>
        <v/>
      </c>
      <c r="G459" t="str">
        <f>""</f>
        <v/>
      </c>
      <c r="H459" s="1">
        <v>38895</v>
      </c>
      <c r="I459" t="str">
        <f t="shared" si="226"/>
        <v>G0612271</v>
      </c>
      <c r="J459" t="str">
        <f>""</f>
        <v/>
      </c>
      <c r="K459" t="str">
        <f t="shared" si="227"/>
        <v>J096</v>
      </c>
      <c r="L459" t="s">
        <v>219</v>
      </c>
      <c r="M459" s="3">
        <v>3477.24</v>
      </c>
    </row>
    <row r="460" spans="1:13" x14ac:dyDescent="0.25">
      <c r="A460" t="str">
        <f t="shared" si="218"/>
        <v>E210</v>
      </c>
      <c r="B460">
        <v>1</v>
      </c>
      <c r="C460" t="str">
        <f t="shared" si="219"/>
        <v>14288</v>
      </c>
      <c r="D460" t="str">
        <f t="shared" si="220"/>
        <v>5740</v>
      </c>
      <c r="E460" t="str">
        <f t="shared" si="221"/>
        <v>094VIS</v>
      </c>
      <c r="F460" t="str">
        <f>""</f>
        <v/>
      </c>
      <c r="G460" t="str">
        <f>""</f>
        <v/>
      </c>
      <c r="H460" s="1">
        <v>38897</v>
      </c>
      <c r="I460" t="str">
        <f>"00004866"</f>
        <v>00004866</v>
      </c>
      <c r="J460" t="str">
        <f t="shared" ref="J460:J465" si="228">"B076276A"</f>
        <v>B076276A</v>
      </c>
      <c r="K460" t="str">
        <f t="shared" ref="K460:K465" si="229">"INNI"</f>
        <v>INNI</v>
      </c>
      <c r="L460" t="s">
        <v>205</v>
      </c>
      <c r="M460" s="3">
        <v>3450.6</v>
      </c>
    </row>
    <row r="461" spans="1:13" x14ac:dyDescent="0.25">
      <c r="A461" t="str">
        <f t="shared" si="218"/>
        <v>E210</v>
      </c>
      <c r="B461">
        <v>1</v>
      </c>
      <c r="C461" t="str">
        <f t="shared" si="219"/>
        <v>14288</v>
      </c>
      <c r="D461" t="str">
        <f t="shared" si="220"/>
        <v>5740</v>
      </c>
      <c r="E461" t="str">
        <f t="shared" si="221"/>
        <v>094VIS</v>
      </c>
      <c r="F461" t="str">
        <f>""</f>
        <v/>
      </c>
      <c r="G461" t="str">
        <f>""</f>
        <v/>
      </c>
      <c r="H461" s="1">
        <v>38897</v>
      </c>
      <c r="I461" t="str">
        <f>"00004874"</f>
        <v>00004874</v>
      </c>
      <c r="J461" t="str">
        <f t="shared" si="228"/>
        <v>B076276A</v>
      </c>
      <c r="K461" t="str">
        <f t="shared" si="229"/>
        <v>INNI</v>
      </c>
      <c r="L461" t="s">
        <v>205</v>
      </c>
      <c r="M461" s="3">
        <v>1511.7</v>
      </c>
    </row>
    <row r="462" spans="1:13" x14ac:dyDescent="0.25">
      <c r="A462" t="str">
        <f t="shared" si="218"/>
        <v>E210</v>
      </c>
      <c r="B462">
        <v>1</v>
      </c>
      <c r="C462" t="str">
        <f t="shared" si="219"/>
        <v>14288</v>
      </c>
      <c r="D462" t="str">
        <f t="shared" si="220"/>
        <v>5740</v>
      </c>
      <c r="E462" t="str">
        <f>"850LOS"</f>
        <v>850LOS</v>
      </c>
      <c r="F462" t="str">
        <f>""</f>
        <v/>
      </c>
      <c r="G462" t="str">
        <f>""</f>
        <v/>
      </c>
      <c r="H462" s="1">
        <v>38874</v>
      </c>
      <c r="I462" t="str">
        <f>"00004823"</f>
        <v>00004823</v>
      </c>
      <c r="J462" t="str">
        <f t="shared" si="228"/>
        <v>B076276A</v>
      </c>
      <c r="K462" t="str">
        <f t="shared" si="229"/>
        <v>INNI</v>
      </c>
      <c r="L462" t="s">
        <v>205</v>
      </c>
      <c r="M462" s="3">
        <v>3481.79</v>
      </c>
    </row>
    <row r="463" spans="1:13" x14ac:dyDescent="0.25">
      <c r="A463" t="str">
        <f t="shared" si="218"/>
        <v>E210</v>
      </c>
      <c r="B463">
        <v>1</v>
      </c>
      <c r="C463" t="str">
        <f t="shared" si="219"/>
        <v>14288</v>
      </c>
      <c r="D463" t="str">
        <f t="shared" si="220"/>
        <v>5740</v>
      </c>
      <c r="E463" t="str">
        <f>"850LOS"</f>
        <v>850LOS</v>
      </c>
      <c r="F463" t="str">
        <f>""</f>
        <v/>
      </c>
      <c r="G463" t="str">
        <f>""</f>
        <v/>
      </c>
      <c r="H463" s="1">
        <v>38874</v>
      </c>
      <c r="I463" t="str">
        <f>"0004824"</f>
        <v>0004824</v>
      </c>
      <c r="J463" t="str">
        <f t="shared" si="228"/>
        <v>B076276A</v>
      </c>
      <c r="K463" t="str">
        <f t="shared" si="229"/>
        <v>INNI</v>
      </c>
      <c r="L463" t="s">
        <v>205</v>
      </c>
      <c r="M463" s="3">
        <v>3522.32</v>
      </c>
    </row>
    <row r="464" spans="1:13" x14ac:dyDescent="0.25">
      <c r="A464" t="str">
        <f t="shared" si="218"/>
        <v>E210</v>
      </c>
      <c r="B464">
        <v>1</v>
      </c>
      <c r="C464" t="str">
        <f t="shared" si="219"/>
        <v>14288</v>
      </c>
      <c r="D464" t="str">
        <f t="shared" si="220"/>
        <v>5740</v>
      </c>
      <c r="E464" t="str">
        <f>"850LOS"</f>
        <v>850LOS</v>
      </c>
      <c r="F464" t="str">
        <f>""</f>
        <v/>
      </c>
      <c r="G464" t="str">
        <f>""</f>
        <v/>
      </c>
      <c r="H464" s="1">
        <v>38877</v>
      </c>
      <c r="I464" t="str">
        <f>"00004829"</f>
        <v>00004829</v>
      </c>
      <c r="J464" t="str">
        <f t="shared" si="228"/>
        <v>B076276A</v>
      </c>
      <c r="K464" t="str">
        <f t="shared" si="229"/>
        <v>INNI</v>
      </c>
      <c r="L464" t="s">
        <v>205</v>
      </c>
      <c r="M464" s="3">
        <v>3542.6</v>
      </c>
    </row>
    <row r="465" spans="1:13" x14ac:dyDescent="0.25">
      <c r="A465" t="str">
        <f t="shared" ref="A465:A478" si="230">"E210"</f>
        <v>E210</v>
      </c>
      <c r="B465">
        <v>1</v>
      </c>
      <c r="C465" t="str">
        <f t="shared" si="219"/>
        <v>14288</v>
      </c>
      <c r="D465" t="str">
        <f t="shared" si="220"/>
        <v>5740</v>
      </c>
      <c r="E465" t="str">
        <f>"850LOS"</f>
        <v>850LOS</v>
      </c>
      <c r="F465" t="str">
        <f>""</f>
        <v/>
      </c>
      <c r="G465" t="str">
        <f>""</f>
        <v/>
      </c>
      <c r="H465" s="1">
        <v>38877</v>
      </c>
      <c r="I465" t="str">
        <f>"00004857"</f>
        <v>00004857</v>
      </c>
      <c r="J465" t="str">
        <f t="shared" si="228"/>
        <v>B076276A</v>
      </c>
      <c r="K465" t="str">
        <f t="shared" si="229"/>
        <v>INNI</v>
      </c>
      <c r="L465" t="s">
        <v>205</v>
      </c>
      <c r="M465" s="3">
        <v>2854.04</v>
      </c>
    </row>
    <row r="466" spans="1:13" x14ac:dyDescent="0.25">
      <c r="A466" t="str">
        <f t="shared" si="230"/>
        <v>E210</v>
      </c>
      <c r="B466">
        <v>1</v>
      </c>
      <c r="C466" t="str">
        <f t="shared" ref="C466:C467" si="231">"14676"</f>
        <v>14676</v>
      </c>
      <c r="D466" t="str">
        <f t="shared" ref="D466:D467" si="232">"5620"</f>
        <v>5620</v>
      </c>
      <c r="E466" t="str">
        <f t="shared" ref="E466:E467" si="233">"011EQP"</f>
        <v>011EQP</v>
      </c>
      <c r="F466" t="str">
        <f>""</f>
        <v/>
      </c>
      <c r="G466" t="str">
        <f>""</f>
        <v/>
      </c>
      <c r="H466" s="1">
        <v>38898</v>
      </c>
      <c r="I466" t="str">
        <f>"61794"</f>
        <v>61794</v>
      </c>
      <c r="J466" t="str">
        <f>"F076306"</f>
        <v>F076306</v>
      </c>
      <c r="K466" t="str">
        <f>"INEI"</f>
        <v>INEI</v>
      </c>
      <c r="L466" t="s">
        <v>33</v>
      </c>
      <c r="M466" s="3">
        <v>1350</v>
      </c>
    </row>
    <row r="467" spans="1:13" x14ac:dyDescent="0.25">
      <c r="A467" t="str">
        <f t="shared" si="230"/>
        <v>E210</v>
      </c>
      <c r="B467">
        <v>1</v>
      </c>
      <c r="C467" t="str">
        <f t="shared" si="231"/>
        <v>14676</v>
      </c>
      <c r="D467" t="str">
        <f t="shared" si="232"/>
        <v>5620</v>
      </c>
      <c r="E467" t="str">
        <f t="shared" si="233"/>
        <v>011EQP</v>
      </c>
      <c r="F467" t="str">
        <f>""</f>
        <v/>
      </c>
      <c r="G467" t="str">
        <f>""</f>
        <v/>
      </c>
      <c r="H467" s="1">
        <v>38898</v>
      </c>
      <c r="I467" t="str">
        <f>"61794"</f>
        <v>61794</v>
      </c>
      <c r="J467" t="str">
        <f>"F076306"</f>
        <v>F076306</v>
      </c>
      <c r="K467" t="str">
        <f>"INEI"</f>
        <v>INEI</v>
      </c>
      <c r="L467" t="s">
        <v>33</v>
      </c>
      <c r="M467" s="3">
        <v>1170.72</v>
      </c>
    </row>
    <row r="468" spans="1:13" x14ac:dyDescent="0.25">
      <c r="A468" t="str">
        <f t="shared" si="230"/>
        <v>E210</v>
      </c>
      <c r="B468">
        <v>1</v>
      </c>
      <c r="C468" t="str">
        <f t="shared" ref="C468" si="234">"43000"</f>
        <v>43000</v>
      </c>
      <c r="D468" t="str">
        <f t="shared" ref="D468:D483" si="235">"5740"</f>
        <v>5740</v>
      </c>
      <c r="E468" t="str">
        <f>"850LOS"</f>
        <v>850LOS</v>
      </c>
      <c r="F468" t="str">
        <f>""</f>
        <v/>
      </c>
      <c r="G468" t="str">
        <f>""</f>
        <v/>
      </c>
      <c r="H468" s="1">
        <v>38659</v>
      </c>
      <c r="I468" t="str">
        <f>"076339"</f>
        <v>076339</v>
      </c>
      <c r="J468" t="str">
        <f>""</f>
        <v/>
      </c>
      <c r="K468" t="str">
        <f>"INNI"</f>
        <v>INNI</v>
      </c>
      <c r="L468" t="s">
        <v>92</v>
      </c>
      <c r="M468" s="3">
        <v>21650</v>
      </c>
    </row>
    <row r="469" spans="1:13" x14ac:dyDescent="0.25">
      <c r="A469" t="str">
        <f t="shared" si="230"/>
        <v>E210</v>
      </c>
      <c r="B469">
        <v>1</v>
      </c>
      <c r="C469" t="str">
        <f t="shared" ref="C469:C482" si="236">"43001"</f>
        <v>43001</v>
      </c>
      <c r="D469" t="str">
        <f t="shared" si="235"/>
        <v>5740</v>
      </c>
      <c r="E469" t="str">
        <f t="shared" ref="E469:E482" si="237">"850LOS"</f>
        <v>850LOS</v>
      </c>
      <c r="F469" t="str">
        <f>""</f>
        <v/>
      </c>
      <c r="G469" t="str">
        <f>""</f>
        <v/>
      </c>
      <c r="H469" s="1">
        <v>38730</v>
      </c>
      <c r="I469" t="str">
        <f>"00004542"</f>
        <v>00004542</v>
      </c>
      <c r="J469" t="str">
        <f t="shared" ref="J469:J476" si="238">"B076276A"</f>
        <v>B076276A</v>
      </c>
      <c r="K469" t="str">
        <f t="shared" ref="K469:K476" si="239">"INNI"</f>
        <v>INNI</v>
      </c>
      <c r="L469" t="s">
        <v>205</v>
      </c>
      <c r="M469" s="3">
        <v>1232.6300000000001</v>
      </c>
    </row>
    <row r="470" spans="1:13" x14ac:dyDescent="0.25">
      <c r="A470" t="str">
        <f t="shared" si="230"/>
        <v>E210</v>
      </c>
      <c r="B470">
        <v>1</v>
      </c>
      <c r="C470" t="str">
        <f t="shared" si="236"/>
        <v>43001</v>
      </c>
      <c r="D470" t="str">
        <f t="shared" si="235"/>
        <v>5740</v>
      </c>
      <c r="E470" t="str">
        <f t="shared" si="237"/>
        <v>850LOS</v>
      </c>
      <c r="F470" t="str">
        <f>""</f>
        <v/>
      </c>
      <c r="G470" t="str">
        <f>""</f>
        <v/>
      </c>
      <c r="H470" s="1">
        <v>38730</v>
      </c>
      <c r="I470" t="str">
        <f>"00004543"</f>
        <v>00004543</v>
      </c>
      <c r="J470" t="str">
        <f t="shared" si="238"/>
        <v>B076276A</v>
      </c>
      <c r="K470" t="str">
        <f t="shared" si="239"/>
        <v>INNI</v>
      </c>
      <c r="L470" t="s">
        <v>205</v>
      </c>
      <c r="M470" s="3">
        <v>6330.64</v>
      </c>
    </row>
    <row r="471" spans="1:13" x14ac:dyDescent="0.25">
      <c r="A471" t="str">
        <f t="shared" si="230"/>
        <v>E210</v>
      </c>
      <c r="B471">
        <v>1</v>
      </c>
      <c r="C471" t="str">
        <f t="shared" si="236"/>
        <v>43001</v>
      </c>
      <c r="D471" t="str">
        <f t="shared" si="235"/>
        <v>5740</v>
      </c>
      <c r="E471" t="str">
        <f t="shared" si="237"/>
        <v>850LOS</v>
      </c>
      <c r="F471" t="str">
        <f>""</f>
        <v/>
      </c>
      <c r="G471" t="str">
        <f>""</f>
        <v/>
      </c>
      <c r="H471" s="1">
        <v>38785</v>
      </c>
      <c r="I471" t="str">
        <f>"00004653"</f>
        <v>00004653</v>
      </c>
      <c r="J471" t="str">
        <f t="shared" si="238"/>
        <v>B076276A</v>
      </c>
      <c r="K471" t="str">
        <f t="shared" si="239"/>
        <v>INNI</v>
      </c>
      <c r="L471" t="s">
        <v>205</v>
      </c>
      <c r="M471" s="3">
        <v>3931.47</v>
      </c>
    </row>
    <row r="472" spans="1:13" x14ac:dyDescent="0.25">
      <c r="A472" t="str">
        <f t="shared" si="230"/>
        <v>E210</v>
      </c>
      <c r="B472">
        <v>1</v>
      </c>
      <c r="C472" t="str">
        <f t="shared" si="236"/>
        <v>43001</v>
      </c>
      <c r="D472" t="str">
        <f t="shared" si="235"/>
        <v>5740</v>
      </c>
      <c r="E472" t="str">
        <f t="shared" si="237"/>
        <v>850LOS</v>
      </c>
      <c r="F472" t="str">
        <f>""</f>
        <v/>
      </c>
      <c r="G472" t="str">
        <f>""</f>
        <v/>
      </c>
      <c r="H472" s="1">
        <v>38785</v>
      </c>
      <c r="I472" t="str">
        <f>"00004658"</f>
        <v>00004658</v>
      </c>
      <c r="J472" t="str">
        <f t="shared" si="238"/>
        <v>B076276A</v>
      </c>
      <c r="K472" t="str">
        <f t="shared" si="239"/>
        <v>INNI</v>
      </c>
      <c r="L472" t="s">
        <v>205</v>
      </c>
      <c r="M472" s="3">
        <v>2788.71</v>
      </c>
    </row>
    <row r="473" spans="1:13" x14ac:dyDescent="0.25">
      <c r="A473" t="str">
        <f t="shared" si="230"/>
        <v>E210</v>
      </c>
      <c r="B473">
        <v>1</v>
      </c>
      <c r="C473" t="str">
        <f t="shared" si="236"/>
        <v>43001</v>
      </c>
      <c r="D473" t="str">
        <f t="shared" si="235"/>
        <v>5740</v>
      </c>
      <c r="E473" t="str">
        <f t="shared" si="237"/>
        <v>850LOS</v>
      </c>
      <c r="F473" t="str">
        <f>""</f>
        <v/>
      </c>
      <c r="G473" t="str">
        <f>""</f>
        <v/>
      </c>
      <c r="H473" s="1">
        <v>38792</v>
      </c>
      <c r="I473" t="str">
        <f>"00004685"</f>
        <v>00004685</v>
      </c>
      <c r="J473" t="str">
        <f t="shared" si="238"/>
        <v>B076276A</v>
      </c>
      <c r="K473" t="str">
        <f t="shared" si="239"/>
        <v>INNI</v>
      </c>
      <c r="L473" t="s">
        <v>205</v>
      </c>
      <c r="M473" s="3">
        <v>3537.03</v>
      </c>
    </row>
    <row r="474" spans="1:13" x14ac:dyDescent="0.25">
      <c r="A474" t="str">
        <f t="shared" si="230"/>
        <v>E210</v>
      </c>
      <c r="B474">
        <v>1</v>
      </c>
      <c r="C474" t="str">
        <f t="shared" si="236"/>
        <v>43001</v>
      </c>
      <c r="D474" t="str">
        <f t="shared" si="235"/>
        <v>5740</v>
      </c>
      <c r="E474" t="str">
        <f t="shared" si="237"/>
        <v>850LOS</v>
      </c>
      <c r="F474" t="str">
        <f>""</f>
        <v/>
      </c>
      <c r="G474" t="str">
        <f>""</f>
        <v/>
      </c>
      <c r="H474" s="1">
        <v>38797</v>
      </c>
      <c r="I474" t="str">
        <f>"00004687"</f>
        <v>00004687</v>
      </c>
      <c r="J474" t="str">
        <f t="shared" si="238"/>
        <v>B076276A</v>
      </c>
      <c r="K474" t="str">
        <f t="shared" si="239"/>
        <v>INNI</v>
      </c>
      <c r="L474" t="s">
        <v>205</v>
      </c>
      <c r="M474" s="3">
        <v>3535.28</v>
      </c>
    </row>
    <row r="475" spans="1:13" x14ac:dyDescent="0.25">
      <c r="A475" t="str">
        <f t="shared" si="230"/>
        <v>E210</v>
      </c>
      <c r="B475">
        <v>1</v>
      </c>
      <c r="C475" t="str">
        <f t="shared" si="236"/>
        <v>43001</v>
      </c>
      <c r="D475" t="str">
        <f t="shared" si="235"/>
        <v>5740</v>
      </c>
      <c r="E475" t="str">
        <f t="shared" si="237"/>
        <v>850LOS</v>
      </c>
      <c r="F475" t="str">
        <f>""</f>
        <v/>
      </c>
      <c r="G475" t="str">
        <f>""</f>
        <v/>
      </c>
      <c r="H475" s="1">
        <v>38803</v>
      </c>
      <c r="I475" t="str">
        <f>"00004708"</f>
        <v>00004708</v>
      </c>
      <c r="J475" t="str">
        <f t="shared" si="238"/>
        <v>B076276A</v>
      </c>
      <c r="K475" t="str">
        <f t="shared" si="239"/>
        <v>INNI</v>
      </c>
      <c r="L475" t="s">
        <v>205</v>
      </c>
      <c r="M475" s="3">
        <v>3477.24</v>
      </c>
    </row>
    <row r="476" spans="1:13" x14ac:dyDescent="0.25">
      <c r="A476" t="str">
        <f t="shared" si="230"/>
        <v>E210</v>
      </c>
      <c r="B476">
        <v>1</v>
      </c>
      <c r="C476" t="str">
        <f t="shared" si="236"/>
        <v>43001</v>
      </c>
      <c r="D476" t="str">
        <f t="shared" si="235"/>
        <v>5740</v>
      </c>
      <c r="E476" t="str">
        <f t="shared" si="237"/>
        <v>850LOS</v>
      </c>
      <c r="F476" t="str">
        <f>""</f>
        <v/>
      </c>
      <c r="G476" t="str">
        <f>""</f>
        <v/>
      </c>
      <c r="H476" s="1">
        <v>38819</v>
      </c>
      <c r="I476" t="str">
        <f>"00004712"</f>
        <v>00004712</v>
      </c>
      <c r="J476" t="str">
        <f t="shared" si="238"/>
        <v>B076276A</v>
      </c>
      <c r="K476" t="str">
        <f t="shared" si="239"/>
        <v>INNI</v>
      </c>
      <c r="L476" t="s">
        <v>205</v>
      </c>
      <c r="M476" s="3">
        <v>1511.7</v>
      </c>
    </row>
    <row r="477" spans="1:13" x14ac:dyDescent="0.25">
      <c r="A477" t="str">
        <f t="shared" si="230"/>
        <v>E210</v>
      </c>
      <c r="B477">
        <v>1</v>
      </c>
      <c r="C477" t="str">
        <f t="shared" si="236"/>
        <v>43001</v>
      </c>
      <c r="D477" t="str">
        <f t="shared" si="235"/>
        <v>5740</v>
      </c>
      <c r="E477" t="str">
        <f t="shared" si="237"/>
        <v>850LOS</v>
      </c>
      <c r="F477" t="str">
        <f>""</f>
        <v/>
      </c>
      <c r="G477" t="str">
        <f>""</f>
        <v/>
      </c>
      <c r="H477" s="1">
        <v>38842</v>
      </c>
      <c r="I477" t="str">
        <f>"00004774"</f>
        <v>00004774</v>
      </c>
      <c r="J477" t="str">
        <f t="shared" ref="J477:J482" si="240">"B076276A"</f>
        <v>B076276A</v>
      </c>
      <c r="K477" t="str">
        <f t="shared" ref="K477:K482" si="241">"INNI"</f>
        <v>INNI</v>
      </c>
      <c r="L477" t="s">
        <v>205</v>
      </c>
      <c r="M477" s="3">
        <v>3563.51</v>
      </c>
    </row>
    <row r="478" spans="1:13" x14ac:dyDescent="0.25">
      <c r="A478" t="str">
        <f t="shared" si="230"/>
        <v>E210</v>
      </c>
      <c r="B478">
        <v>1</v>
      </c>
      <c r="C478" t="str">
        <f t="shared" si="236"/>
        <v>43001</v>
      </c>
      <c r="D478" t="str">
        <f t="shared" si="235"/>
        <v>5740</v>
      </c>
      <c r="E478" t="str">
        <f t="shared" si="237"/>
        <v>850LOS</v>
      </c>
      <c r="F478" t="str">
        <f>""</f>
        <v/>
      </c>
      <c r="G478" t="str">
        <f>""</f>
        <v/>
      </c>
      <c r="H478" s="1">
        <v>38849</v>
      </c>
      <c r="I478" t="str">
        <f>"00004795"</f>
        <v>00004795</v>
      </c>
      <c r="J478" t="str">
        <f t="shared" si="240"/>
        <v>B076276A</v>
      </c>
      <c r="K478" t="str">
        <f t="shared" si="241"/>
        <v>INNI</v>
      </c>
      <c r="L478" t="s">
        <v>205</v>
      </c>
      <c r="M478" s="3">
        <v>3450.6</v>
      </c>
    </row>
    <row r="479" spans="1:13" x14ac:dyDescent="0.25">
      <c r="A479" t="str">
        <f t="shared" ref="A479:A493" si="242">"E210"</f>
        <v>E210</v>
      </c>
      <c r="B479">
        <v>1</v>
      </c>
      <c r="C479" t="str">
        <f t="shared" si="236"/>
        <v>43001</v>
      </c>
      <c r="D479" t="str">
        <f t="shared" si="235"/>
        <v>5740</v>
      </c>
      <c r="E479" t="str">
        <f t="shared" si="237"/>
        <v>850LOS</v>
      </c>
      <c r="F479" t="str">
        <f>""</f>
        <v/>
      </c>
      <c r="G479" t="str">
        <f>""</f>
        <v/>
      </c>
      <c r="H479" s="1">
        <v>38853</v>
      </c>
      <c r="I479" t="str">
        <f>"00004741"</f>
        <v>00004741</v>
      </c>
      <c r="J479" t="str">
        <f t="shared" si="240"/>
        <v>B076276A</v>
      </c>
      <c r="K479" t="str">
        <f t="shared" si="241"/>
        <v>INNI</v>
      </c>
      <c r="L479" t="s">
        <v>205</v>
      </c>
      <c r="M479" s="3">
        <v>3513.55</v>
      </c>
    </row>
    <row r="480" spans="1:13" x14ac:dyDescent="0.25">
      <c r="A480" t="str">
        <f t="shared" si="242"/>
        <v>E210</v>
      </c>
      <c r="B480">
        <v>1</v>
      </c>
      <c r="C480" t="str">
        <f t="shared" si="236"/>
        <v>43001</v>
      </c>
      <c r="D480" t="str">
        <f t="shared" si="235"/>
        <v>5740</v>
      </c>
      <c r="E480" t="str">
        <f t="shared" si="237"/>
        <v>850LOS</v>
      </c>
      <c r="F480" t="str">
        <f>""</f>
        <v/>
      </c>
      <c r="G480" t="str">
        <f>""</f>
        <v/>
      </c>
      <c r="H480" s="1">
        <v>38853</v>
      </c>
      <c r="I480" t="str">
        <f>"00004743"</f>
        <v>00004743</v>
      </c>
      <c r="J480" t="str">
        <f t="shared" si="240"/>
        <v>B076276A</v>
      </c>
      <c r="K480" t="str">
        <f t="shared" si="241"/>
        <v>INNI</v>
      </c>
      <c r="L480" t="s">
        <v>205</v>
      </c>
      <c r="M480" s="3">
        <v>3577.46</v>
      </c>
    </row>
    <row r="481" spans="1:13" x14ac:dyDescent="0.25">
      <c r="A481" t="str">
        <f t="shared" si="242"/>
        <v>E210</v>
      </c>
      <c r="B481">
        <v>1</v>
      </c>
      <c r="C481" t="str">
        <f t="shared" si="236"/>
        <v>43001</v>
      </c>
      <c r="D481" t="str">
        <f t="shared" si="235"/>
        <v>5740</v>
      </c>
      <c r="E481" t="str">
        <f t="shared" si="237"/>
        <v>850LOS</v>
      </c>
      <c r="F481" t="str">
        <f>""</f>
        <v/>
      </c>
      <c r="G481" t="str">
        <f>""</f>
        <v/>
      </c>
      <c r="H481" s="1">
        <v>38853</v>
      </c>
      <c r="I481" t="str">
        <f>"00004771"</f>
        <v>00004771</v>
      </c>
      <c r="J481" t="str">
        <f t="shared" si="240"/>
        <v>B076276A</v>
      </c>
      <c r="K481" t="str">
        <f t="shared" si="241"/>
        <v>INNI</v>
      </c>
      <c r="L481" t="s">
        <v>205</v>
      </c>
      <c r="M481" s="3">
        <v>3591.74</v>
      </c>
    </row>
    <row r="482" spans="1:13" x14ac:dyDescent="0.25">
      <c r="A482" t="str">
        <f t="shared" si="242"/>
        <v>E210</v>
      </c>
      <c r="B482">
        <v>1</v>
      </c>
      <c r="C482" t="str">
        <f t="shared" si="236"/>
        <v>43001</v>
      </c>
      <c r="D482" t="str">
        <f t="shared" si="235"/>
        <v>5740</v>
      </c>
      <c r="E482" t="str">
        <f t="shared" si="237"/>
        <v>850LOS</v>
      </c>
      <c r="F482" t="str">
        <f>""</f>
        <v/>
      </c>
      <c r="G482" t="str">
        <f>""</f>
        <v/>
      </c>
      <c r="H482" s="1">
        <v>38861</v>
      </c>
      <c r="I482" t="str">
        <f>"00004812"</f>
        <v>00004812</v>
      </c>
      <c r="J482" t="str">
        <f t="shared" si="240"/>
        <v>B076276A</v>
      </c>
      <c r="K482" t="str">
        <f t="shared" si="241"/>
        <v>INNI</v>
      </c>
      <c r="L482" t="s">
        <v>205</v>
      </c>
      <c r="M482" s="3">
        <v>3481.79</v>
      </c>
    </row>
    <row r="483" spans="1:13" x14ac:dyDescent="0.25">
      <c r="A483" t="str">
        <f t="shared" si="242"/>
        <v>E210</v>
      </c>
      <c r="B483">
        <v>1</v>
      </c>
      <c r="C483" t="str">
        <f>"43007"</f>
        <v>43007</v>
      </c>
      <c r="D483" t="str">
        <f t="shared" si="235"/>
        <v>5740</v>
      </c>
      <c r="E483" t="str">
        <f>"850GAR"</f>
        <v>850GAR</v>
      </c>
      <c r="F483" t="str">
        <f>""</f>
        <v/>
      </c>
      <c r="G483" t="str">
        <f>""</f>
        <v/>
      </c>
      <c r="H483" s="1">
        <v>38898</v>
      </c>
      <c r="I483" t="str">
        <f>"G0614333"</f>
        <v>G0614333</v>
      </c>
      <c r="J483" t="str">
        <f>"G0614296"</f>
        <v>G0614296</v>
      </c>
      <c r="K483" t="str">
        <f>"J079"</f>
        <v>J079</v>
      </c>
      <c r="L483" t="s">
        <v>221</v>
      </c>
      <c r="M483" s="3">
        <v>2800</v>
      </c>
    </row>
    <row r="484" spans="1:13" x14ac:dyDescent="0.25">
      <c r="A484" t="str">
        <f t="shared" si="242"/>
        <v>E210</v>
      </c>
      <c r="B484">
        <v>1</v>
      </c>
      <c r="C484" t="str">
        <f t="shared" ref="C484:C493" si="243">"54551"</f>
        <v>54551</v>
      </c>
      <c r="D484" t="str">
        <f t="shared" ref="D484:D493" si="244">"5740"</f>
        <v>5740</v>
      </c>
      <c r="E484" t="str">
        <f t="shared" ref="E484:E493" si="245">"111ZAA"</f>
        <v>111ZAA</v>
      </c>
      <c r="F484" t="str">
        <f t="shared" ref="F484:F492" si="246">"GRADES"</f>
        <v>GRADES</v>
      </c>
      <c r="G484" t="str">
        <f>""</f>
        <v/>
      </c>
      <c r="H484" s="1">
        <v>38742</v>
      </c>
      <c r="I484" t="str">
        <f>"186453"</f>
        <v>186453</v>
      </c>
      <c r="J484" t="str">
        <f t="shared" ref="J484:J491" si="247">"F102798"</f>
        <v>F102798</v>
      </c>
      <c r="K484" t="str">
        <f>"INEI"</f>
        <v>INEI</v>
      </c>
      <c r="L484" t="s">
        <v>222</v>
      </c>
      <c r="M484" s="3">
        <v>24976.21</v>
      </c>
    </row>
    <row r="485" spans="1:13" x14ac:dyDescent="0.25">
      <c r="A485" t="str">
        <f t="shared" si="242"/>
        <v>E210</v>
      </c>
      <c r="B485">
        <v>1</v>
      </c>
      <c r="C485" t="str">
        <f t="shared" si="243"/>
        <v>54551</v>
      </c>
      <c r="D485" t="str">
        <f t="shared" si="244"/>
        <v>5740</v>
      </c>
      <c r="E485" t="str">
        <f t="shared" si="245"/>
        <v>111ZAA</v>
      </c>
      <c r="F485" t="str">
        <f t="shared" si="246"/>
        <v>GRADES</v>
      </c>
      <c r="G485" t="str">
        <f>""</f>
        <v/>
      </c>
      <c r="H485" s="1">
        <v>38771</v>
      </c>
      <c r="I485" t="str">
        <f>"188429"</f>
        <v>188429</v>
      </c>
      <c r="J485" t="str">
        <f t="shared" si="247"/>
        <v>F102798</v>
      </c>
      <c r="K485" t="str">
        <f>"INEI"</f>
        <v>INEI</v>
      </c>
      <c r="L485" t="s">
        <v>222</v>
      </c>
      <c r="M485" s="3">
        <v>59791.67</v>
      </c>
    </row>
    <row r="486" spans="1:13" x14ac:dyDescent="0.25">
      <c r="A486" t="str">
        <f t="shared" si="242"/>
        <v>E210</v>
      </c>
      <c r="B486">
        <v>1</v>
      </c>
      <c r="C486" t="str">
        <f t="shared" si="243"/>
        <v>54551</v>
      </c>
      <c r="D486" t="str">
        <f t="shared" si="244"/>
        <v>5740</v>
      </c>
      <c r="E486" t="str">
        <f t="shared" si="245"/>
        <v>111ZAA</v>
      </c>
      <c r="F486" t="str">
        <f t="shared" si="246"/>
        <v>GRADES</v>
      </c>
      <c r="G486" t="str">
        <f>""</f>
        <v/>
      </c>
      <c r="H486" s="1">
        <v>38806</v>
      </c>
      <c r="I486" t="str">
        <f>"G0609001"</f>
        <v>G0609001</v>
      </c>
      <c r="J486" t="str">
        <f t="shared" si="247"/>
        <v>F102798</v>
      </c>
      <c r="K486" t="str">
        <f>"J096"</f>
        <v>J096</v>
      </c>
      <c r="L486" t="s">
        <v>223</v>
      </c>
      <c r="M486" s="3">
        <v>18170.849999999999</v>
      </c>
    </row>
    <row r="487" spans="1:13" x14ac:dyDescent="0.25">
      <c r="A487" t="str">
        <f t="shared" si="242"/>
        <v>E210</v>
      </c>
      <c r="B487">
        <v>1</v>
      </c>
      <c r="C487" t="str">
        <f t="shared" si="243"/>
        <v>54551</v>
      </c>
      <c r="D487" t="str">
        <f t="shared" si="244"/>
        <v>5740</v>
      </c>
      <c r="E487" t="str">
        <f t="shared" si="245"/>
        <v>111ZAA</v>
      </c>
      <c r="F487" t="str">
        <f t="shared" si="246"/>
        <v>GRADES</v>
      </c>
      <c r="G487" t="str">
        <f>""</f>
        <v/>
      </c>
      <c r="H487" s="1">
        <v>38811</v>
      </c>
      <c r="I487" t="str">
        <f>"190938"</f>
        <v>190938</v>
      </c>
      <c r="J487" t="str">
        <f t="shared" si="247"/>
        <v>F102798</v>
      </c>
      <c r="K487" t="str">
        <f>"INEI"</f>
        <v>INEI</v>
      </c>
      <c r="L487" t="s">
        <v>222</v>
      </c>
      <c r="M487" s="3">
        <v>47061.47</v>
      </c>
    </row>
    <row r="488" spans="1:13" x14ac:dyDescent="0.25">
      <c r="A488" t="str">
        <f t="shared" si="242"/>
        <v>E210</v>
      </c>
      <c r="B488">
        <v>1</v>
      </c>
      <c r="C488" t="str">
        <f t="shared" si="243"/>
        <v>54551</v>
      </c>
      <c r="D488" t="str">
        <f t="shared" si="244"/>
        <v>5740</v>
      </c>
      <c r="E488" t="str">
        <f t="shared" si="245"/>
        <v>111ZAA</v>
      </c>
      <c r="F488" t="str">
        <f t="shared" si="246"/>
        <v>GRADES</v>
      </c>
      <c r="G488" t="str">
        <f>""</f>
        <v/>
      </c>
      <c r="H488" s="1">
        <v>38841</v>
      </c>
      <c r="I488" t="str">
        <f>"193260A"</f>
        <v>193260A</v>
      </c>
      <c r="J488" t="str">
        <f t="shared" si="247"/>
        <v>F102798</v>
      </c>
      <c r="K488" t="str">
        <f>"INEI"</f>
        <v>INEI</v>
      </c>
      <c r="L488" t="s">
        <v>222</v>
      </c>
      <c r="M488" s="3">
        <v>62474.41</v>
      </c>
    </row>
    <row r="489" spans="1:13" x14ac:dyDescent="0.25">
      <c r="A489" t="str">
        <f t="shared" si="242"/>
        <v>E210</v>
      </c>
      <c r="B489">
        <v>1</v>
      </c>
      <c r="C489" t="str">
        <f t="shared" si="243"/>
        <v>54551</v>
      </c>
      <c r="D489" t="str">
        <f t="shared" si="244"/>
        <v>5740</v>
      </c>
      <c r="E489" t="str">
        <f t="shared" si="245"/>
        <v>111ZAA</v>
      </c>
      <c r="F489" t="str">
        <f t="shared" si="246"/>
        <v>GRADES</v>
      </c>
      <c r="G489" t="str">
        <f>""</f>
        <v/>
      </c>
      <c r="H489" s="1">
        <v>38874</v>
      </c>
      <c r="I489" t="str">
        <f>"195556"</f>
        <v>195556</v>
      </c>
      <c r="J489" t="str">
        <f t="shared" si="247"/>
        <v>F102798</v>
      </c>
      <c r="K489" t="str">
        <f>"INEI"</f>
        <v>INEI</v>
      </c>
      <c r="L489" t="s">
        <v>222</v>
      </c>
      <c r="M489" s="3">
        <v>105687.6</v>
      </c>
    </row>
    <row r="490" spans="1:13" x14ac:dyDescent="0.25">
      <c r="A490" t="str">
        <f t="shared" si="242"/>
        <v>E210</v>
      </c>
      <c r="B490">
        <v>1</v>
      </c>
      <c r="C490" t="str">
        <f t="shared" si="243"/>
        <v>54551</v>
      </c>
      <c r="D490" t="str">
        <f t="shared" si="244"/>
        <v>5740</v>
      </c>
      <c r="E490" t="str">
        <f t="shared" si="245"/>
        <v>111ZAA</v>
      </c>
      <c r="F490" t="str">
        <f t="shared" si="246"/>
        <v>GRADES</v>
      </c>
      <c r="G490" t="str">
        <f>""</f>
        <v/>
      </c>
      <c r="H490" s="1">
        <v>38898</v>
      </c>
      <c r="I490" t="str">
        <f>"197671"</f>
        <v>197671</v>
      </c>
      <c r="J490" t="str">
        <f t="shared" si="247"/>
        <v>F102798</v>
      </c>
      <c r="K490" t="str">
        <f>"INEI"</f>
        <v>INEI</v>
      </c>
      <c r="L490" t="s">
        <v>222</v>
      </c>
      <c r="M490" s="3">
        <v>45898.78</v>
      </c>
    </row>
    <row r="491" spans="1:13" x14ac:dyDescent="0.25">
      <c r="A491" t="str">
        <f t="shared" si="242"/>
        <v>E210</v>
      </c>
      <c r="B491">
        <v>1</v>
      </c>
      <c r="C491" t="str">
        <f t="shared" si="243"/>
        <v>54551</v>
      </c>
      <c r="D491" t="str">
        <f t="shared" si="244"/>
        <v>5740</v>
      </c>
      <c r="E491" t="str">
        <f t="shared" si="245"/>
        <v>111ZAA</v>
      </c>
      <c r="F491" t="str">
        <f t="shared" si="246"/>
        <v>GRADES</v>
      </c>
      <c r="G491" t="str">
        <f>""</f>
        <v/>
      </c>
      <c r="H491" s="1">
        <v>38898</v>
      </c>
      <c r="I491" t="str">
        <f>"199930"</f>
        <v>199930</v>
      </c>
      <c r="J491" t="str">
        <f t="shared" si="247"/>
        <v>F102798</v>
      </c>
      <c r="K491" t="str">
        <f>"INEI"</f>
        <v>INEI</v>
      </c>
      <c r="L491" t="s">
        <v>222</v>
      </c>
      <c r="M491" s="3">
        <v>9585.49</v>
      </c>
    </row>
    <row r="492" spans="1:13" x14ac:dyDescent="0.25">
      <c r="A492" t="str">
        <f t="shared" si="242"/>
        <v>E210</v>
      </c>
      <c r="B492">
        <v>1</v>
      </c>
      <c r="C492" t="str">
        <f t="shared" si="243"/>
        <v>54551</v>
      </c>
      <c r="D492" t="str">
        <f t="shared" si="244"/>
        <v>5740</v>
      </c>
      <c r="E492" t="str">
        <f t="shared" si="245"/>
        <v>111ZAA</v>
      </c>
      <c r="F492" t="str">
        <f t="shared" si="246"/>
        <v>GRADES</v>
      </c>
      <c r="G492" t="str">
        <f>""</f>
        <v/>
      </c>
      <c r="H492" s="1">
        <v>38898</v>
      </c>
      <c r="I492" t="str">
        <f>"G0614027"</f>
        <v>G0614027</v>
      </c>
      <c r="J492" t="str">
        <f>""</f>
        <v/>
      </c>
      <c r="K492" t="str">
        <f>"J096"</f>
        <v>J096</v>
      </c>
      <c r="L492" t="s">
        <v>224</v>
      </c>
      <c r="M492" s="3">
        <v>10922</v>
      </c>
    </row>
    <row r="493" spans="1:13" x14ac:dyDescent="0.25">
      <c r="A493" t="str">
        <f t="shared" si="242"/>
        <v>E210</v>
      </c>
      <c r="B493">
        <v>1</v>
      </c>
      <c r="C493" t="str">
        <f t="shared" si="243"/>
        <v>54551</v>
      </c>
      <c r="D493" t="str">
        <f t="shared" si="244"/>
        <v>5740</v>
      </c>
      <c r="E493" t="str">
        <f t="shared" si="245"/>
        <v>111ZAA</v>
      </c>
      <c r="F493" t="str">
        <f>""</f>
        <v/>
      </c>
      <c r="G493" t="str">
        <f>""</f>
        <v/>
      </c>
      <c r="H493" s="1">
        <v>38734</v>
      </c>
      <c r="I493" t="str">
        <f>"184645"</f>
        <v>184645</v>
      </c>
      <c r="J493" t="str">
        <f>"F102798"</f>
        <v>F102798</v>
      </c>
      <c r="K493" t="str">
        <f>"INEI"</f>
        <v>INEI</v>
      </c>
      <c r="L493" t="s">
        <v>222</v>
      </c>
      <c r="M493" s="3">
        <v>18170.849999999999</v>
      </c>
    </row>
    <row r="494" spans="1:13" x14ac:dyDescent="0.25">
      <c r="A494" t="str">
        <f t="shared" ref="A494:A499" si="248">"E216"</f>
        <v>E216</v>
      </c>
      <c r="B494">
        <v>1</v>
      </c>
      <c r="C494" t="str">
        <f t="shared" ref="C494:C496" si="249">"14185"</f>
        <v>14185</v>
      </c>
      <c r="D494" t="str">
        <f t="shared" ref="D494:D496" si="250">"5620"</f>
        <v>5620</v>
      </c>
      <c r="E494" t="str">
        <f t="shared" ref="E494:E496" si="251">"094OMS"</f>
        <v>094OMS</v>
      </c>
      <c r="F494" t="str">
        <f>""</f>
        <v/>
      </c>
      <c r="G494" t="str">
        <f>""</f>
        <v/>
      </c>
      <c r="H494" s="1">
        <v>38560</v>
      </c>
      <c r="I494" t="str">
        <f>"17478B"</f>
        <v>17478B</v>
      </c>
      <c r="J494" t="str">
        <f>"N076270A"</f>
        <v>N076270A</v>
      </c>
      <c r="K494" t="str">
        <f>"INEI"</f>
        <v>INEI</v>
      </c>
      <c r="L494" t="s">
        <v>226</v>
      </c>
      <c r="M494" s="3">
        <v>4332</v>
      </c>
    </row>
    <row r="495" spans="1:13" x14ac:dyDescent="0.25">
      <c r="A495" t="str">
        <f t="shared" si="248"/>
        <v>E216</v>
      </c>
      <c r="B495">
        <v>1</v>
      </c>
      <c r="C495" t="str">
        <f t="shared" si="249"/>
        <v>14185</v>
      </c>
      <c r="D495" t="str">
        <f t="shared" si="250"/>
        <v>5620</v>
      </c>
      <c r="E495" t="str">
        <f t="shared" si="251"/>
        <v>094OMS</v>
      </c>
      <c r="F495" t="str">
        <f>""</f>
        <v/>
      </c>
      <c r="G495" t="str">
        <f>""</f>
        <v/>
      </c>
      <c r="H495" s="1">
        <v>38730</v>
      </c>
      <c r="I495" t="str">
        <f>"PCD00215"</f>
        <v>PCD00215</v>
      </c>
      <c r="J495" t="str">
        <f>"35346"</f>
        <v>35346</v>
      </c>
      <c r="K495" t="str">
        <f>"AS89"</f>
        <v>AS89</v>
      </c>
      <c r="L495" t="s">
        <v>227</v>
      </c>
      <c r="M495" s="3">
        <v>200</v>
      </c>
    </row>
    <row r="496" spans="1:13" x14ac:dyDescent="0.25">
      <c r="A496" t="str">
        <f t="shared" si="248"/>
        <v>E216</v>
      </c>
      <c r="B496">
        <v>1</v>
      </c>
      <c r="C496" t="str">
        <f t="shared" si="249"/>
        <v>14185</v>
      </c>
      <c r="D496" t="str">
        <f t="shared" si="250"/>
        <v>5620</v>
      </c>
      <c r="E496" t="str">
        <f t="shared" si="251"/>
        <v>094OMS</v>
      </c>
      <c r="F496" t="str">
        <f>""</f>
        <v/>
      </c>
      <c r="G496" t="str">
        <f>""</f>
        <v/>
      </c>
      <c r="H496" s="1">
        <v>38784</v>
      </c>
      <c r="I496" t="str">
        <f>"076385"</f>
        <v>076385</v>
      </c>
      <c r="J496" t="str">
        <f>""</f>
        <v/>
      </c>
      <c r="K496" t="str">
        <f>"INNI"</f>
        <v>INNI</v>
      </c>
      <c r="L496" t="s">
        <v>228</v>
      </c>
      <c r="M496" s="3">
        <v>100</v>
      </c>
    </row>
    <row r="497" spans="1:13" x14ac:dyDescent="0.25">
      <c r="A497" t="str">
        <f t="shared" si="248"/>
        <v>E216</v>
      </c>
      <c r="B497">
        <v>1</v>
      </c>
      <c r="C497" t="str">
        <f t="shared" ref="C497:C504" si="252">"43000"</f>
        <v>43000</v>
      </c>
      <c r="D497" t="str">
        <f t="shared" ref="D497:D504" si="253">"5740"</f>
        <v>5740</v>
      </c>
      <c r="E497" t="str">
        <f t="shared" ref="E497:E504" si="254">"850LOS"</f>
        <v>850LOS</v>
      </c>
      <c r="F497" t="str">
        <f>""</f>
        <v/>
      </c>
      <c r="G497" t="str">
        <f>""</f>
        <v/>
      </c>
      <c r="H497" s="1">
        <v>38716</v>
      </c>
      <c r="I497" t="str">
        <f>"109404M"</f>
        <v>109404M</v>
      </c>
      <c r="J497" t="str">
        <f>"B064718B"</f>
        <v>B064718B</v>
      </c>
      <c r="K497" t="str">
        <f>"INNI"</f>
        <v>INNI</v>
      </c>
      <c r="L497" t="s">
        <v>229</v>
      </c>
      <c r="M497" s="3">
        <v>16667.400000000001</v>
      </c>
    </row>
    <row r="498" spans="1:13" x14ac:dyDescent="0.25">
      <c r="A498" t="str">
        <f t="shared" si="248"/>
        <v>E216</v>
      </c>
      <c r="B498">
        <v>1</v>
      </c>
      <c r="C498" t="str">
        <f t="shared" si="252"/>
        <v>43000</v>
      </c>
      <c r="D498" t="str">
        <f t="shared" si="253"/>
        <v>5740</v>
      </c>
      <c r="E498" t="str">
        <f t="shared" si="254"/>
        <v>850LOS</v>
      </c>
      <c r="F498" t="str">
        <f>""</f>
        <v/>
      </c>
      <c r="G498" t="str">
        <f>""</f>
        <v/>
      </c>
      <c r="H498" s="1">
        <v>38716</v>
      </c>
      <c r="I498" t="str">
        <f>"109790M"</f>
        <v>109790M</v>
      </c>
      <c r="J498" t="str">
        <f>"B064718B"</f>
        <v>B064718B</v>
      </c>
      <c r="K498" t="str">
        <f>"INNI"</f>
        <v>INNI</v>
      </c>
      <c r="L498" t="s">
        <v>229</v>
      </c>
      <c r="M498" s="3">
        <v>16682.8</v>
      </c>
    </row>
    <row r="499" spans="1:13" x14ac:dyDescent="0.25">
      <c r="A499" t="str">
        <f t="shared" si="248"/>
        <v>E216</v>
      </c>
      <c r="B499">
        <v>1</v>
      </c>
      <c r="C499" t="str">
        <f t="shared" si="252"/>
        <v>43000</v>
      </c>
      <c r="D499" t="str">
        <f t="shared" si="253"/>
        <v>5740</v>
      </c>
      <c r="E499" t="str">
        <f t="shared" si="254"/>
        <v>850LOS</v>
      </c>
      <c r="F499" t="str">
        <f>""</f>
        <v/>
      </c>
      <c r="G499" t="str">
        <f>""</f>
        <v/>
      </c>
      <c r="H499" s="1">
        <v>38890</v>
      </c>
      <c r="I499" t="str">
        <f>"110064M"</f>
        <v>110064M</v>
      </c>
      <c r="J499" t="str">
        <f>"B064718B"</f>
        <v>B064718B</v>
      </c>
      <c r="K499" t="str">
        <f>"INNI"</f>
        <v>INNI</v>
      </c>
      <c r="L499" t="s">
        <v>229</v>
      </c>
      <c r="M499" s="3">
        <v>617.30999999999995</v>
      </c>
    </row>
    <row r="500" spans="1:13" x14ac:dyDescent="0.25">
      <c r="A500" t="str">
        <f t="shared" ref="A500:A505" si="255">"E217"</f>
        <v>E217</v>
      </c>
      <c r="B500">
        <v>1</v>
      </c>
      <c r="C500" t="str">
        <f t="shared" si="252"/>
        <v>43000</v>
      </c>
      <c r="D500" t="str">
        <f t="shared" si="253"/>
        <v>5740</v>
      </c>
      <c r="E500" t="str">
        <f t="shared" si="254"/>
        <v>850LOS</v>
      </c>
      <c r="F500" t="str">
        <f>""</f>
        <v/>
      </c>
      <c r="G500" t="str">
        <f>""</f>
        <v/>
      </c>
      <c r="H500" s="1">
        <v>38595</v>
      </c>
      <c r="I500" t="str">
        <f t="shared" ref="I500" si="256">"CMG00494"</f>
        <v>CMG00494</v>
      </c>
      <c r="J500" t="str">
        <f>""</f>
        <v/>
      </c>
      <c r="K500" t="str">
        <f t="shared" ref="K500:K505" si="257">"J089"</f>
        <v>J089</v>
      </c>
      <c r="L500" t="s">
        <v>230</v>
      </c>
      <c r="M500" s="3">
        <v>145.04</v>
      </c>
    </row>
    <row r="501" spans="1:13" x14ac:dyDescent="0.25">
      <c r="A501" t="str">
        <f t="shared" si="255"/>
        <v>E217</v>
      </c>
      <c r="B501">
        <v>1</v>
      </c>
      <c r="C501" t="str">
        <f t="shared" si="252"/>
        <v>43000</v>
      </c>
      <c r="D501" t="str">
        <f t="shared" si="253"/>
        <v>5740</v>
      </c>
      <c r="E501" t="str">
        <f t="shared" si="254"/>
        <v>850LOS</v>
      </c>
      <c r="F501" t="str">
        <f>""</f>
        <v/>
      </c>
      <c r="G501" t="str">
        <f>""</f>
        <v/>
      </c>
      <c r="H501" s="1">
        <v>38625</v>
      </c>
      <c r="I501" t="str">
        <f t="shared" ref="I501" si="258">"CMG00495"</f>
        <v>CMG00495</v>
      </c>
      <c r="J501" t="str">
        <f>""</f>
        <v/>
      </c>
      <c r="K501" t="str">
        <f t="shared" si="257"/>
        <v>J089</v>
      </c>
      <c r="L501" t="s">
        <v>231</v>
      </c>
      <c r="M501" s="3">
        <v>160.88</v>
      </c>
    </row>
    <row r="502" spans="1:13" x14ac:dyDescent="0.25">
      <c r="A502" t="str">
        <f t="shared" si="255"/>
        <v>E217</v>
      </c>
      <c r="B502">
        <v>1</v>
      </c>
      <c r="C502" t="str">
        <f t="shared" si="252"/>
        <v>43000</v>
      </c>
      <c r="D502" t="str">
        <f t="shared" si="253"/>
        <v>5740</v>
      </c>
      <c r="E502" t="str">
        <f t="shared" si="254"/>
        <v>850LOS</v>
      </c>
      <c r="F502" t="str">
        <f>""</f>
        <v/>
      </c>
      <c r="G502" t="str">
        <f>""</f>
        <v/>
      </c>
      <c r="H502" s="1">
        <v>38656</v>
      </c>
      <c r="I502" t="str">
        <f t="shared" ref="I502:I503" si="259">"CMG00498"</f>
        <v>CMG00498</v>
      </c>
      <c r="J502" t="str">
        <f>""</f>
        <v/>
      </c>
      <c r="K502" t="str">
        <f t="shared" si="257"/>
        <v>J089</v>
      </c>
      <c r="L502" t="s">
        <v>232</v>
      </c>
      <c r="M502" s="3">
        <v>203.82</v>
      </c>
    </row>
    <row r="503" spans="1:13" x14ac:dyDescent="0.25">
      <c r="A503" t="str">
        <f t="shared" si="255"/>
        <v>E217</v>
      </c>
      <c r="B503">
        <v>1</v>
      </c>
      <c r="C503" t="str">
        <f t="shared" si="252"/>
        <v>43000</v>
      </c>
      <c r="D503" t="str">
        <f t="shared" si="253"/>
        <v>5740</v>
      </c>
      <c r="E503" t="str">
        <f t="shared" si="254"/>
        <v>850LOS</v>
      </c>
      <c r="F503" t="str">
        <f>""</f>
        <v/>
      </c>
      <c r="G503" t="str">
        <f>""</f>
        <v/>
      </c>
      <c r="H503" s="1">
        <v>38656</v>
      </c>
      <c r="I503" t="str">
        <f t="shared" si="259"/>
        <v>CMG00498</v>
      </c>
      <c r="J503" t="str">
        <f>""</f>
        <v/>
      </c>
      <c r="K503" t="str">
        <f t="shared" si="257"/>
        <v>J089</v>
      </c>
      <c r="L503" t="s">
        <v>232</v>
      </c>
      <c r="M503" s="3">
        <v>4606.04</v>
      </c>
    </row>
    <row r="504" spans="1:13" x14ac:dyDescent="0.25">
      <c r="A504" t="str">
        <f t="shared" si="255"/>
        <v>E217</v>
      </c>
      <c r="B504">
        <v>1</v>
      </c>
      <c r="C504" t="str">
        <f t="shared" si="252"/>
        <v>43000</v>
      </c>
      <c r="D504" t="str">
        <f t="shared" si="253"/>
        <v>5740</v>
      </c>
      <c r="E504" t="str">
        <f t="shared" si="254"/>
        <v>850LOS</v>
      </c>
      <c r="F504" t="str">
        <f>""</f>
        <v/>
      </c>
      <c r="G504" t="str">
        <f>""</f>
        <v/>
      </c>
      <c r="H504" s="1">
        <v>38686</v>
      </c>
      <c r="I504" t="str">
        <f t="shared" ref="I504:I505" si="260">"CMG00499"</f>
        <v>CMG00499</v>
      </c>
      <c r="J504" t="str">
        <f>""</f>
        <v/>
      </c>
      <c r="K504" t="str">
        <f t="shared" si="257"/>
        <v>J089</v>
      </c>
      <c r="L504" t="s">
        <v>233</v>
      </c>
      <c r="M504" s="3">
        <v>126.17</v>
      </c>
    </row>
    <row r="505" spans="1:13" x14ac:dyDescent="0.25">
      <c r="A505" t="str">
        <f t="shared" si="255"/>
        <v>E217</v>
      </c>
      <c r="B505">
        <v>1</v>
      </c>
      <c r="C505" t="str">
        <f t="shared" ref="C505:C511" si="261">"43000"</f>
        <v>43000</v>
      </c>
      <c r="D505" t="str">
        <f t="shared" ref="D505:D511" si="262">"5740"</f>
        <v>5740</v>
      </c>
      <c r="E505" t="str">
        <f t="shared" ref="E505:E511" si="263">"850LOS"</f>
        <v>850LOS</v>
      </c>
      <c r="F505" t="str">
        <f>""</f>
        <v/>
      </c>
      <c r="G505" t="str">
        <f>""</f>
        <v/>
      </c>
      <c r="H505" s="1">
        <v>38686</v>
      </c>
      <c r="I505" t="str">
        <f t="shared" si="260"/>
        <v>CMG00499</v>
      </c>
      <c r="J505" t="str">
        <f>""</f>
        <v/>
      </c>
      <c r="K505" t="str">
        <f t="shared" si="257"/>
        <v>J089</v>
      </c>
      <c r="L505" t="s">
        <v>233</v>
      </c>
      <c r="M505" s="3">
        <v>519.94000000000005</v>
      </c>
    </row>
    <row r="506" spans="1:13" x14ac:dyDescent="0.25">
      <c r="A506" t="str">
        <f t="shared" ref="A506:A512" si="264">"E217"</f>
        <v>E217</v>
      </c>
      <c r="B506">
        <v>1</v>
      </c>
      <c r="C506" t="str">
        <f t="shared" si="261"/>
        <v>43000</v>
      </c>
      <c r="D506" t="str">
        <f t="shared" si="262"/>
        <v>5740</v>
      </c>
      <c r="E506" t="str">
        <f t="shared" si="263"/>
        <v>850LOS</v>
      </c>
      <c r="F506" t="str">
        <f>""</f>
        <v/>
      </c>
      <c r="G506" t="str">
        <f>""</f>
        <v/>
      </c>
      <c r="H506" s="1">
        <v>38714</v>
      </c>
      <c r="I506" t="str">
        <f t="shared" ref="I506:I507" si="265">"CMG00501"</f>
        <v>CMG00501</v>
      </c>
      <c r="J506" t="str">
        <f>""</f>
        <v/>
      </c>
      <c r="K506" t="str">
        <f t="shared" ref="K506:K512" si="266">"J089"</f>
        <v>J089</v>
      </c>
      <c r="L506" t="s">
        <v>234</v>
      </c>
      <c r="M506" s="3">
        <v>218.91</v>
      </c>
    </row>
    <row r="507" spans="1:13" x14ac:dyDescent="0.25">
      <c r="A507" t="str">
        <f t="shared" si="264"/>
        <v>E217</v>
      </c>
      <c r="B507">
        <v>1</v>
      </c>
      <c r="C507" t="str">
        <f t="shared" si="261"/>
        <v>43000</v>
      </c>
      <c r="D507" t="str">
        <f t="shared" si="262"/>
        <v>5740</v>
      </c>
      <c r="E507" t="str">
        <f t="shared" si="263"/>
        <v>850LOS</v>
      </c>
      <c r="F507" t="str">
        <f>""</f>
        <v/>
      </c>
      <c r="G507" t="str">
        <f>""</f>
        <v/>
      </c>
      <c r="H507" s="1">
        <v>38714</v>
      </c>
      <c r="I507" t="str">
        <f t="shared" si="265"/>
        <v>CMG00501</v>
      </c>
      <c r="J507" t="str">
        <f>""</f>
        <v/>
      </c>
      <c r="K507" t="str">
        <f t="shared" si="266"/>
        <v>J089</v>
      </c>
      <c r="L507" t="s">
        <v>234</v>
      </c>
      <c r="M507" s="3">
        <v>315.33999999999997</v>
      </c>
    </row>
    <row r="508" spans="1:13" x14ac:dyDescent="0.25">
      <c r="A508" t="str">
        <f t="shared" si="264"/>
        <v>E217</v>
      </c>
      <c r="B508">
        <v>1</v>
      </c>
      <c r="C508" t="str">
        <f t="shared" si="261"/>
        <v>43000</v>
      </c>
      <c r="D508" t="str">
        <f t="shared" si="262"/>
        <v>5740</v>
      </c>
      <c r="E508" t="str">
        <f t="shared" si="263"/>
        <v>850LOS</v>
      </c>
      <c r="F508" t="str">
        <f>""</f>
        <v/>
      </c>
      <c r="G508" t="str">
        <f>""</f>
        <v/>
      </c>
      <c r="H508" s="1">
        <v>38743</v>
      </c>
      <c r="I508" t="str">
        <f t="shared" ref="I508:I509" si="267">"CMG00503"</f>
        <v>CMG00503</v>
      </c>
      <c r="J508" t="str">
        <f>""</f>
        <v/>
      </c>
      <c r="K508" t="str">
        <f t="shared" si="266"/>
        <v>J089</v>
      </c>
      <c r="L508" t="s">
        <v>235</v>
      </c>
      <c r="M508" s="3">
        <v>188.2</v>
      </c>
    </row>
    <row r="509" spans="1:13" x14ac:dyDescent="0.25">
      <c r="A509" t="str">
        <f t="shared" si="264"/>
        <v>E217</v>
      </c>
      <c r="B509">
        <v>1</v>
      </c>
      <c r="C509" t="str">
        <f t="shared" si="261"/>
        <v>43000</v>
      </c>
      <c r="D509" t="str">
        <f t="shared" si="262"/>
        <v>5740</v>
      </c>
      <c r="E509" t="str">
        <f t="shared" si="263"/>
        <v>850LOS</v>
      </c>
      <c r="F509" t="str">
        <f>""</f>
        <v/>
      </c>
      <c r="G509" t="str">
        <f>""</f>
        <v/>
      </c>
      <c r="H509" s="1">
        <v>38743</v>
      </c>
      <c r="I509" t="str">
        <f t="shared" si="267"/>
        <v>CMG00503</v>
      </c>
      <c r="J509" t="str">
        <f>""</f>
        <v/>
      </c>
      <c r="K509" t="str">
        <f t="shared" si="266"/>
        <v>J089</v>
      </c>
      <c r="L509" t="s">
        <v>235</v>
      </c>
      <c r="M509" s="3">
        <v>418.26</v>
      </c>
    </row>
    <row r="510" spans="1:13" x14ac:dyDescent="0.25">
      <c r="A510" t="str">
        <f t="shared" si="264"/>
        <v>E217</v>
      </c>
      <c r="B510">
        <v>1</v>
      </c>
      <c r="C510" t="str">
        <f t="shared" si="261"/>
        <v>43000</v>
      </c>
      <c r="D510" t="str">
        <f t="shared" si="262"/>
        <v>5740</v>
      </c>
      <c r="E510" t="str">
        <f t="shared" si="263"/>
        <v>850LOS</v>
      </c>
      <c r="F510" t="str">
        <f>""</f>
        <v/>
      </c>
      <c r="G510" t="str">
        <f>""</f>
        <v/>
      </c>
      <c r="H510" s="1">
        <v>38776</v>
      </c>
      <c r="I510" t="str">
        <f t="shared" ref="I510:I511" si="268">"CMG00505"</f>
        <v>CMG00505</v>
      </c>
      <c r="J510" t="str">
        <f>""</f>
        <v/>
      </c>
      <c r="K510" t="str">
        <f t="shared" si="266"/>
        <v>J089</v>
      </c>
      <c r="L510" t="s">
        <v>236</v>
      </c>
      <c r="M510" s="3">
        <v>230.11</v>
      </c>
    </row>
    <row r="511" spans="1:13" x14ac:dyDescent="0.25">
      <c r="A511" t="str">
        <f t="shared" si="264"/>
        <v>E217</v>
      </c>
      <c r="B511">
        <v>1</v>
      </c>
      <c r="C511" t="str">
        <f t="shared" si="261"/>
        <v>43000</v>
      </c>
      <c r="D511" t="str">
        <f t="shared" si="262"/>
        <v>5740</v>
      </c>
      <c r="E511" t="str">
        <f t="shared" si="263"/>
        <v>850LOS</v>
      </c>
      <c r="F511" t="str">
        <f>""</f>
        <v/>
      </c>
      <c r="G511" t="str">
        <f>""</f>
        <v/>
      </c>
      <c r="H511" s="1">
        <v>38776</v>
      </c>
      <c r="I511" t="str">
        <f t="shared" si="268"/>
        <v>CMG00505</v>
      </c>
      <c r="J511" t="str">
        <f>""</f>
        <v/>
      </c>
      <c r="K511" t="str">
        <f t="shared" si="266"/>
        <v>J089</v>
      </c>
      <c r="L511" t="s">
        <v>236</v>
      </c>
      <c r="M511" s="3">
        <v>757.36</v>
      </c>
    </row>
    <row r="512" spans="1:13" x14ac:dyDescent="0.25">
      <c r="A512" t="str">
        <f t="shared" si="264"/>
        <v>E217</v>
      </c>
      <c r="B512">
        <v>1</v>
      </c>
      <c r="C512" t="str">
        <f t="shared" ref="C512:C518" si="269">"43000"</f>
        <v>43000</v>
      </c>
      <c r="D512" t="str">
        <f t="shared" ref="D512:D518" si="270">"5740"</f>
        <v>5740</v>
      </c>
      <c r="E512" t="str">
        <f t="shared" ref="E512:E518" si="271">"850LOS"</f>
        <v>850LOS</v>
      </c>
      <c r="F512" t="str">
        <f>""</f>
        <v/>
      </c>
      <c r="G512" t="str">
        <f>""</f>
        <v/>
      </c>
      <c r="H512" s="1">
        <v>38807</v>
      </c>
      <c r="I512" t="str">
        <f t="shared" ref="I512" si="272">"CMG00507"</f>
        <v>CMG00507</v>
      </c>
      <c r="J512" t="str">
        <f>""</f>
        <v/>
      </c>
      <c r="K512" t="str">
        <f t="shared" si="266"/>
        <v>J089</v>
      </c>
      <c r="L512" t="s">
        <v>237</v>
      </c>
      <c r="M512" s="3">
        <v>461.19</v>
      </c>
    </row>
    <row r="513" spans="1:13" x14ac:dyDescent="0.25">
      <c r="A513" t="str">
        <f t="shared" ref="A513:A518" si="273">"E217"</f>
        <v>E217</v>
      </c>
      <c r="B513">
        <v>1</v>
      </c>
      <c r="C513" t="str">
        <f t="shared" si="269"/>
        <v>43000</v>
      </c>
      <c r="D513" t="str">
        <f t="shared" si="270"/>
        <v>5740</v>
      </c>
      <c r="E513" t="str">
        <f t="shared" si="271"/>
        <v>850LOS</v>
      </c>
      <c r="F513" t="str">
        <f>""</f>
        <v/>
      </c>
      <c r="G513" t="str">
        <f>""</f>
        <v/>
      </c>
      <c r="H513" s="1">
        <v>38837</v>
      </c>
      <c r="I513" t="str">
        <f t="shared" ref="I513:I514" si="274">"CMG00509"</f>
        <v>CMG00509</v>
      </c>
      <c r="J513" t="str">
        <f>""</f>
        <v/>
      </c>
      <c r="K513" t="str">
        <f t="shared" ref="K513:K518" si="275">"J089"</f>
        <v>J089</v>
      </c>
      <c r="L513" t="s">
        <v>238</v>
      </c>
      <c r="M513" s="3">
        <v>505</v>
      </c>
    </row>
    <row r="514" spans="1:13" x14ac:dyDescent="0.25">
      <c r="A514" t="str">
        <f t="shared" si="273"/>
        <v>E217</v>
      </c>
      <c r="B514">
        <v>1</v>
      </c>
      <c r="C514" t="str">
        <f t="shared" si="269"/>
        <v>43000</v>
      </c>
      <c r="D514" t="str">
        <f t="shared" si="270"/>
        <v>5740</v>
      </c>
      <c r="E514" t="str">
        <f t="shared" si="271"/>
        <v>850LOS</v>
      </c>
      <c r="F514" t="str">
        <f>""</f>
        <v/>
      </c>
      <c r="G514" t="str">
        <f>""</f>
        <v/>
      </c>
      <c r="H514" s="1">
        <v>38837</v>
      </c>
      <c r="I514" t="str">
        <f t="shared" si="274"/>
        <v>CMG00509</v>
      </c>
      <c r="J514" t="str">
        <f>""</f>
        <v/>
      </c>
      <c r="K514" t="str">
        <f t="shared" si="275"/>
        <v>J089</v>
      </c>
      <c r="L514" t="s">
        <v>238</v>
      </c>
      <c r="M514" s="3">
        <v>206.54</v>
      </c>
    </row>
    <row r="515" spans="1:13" x14ac:dyDescent="0.25">
      <c r="A515" t="str">
        <f t="shared" si="273"/>
        <v>E217</v>
      </c>
      <c r="B515">
        <v>1</v>
      </c>
      <c r="C515" t="str">
        <f t="shared" si="269"/>
        <v>43000</v>
      </c>
      <c r="D515" t="str">
        <f t="shared" si="270"/>
        <v>5740</v>
      </c>
      <c r="E515" t="str">
        <f t="shared" si="271"/>
        <v>850LOS</v>
      </c>
      <c r="F515" t="str">
        <f>""</f>
        <v/>
      </c>
      <c r="G515" t="str">
        <f>""</f>
        <v/>
      </c>
      <c r="H515" s="1">
        <v>38856</v>
      </c>
      <c r="I515" t="str">
        <f>"CMG00512"</f>
        <v>CMG00512</v>
      </c>
      <c r="J515" t="str">
        <f>""</f>
        <v/>
      </c>
      <c r="K515" t="str">
        <f t="shared" si="275"/>
        <v>J089</v>
      </c>
      <c r="L515" t="s">
        <v>239</v>
      </c>
      <c r="M515" s="3">
        <v>110.63</v>
      </c>
    </row>
    <row r="516" spans="1:13" x14ac:dyDescent="0.25">
      <c r="A516" t="str">
        <f t="shared" si="273"/>
        <v>E217</v>
      </c>
      <c r="B516">
        <v>1</v>
      </c>
      <c r="C516" t="str">
        <f t="shared" si="269"/>
        <v>43000</v>
      </c>
      <c r="D516" t="str">
        <f t="shared" si="270"/>
        <v>5740</v>
      </c>
      <c r="E516" t="str">
        <f t="shared" si="271"/>
        <v>850LOS</v>
      </c>
      <c r="F516" t="str">
        <f>""</f>
        <v/>
      </c>
      <c r="G516" t="str">
        <f>""</f>
        <v/>
      </c>
      <c r="H516" s="1">
        <v>38897</v>
      </c>
      <c r="I516" t="str">
        <f>"CMG00515"</f>
        <v>CMG00515</v>
      </c>
      <c r="J516" t="str">
        <f>""</f>
        <v/>
      </c>
      <c r="K516" t="str">
        <f t="shared" si="275"/>
        <v>J089</v>
      </c>
      <c r="L516" t="s">
        <v>240</v>
      </c>
      <c r="M516" s="3">
        <v>539.23</v>
      </c>
    </row>
    <row r="517" spans="1:13" x14ac:dyDescent="0.25">
      <c r="A517" t="str">
        <f t="shared" si="273"/>
        <v>E217</v>
      </c>
      <c r="B517">
        <v>1</v>
      </c>
      <c r="C517" t="str">
        <f t="shared" si="269"/>
        <v>43000</v>
      </c>
      <c r="D517" t="str">
        <f t="shared" si="270"/>
        <v>5740</v>
      </c>
      <c r="E517" t="str">
        <f t="shared" si="271"/>
        <v>850LOS</v>
      </c>
      <c r="F517" t="str">
        <f>""</f>
        <v/>
      </c>
      <c r="G517" t="str">
        <f>""</f>
        <v/>
      </c>
      <c r="H517" s="1">
        <v>38897</v>
      </c>
      <c r="I517" t="str">
        <f t="shared" ref="I517" si="276">"CMG00513"</f>
        <v>CMG00513</v>
      </c>
      <c r="J517" t="str">
        <f>""</f>
        <v/>
      </c>
      <c r="K517" t="str">
        <f t="shared" si="275"/>
        <v>J089</v>
      </c>
      <c r="L517" t="s">
        <v>239</v>
      </c>
      <c r="M517" s="3">
        <v>110.63</v>
      </c>
    </row>
    <row r="518" spans="1:13" x14ac:dyDescent="0.25">
      <c r="A518" t="str">
        <f t="shared" si="273"/>
        <v>E217</v>
      </c>
      <c r="B518">
        <v>1</v>
      </c>
      <c r="C518" t="str">
        <f t="shared" si="269"/>
        <v>43000</v>
      </c>
      <c r="D518" t="str">
        <f t="shared" si="270"/>
        <v>5740</v>
      </c>
      <c r="E518" t="str">
        <f t="shared" si="271"/>
        <v>850LOS</v>
      </c>
      <c r="F518" t="str">
        <f>""</f>
        <v/>
      </c>
      <c r="G518" t="str">
        <f>""</f>
        <v/>
      </c>
      <c r="H518" s="1">
        <v>38898</v>
      </c>
      <c r="I518" t="str">
        <f>"CMG00517"</f>
        <v>CMG00517</v>
      </c>
      <c r="J518" t="str">
        <f>""</f>
        <v/>
      </c>
      <c r="K518" t="str">
        <f t="shared" si="275"/>
        <v>J089</v>
      </c>
      <c r="L518" t="s">
        <v>241</v>
      </c>
      <c r="M518" s="3">
        <v>845.11</v>
      </c>
    </row>
    <row r="519" spans="1:13" x14ac:dyDescent="0.25">
      <c r="A519" t="str">
        <f t="shared" ref="A519:A528" si="277">"E217"</f>
        <v>E217</v>
      </c>
      <c r="B519">
        <v>1</v>
      </c>
      <c r="C519" t="str">
        <f t="shared" ref="C519:C528" si="278">"43003"</f>
        <v>43003</v>
      </c>
      <c r="D519" t="str">
        <f t="shared" ref="D519:D530" si="279">"5740"</f>
        <v>5740</v>
      </c>
      <c r="E519" t="str">
        <f t="shared" ref="E519:E528" si="280">"850LOS"</f>
        <v>850LOS</v>
      </c>
      <c r="F519" t="str">
        <f>"PKGPAY"</f>
        <v>PKGPAY</v>
      </c>
      <c r="G519" t="str">
        <f>""</f>
        <v/>
      </c>
      <c r="H519" s="1">
        <v>38897</v>
      </c>
      <c r="I519" t="str">
        <f>"CMG00515"</f>
        <v>CMG00515</v>
      </c>
      <c r="J519" t="str">
        <f>""</f>
        <v/>
      </c>
      <c r="K519" t="str">
        <f t="shared" ref="K519:K528" si="281">"J089"</f>
        <v>J089</v>
      </c>
      <c r="L519" t="s">
        <v>240</v>
      </c>
      <c r="M519" s="3">
        <v>747.56</v>
      </c>
    </row>
    <row r="520" spans="1:13" x14ac:dyDescent="0.25">
      <c r="A520" t="str">
        <f t="shared" si="277"/>
        <v>E217</v>
      </c>
      <c r="B520">
        <v>1</v>
      </c>
      <c r="C520" t="str">
        <f t="shared" si="278"/>
        <v>43003</v>
      </c>
      <c r="D520" t="str">
        <f t="shared" si="279"/>
        <v>5740</v>
      </c>
      <c r="E520" t="str">
        <f t="shared" si="280"/>
        <v>850LOS</v>
      </c>
      <c r="F520" t="str">
        <f>"PKGPAY"</f>
        <v>PKGPAY</v>
      </c>
      <c r="G520" t="str">
        <f>""</f>
        <v/>
      </c>
      <c r="H520" s="1">
        <v>38898</v>
      </c>
      <c r="I520" t="str">
        <f>"CMG00517"</f>
        <v>CMG00517</v>
      </c>
      <c r="J520" t="str">
        <f>""</f>
        <v/>
      </c>
      <c r="K520" t="str">
        <f t="shared" si="281"/>
        <v>J089</v>
      </c>
      <c r="L520" t="s">
        <v>241</v>
      </c>
      <c r="M520" s="3">
        <v>467.86</v>
      </c>
    </row>
    <row r="521" spans="1:13" x14ac:dyDescent="0.25">
      <c r="A521" t="str">
        <f t="shared" si="277"/>
        <v>E217</v>
      </c>
      <c r="B521">
        <v>1</v>
      </c>
      <c r="C521" t="str">
        <f t="shared" si="278"/>
        <v>43003</v>
      </c>
      <c r="D521" t="str">
        <f t="shared" si="279"/>
        <v>5740</v>
      </c>
      <c r="E521" t="str">
        <f t="shared" si="280"/>
        <v>850LOS</v>
      </c>
      <c r="F521" t="str">
        <f>""</f>
        <v/>
      </c>
      <c r="G521" t="str">
        <f>""</f>
        <v/>
      </c>
      <c r="H521" s="1">
        <v>38625</v>
      </c>
      <c r="I521" t="str">
        <f>"CMG00495"</f>
        <v>CMG00495</v>
      </c>
      <c r="J521" t="str">
        <f>""</f>
        <v/>
      </c>
      <c r="K521" t="str">
        <f t="shared" si="281"/>
        <v>J089</v>
      </c>
      <c r="L521" t="s">
        <v>231</v>
      </c>
      <c r="M521" s="3">
        <v>137.88</v>
      </c>
    </row>
    <row r="522" spans="1:13" x14ac:dyDescent="0.25">
      <c r="A522" t="str">
        <f t="shared" si="277"/>
        <v>E217</v>
      </c>
      <c r="B522">
        <v>1</v>
      </c>
      <c r="C522" t="str">
        <f t="shared" si="278"/>
        <v>43003</v>
      </c>
      <c r="D522" t="str">
        <f t="shared" si="279"/>
        <v>5740</v>
      </c>
      <c r="E522" t="str">
        <f t="shared" si="280"/>
        <v>850LOS</v>
      </c>
      <c r="F522" t="str">
        <f>""</f>
        <v/>
      </c>
      <c r="G522" t="str">
        <f>""</f>
        <v/>
      </c>
      <c r="H522" s="1">
        <v>38686</v>
      </c>
      <c r="I522" t="str">
        <f>"CMG00499"</f>
        <v>CMG00499</v>
      </c>
      <c r="J522" t="str">
        <f>""</f>
        <v/>
      </c>
      <c r="K522" t="str">
        <f t="shared" si="281"/>
        <v>J089</v>
      </c>
      <c r="L522" t="s">
        <v>233</v>
      </c>
      <c r="M522" s="3">
        <v>145.22</v>
      </c>
    </row>
    <row r="523" spans="1:13" x14ac:dyDescent="0.25">
      <c r="A523" t="str">
        <f t="shared" si="277"/>
        <v>E217</v>
      </c>
      <c r="B523">
        <v>1</v>
      </c>
      <c r="C523" t="str">
        <f t="shared" si="278"/>
        <v>43003</v>
      </c>
      <c r="D523" t="str">
        <f t="shared" si="279"/>
        <v>5740</v>
      </c>
      <c r="E523" t="str">
        <f t="shared" si="280"/>
        <v>850LOS</v>
      </c>
      <c r="F523" t="str">
        <f>""</f>
        <v/>
      </c>
      <c r="G523" t="str">
        <f>""</f>
        <v/>
      </c>
      <c r="H523" s="1">
        <v>38714</v>
      </c>
      <c r="I523" t="str">
        <f>"CMG00501"</f>
        <v>CMG00501</v>
      </c>
      <c r="J523" t="str">
        <f>""</f>
        <v/>
      </c>
      <c r="K523" t="str">
        <f t="shared" si="281"/>
        <v>J089</v>
      </c>
      <c r="L523" t="s">
        <v>234</v>
      </c>
      <c r="M523" s="3">
        <v>106.46</v>
      </c>
    </row>
    <row r="524" spans="1:13" x14ac:dyDescent="0.25">
      <c r="A524" t="str">
        <f t="shared" si="277"/>
        <v>E217</v>
      </c>
      <c r="B524">
        <v>1</v>
      </c>
      <c r="C524" t="str">
        <f t="shared" si="278"/>
        <v>43003</v>
      </c>
      <c r="D524" t="str">
        <f t="shared" si="279"/>
        <v>5740</v>
      </c>
      <c r="E524" t="str">
        <f t="shared" si="280"/>
        <v>850LOS</v>
      </c>
      <c r="F524" t="str">
        <f>""</f>
        <v/>
      </c>
      <c r="G524" t="str">
        <f>""</f>
        <v/>
      </c>
      <c r="H524" s="1">
        <v>38743</v>
      </c>
      <c r="I524" t="str">
        <f>"CMG00503"</f>
        <v>CMG00503</v>
      </c>
      <c r="J524" t="str">
        <f>""</f>
        <v/>
      </c>
      <c r="K524" t="str">
        <f t="shared" si="281"/>
        <v>J089</v>
      </c>
      <c r="L524" t="s">
        <v>235</v>
      </c>
      <c r="M524" s="3">
        <v>159.22</v>
      </c>
    </row>
    <row r="525" spans="1:13" x14ac:dyDescent="0.25">
      <c r="A525" t="str">
        <f t="shared" si="277"/>
        <v>E217</v>
      </c>
      <c r="B525">
        <v>1</v>
      </c>
      <c r="C525" t="str">
        <f t="shared" si="278"/>
        <v>43003</v>
      </c>
      <c r="D525" t="str">
        <f t="shared" si="279"/>
        <v>5740</v>
      </c>
      <c r="E525" t="str">
        <f t="shared" si="280"/>
        <v>850LOS</v>
      </c>
      <c r="F525" t="str">
        <f>""</f>
        <v/>
      </c>
      <c r="G525" t="str">
        <f>""</f>
        <v/>
      </c>
      <c r="H525" s="1">
        <v>38807</v>
      </c>
      <c r="I525" t="str">
        <f>"CMG00507"</f>
        <v>CMG00507</v>
      </c>
      <c r="J525" t="str">
        <f>""</f>
        <v/>
      </c>
      <c r="K525" t="str">
        <f t="shared" si="281"/>
        <v>J089</v>
      </c>
      <c r="L525" t="s">
        <v>237</v>
      </c>
      <c r="M525" s="3">
        <v>185.34</v>
      </c>
    </row>
    <row r="526" spans="1:13" x14ac:dyDescent="0.25">
      <c r="A526" t="str">
        <f t="shared" si="277"/>
        <v>E217</v>
      </c>
      <c r="B526">
        <v>1</v>
      </c>
      <c r="C526" t="str">
        <f t="shared" si="278"/>
        <v>43003</v>
      </c>
      <c r="D526" t="str">
        <f t="shared" si="279"/>
        <v>5740</v>
      </c>
      <c r="E526" t="str">
        <f t="shared" si="280"/>
        <v>850LOS</v>
      </c>
      <c r="F526" t="str">
        <f>""</f>
        <v/>
      </c>
      <c r="G526" t="str">
        <f>""</f>
        <v/>
      </c>
      <c r="H526" s="1">
        <v>38837</v>
      </c>
      <c r="I526" t="str">
        <f>"CMG00509"</f>
        <v>CMG00509</v>
      </c>
      <c r="J526" t="str">
        <f>""</f>
        <v/>
      </c>
      <c r="K526" t="str">
        <f t="shared" si="281"/>
        <v>J089</v>
      </c>
      <c r="L526" t="s">
        <v>238</v>
      </c>
      <c r="M526" s="3">
        <v>132.78</v>
      </c>
    </row>
    <row r="527" spans="1:13" x14ac:dyDescent="0.25">
      <c r="A527" t="str">
        <f t="shared" si="277"/>
        <v>E217</v>
      </c>
      <c r="B527">
        <v>1</v>
      </c>
      <c r="C527" t="str">
        <f t="shared" si="278"/>
        <v>43003</v>
      </c>
      <c r="D527" t="str">
        <f t="shared" si="279"/>
        <v>5740</v>
      </c>
      <c r="E527" t="str">
        <f t="shared" si="280"/>
        <v>850LOS</v>
      </c>
      <c r="F527" t="str">
        <f>""</f>
        <v/>
      </c>
      <c r="G527" t="str">
        <f>""</f>
        <v/>
      </c>
      <c r="H527" s="1">
        <v>38856</v>
      </c>
      <c r="I527" t="str">
        <f>"CMG00512"</f>
        <v>CMG00512</v>
      </c>
      <c r="J527" t="str">
        <f>""</f>
        <v/>
      </c>
      <c r="K527" t="str">
        <f t="shared" si="281"/>
        <v>J089</v>
      </c>
      <c r="L527" t="s">
        <v>239</v>
      </c>
      <c r="M527" s="3">
        <v>152.83000000000001</v>
      </c>
    </row>
    <row r="528" spans="1:13" x14ac:dyDescent="0.25">
      <c r="A528" t="str">
        <f t="shared" si="277"/>
        <v>E217</v>
      </c>
      <c r="B528">
        <v>1</v>
      </c>
      <c r="C528" t="str">
        <f t="shared" si="278"/>
        <v>43003</v>
      </c>
      <c r="D528" t="str">
        <f t="shared" si="279"/>
        <v>5740</v>
      </c>
      <c r="E528" t="str">
        <f t="shared" si="280"/>
        <v>850LOS</v>
      </c>
      <c r="F528" t="str">
        <f>""</f>
        <v/>
      </c>
      <c r="G528" t="str">
        <f>""</f>
        <v/>
      </c>
      <c r="H528" s="1">
        <v>38897</v>
      </c>
      <c r="I528" t="str">
        <f>"CMG00513"</f>
        <v>CMG00513</v>
      </c>
      <c r="J528" t="str">
        <f>""</f>
        <v/>
      </c>
      <c r="K528" t="str">
        <f t="shared" si="281"/>
        <v>J089</v>
      </c>
      <c r="L528" t="s">
        <v>239</v>
      </c>
      <c r="M528" s="3">
        <v>152.83000000000001</v>
      </c>
    </row>
    <row r="529" spans="1:13" x14ac:dyDescent="0.25">
      <c r="A529" t="str">
        <f>"E220"</f>
        <v>E220</v>
      </c>
      <c r="B529">
        <v>1</v>
      </c>
      <c r="C529" t="str">
        <f>"14288"</f>
        <v>14288</v>
      </c>
      <c r="D529" t="str">
        <f t="shared" si="279"/>
        <v>5740</v>
      </c>
      <c r="E529" t="str">
        <f>"094VIS"</f>
        <v>094VIS</v>
      </c>
      <c r="F529" t="str">
        <f>""</f>
        <v/>
      </c>
      <c r="G529" t="str">
        <f>""</f>
        <v/>
      </c>
      <c r="H529" s="1">
        <v>38826</v>
      </c>
      <c r="I529" t="str">
        <f>"G0610056"</f>
        <v>G0610056</v>
      </c>
      <c r="J529" t="str">
        <f>""</f>
        <v/>
      </c>
      <c r="K529" t="str">
        <f>"J096"</f>
        <v>J096</v>
      </c>
      <c r="L529" t="s">
        <v>242</v>
      </c>
      <c r="M529" s="3">
        <v>2488.3200000000002</v>
      </c>
    </row>
    <row r="530" spans="1:13" x14ac:dyDescent="0.25">
      <c r="A530" t="str">
        <f>"E220"</f>
        <v>E220</v>
      </c>
      <c r="B530">
        <v>1</v>
      </c>
      <c r="C530" t="str">
        <f>"43001"</f>
        <v>43001</v>
      </c>
      <c r="D530" t="str">
        <f t="shared" si="279"/>
        <v>5740</v>
      </c>
      <c r="E530" t="str">
        <f>"850LOS"</f>
        <v>850LOS</v>
      </c>
      <c r="F530" t="str">
        <f>""</f>
        <v/>
      </c>
      <c r="G530" t="str">
        <f>""</f>
        <v/>
      </c>
      <c r="H530" s="1">
        <v>38700</v>
      </c>
      <c r="I530" t="str">
        <f>"G0606099"</f>
        <v>G0606099</v>
      </c>
      <c r="J530" t="str">
        <f>""</f>
        <v/>
      </c>
      <c r="K530" t="str">
        <f>"J096"</f>
        <v>J096</v>
      </c>
      <c r="L530" t="s">
        <v>243</v>
      </c>
      <c r="M530" s="3">
        <v>2488.3200000000002</v>
      </c>
    </row>
    <row r="531" spans="1:13" x14ac:dyDescent="0.25">
      <c r="A531" t="str">
        <f>"E230"</f>
        <v>E230</v>
      </c>
      <c r="B531">
        <v>1</v>
      </c>
      <c r="C531" t="str">
        <f>"14185"</f>
        <v>14185</v>
      </c>
      <c r="D531" t="str">
        <f>"5620"</f>
        <v>5620</v>
      </c>
      <c r="E531" t="str">
        <f>"094OMS"</f>
        <v>094OMS</v>
      </c>
      <c r="F531" t="str">
        <f>""</f>
        <v/>
      </c>
      <c r="G531" t="str">
        <f>""</f>
        <v/>
      </c>
      <c r="H531" s="1">
        <v>38604</v>
      </c>
      <c r="I531" t="str">
        <f>"PCD00196"</f>
        <v>PCD00196</v>
      </c>
      <c r="J531" t="str">
        <f>"30760"</f>
        <v>30760</v>
      </c>
      <c r="K531" t="str">
        <f t="shared" ref="K531:K546" si="282">"AS89"</f>
        <v>AS89</v>
      </c>
      <c r="L531" t="s">
        <v>244</v>
      </c>
      <c r="M531" s="3">
        <v>460.28</v>
      </c>
    </row>
    <row r="532" spans="1:13" x14ac:dyDescent="0.25">
      <c r="A532" t="str">
        <f>"E230"</f>
        <v>E230</v>
      </c>
      <c r="B532">
        <v>1</v>
      </c>
      <c r="C532" t="str">
        <f>"43000"</f>
        <v>43000</v>
      </c>
      <c r="D532" t="str">
        <f>"5740"</f>
        <v>5740</v>
      </c>
      <c r="E532" t="str">
        <f>"850LOS"</f>
        <v>850LOS</v>
      </c>
      <c r="F532" t="str">
        <f>""</f>
        <v/>
      </c>
      <c r="G532" t="str">
        <f>""</f>
        <v/>
      </c>
      <c r="H532" s="1">
        <v>38821</v>
      </c>
      <c r="I532" t="str">
        <f>"PCD00225"</f>
        <v>PCD00225</v>
      </c>
      <c r="J532" t="str">
        <f>"38350"</f>
        <v>38350</v>
      </c>
      <c r="K532" t="str">
        <f t="shared" si="282"/>
        <v>AS89</v>
      </c>
      <c r="L532" t="s">
        <v>25</v>
      </c>
      <c r="M532" s="3">
        <v>888.07</v>
      </c>
    </row>
    <row r="533" spans="1:13" x14ac:dyDescent="0.25">
      <c r="A533" t="str">
        <f t="shared" ref="A533:A556" si="283">"E231"</f>
        <v>E231</v>
      </c>
      <c r="B533">
        <v>1</v>
      </c>
      <c r="C533" t="str">
        <f t="shared" ref="C533:C546" si="284">"14185"</f>
        <v>14185</v>
      </c>
      <c r="D533" t="str">
        <f t="shared" ref="D533:D546" si="285">"5620"</f>
        <v>5620</v>
      </c>
      <c r="E533" t="str">
        <f t="shared" ref="E533:E546" si="286">"094OMS"</f>
        <v>094OMS</v>
      </c>
      <c r="F533" t="str">
        <f>""</f>
        <v/>
      </c>
      <c r="G533" t="str">
        <f>""</f>
        <v/>
      </c>
      <c r="H533" s="1">
        <v>38564</v>
      </c>
      <c r="I533" t="str">
        <f>"MPG00295"</f>
        <v>MPG00295</v>
      </c>
      <c r="J533" t="str">
        <f>""</f>
        <v/>
      </c>
      <c r="K533" t="str">
        <f t="shared" si="282"/>
        <v>AS89</v>
      </c>
      <c r="L533" t="s">
        <v>245</v>
      </c>
      <c r="M533" s="3">
        <v>1614.9</v>
      </c>
    </row>
    <row r="534" spans="1:13" x14ac:dyDescent="0.25">
      <c r="A534" t="str">
        <f t="shared" si="283"/>
        <v>E231</v>
      </c>
      <c r="B534">
        <v>1</v>
      </c>
      <c r="C534" t="str">
        <f t="shared" si="284"/>
        <v>14185</v>
      </c>
      <c r="D534" t="str">
        <f t="shared" si="285"/>
        <v>5620</v>
      </c>
      <c r="E534" t="str">
        <f t="shared" si="286"/>
        <v>094OMS</v>
      </c>
      <c r="F534" t="str">
        <f>""</f>
        <v/>
      </c>
      <c r="G534" t="str">
        <f>""</f>
        <v/>
      </c>
      <c r="H534" s="1">
        <v>38595</v>
      </c>
      <c r="I534" t="str">
        <f>"MPG00296"</f>
        <v>MPG00296</v>
      </c>
      <c r="J534" t="str">
        <f>""</f>
        <v/>
      </c>
      <c r="K534" t="str">
        <f t="shared" si="282"/>
        <v>AS89</v>
      </c>
      <c r="L534" t="s">
        <v>246</v>
      </c>
      <c r="M534" s="3">
        <v>1643.49</v>
      </c>
    </row>
    <row r="535" spans="1:13" x14ac:dyDescent="0.25">
      <c r="A535" t="str">
        <f t="shared" si="283"/>
        <v>E231</v>
      </c>
      <c r="B535">
        <v>1</v>
      </c>
      <c r="C535" t="str">
        <f t="shared" si="284"/>
        <v>14185</v>
      </c>
      <c r="D535" t="str">
        <f t="shared" si="285"/>
        <v>5620</v>
      </c>
      <c r="E535" t="str">
        <f t="shared" si="286"/>
        <v>094OMS</v>
      </c>
      <c r="F535" t="str">
        <f>""</f>
        <v/>
      </c>
      <c r="G535" t="str">
        <f>""</f>
        <v/>
      </c>
      <c r="H535" s="1">
        <v>38625</v>
      </c>
      <c r="I535" t="str">
        <f>"MPG00297"</f>
        <v>MPG00297</v>
      </c>
      <c r="J535" t="str">
        <f>""</f>
        <v/>
      </c>
      <c r="K535" t="str">
        <f t="shared" si="282"/>
        <v>AS89</v>
      </c>
      <c r="L535" t="s">
        <v>247</v>
      </c>
      <c r="M535" s="3">
        <v>3708.52</v>
      </c>
    </row>
    <row r="536" spans="1:13" x14ac:dyDescent="0.25">
      <c r="A536" t="str">
        <f t="shared" si="283"/>
        <v>E231</v>
      </c>
      <c r="B536">
        <v>1</v>
      </c>
      <c r="C536" t="str">
        <f t="shared" si="284"/>
        <v>14185</v>
      </c>
      <c r="D536" t="str">
        <f t="shared" si="285"/>
        <v>5620</v>
      </c>
      <c r="E536" t="str">
        <f t="shared" si="286"/>
        <v>094OMS</v>
      </c>
      <c r="F536" t="str">
        <f>""</f>
        <v/>
      </c>
      <c r="G536" t="str">
        <f>""</f>
        <v/>
      </c>
      <c r="H536" s="1">
        <v>38655</v>
      </c>
      <c r="I536" t="str">
        <f>"MPG00299"</f>
        <v>MPG00299</v>
      </c>
      <c r="J536" t="str">
        <f>""</f>
        <v/>
      </c>
      <c r="K536" t="str">
        <f t="shared" si="282"/>
        <v>AS89</v>
      </c>
      <c r="L536" t="s">
        <v>248</v>
      </c>
      <c r="M536" s="3">
        <v>2376.64</v>
      </c>
    </row>
    <row r="537" spans="1:13" x14ac:dyDescent="0.25">
      <c r="A537" t="str">
        <f t="shared" si="283"/>
        <v>E231</v>
      </c>
      <c r="B537">
        <v>1</v>
      </c>
      <c r="C537" t="str">
        <f t="shared" si="284"/>
        <v>14185</v>
      </c>
      <c r="D537" t="str">
        <f t="shared" si="285"/>
        <v>5620</v>
      </c>
      <c r="E537" t="str">
        <f t="shared" si="286"/>
        <v>094OMS</v>
      </c>
      <c r="F537" t="str">
        <f>""</f>
        <v/>
      </c>
      <c r="G537" t="str">
        <f>""</f>
        <v/>
      </c>
      <c r="H537" s="1">
        <v>38686</v>
      </c>
      <c r="I537" t="str">
        <f>"MPG00300"</f>
        <v>MPG00300</v>
      </c>
      <c r="J537" t="str">
        <f>""</f>
        <v/>
      </c>
      <c r="K537" t="str">
        <f t="shared" si="282"/>
        <v>AS89</v>
      </c>
      <c r="L537" t="s">
        <v>249</v>
      </c>
      <c r="M537" s="3">
        <v>1244.67</v>
      </c>
    </row>
    <row r="538" spans="1:13" x14ac:dyDescent="0.25">
      <c r="A538" t="str">
        <f t="shared" si="283"/>
        <v>E231</v>
      </c>
      <c r="B538">
        <v>1</v>
      </c>
      <c r="C538" t="str">
        <f t="shared" si="284"/>
        <v>14185</v>
      </c>
      <c r="D538" t="str">
        <f t="shared" si="285"/>
        <v>5620</v>
      </c>
      <c r="E538" t="str">
        <f t="shared" si="286"/>
        <v>094OMS</v>
      </c>
      <c r="F538" t="str">
        <f>""</f>
        <v/>
      </c>
      <c r="G538" t="str">
        <f>""</f>
        <v/>
      </c>
      <c r="H538" s="1">
        <v>38686</v>
      </c>
      <c r="I538" t="str">
        <f>"MPG00300"</f>
        <v>MPG00300</v>
      </c>
      <c r="J538" t="str">
        <f>""</f>
        <v/>
      </c>
      <c r="K538" t="str">
        <f t="shared" si="282"/>
        <v>AS89</v>
      </c>
      <c r="L538" t="s">
        <v>250</v>
      </c>
      <c r="M538" s="3">
        <v>1331.08</v>
      </c>
    </row>
    <row r="539" spans="1:13" x14ac:dyDescent="0.25">
      <c r="A539" t="str">
        <f t="shared" si="283"/>
        <v>E231</v>
      </c>
      <c r="B539">
        <v>1</v>
      </c>
      <c r="C539" t="str">
        <f t="shared" si="284"/>
        <v>14185</v>
      </c>
      <c r="D539" t="str">
        <f t="shared" si="285"/>
        <v>5620</v>
      </c>
      <c r="E539" t="str">
        <f t="shared" si="286"/>
        <v>094OMS</v>
      </c>
      <c r="F539" t="str">
        <f>""</f>
        <v/>
      </c>
      <c r="G539" t="str">
        <f>""</f>
        <v/>
      </c>
      <c r="H539" s="1">
        <v>38716</v>
      </c>
      <c r="I539" t="str">
        <f>"MPG00301"</f>
        <v>MPG00301</v>
      </c>
      <c r="J539" t="str">
        <f>"NotPrkng"</f>
        <v>NotPrkng</v>
      </c>
      <c r="K539" t="str">
        <f t="shared" si="282"/>
        <v>AS89</v>
      </c>
      <c r="L539" t="s">
        <v>251</v>
      </c>
      <c r="M539" s="3">
        <v>691.56</v>
      </c>
    </row>
    <row r="540" spans="1:13" x14ac:dyDescent="0.25">
      <c r="A540" t="str">
        <f t="shared" si="283"/>
        <v>E231</v>
      </c>
      <c r="B540">
        <v>1</v>
      </c>
      <c r="C540" t="str">
        <f t="shared" si="284"/>
        <v>14185</v>
      </c>
      <c r="D540" t="str">
        <f t="shared" si="285"/>
        <v>5620</v>
      </c>
      <c r="E540" t="str">
        <f t="shared" si="286"/>
        <v>094OMS</v>
      </c>
      <c r="F540" t="str">
        <f>""</f>
        <v/>
      </c>
      <c r="G540" t="str">
        <f>""</f>
        <v/>
      </c>
      <c r="H540" s="1">
        <v>38716</v>
      </c>
      <c r="I540" t="str">
        <f>"MPG00301"</f>
        <v>MPG00301</v>
      </c>
      <c r="J540" t="str">
        <f>""</f>
        <v/>
      </c>
      <c r="K540" t="str">
        <f t="shared" si="282"/>
        <v>AS89</v>
      </c>
      <c r="L540" t="s">
        <v>252</v>
      </c>
      <c r="M540" s="3">
        <v>1491.79</v>
      </c>
    </row>
    <row r="541" spans="1:13" x14ac:dyDescent="0.25">
      <c r="A541" t="str">
        <f t="shared" si="283"/>
        <v>E231</v>
      </c>
      <c r="B541">
        <v>1</v>
      </c>
      <c r="C541" t="str">
        <f t="shared" si="284"/>
        <v>14185</v>
      </c>
      <c r="D541" t="str">
        <f t="shared" si="285"/>
        <v>5620</v>
      </c>
      <c r="E541" t="str">
        <f t="shared" si="286"/>
        <v>094OMS</v>
      </c>
      <c r="F541" t="str">
        <f>""</f>
        <v/>
      </c>
      <c r="G541" t="str">
        <f>""</f>
        <v/>
      </c>
      <c r="H541" s="1">
        <v>38747</v>
      </c>
      <c r="I541" t="str">
        <f>"MPG00302"</f>
        <v>MPG00302</v>
      </c>
      <c r="J541" t="str">
        <f>""</f>
        <v/>
      </c>
      <c r="K541" t="str">
        <f t="shared" si="282"/>
        <v>AS89</v>
      </c>
      <c r="L541" t="s">
        <v>253</v>
      </c>
      <c r="M541" s="3">
        <v>2116.73</v>
      </c>
    </row>
    <row r="542" spans="1:13" x14ac:dyDescent="0.25">
      <c r="A542" t="str">
        <f t="shared" si="283"/>
        <v>E231</v>
      </c>
      <c r="B542">
        <v>1</v>
      </c>
      <c r="C542" t="str">
        <f t="shared" si="284"/>
        <v>14185</v>
      </c>
      <c r="D542" t="str">
        <f t="shared" si="285"/>
        <v>5620</v>
      </c>
      <c r="E542" t="str">
        <f t="shared" si="286"/>
        <v>094OMS</v>
      </c>
      <c r="F542" t="str">
        <f>""</f>
        <v/>
      </c>
      <c r="G542" t="str">
        <f>""</f>
        <v/>
      </c>
      <c r="H542" s="1">
        <v>38776</v>
      </c>
      <c r="I542" t="str">
        <f>"MPG00303"</f>
        <v>MPG00303</v>
      </c>
      <c r="J542" t="str">
        <f>""</f>
        <v/>
      </c>
      <c r="K542" t="str">
        <f t="shared" si="282"/>
        <v>AS89</v>
      </c>
      <c r="L542" t="s">
        <v>254</v>
      </c>
      <c r="M542" s="3">
        <v>1117.07</v>
      </c>
    </row>
    <row r="543" spans="1:13" x14ac:dyDescent="0.25">
      <c r="A543" t="str">
        <f t="shared" si="283"/>
        <v>E231</v>
      </c>
      <c r="B543">
        <v>1</v>
      </c>
      <c r="C543" t="str">
        <f t="shared" si="284"/>
        <v>14185</v>
      </c>
      <c r="D543" t="str">
        <f t="shared" si="285"/>
        <v>5620</v>
      </c>
      <c r="E543" t="str">
        <f t="shared" si="286"/>
        <v>094OMS</v>
      </c>
      <c r="F543" t="str">
        <f>""</f>
        <v/>
      </c>
      <c r="G543" t="str">
        <f>""</f>
        <v/>
      </c>
      <c r="H543" s="1">
        <v>38806</v>
      </c>
      <c r="I543" t="str">
        <f>"MPG00304"</f>
        <v>MPG00304</v>
      </c>
      <c r="J543" t="str">
        <f>""</f>
        <v/>
      </c>
      <c r="K543" t="str">
        <f t="shared" si="282"/>
        <v>AS89</v>
      </c>
      <c r="L543" t="s">
        <v>255</v>
      </c>
      <c r="M543" s="3">
        <v>1240.5999999999999</v>
      </c>
    </row>
    <row r="544" spans="1:13" x14ac:dyDescent="0.25">
      <c r="A544" t="str">
        <f t="shared" si="283"/>
        <v>E231</v>
      </c>
      <c r="B544">
        <v>1</v>
      </c>
      <c r="C544" t="str">
        <f t="shared" si="284"/>
        <v>14185</v>
      </c>
      <c r="D544" t="str">
        <f t="shared" si="285"/>
        <v>5620</v>
      </c>
      <c r="E544" t="str">
        <f t="shared" si="286"/>
        <v>094OMS</v>
      </c>
      <c r="F544" t="str">
        <f>""</f>
        <v/>
      </c>
      <c r="G544" t="str">
        <f>""</f>
        <v/>
      </c>
      <c r="H544" s="1">
        <v>38837</v>
      </c>
      <c r="I544" t="str">
        <f>"MPG00305"</f>
        <v>MPG00305</v>
      </c>
      <c r="J544" t="str">
        <f>""</f>
        <v/>
      </c>
      <c r="K544" t="str">
        <f t="shared" si="282"/>
        <v>AS89</v>
      </c>
      <c r="L544" t="s">
        <v>256</v>
      </c>
      <c r="M544" s="3">
        <v>1408.04</v>
      </c>
    </row>
    <row r="545" spans="1:13" x14ac:dyDescent="0.25">
      <c r="A545" t="str">
        <f t="shared" si="283"/>
        <v>E231</v>
      </c>
      <c r="B545">
        <v>1</v>
      </c>
      <c r="C545" t="str">
        <f t="shared" si="284"/>
        <v>14185</v>
      </c>
      <c r="D545" t="str">
        <f t="shared" si="285"/>
        <v>5620</v>
      </c>
      <c r="E545" t="str">
        <f t="shared" si="286"/>
        <v>094OMS</v>
      </c>
      <c r="F545" t="str">
        <f>""</f>
        <v/>
      </c>
      <c r="G545" t="str">
        <f>""</f>
        <v/>
      </c>
      <c r="H545" s="1">
        <v>38867</v>
      </c>
      <c r="I545" t="str">
        <f>"MPG00306"</f>
        <v>MPG00306</v>
      </c>
      <c r="J545" t="str">
        <f>""</f>
        <v/>
      </c>
      <c r="K545" t="str">
        <f t="shared" si="282"/>
        <v>AS89</v>
      </c>
      <c r="L545" t="s">
        <v>257</v>
      </c>
      <c r="M545" s="3">
        <v>2068.86</v>
      </c>
    </row>
    <row r="546" spans="1:13" x14ac:dyDescent="0.25">
      <c r="A546" t="str">
        <f t="shared" si="283"/>
        <v>E231</v>
      </c>
      <c r="B546">
        <v>1</v>
      </c>
      <c r="C546" t="str">
        <f t="shared" si="284"/>
        <v>14185</v>
      </c>
      <c r="D546" t="str">
        <f t="shared" si="285"/>
        <v>5620</v>
      </c>
      <c r="E546" t="str">
        <f t="shared" si="286"/>
        <v>094OMS</v>
      </c>
      <c r="F546" t="str">
        <f>""</f>
        <v/>
      </c>
      <c r="G546" t="str">
        <f>""</f>
        <v/>
      </c>
      <c r="H546" s="1">
        <v>38898</v>
      </c>
      <c r="I546" t="str">
        <f>"MPG00307"</f>
        <v>MPG00307</v>
      </c>
      <c r="J546" t="str">
        <f>""</f>
        <v/>
      </c>
      <c r="K546" t="str">
        <f t="shared" si="282"/>
        <v>AS89</v>
      </c>
      <c r="L546" t="s">
        <v>258</v>
      </c>
      <c r="M546" s="3">
        <v>1553.45</v>
      </c>
    </row>
    <row r="547" spans="1:13" x14ac:dyDescent="0.25">
      <c r="A547" t="str">
        <f t="shared" si="283"/>
        <v>E231</v>
      </c>
      <c r="B547">
        <v>1</v>
      </c>
      <c r="C547" t="str">
        <f t="shared" ref="C547:C552" si="287">"14288"</f>
        <v>14288</v>
      </c>
      <c r="D547" t="str">
        <f t="shared" ref="D547:D552" si="288">"5740"</f>
        <v>5740</v>
      </c>
      <c r="E547" t="str">
        <f t="shared" ref="E547:E552" si="289">"094VIS"</f>
        <v>094VIS</v>
      </c>
      <c r="F547" t="str">
        <f>""</f>
        <v/>
      </c>
      <c r="G547" t="str">
        <f>""</f>
        <v/>
      </c>
      <c r="H547" s="1">
        <v>38826</v>
      </c>
      <c r="I547" t="str">
        <f>"G0610056"</f>
        <v>G0610056</v>
      </c>
      <c r="J547" t="str">
        <f>""</f>
        <v/>
      </c>
      <c r="K547" t="str">
        <f t="shared" ref="K547:K552" si="290">"J096"</f>
        <v>J096</v>
      </c>
      <c r="L547" t="s">
        <v>259</v>
      </c>
      <c r="M547" s="3">
        <v>12591.55</v>
      </c>
    </row>
    <row r="548" spans="1:13" x14ac:dyDescent="0.25">
      <c r="A548" t="str">
        <f t="shared" si="283"/>
        <v>E231</v>
      </c>
      <c r="B548">
        <v>1</v>
      </c>
      <c r="C548" t="str">
        <f t="shared" si="287"/>
        <v>14288</v>
      </c>
      <c r="D548" t="str">
        <f t="shared" si="288"/>
        <v>5740</v>
      </c>
      <c r="E548" t="str">
        <f t="shared" si="289"/>
        <v>094VIS</v>
      </c>
      <c r="F548" t="str">
        <f>""</f>
        <v/>
      </c>
      <c r="G548" t="str">
        <f>""</f>
        <v/>
      </c>
      <c r="H548" s="1">
        <v>38895</v>
      </c>
      <c r="I548" t="str">
        <f>"G0612271"</f>
        <v>G0612271</v>
      </c>
      <c r="J548" t="str">
        <f>""</f>
        <v/>
      </c>
      <c r="K548" t="str">
        <f t="shared" si="290"/>
        <v>J096</v>
      </c>
      <c r="L548" t="s">
        <v>260</v>
      </c>
      <c r="M548" s="3">
        <v>643.41999999999996</v>
      </c>
    </row>
    <row r="549" spans="1:13" x14ac:dyDescent="0.25">
      <c r="A549" t="str">
        <f t="shared" si="283"/>
        <v>E231</v>
      </c>
      <c r="B549">
        <v>1</v>
      </c>
      <c r="C549" t="str">
        <f t="shared" si="287"/>
        <v>14288</v>
      </c>
      <c r="D549" t="str">
        <f t="shared" si="288"/>
        <v>5740</v>
      </c>
      <c r="E549" t="str">
        <f t="shared" si="289"/>
        <v>094VIS</v>
      </c>
      <c r="F549" t="str">
        <f>""</f>
        <v/>
      </c>
      <c r="G549" t="str">
        <f>""</f>
        <v/>
      </c>
      <c r="H549" s="1">
        <v>38895</v>
      </c>
      <c r="I549" t="str">
        <f>"G0612271"</f>
        <v>G0612271</v>
      </c>
      <c r="J549" t="str">
        <f>""</f>
        <v/>
      </c>
      <c r="K549" t="str">
        <f t="shared" si="290"/>
        <v>J096</v>
      </c>
      <c r="L549" t="s">
        <v>261</v>
      </c>
      <c r="M549" s="3">
        <v>520.84</v>
      </c>
    </row>
    <row r="550" spans="1:13" x14ac:dyDescent="0.25">
      <c r="A550" t="str">
        <f t="shared" si="283"/>
        <v>E231</v>
      </c>
      <c r="B550">
        <v>1</v>
      </c>
      <c r="C550" t="str">
        <f t="shared" si="287"/>
        <v>14288</v>
      </c>
      <c r="D550" t="str">
        <f t="shared" si="288"/>
        <v>5740</v>
      </c>
      <c r="E550" t="str">
        <f t="shared" si="289"/>
        <v>094VIS</v>
      </c>
      <c r="F550" t="str">
        <f>""</f>
        <v/>
      </c>
      <c r="G550" t="str">
        <f>""</f>
        <v/>
      </c>
      <c r="H550" s="1">
        <v>38895</v>
      </c>
      <c r="I550" t="str">
        <f>"G0612271"</f>
        <v>G0612271</v>
      </c>
      <c r="J550" t="str">
        <f>""</f>
        <v/>
      </c>
      <c r="K550" t="str">
        <f t="shared" si="290"/>
        <v>J096</v>
      </c>
      <c r="L550" t="s">
        <v>261</v>
      </c>
      <c r="M550" s="3">
        <v>2253.58</v>
      </c>
    </row>
    <row r="551" spans="1:13" x14ac:dyDescent="0.25">
      <c r="A551" t="str">
        <f t="shared" si="283"/>
        <v>E231</v>
      </c>
      <c r="B551">
        <v>1</v>
      </c>
      <c r="C551" t="str">
        <f t="shared" si="287"/>
        <v>14288</v>
      </c>
      <c r="D551" t="str">
        <f t="shared" si="288"/>
        <v>5740</v>
      </c>
      <c r="E551" t="str">
        <f t="shared" si="289"/>
        <v>094VIS</v>
      </c>
      <c r="F551" t="str">
        <f>""</f>
        <v/>
      </c>
      <c r="G551" t="str">
        <f>""</f>
        <v/>
      </c>
      <c r="H551" s="1">
        <v>38895</v>
      </c>
      <c r="I551" t="str">
        <f>"G0612271"</f>
        <v>G0612271</v>
      </c>
      <c r="J551" t="str">
        <f>""</f>
        <v/>
      </c>
      <c r="K551" t="str">
        <f t="shared" si="290"/>
        <v>J096</v>
      </c>
      <c r="L551" t="s">
        <v>262</v>
      </c>
      <c r="M551" s="3">
        <v>3623.57</v>
      </c>
    </row>
    <row r="552" spans="1:13" x14ac:dyDescent="0.25">
      <c r="A552" t="str">
        <f t="shared" si="283"/>
        <v>E231</v>
      </c>
      <c r="B552">
        <v>1</v>
      </c>
      <c r="C552" t="str">
        <f t="shared" si="287"/>
        <v>14288</v>
      </c>
      <c r="D552" t="str">
        <f t="shared" si="288"/>
        <v>5740</v>
      </c>
      <c r="E552" t="str">
        <f t="shared" si="289"/>
        <v>094VIS</v>
      </c>
      <c r="F552" t="str">
        <f>""</f>
        <v/>
      </c>
      <c r="G552" t="str">
        <f>""</f>
        <v/>
      </c>
      <c r="H552" s="1">
        <v>38895</v>
      </c>
      <c r="I552" t="str">
        <f>"G0612271"</f>
        <v>G0612271</v>
      </c>
      <c r="J552" t="str">
        <f>""</f>
        <v/>
      </c>
      <c r="K552" t="str">
        <f t="shared" si="290"/>
        <v>J096</v>
      </c>
      <c r="L552" t="s">
        <v>260</v>
      </c>
      <c r="M552" s="3">
        <v>1878.34</v>
      </c>
    </row>
    <row r="553" spans="1:13" x14ac:dyDescent="0.25">
      <c r="A553" t="str">
        <f t="shared" si="283"/>
        <v>E231</v>
      </c>
      <c r="B553">
        <v>1</v>
      </c>
      <c r="C553" t="str">
        <f t="shared" ref="C553:C556" si="291">"32040"</f>
        <v>32040</v>
      </c>
      <c r="D553" t="str">
        <f t="shared" ref="D553:D556" si="292">"5610"</f>
        <v>5610</v>
      </c>
      <c r="E553" t="str">
        <f t="shared" ref="E553:E561" si="293">"850LOS"</f>
        <v>850LOS</v>
      </c>
      <c r="F553" t="str">
        <f>""</f>
        <v/>
      </c>
      <c r="G553" t="str">
        <f>""</f>
        <v/>
      </c>
      <c r="H553" s="1">
        <v>38655</v>
      </c>
      <c r="I553" t="str">
        <f>"MPG00299"</f>
        <v>MPG00299</v>
      </c>
      <c r="J553" t="str">
        <f>""</f>
        <v/>
      </c>
      <c r="K553" t="str">
        <f t="shared" ref="K553:K588" si="294">"AS89"</f>
        <v>AS89</v>
      </c>
      <c r="L553" t="s">
        <v>248</v>
      </c>
      <c r="M553" s="3">
        <v>109.25</v>
      </c>
    </row>
    <row r="554" spans="1:13" x14ac:dyDescent="0.25">
      <c r="A554" t="str">
        <f t="shared" si="283"/>
        <v>E231</v>
      </c>
      <c r="B554">
        <v>1</v>
      </c>
      <c r="C554" t="str">
        <f t="shared" si="291"/>
        <v>32040</v>
      </c>
      <c r="D554" t="str">
        <f t="shared" si="292"/>
        <v>5610</v>
      </c>
      <c r="E554" t="str">
        <f t="shared" si="293"/>
        <v>850LOS</v>
      </c>
      <c r="F554" t="str">
        <f>""</f>
        <v/>
      </c>
      <c r="G554" t="str">
        <f>""</f>
        <v/>
      </c>
      <c r="H554" s="1">
        <v>38686</v>
      </c>
      <c r="I554" t="str">
        <f>"MPG00300"</f>
        <v>MPG00300</v>
      </c>
      <c r="J554" t="str">
        <f>""</f>
        <v/>
      </c>
      <c r="K554" t="str">
        <f t="shared" si="294"/>
        <v>AS89</v>
      </c>
      <c r="L554" t="s">
        <v>249</v>
      </c>
      <c r="M554" s="3">
        <v>103.82</v>
      </c>
    </row>
    <row r="555" spans="1:13" x14ac:dyDescent="0.25">
      <c r="A555" t="str">
        <f t="shared" si="283"/>
        <v>E231</v>
      </c>
      <c r="B555">
        <v>1</v>
      </c>
      <c r="C555" t="str">
        <f t="shared" si="291"/>
        <v>32040</v>
      </c>
      <c r="D555" t="str">
        <f t="shared" si="292"/>
        <v>5610</v>
      </c>
      <c r="E555" t="str">
        <f t="shared" si="293"/>
        <v>850LOS</v>
      </c>
      <c r="F555" t="str">
        <f>""</f>
        <v/>
      </c>
      <c r="G555" t="str">
        <f>""</f>
        <v/>
      </c>
      <c r="H555" s="1">
        <v>38747</v>
      </c>
      <c r="I555" t="str">
        <f>"MPG00302"</f>
        <v>MPG00302</v>
      </c>
      <c r="J555" t="str">
        <f>""</f>
        <v/>
      </c>
      <c r="K555" t="str">
        <f t="shared" si="294"/>
        <v>AS89</v>
      </c>
      <c r="L555" t="s">
        <v>253</v>
      </c>
      <c r="M555" s="3">
        <v>115.18</v>
      </c>
    </row>
    <row r="556" spans="1:13" x14ac:dyDescent="0.25">
      <c r="A556" t="str">
        <f t="shared" si="283"/>
        <v>E231</v>
      </c>
      <c r="B556">
        <v>1</v>
      </c>
      <c r="C556" t="str">
        <f t="shared" si="291"/>
        <v>32040</v>
      </c>
      <c r="D556" t="str">
        <f t="shared" si="292"/>
        <v>5610</v>
      </c>
      <c r="E556" t="str">
        <f t="shared" si="293"/>
        <v>850LOS</v>
      </c>
      <c r="F556" t="str">
        <f>""</f>
        <v/>
      </c>
      <c r="G556" t="str">
        <f>""</f>
        <v/>
      </c>
      <c r="H556" s="1">
        <v>38898</v>
      </c>
      <c r="I556" t="str">
        <f>"MPG00307"</f>
        <v>MPG00307</v>
      </c>
      <c r="J556" t="str">
        <f>""</f>
        <v/>
      </c>
      <c r="K556" t="str">
        <f t="shared" si="294"/>
        <v>AS89</v>
      </c>
      <c r="L556" t="s">
        <v>258</v>
      </c>
      <c r="M556" s="3">
        <v>104.3</v>
      </c>
    </row>
    <row r="557" spans="1:13" x14ac:dyDescent="0.25">
      <c r="A557" t="str">
        <f t="shared" ref="A557:A588" si="295">"E231"</f>
        <v>E231</v>
      </c>
      <c r="B557">
        <v>1</v>
      </c>
      <c r="C557" t="str">
        <f t="shared" ref="C557:C574" si="296">"43000"</f>
        <v>43000</v>
      </c>
      <c r="D557" t="str">
        <f t="shared" ref="D557:D593" si="297">"5740"</f>
        <v>5740</v>
      </c>
      <c r="E557" t="str">
        <f t="shared" si="293"/>
        <v>850LOS</v>
      </c>
      <c r="F557" t="str">
        <f>""</f>
        <v/>
      </c>
      <c r="G557" t="str">
        <f>""</f>
        <v/>
      </c>
      <c r="H557" s="1">
        <v>38776</v>
      </c>
      <c r="I557" t="str">
        <f>"MPG00303"</f>
        <v>MPG00303</v>
      </c>
      <c r="J557" t="str">
        <f>""</f>
        <v/>
      </c>
      <c r="K557" t="str">
        <f t="shared" si="294"/>
        <v>AS89</v>
      </c>
      <c r="L557" t="s">
        <v>254</v>
      </c>
      <c r="M557" s="3">
        <v>115.31</v>
      </c>
    </row>
    <row r="558" spans="1:13" x14ac:dyDescent="0.25">
      <c r="A558" t="str">
        <f t="shared" si="295"/>
        <v>E231</v>
      </c>
      <c r="B558">
        <v>1</v>
      </c>
      <c r="C558" t="str">
        <f t="shared" si="296"/>
        <v>43000</v>
      </c>
      <c r="D558" t="str">
        <f t="shared" si="297"/>
        <v>5740</v>
      </c>
      <c r="E558" t="str">
        <f t="shared" si="293"/>
        <v>850LOS</v>
      </c>
      <c r="F558" t="str">
        <f>""</f>
        <v/>
      </c>
      <c r="G558" t="str">
        <f>""</f>
        <v/>
      </c>
      <c r="H558" s="1">
        <v>38806</v>
      </c>
      <c r="I558" t="str">
        <f>"MPG00304"</f>
        <v>MPG00304</v>
      </c>
      <c r="J558" t="str">
        <f>""</f>
        <v/>
      </c>
      <c r="K558" t="str">
        <f t="shared" si="294"/>
        <v>AS89</v>
      </c>
      <c r="L558" t="s">
        <v>255</v>
      </c>
      <c r="M558" s="3">
        <v>175.79</v>
      </c>
    </row>
    <row r="559" spans="1:13" x14ac:dyDescent="0.25">
      <c r="A559" t="str">
        <f t="shared" si="295"/>
        <v>E231</v>
      </c>
      <c r="B559">
        <v>1</v>
      </c>
      <c r="C559" t="str">
        <f t="shared" si="296"/>
        <v>43000</v>
      </c>
      <c r="D559" t="str">
        <f t="shared" si="297"/>
        <v>5740</v>
      </c>
      <c r="E559" t="str">
        <f t="shared" si="293"/>
        <v>850LOS</v>
      </c>
      <c r="F559" t="str">
        <f>""</f>
        <v/>
      </c>
      <c r="G559" t="str">
        <f>""</f>
        <v/>
      </c>
      <c r="H559" s="1">
        <v>38837</v>
      </c>
      <c r="I559" t="str">
        <f>"MPG00305"</f>
        <v>MPG00305</v>
      </c>
      <c r="J559" t="str">
        <f>""</f>
        <v/>
      </c>
      <c r="K559" t="str">
        <f t="shared" si="294"/>
        <v>AS89</v>
      </c>
      <c r="L559" t="s">
        <v>256</v>
      </c>
      <c r="M559" s="3">
        <v>162</v>
      </c>
    </row>
    <row r="560" spans="1:13" x14ac:dyDescent="0.25">
      <c r="A560" t="str">
        <f t="shared" si="295"/>
        <v>E231</v>
      </c>
      <c r="B560">
        <v>1</v>
      </c>
      <c r="C560" t="str">
        <f t="shared" si="296"/>
        <v>43000</v>
      </c>
      <c r="D560" t="str">
        <f t="shared" si="297"/>
        <v>5740</v>
      </c>
      <c r="E560" t="str">
        <f t="shared" si="293"/>
        <v>850LOS</v>
      </c>
      <c r="F560" t="str">
        <f>""</f>
        <v/>
      </c>
      <c r="G560" t="str">
        <f>""</f>
        <v/>
      </c>
      <c r="H560" s="1">
        <v>38867</v>
      </c>
      <c r="I560" t="str">
        <f>"MPG00306"</f>
        <v>MPG00306</v>
      </c>
      <c r="J560" t="str">
        <f>""</f>
        <v/>
      </c>
      <c r="K560" t="str">
        <f t="shared" si="294"/>
        <v>AS89</v>
      </c>
      <c r="L560" t="s">
        <v>257</v>
      </c>
      <c r="M560" s="3">
        <v>169.73</v>
      </c>
    </row>
    <row r="561" spans="1:13" x14ac:dyDescent="0.25">
      <c r="A561" t="str">
        <f t="shared" si="295"/>
        <v>E231</v>
      </c>
      <c r="B561">
        <v>1</v>
      </c>
      <c r="C561" t="str">
        <f t="shared" si="296"/>
        <v>43000</v>
      </c>
      <c r="D561" t="str">
        <f t="shared" si="297"/>
        <v>5740</v>
      </c>
      <c r="E561" t="str">
        <f t="shared" si="293"/>
        <v>850LOS</v>
      </c>
      <c r="F561" t="str">
        <f>""</f>
        <v/>
      </c>
      <c r="G561" t="str">
        <f>""</f>
        <v/>
      </c>
      <c r="H561" s="1">
        <v>38898</v>
      </c>
      <c r="I561" t="str">
        <f>"MPG00307"</f>
        <v>MPG00307</v>
      </c>
      <c r="J561" t="str">
        <f>""</f>
        <v/>
      </c>
      <c r="K561" t="str">
        <f t="shared" si="294"/>
        <v>AS89</v>
      </c>
      <c r="L561" t="s">
        <v>258</v>
      </c>
      <c r="M561" s="3">
        <v>115.93</v>
      </c>
    </row>
    <row r="562" spans="1:13" x14ac:dyDescent="0.25">
      <c r="A562" t="str">
        <f t="shared" si="295"/>
        <v>E231</v>
      </c>
      <c r="B562">
        <v>1</v>
      </c>
      <c r="C562" t="str">
        <f t="shared" si="296"/>
        <v>43000</v>
      </c>
      <c r="D562" t="str">
        <f t="shared" si="297"/>
        <v>5740</v>
      </c>
      <c r="E562" t="str">
        <f t="shared" ref="E562:E574" si="298">"850PKE"</f>
        <v>850PKE</v>
      </c>
      <c r="F562" t="str">
        <f>""</f>
        <v/>
      </c>
      <c r="G562" t="str">
        <f>""</f>
        <v/>
      </c>
      <c r="H562" s="1">
        <v>38564</v>
      </c>
      <c r="I562" t="str">
        <f>"MPG00295"</f>
        <v>MPG00295</v>
      </c>
      <c r="J562" t="str">
        <f>""</f>
        <v/>
      </c>
      <c r="K562" t="str">
        <f t="shared" si="294"/>
        <v>AS89</v>
      </c>
      <c r="L562" t="s">
        <v>245</v>
      </c>
      <c r="M562" s="3">
        <v>232.01</v>
      </c>
    </row>
    <row r="563" spans="1:13" x14ac:dyDescent="0.25">
      <c r="A563" t="str">
        <f t="shared" si="295"/>
        <v>E231</v>
      </c>
      <c r="B563">
        <v>1</v>
      </c>
      <c r="C563" t="str">
        <f t="shared" si="296"/>
        <v>43000</v>
      </c>
      <c r="D563" t="str">
        <f t="shared" si="297"/>
        <v>5740</v>
      </c>
      <c r="E563" t="str">
        <f t="shared" si="298"/>
        <v>850PKE</v>
      </c>
      <c r="F563" t="str">
        <f>""</f>
        <v/>
      </c>
      <c r="G563" t="str">
        <f>""</f>
        <v/>
      </c>
      <c r="H563" s="1">
        <v>38595</v>
      </c>
      <c r="I563" t="str">
        <f>"MPG00296"</f>
        <v>MPG00296</v>
      </c>
      <c r="J563" t="str">
        <f>""</f>
        <v/>
      </c>
      <c r="K563" t="str">
        <f t="shared" si="294"/>
        <v>AS89</v>
      </c>
      <c r="L563" t="s">
        <v>246</v>
      </c>
      <c r="M563" s="3">
        <v>194.69</v>
      </c>
    </row>
    <row r="564" spans="1:13" x14ac:dyDescent="0.25">
      <c r="A564" t="str">
        <f t="shared" si="295"/>
        <v>E231</v>
      </c>
      <c r="B564">
        <v>1</v>
      </c>
      <c r="C564" t="str">
        <f t="shared" si="296"/>
        <v>43000</v>
      </c>
      <c r="D564" t="str">
        <f t="shared" si="297"/>
        <v>5740</v>
      </c>
      <c r="E564" t="str">
        <f t="shared" si="298"/>
        <v>850PKE</v>
      </c>
      <c r="F564" t="str">
        <f>""</f>
        <v/>
      </c>
      <c r="G564" t="str">
        <f>""</f>
        <v/>
      </c>
      <c r="H564" s="1">
        <v>38625</v>
      </c>
      <c r="I564" t="str">
        <f>"MPG00297"</f>
        <v>MPG00297</v>
      </c>
      <c r="J564" t="str">
        <f>""</f>
        <v/>
      </c>
      <c r="K564" t="str">
        <f t="shared" si="294"/>
        <v>AS89</v>
      </c>
      <c r="L564" t="s">
        <v>247</v>
      </c>
      <c r="M564" s="3">
        <v>230.96</v>
      </c>
    </row>
    <row r="565" spans="1:13" x14ac:dyDescent="0.25">
      <c r="A565" t="str">
        <f t="shared" si="295"/>
        <v>E231</v>
      </c>
      <c r="B565">
        <v>1</v>
      </c>
      <c r="C565" t="str">
        <f t="shared" si="296"/>
        <v>43000</v>
      </c>
      <c r="D565" t="str">
        <f t="shared" si="297"/>
        <v>5740</v>
      </c>
      <c r="E565" t="str">
        <f t="shared" si="298"/>
        <v>850PKE</v>
      </c>
      <c r="F565" t="str">
        <f>""</f>
        <v/>
      </c>
      <c r="G565" t="str">
        <f>""</f>
        <v/>
      </c>
      <c r="H565" s="1">
        <v>38655</v>
      </c>
      <c r="I565" t="str">
        <f>"MPG00299"</f>
        <v>MPG00299</v>
      </c>
      <c r="J565" t="str">
        <f>""</f>
        <v/>
      </c>
      <c r="K565" t="str">
        <f t="shared" si="294"/>
        <v>AS89</v>
      </c>
      <c r="L565" t="s">
        <v>248</v>
      </c>
      <c r="M565" s="3">
        <v>318.60000000000002</v>
      </c>
    </row>
    <row r="566" spans="1:13" x14ac:dyDescent="0.25">
      <c r="A566" t="str">
        <f t="shared" si="295"/>
        <v>E231</v>
      </c>
      <c r="B566">
        <v>1</v>
      </c>
      <c r="C566" t="str">
        <f t="shared" si="296"/>
        <v>43000</v>
      </c>
      <c r="D566" t="str">
        <f t="shared" si="297"/>
        <v>5740</v>
      </c>
      <c r="E566" t="str">
        <f t="shared" si="298"/>
        <v>850PKE</v>
      </c>
      <c r="F566" t="str">
        <f>""</f>
        <v/>
      </c>
      <c r="G566" t="str">
        <f>""</f>
        <v/>
      </c>
      <c r="H566" s="1">
        <v>38686</v>
      </c>
      <c r="I566" t="str">
        <f>"MPG00300"</f>
        <v>MPG00300</v>
      </c>
      <c r="J566" t="str">
        <f>""</f>
        <v/>
      </c>
      <c r="K566" t="str">
        <f t="shared" si="294"/>
        <v>AS89</v>
      </c>
      <c r="L566" t="s">
        <v>249</v>
      </c>
      <c r="M566" s="3">
        <v>125.84</v>
      </c>
    </row>
    <row r="567" spans="1:13" x14ac:dyDescent="0.25">
      <c r="A567" t="str">
        <f t="shared" si="295"/>
        <v>E231</v>
      </c>
      <c r="B567">
        <v>1</v>
      </c>
      <c r="C567" t="str">
        <f t="shared" si="296"/>
        <v>43000</v>
      </c>
      <c r="D567" t="str">
        <f t="shared" si="297"/>
        <v>5740</v>
      </c>
      <c r="E567" t="str">
        <f t="shared" si="298"/>
        <v>850PKE</v>
      </c>
      <c r="F567" t="str">
        <f>""</f>
        <v/>
      </c>
      <c r="G567" t="str">
        <f>""</f>
        <v/>
      </c>
      <c r="H567" s="1">
        <v>38686</v>
      </c>
      <c r="I567" t="str">
        <f>"MPG00300"</f>
        <v>MPG00300</v>
      </c>
      <c r="J567" t="str">
        <f>""</f>
        <v/>
      </c>
      <c r="K567" t="str">
        <f t="shared" si="294"/>
        <v>AS89</v>
      </c>
      <c r="L567" t="s">
        <v>250</v>
      </c>
      <c r="M567" s="3">
        <v>167.87</v>
      </c>
    </row>
    <row r="568" spans="1:13" x14ac:dyDescent="0.25">
      <c r="A568" t="str">
        <f t="shared" si="295"/>
        <v>E231</v>
      </c>
      <c r="B568">
        <v>1</v>
      </c>
      <c r="C568" t="str">
        <f t="shared" si="296"/>
        <v>43000</v>
      </c>
      <c r="D568" t="str">
        <f t="shared" si="297"/>
        <v>5740</v>
      </c>
      <c r="E568" t="str">
        <f t="shared" si="298"/>
        <v>850PKE</v>
      </c>
      <c r="F568" t="str">
        <f>""</f>
        <v/>
      </c>
      <c r="G568" t="str">
        <f>""</f>
        <v/>
      </c>
      <c r="H568" s="1">
        <v>38716</v>
      </c>
      <c r="I568" t="str">
        <f>"MPG00301"</f>
        <v>MPG00301</v>
      </c>
      <c r="J568" t="str">
        <f>""</f>
        <v/>
      </c>
      <c r="K568" t="str">
        <f t="shared" si="294"/>
        <v>AS89</v>
      </c>
      <c r="L568" t="s">
        <v>252</v>
      </c>
      <c r="M568" s="3">
        <v>292.49</v>
      </c>
    </row>
    <row r="569" spans="1:13" x14ac:dyDescent="0.25">
      <c r="A569" t="str">
        <f t="shared" si="295"/>
        <v>E231</v>
      </c>
      <c r="B569">
        <v>1</v>
      </c>
      <c r="C569" t="str">
        <f t="shared" si="296"/>
        <v>43000</v>
      </c>
      <c r="D569" t="str">
        <f t="shared" si="297"/>
        <v>5740</v>
      </c>
      <c r="E569" t="str">
        <f t="shared" si="298"/>
        <v>850PKE</v>
      </c>
      <c r="F569" t="str">
        <f>""</f>
        <v/>
      </c>
      <c r="G569" t="str">
        <f>""</f>
        <v/>
      </c>
      <c r="H569" s="1">
        <v>38747</v>
      </c>
      <c r="I569" t="str">
        <f>"MPG00302"</f>
        <v>MPG00302</v>
      </c>
      <c r="J569" t="str">
        <f>""</f>
        <v/>
      </c>
      <c r="K569" t="str">
        <f t="shared" si="294"/>
        <v>AS89</v>
      </c>
      <c r="L569" t="s">
        <v>253</v>
      </c>
      <c r="M569" s="3">
        <v>303.61</v>
      </c>
    </row>
    <row r="570" spans="1:13" x14ac:dyDescent="0.25">
      <c r="A570" t="str">
        <f t="shared" si="295"/>
        <v>E231</v>
      </c>
      <c r="B570">
        <v>1</v>
      </c>
      <c r="C570" t="str">
        <f t="shared" si="296"/>
        <v>43000</v>
      </c>
      <c r="D570" t="str">
        <f t="shared" si="297"/>
        <v>5740</v>
      </c>
      <c r="E570" t="str">
        <f t="shared" si="298"/>
        <v>850PKE</v>
      </c>
      <c r="F570" t="str">
        <f>""</f>
        <v/>
      </c>
      <c r="G570" t="str">
        <f>""</f>
        <v/>
      </c>
      <c r="H570" s="1">
        <v>38776</v>
      </c>
      <c r="I570" t="str">
        <f>"MPG00303"</f>
        <v>MPG00303</v>
      </c>
      <c r="J570" t="str">
        <f>""</f>
        <v/>
      </c>
      <c r="K570" t="str">
        <f t="shared" si="294"/>
        <v>AS89</v>
      </c>
      <c r="L570" t="s">
        <v>254</v>
      </c>
      <c r="M570" s="3">
        <v>141.59</v>
      </c>
    </row>
    <row r="571" spans="1:13" x14ac:dyDescent="0.25">
      <c r="A571" t="str">
        <f t="shared" si="295"/>
        <v>E231</v>
      </c>
      <c r="B571">
        <v>1</v>
      </c>
      <c r="C571" t="str">
        <f t="shared" si="296"/>
        <v>43000</v>
      </c>
      <c r="D571" t="str">
        <f t="shared" si="297"/>
        <v>5740</v>
      </c>
      <c r="E571" t="str">
        <f t="shared" si="298"/>
        <v>850PKE</v>
      </c>
      <c r="F571" t="str">
        <f>""</f>
        <v/>
      </c>
      <c r="G571" t="str">
        <f>""</f>
        <v/>
      </c>
      <c r="H571" s="1">
        <v>38806</v>
      </c>
      <c r="I571" t="str">
        <f>"MPG00304"</f>
        <v>MPG00304</v>
      </c>
      <c r="J571" t="str">
        <f>""</f>
        <v/>
      </c>
      <c r="K571" t="str">
        <f t="shared" si="294"/>
        <v>AS89</v>
      </c>
      <c r="L571" t="s">
        <v>255</v>
      </c>
      <c r="M571" s="3">
        <v>205.15</v>
      </c>
    </row>
    <row r="572" spans="1:13" x14ac:dyDescent="0.25">
      <c r="A572" t="str">
        <f t="shared" si="295"/>
        <v>E231</v>
      </c>
      <c r="B572">
        <v>1</v>
      </c>
      <c r="C572" t="str">
        <f t="shared" si="296"/>
        <v>43000</v>
      </c>
      <c r="D572" t="str">
        <f t="shared" si="297"/>
        <v>5740</v>
      </c>
      <c r="E572" t="str">
        <f t="shared" si="298"/>
        <v>850PKE</v>
      </c>
      <c r="F572" t="str">
        <f>""</f>
        <v/>
      </c>
      <c r="G572" t="str">
        <f>""</f>
        <v/>
      </c>
      <c r="H572" s="1">
        <v>38837</v>
      </c>
      <c r="I572" t="str">
        <f>"MPG00305"</f>
        <v>MPG00305</v>
      </c>
      <c r="J572" t="str">
        <f>""</f>
        <v/>
      </c>
      <c r="K572" t="str">
        <f t="shared" si="294"/>
        <v>AS89</v>
      </c>
      <c r="L572" t="s">
        <v>256</v>
      </c>
      <c r="M572" s="3">
        <v>222.37</v>
      </c>
    </row>
    <row r="573" spans="1:13" x14ac:dyDescent="0.25">
      <c r="A573" t="str">
        <f t="shared" si="295"/>
        <v>E231</v>
      </c>
      <c r="B573">
        <v>1</v>
      </c>
      <c r="C573" t="str">
        <f t="shared" si="296"/>
        <v>43000</v>
      </c>
      <c r="D573" t="str">
        <f t="shared" si="297"/>
        <v>5740</v>
      </c>
      <c r="E573" t="str">
        <f t="shared" si="298"/>
        <v>850PKE</v>
      </c>
      <c r="F573" t="str">
        <f>""</f>
        <v/>
      </c>
      <c r="G573" t="str">
        <f>""</f>
        <v/>
      </c>
      <c r="H573" s="1">
        <v>38867</v>
      </c>
      <c r="I573" t="str">
        <f>"MPG00306"</f>
        <v>MPG00306</v>
      </c>
      <c r="J573" t="str">
        <f>""</f>
        <v/>
      </c>
      <c r="K573" t="str">
        <f t="shared" si="294"/>
        <v>AS89</v>
      </c>
      <c r="L573" t="s">
        <v>257</v>
      </c>
      <c r="M573" s="3">
        <v>333.22</v>
      </c>
    </row>
    <row r="574" spans="1:13" x14ac:dyDescent="0.25">
      <c r="A574" t="str">
        <f t="shared" si="295"/>
        <v>E231</v>
      </c>
      <c r="B574">
        <v>1</v>
      </c>
      <c r="C574" t="str">
        <f t="shared" si="296"/>
        <v>43000</v>
      </c>
      <c r="D574" t="str">
        <f t="shared" si="297"/>
        <v>5740</v>
      </c>
      <c r="E574" t="str">
        <f t="shared" si="298"/>
        <v>850PKE</v>
      </c>
      <c r="F574" t="str">
        <f>""</f>
        <v/>
      </c>
      <c r="G574" t="str">
        <f>""</f>
        <v/>
      </c>
      <c r="H574" s="1">
        <v>38898</v>
      </c>
      <c r="I574" t="str">
        <f>"MPG00307"</f>
        <v>MPG00307</v>
      </c>
      <c r="J574" t="str">
        <f>""</f>
        <v/>
      </c>
      <c r="K574" t="str">
        <f t="shared" si="294"/>
        <v>AS89</v>
      </c>
      <c r="L574" t="s">
        <v>258</v>
      </c>
      <c r="M574" s="3">
        <v>116.52</v>
      </c>
    </row>
    <row r="575" spans="1:13" x14ac:dyDescent="0.25">
      <c r="A575" t="str">
        <f t="shared" si="295"/>
        <v>E231</v>
      </c>
      <c r="B575">
        <v>1</v>
      </c>
      <c r="C575" t="str">
        <f t="shared" ref="C575:C593" si="299">"43001"</f>
        <v>43001</v>
      </c>
      <c r="D575" t="str">
        <f t="shared" si="297"/>
        <v>5740</v>
      </c>
      <c r="E575" t="str">
        <f t="shared" ref="E575:E593" si="300">"850LOS"</f>
        <v>850LOS</v>
      </c>
      <c r="F575" t="str">
        <f>""</f>
        <v/>
      </c>
      <c r="G575" t="str">
        <f>""</f>
        <v/>
      </c>
      <c r="H575" s="1">
        <v>38655</v>
      </c>
      <c r="I575" t="str">
        <f>"MPG00299"</f>
        <v>MPG00299</v>
      </c>
      <c r="J575" t="str">
        <f>""</f>
        <v/>
      </c>
      <c r="K575" t="str">
        <f t="shared" si="294"/>
        <v>AS89</v>
      </c>
      <c r="L575" t="s">
        <v>248</v>
      </c>
      <c r="M575" s="3">
        <v>948.65</v>
      </c>
    </row>
    <row r="576" spans="1:13" x14ac:dyDescent="0.25">
      <c r="A576" t="str">
        <f t="shared" si="295"/>
        <v>E231</v>
      </c>
      <c r="B576">
        <v>1</v>
      </c>
      <c r="C576" t="str">
        <f t="shared" si="299"/>
        <v>43001</v>
      </c>
      <c r="D576" t="str">
        <f t="shared" si="297"/>
        <v>5740</v>
      </c>
      <c r="E576" t="str">
        <f t="shared" si="300"/>
        <v>850LOS</v>
      </c>
      <c r="F576" t="str">
        <f>""</f>
        <v/>
      </c>
      <c r="G576" t="str">
        <f>""</f>
        <v/>
      </c>
      <c r="H576" s="1">
        <v>38655</v>
      </c>
      <c r="I576" t="str">
        <f>"MPG00299"</f>
        <v>MPG00299</v>
      </c>
      <c r="J576" t="str">
        <f>""</f>
        <v/>
      </c>
      <c r="K576" t="str">
        <f t="shared" si="294"/>
        <v>AS89</v>
      </c>
      <c r="L576" t="s">
        <v>248</v>
      </c>
      <c r="M576" s="3">
        <v>1817.63</v>
      </c>
    </row>
    <row r="577" spans="1:13" x14ac:dyDescent="0.25">
      <c r="A577" t="str">
        <f t="shared" si="295"/>
        <v>E231</v>
      </c>
      <c r="B577">
        <v>1</v>
      </c>
      <c r="C577" t="str">
        <f t="shared" si="299"/>
        <v>43001</v>
      </c>
      <c r="D577" t="str">
        <f t="shared" si="297"/>
        <v>5740</v>
      </c>
      <c r="E577" t="str">
        <f t="shared" si="300"/>
        <v>850LOS</v>
      </c>
      <c r="F577" t="str">
        <f>""</f>
        <v/>
      </c>
      <c r="G577" t="str">
        <f>""</f>
        <v/>
      </c>
      <c r="H577" s="1">
        <v>38686</v>
      </c>
      <c r="I577" t="str">
        <f>"MPG00300"</f>
        <v>MPG00300</v>
      </c>
      <c r="J577" t="str">
        <f>""</f>
        <v/>
      </c>
      <c r="K577" t="str">
        <f t="shared" si="294"/>
        <v>AS89</v>
      </c>
      <c r="L577" t="s">
        <v>249</v>
      </c>
      <c r="M577" s="3">
        <v>163.16999999999999</v>
      </c>
    </row>
    <row r="578" spans="1:13" x14ac:dyDescent="0.25">
      <c r="A578" t="str">
        <f t="shared" si="295"/>
        <v>E231</v>
      </c>
      <c r="B578">
        <v>1</v>
      </c>
      <c r="C578" t="str">
        <f t="shared" si="299"/>
        <v>43001</v>
      </c>
      <c r="D578" t="str">
        <f t="shared" si="297"/>
        <v>5740</v>
      </c>
      <c r="E578" t="str">
        <f t="shared" si="300"/>
        <v>850LOS</v>
      </c>
      <c r="F578" t="str">
        <f>""</f>
        <v/>
      </c>
      <c r="G578" t="str">
        <f>""</f>
        <v/>
      </c>
      <c r="H578" s="1">
        <v>38686</v>
      </c>
      <c r="I578" t="str">
        <f>"MPG00300"</f>
        <v>MPG00300</v>
      </c>
      <c r="J578" t="str">
        <f>""</f>
        <v/>
      </c>
      <c r="K578" t="str">
        <f t="shared" si="294"/>
        <v>AS89</v>
      </c>
      <c r="L578" t="s">
        <v>249</v>
      </c>
      <c r="M578" s="3">
        <v>1088.57</v>
      </c>
    </row>
    <row r="579" spans="1:13" x14ac:dyDescent="0.25">
      <c r="A579" t="str">
        <f t="shared" si="295"/>
        <v>E231</v>
      </c>
      <c r="B579">
        <v>1</v>
      </c>
      <c r="C579" t="str">
        <f t="shared" si="299"/>
        <v>43001</v>
      </c>
      <c r="D579" t="str">
        <f t="shared" si="297"/>
        <v>5740</v>
      </c>
      <c r="E579" t="str">
        <f t="shared" si="300"/>
        <v>850LOS</v>
      </c>
      <c r="F579" t="str">
        <f>""</f>
        <v/>
      </c>
      <c r="G579" t="str">
        <f>""</f>
        <v/>
      </c>
      <c r="H579" s="1">
        <v>38686</v>
      </c>
      <c r="I579" t="str">
        <f>"MPG00300"</f>
        <v>MPG00300</v>
      </c>
      <c r="J579" t="str">
        <f>""</f>
        <v/>
      </c>
      <c r="K579" t="str">
        <f t="shared" si="294"/>
        <v>AS89</v>
      </c>
      <c r="L579" t="s">
        <v>250</v>
      </c>
      <c r="M579" s="3">
        <v>571.59</v>
      </c>
    </row>
    <row r="580" spans="1:13" x14ac:dyDescent="0.25">
      <c r="A580" t="str">
        <f t="shared" si="295"/>
        <v>E231</v>
      </c>
      <c r="B580">
        <v>1</v>
      </c>
      <c r="C580" t="str">
        <f t="shared" si="299"/>
        <v>43001</v>
      </c>
      <c r="D580" t="str">
        <f t="shared" si="297"/>
        <v>5740</v>
      </c>
      <c r="E580" t="str">
        <f t="shared" si="300"/>
        <v>850LOS</v>
      </c>
      <c r="F580" t="str">
        <f>""</f>
        <v/>
      </c>
      <c r="G580" t="str">
        <f>""</f>
        <v/>
      </c>
      <c r="H580" s="1">
        <v>38686</v>
      </c>
      <c r="I580" t="str">
        <f>"MPG00300"</f>
        <v>MPG00300</v>
      </c>
      <c r="J580" t="str">
        <f>""</f>
        <v/>
      </c>
      <c r="K580" t="str">
        <f t="shared" si="294"/>
        <v>AS89</v>
      </c>
      <c r="L580" t="s">
        <v>250</v>
      </c>
      <c r="M580" s="3">
        <v>1504.84</v>
      </c>
    </row>
    <row r="581" spans="1:13" x14ac:dyDescent="0.25">
      <c r="A581" t="str">
        <f t="shared" si="295"/>
        <v>E231</v>
      </c>
      <c r="B581">
        <v>1</v>
      </c>
      <c r="C581" t="str">
        <f t="shared" si="299"/>
        <v>43001</v>
      </c>
      <c r="D581" t="str">
        <f t="shared" si="297"/>
        <v>5740</v>
      </c>
      <c r="E581" t="str">
        <f t="shared" si="300"/>
        <v>850LOS</v>
      </c>
      <c r="F581" t="str">
        <f>""</f>
        <v/>
      </c>
      <c r="G581" t="str">
        <f>""</f>
        <v/>
      </c>
      <c r="H581" s="1">
        <v>38716</v>
      </c>
      <c r="I581" t="str">
        <f>"MPG00301"</f>
        <v>MPG00301</v>
      </c>
      <c r="J581" t="str">
        <f>""</f>
        <v/>
      </c>
      <c r="K581" t="str">
        <f t="shared" si="294"/>
        <v>AS89</v>
      </c>
      <c r="L581" t="s">
        <v>252</v>
      </c>
      <c r="M581" s="3">
        <v>1613.24</v>
      </c>
    </row>
    <row r="582" spans="1:13" x14ac:dyDescent="0.25">
      <c r="A582" t="str">
        <f t="shared" si="295"/>
        <v>E231</v>
      </c>
      <c r="B582">
        <v>1</v>
      </c>
      <c r="C582" t="str">
        <f t="shared" si="299"/>
        <v>43001</v>
      </c>
      <c r="D582" t="str">
        <f t="shared" si="297"/>
        <v>5740</v>
      </c>
      <c r="E582" t="str">
        <f t="shared" si="300"/>
        <v>850LOS</v>
      </c>
      <c r="F582" t="str">
        <f>""</f>
        <v/>
      </c>
      <c r="G582" t="str">
        <f>""</f>
        <v/>
      </c>
      <c r="H582" s="1">
        <v>38716</v>
      </c>
      <c r="I582" t="str">
        <f>"MPG00301"</f>
        <v>MPG00301</v>
      </c>
      <c r="J582" t="str">
        <f>""</f>
        <v/>
      </c>
      <c r="K582" t="str">
        <f t="shared" si="294"/>
        <v>AS89</v>
      </c>
      <c r="L582" t="s">
        <v>252</v>
      </c>
      <c r="M582" s="3">
        <v>282.54000000000002</v>
      </c>
    </row>
    <row r="583" spans="1:13" x14ac:dyDescent="0.25">
      <c r="A583" t="str">
        <f t="shared" si="295"/>
        <v>E231</v>
      </c>
      <c r="B583">
        <v>1</v>
      </c>
      <c r="C583" t="str">
        <f t="shared" si="299"/>
        <v>43001</v>
      </c>
      <c r="D583" t="str">
        <f t="shared" si="297"/>
        <v>5740</v>
      </c>
      <c r="E583" t="str">
        <f t="shared" si="300"/>
        <v>850LOS</v>
      </c>
      <c r="F583" t="str">
        <f>""</f>
        <v/>
      </c>
      <c r="G583" t="str">
        <f>""</f>
        <v/>
      </c>
      <c r="H583" s="1">
        <v>38747</v>
      </c>
      <c r="I583" t="str">
        <f>"MPG00302"</f>
        <v>MPG00302</v>
      </c>
      <c r="J583" t="str">
        <f>""</f>
        <v/>
      </c>
      <c r="K583" t="str">
        <f t="shared" si="294"/>
        <v>AS89</v>
      </c>
      <c r="L583" t="s">
        <v>253</v>
      </c>
      <c r="M583" s="3">
        <v>1217.96</v>
      </c>
    </row>
    <row r="584" spans="1:13" x14ac:dyDescent="0.25">
      <c r="A584" t="str">
        <f t="shared" si="295"/>
        <v>E231</v>
      </c>
      <c r="B584">
        <v>1</v>
      </c>
      <c r="C584" t="str">
        <f t="shared" si="299"/>
        <v>43001</v>
      </c>
      <c r="D584" t="str">
        <f t="shared" si="297"/>
        <v>5740</v>
      </c>
      <c r="E584" t="str">
        <f t="shared" si="300"/>
        <v>850LOS</v>
      </c>
      <c r="F584" t="str">
        <f>""</f>
        <v/>
      </c>
      <c r="G584" t="str">
        <f>""</f>
        <v/>
      </c>
      <c r="H584" s="1">
        <v>38747</v>
      </c>
      <c r="I584" t="str">
        <f>"MPG00302"</f>
        <v>MPG00302</v>
      </c>
      <c r="J584" t="str">
        <f>""</f>
        <v/>
      </c>
      <c r="K584" t="str">
        <f t="shared" si="294"/>
        <v>AS89</v>
      </c>
      <c r="L584" t="s">
        <v>253</v>
      </c>
      <c r="M584" s="3">
        <v>1305.2</v>
      </c>
    </row>
    <row r="585" spans="1:13" x14ac:dyDescent="0.25">
      <c r="A585" t="str">
        <f t="shared" si="295"/>
        <v>E231</v>
      </c>
      <c r="B585">
        <v>1</v>
      </c>
      <c r="C585" t="str">
        <f t="shared" si="299"/>
        <v>43001</v>
      </c>
      <c r="D585" t="str">
        <f t="shared" si="297"/>
        <v>5740</v>
      </c>
      <c r="E585" t="str">
        <f t="shared" si="300"/>
        <v>850LOS</v>
      </c>
      <c r="F585" t="str">
        <f>""</f>
        <v/>
      </c>
      <c r="G585" t="str">
        <f>""</f>
        <v/>
      </c>
      <c r="H585" s="1">
        <v>38776</v>
      </c>
      <c r="I585" t="str">
        <f>"MPG00303"</f>
        <v>MPG00303</v>
      </c>
      <c r="J585" t="str">
        <f>""</f>
        <v/>
      </c>
      <c r="K585" t="str">
        <f t="shared" si="294"/>
        <v>AS89</v>
      </c>
      <c r="L585" t="s">
        <v>254</v>
      </c>
      <c r="M585" s="3">
        <v>479.92</v>
      </c>
    </row>
    <row r="586" spans="1:13" x14ac:dyDescent="0.25">
      <c r="A586" t="str">
        <f t="shared" si="295"/>
        <v>E231</v>
      </c>
      <c r="B586">
        <v>1</v>
      </c>
      <c r="C586" t="str">
        <f t="shared" si="299"/>
        <v>43001</v>
      </c>
      <c r="D586" t="str">
        <f t="shared" si="297"/>
        <v>5740</v>
      </c>
      <c r="E586" t="str">
        <f t="shared" si="300"/>
        <v>850LOS</v>
      </c>
      <c r="F586" t="str">
        <f>""</f>
        <v/>
      </c>
      <c r="G586" t="str">
        <f>""</f>
        <v/>
      </c>
      <c r="H586" s="1">
        <v>38776</v>
      </c>
      <c r="I586" t="str">
        <f>"MPG00303"</f>
        <v>MPG00303</v>
      </c>
      <c r="J586" t="str">
        <f>""</f>
        <v/>
      </c>
      <c r="K586" t="str">
        <f t="shared" si="294"/>
        <v>AS89</v>
      </c>
      <c r="L586" t="s">
        <v>254</v>
      </c>
      <c r="M586" s="3">
        <v>1598.24</v>
      </c>
    </row>
    <row r="587" spans="1:13" x14ac:dyDescent="0.25">
      <c r="A587" t="str">
        <f t="shared" si="295"/>
        <v>E231</v>
      </c>
      <c r="B587">
        <v>1</v>
      </c>
      <c r="C587" t="str">
        <f t="shared" si="299"/>
        <v>43001</v>
      </c>
      <c r="D587" t="str">
        <f t="shared" si="297"/>
        <v>5740</v>
      </c>
      <c r="E587" t="str">
        <f t="shared" si="300"/>
        <v>850LOS</v>
      </c>
      <c r="F587" t="str">
        <f>""</f>
        <v/>
      </c>
      <c r="G587" t="str">
        <f>""</f>
        <v/>
      </c>
      <c r="H587" s="1">
        <v>38806</v>
      </c>
      <c r="I587" t="str">
        <f>"MPG00304"</f>
        <v>MPG00304</v>
      </c>
      <c r="J587" t="str">
        <f>""</f>
        <v/>
      </c>
      <c r="K587" t="str">
        <f t="shared" si="294"/>
        <v>AS89</v>
      </c>
      <c r="L587" t="s">
        <v>255</v>
      </c>
      <c r="M587" s="3">
        <v>643.41999999999996</v>
      </c>
    </row>
    <row r="588" spans="1:13" x14ac:dyDescent="0.25">
      <c r="A588" t="str">
        <f t="shared" si="295"/>
        <v>E231</v>
      </c>
      <c r="B588">
        <v>1</v>
      </c>
      <c r="C588" t="str">
        <f t="shared" si="299"/>
        <v>43001</v>
      </c>
      <c r="D588" t="str">
        <f t="shared" si="297"/>
        <v>5740</v>
      </c>
      <c r="E588" t="str">
        <f t="shared" si="300"/>
        <v>850LOS</v>
      </c>
      <c r="F588" t="str">
        <f>""</f>
        <v/>
      </c>
      <c r="G588" t="str">
        <f>""</f>
        <v/>
      </c>
      <c r="H588" s="1">
        <v>38806</v>
      </c>
      <c r="I588" t="str">
        <f>"MPG00304"</f>
        <v>MPG00304</v>
      </c>
      <c r="J588" t="str">
        <f>""</f>
        <v/>
      </c>
      <c r="K588" t="str">
        <f t="shared" si="294"/>
        <v>AS89</v>
      </c>
      <c r="L588" t="s">
        <v>255</v>
      </c>
      <c r="M588" s="3">
        <v>1878.34</v>
      </c>
    </row>
    <row r="589" spans="1:13" x14ac:dyDescent="0.25">
      <c r="A589" t="str">
        <f t="shared" ref="A589:A593" si="301">"E231"</f>
        <v>E231</v>
      </c>
      <c r="B589">
        <v>1</v>
      </c>
      <c r="C589" t="str">
        <f t="shared" si="299"/>
        <v>43001</v>
      </c>
      <c r="D589" t="str">
        <f t="shared" si="297"/>
        <v>5740</v>
      </c>
      <c r="E589" t="str">
        <f t="shared" si="300"/>
        <v>850LOS</v>
      </c>
      <c r="F589" t="str">
        <f>""</f>
        <v/>
      </c>
      <c r="G589" t="str">
        <f>""</f>
        <v/>
      </c>
      <c r="H589" s="1">
        <v>38837</v>
      </c>
      <c r="I589" t="str">
        <f>"MPG00305"</f>
        <v>MPG00305</v>
      </c>
      <c r="J589" t="str">
        <f>""</f>
        <v/>
      </c>
      <c r="K589" t="str">
        <f>"AS89"</f>
        <v>AS89</v>
      </c>
      <c r="L589" t="s">
        <v>256</v>
      </c>
      <c r="M589" s="3">
        <v>520.84</v>
      </c>
    </row>
    <row r="590" spans="1:13" x14ac:dyDescent="0.25">
      <c r="A590" t="str">
        <f t="shared" si="301"/>
        <v>E231</v>
      </c>
      <c r="B590">
        <v>1</v>
      </c>
      <c r="C590" t="str">
        <f t="shared" si="299"/>
        <v>43001</v>
      </c>
      <c r="D590" t="str">
        <f t="shared" si="297"/>
        <v>5740</v>
      </c>
      <c r="E590" t="str">
        <f t="shared" si="300"/>
        <v>850LOS</v>
      </c>
      <c r="F590" t="str">
        <f>""</f>
        <v/>
      </c>
      <c r="G590" t="str">
        <f>""</f>
        <v/>
      </c>
      <c r="H590" s="1">
        <v>38837</v>
      </c>
      <c r="I590" t="str">
        <f>"MPG00305"</f>
        <v>MPG00305</v>
      </c>
      <c r="J590" t="str">
        <f>""</f>
        <v/>
      </c>
      <c r="K590" t="str">
        <f>"AS89"</f>
        <v>AS89</v>
      </c>
      <c r="L590" t="s">
        <v>256</v>
      </c>
      <c r="M590" s="3">
        <v>2253.58</v>
      </c>
    </row>
    <row r="591" spans="1:13" x14ac:dyDescent="0.25">
      <c r="A591" t="str">
        <f t="shared" si="301"/>
        <v>E231</v>
      </c>
      <c r="B591">
        <v>1</v>
      </c>
      <c r="C591" t="str">
        <f t="shared" si="299"/>
        <v>43001</v>
      </c>
      <c r="D591" t="str">
        <f t="shared" si="297"/>
        <v>5740</v>
      </c>
      <c r="E591" t="str">
        <f t="shared" si="300"/>
        <v>850LOS</v>
      </c>
      <c r="F591" t="str">
        <f>""</f>
        <v/>
      </c>
      <c r="G591" t="str">
        <f>""</f>
        <v/>
      </c>
      <c r="H591" s="1">
        <v>38867</v>
      </c>
      <c r="I591" t="str">
        <f>"MPG00306"</f>
        <v>MPG00306</v>
      </c>
      <c r="J591" t="str">
        <f>""</f>
        <v/>
      </c>
      <c r="K591" t="str">
        <f>"AS89"</f>
        <v>AS89</v>
      </c>
      <c r="L591" t="s">
        <v>257</v>
      </c>
      <c r="M591" s="3">
        <v>3623.57</v>
      </c>
    </row>
    <row r="592" spans="1:13" x14ac:dyDescent="0.25">
      <c r="A592" t="str">
        <f t="shared" si="301"/>
        <v>E231</v>
      </c>
      <c r="B592">
        <v>1</v>
      </c>
      <c r="C592" t="str">
        <f t="shared" si="299"/>
        <v>43001</v>
      </c>
      <c r="D592" t="str">
        <f t="shared" si="297"/>
        <v>5740</v>
      </c>
      <c r="E592" t="str">
        <f t="shared" si="300"/>
        <v>850LOS</v>
      </c>
      <c r="F592" t="str">
        <f>""</f>
        <v/>
      </c>
      <c r="G592" t="str">
        <f>""</f>
        <v/>
      </c>
      <c r="H592" s="1">
        <v>38898</v>
      </c>
      <c r="I592" t="str">
        <f>"MPG00311"</f>
        <v>MPG00311</v>
      </c>
      <c r="J592" t="str">
        <f>""</f>
        <v/>
      </c>
      <c r="K592" t="str">
        <f>"AS89"</f>
        <v>AS89</v>
      </c>
      <c r="L592" t="s">
        <v>263</v>
      </c>
      <c r="M592" s="3">
        <v>238.17</v>
      </c>
    </row>
    <row r="593" spans="1:13" x14ac:dyDescent="0.25">
      <c r="A593" t="str">
        <f t="shared" si="301"/>
        <v>E231</v>
      </c>
      <c r="B593">
        <v>1</v>
      </c>
      <c r="C593" t="str">
        <f t="shared" si="299"/>
        <v>43001</v>
      </c>
      <c r="D593" t="str">
        <f t="shared" si="297"/>
        <v>5740</v>
      </c>
      <c r="E593" t="str">
        <f t="shared" si="300"/>
        <v>850LOS</v>
      </c>
      <c r="F593" t="str">
        <f>""</f>
        <v/>
      </c>
      <c r="G593" t="str">
        <f>""</f>
        <v/>
      </c>
      <c r="H593" s="1">
        <v>38898</v>
      </c>
      <c r="I593" t="str">
        <f>"MPG00307"</f>
        <v>MPG00307</v>
      </c>
      <c r="J593" t="str">
        <f>""</f>
        <v/>
      </c>
      <c r="K593" t="str">
        <f>"AS89"</f>
        <v>AS89</v>
      </c>
      <c r="L593" t="s">
        <v>258</v>
      </c>
      <c r="M593" s="3">
        <v>1214.3399999999999</v>
      </c>
    </row>
    <row r="594" spans="1:13" x14ac:dyDescent="0.25">
      <c r="A594" t="str">
        <f t="shared" ref="A594" si="302">"E232"</f>
        <v>E232</v>
      </c>
      <c r="B594">
        <v>1</v>
      </c>
      <c r="C594" t="str">
        <f>"43001"</f>
        <v>43001</v>
      </c>
      <c r="D594" t="str">
        <f>"5740"</f>
        <v>5740</v>
      </c>
      <c r="E594" t="str">
        <f>"850LOS"</f>
        <v>850LOS</v>
      </c>
      <c r="F594" t="str">
        <f>""</f>
        <v/>
      </c>
      <c r="G594" t="str">
        <f>""</f>
        <v/>
      </c>
      <c r="H594" s="1">
        <v>38748</v>
      </c>
      <c r="I594" t="str">
        <f>"G0607036"</f>
        <v>G0607036</v>
      </c>
      <c r="J594" t="str">
        <f>""</f>
        <v/>
      </c>
      <c r="K594" t="str">
        <f>"J096"</f>
        <v>J096</v>
      </c>
      <c r="L594" t="s">
        <v>264</v>
      </c>
      <c r="M594" s="3">
        <v>875.54</v>
      </c>
    </row>
    <row r="595" spans="1:13" x14ac:dyDescent="0.25">
      <c r="A595" t="str">
        <f>"E233"</f>
        <v>E233</v>
      </c>
      <c r="B595">
        <v>1</v>
      </c>
      <c r="C595" t="str">
        <f t="shared" ref="C595:C597" si="303">"14185"</f>
        <v>14185</v>
      </c>
      <c r="D595" t="str">
        <f t="shared" ref="D595:D597" si="304">"5620"</f>
        <v>5620</v>
      </c>
      <c r="E595" t="str">
        <f t="shared" ref="E595:E597" si="305">"094OMS"</f>
        <v>094OMS</v>
      </c>
      <c r="F595" t="str">
        <f>""</f>
        <v/>
      </c>
      <c r="G595" t="str">
        <f>""</f>
        <v/>
      </c>
      <c r="H595" s="1">
        <v>38716</v>
      </c>
      <c r="I595" t="str">
        <f>"076372"</f>
        <v>076372</v>
      </c>
      <c r="J595" t="str">
        <f>""</f>
        <v/>
      </c>
      <c r="K595" t="str">
        <f>"INNI"</f>
        <v>INNI</v>
      </c>
      <c r="L595" t="s">
        <v>265</v>
      </c>
      <c r="M595" s="3">
        <v>100.72</v>
      </c>
    </row>
    <row r="596" spans="1:13" x14ac:dyDescent="0.25">
      <c r="A596" t="str">
        <f>"E233"</f>
        <v>E233</v>
      </c>
      <c r="B596">
        <v>1</v>
      </c>
      <c r="C596" t="str">
        <f t="shared" si="303"/>
        <v>14185</v>
      </c>
      <c r="D596" t="str">
        <f t="shared" si="304"/>
        <v>5620</v>
      </c>
      <c r="E596" t="str">
        <f t="shared" si="305"/>
        <v>094OMS</v>
      </c>
      <c r="F596" t="str">
        <f>""</f>
        <v/>
      </c>
      <c r="G596" t="str">
        <f>""</f>
        <v/>
      </c>
      <c r="H596" s="1">
        <v>38736</v>
      </c>
      <c r="I596" t="str">
        <f>"076380"</f>
        <v>076380</v>
      </c>
      <c r="J596" t="str">
        <f>""</f>
        <v/>
      </c>
      <c r="K596" t="str">
        <f>"INNI"</f>
        <v>INNI</v>
      </c>
      <c r="L596" t="s">
        <v>266</v>
      </c>
      <c r="M596" s="3">
        <v>173.28</v>
      </c>
    </row>
    <row r="597" spans="1:13" x14ac:dyDescent="0.25">
      <c r="A597" t="str">
        <f t="shared" ref="A597:A603" si="306">"E240"</f>
        <v>E240</v>
      </c>
      <c r="B597">
        <v>1</v>
      </c>
      <c r="C597" t="str">
        <f t="shared" si="303"/>
        <v>14185</v>
      </c>
      <c r="D597" t="str">
        <f t="shared" si="304"/>
        <v>5620</v>
      </c>
      <c r="E597" t="str">
        <f t="shared" si="305"/>
        <v>094OMS</v>
      </c>
      <c r="F597" t="str">
        <f>""</f>
        <v/>
      </c>
      <c r="G597" t="str">
        <f>""</f>
        <v/>
      </c>
      <c r="H597" s="1">
        <v>38610</v>
      </c>
      <c r="I597" t="str">
        <f>"G0603141"</f>
        <v>G0603141</v>
      </c>
      <c r="J597" t="str">
        <f>"FO68498"</f>
        <v>FO68498</v>
      </c>
      <c r="K597" t="str">
        <f>"J089"</f>
        <v>J089</v>
      </c>
      <c r="L597" t="s">
        <v>267</v>
      </c>
      <c r="M597" s="3">
        <v>1121.99</v>
      </c>
    </row>
    <row r="598" spans="1:13" x14ac:dyDescent="0.25">
      <c r="A598" t="str">
        <f t="shared" si="306"/>
        <v>E240</v>
      </c>
      <c r="B598">
        <v>1</v>
      </c>
      <c r="C598" t="str">
        <f>"43000"</f>
        <v>43000</v>
      </c>
      <c r="D598" t="str">
        <f t="shared" ref="D598:D603" si="307">"5740"</f>
        <v>5740</v>
      </c>
      <c r="E598" t="str">
        <f t="shared" ref="E598:E603" si="308">"850LOS"</f>
        <v>850LOS</v>
      </c>
      <c r="F598" t="str">
        <f>""</f>
        <v/>
      </c>
      <c r="G598" t="str">
        <f>""</f>
        <v/>
      </c>
      <c r="H598" s="1">
        <v>38663</v>
      </c>
      <c r="I598" t="str">
        <f>"PCD00206"</f>
        <v>PCD00206</v>
      </c>
      <c r="J598" t="str">
        <f>"33595"</f>
        <v>33595</v>
      </c>
      <c r="K598" t="str">
        <f t="shared" ref="K598:K603" si="309">"AS89"</f>
        <v>AS89</v>
      </c>
      <c r="L598" t="s">
        <v>268</v>
      </c>
      <c r="M598" s="3">
        <v>748.33</v>
      </c>
    </row>
    <row r="599" spans="1:13" x14ac:dyDescent="0.25">
      <c r="A599" t="str">
        <f t="shared" si="306"/>
        <v>E240</v>
      </c>
      <c r="B599">
        <v>1</v>
      </c>
      <c r="C599" t="str">
        <f>"43000"</f>
        <v>43000</v>
      </c>
      <c r="D599" t="str">
        <f t="shared" si="307"/>
        <v>5740</v>
      </c>
      <c r="E599" t="str">
        <f t="shared" si="308"/>
        <v>850LOS</v>
      </c>
      <c r="F599" t="str">
        <f>""</f>
        <v/>
      </c>
      <c r="G599" t="str">
        <f>""</f>
        <v/>
      </c>
      <c r="H599" s="1">
        <v>38670</v>
      </c>
      <c r="I599" t="str">
        <f>"PCD00207"</f>
        <v>PCD00207</v>
      </c>
      <c r="J599" t="str">
        <f>"33710"</f>
        <v>33710</v>
      </c>
      <c r="K599" t="str">
        <f t="shared" si="309"/>
        <v>AS89</v>
      </c>
      <c r="L599" t="s">
        <v>269</v>
      </c>
      <c r="M599" s="3">
        <v>196.78</v>
      </c>
    </row>
    <row r="600" spans="1:13" x14ac:dyDescent="0.25">
      <c r="A600" t="str">
        <f t="shared" si="306"/>
        <v>E240</v>
      </c>
      <c r="B600">
        <v>1</v>
      </c>
      <c r="C600" t="str">
        <f>"43000"</f>
        <v>43000</v>
      </c>
      <c r="D600" t="str">
        <f t="shared" si="307"/>
        <v>5740</v>
      </c>
      <c r="E600" t="str">
        <f t="shared" si="308"/>
        <v>850LOS</v>
      </c>
      <c r="F600" t="str">
        <f>""</f>
        <v/>
      </c>
      <c r="G600" t="str">
        <f>""</f>
        <v/>
      </c>
      <c r="H600" s="1">
        <v>38723</v>
      </c>
      <c r="I600" t="str">
        <f>"PCD00214"</f>
        <v>PCD00214</v>
      </c>
      <c r="J600" t="str">
        <f>"35751"</f>
        <v>35751</v>
      </c>
      <c r="K600" t="str">
        <f t="shared" si="309"/>
        <v>AS89</v>
      </c>
      <c r="L600" t="s">
        <v>270</v>
      </c>
      <c r="M600" s="3">
        <v>438.62</v>
      </c>
    </row>
    <row r="601" spans="1:13" x14ac:dyDescent="0.25">
      <c r="A601" t="str">
        <f t="shared" si="306"/>
        <v>E240</v>
      </c>
      <c r="B601">
        <v>1</v>
      </c>
      <c r="C601" t="str">
        <f>"43000"</f>
        <v>43000</v>
      </c>
      <c r="D601" t="str">
        <f t="shared" si="307"/>
        <v>5740</v>
      </c>
      <c r="E601" t="str">
        <f t="shared" si="308"/>
        <v>850LOS</v>
      </c>
      <c r="F601" t="str">
        <f>""</f>
        <v/>
      </c>
      <c r="G601" t="str">
        <f>""</f>
        <v/>
      </c>
      <c r="H601" s="1">
        <v>38793</v>
      </c>
      <c r="I601" t="str">
        <f>"PCD00222"</f>
        <v>PCD00222</v>
      </c>
      <c r="J601" t="str">
        <f>"37775"</f>
        <v>37775</v>
      </c>
      <c r="K601" t="str">
        <f t="shared" si="309"/>
        <v>AS89</v>
      </c>
      <c r="L601" t="s">
        <v>271</v>
      </c>
      <c r="M601" s="3">
        <v>379.78</v>
      </c>
    </row>
    <row r="602" spans="1:13" x14ac:dyDescent="0.25">
      <c r="A602" t="str">
        <f t="shared" si="306"/>
        <v>E240</v>
      </c>
      <c r="B602">
        <v>1</v>
      </c>
      <c r="C602" t="str">
        <f>"43001"</f>
        <v>43001</v>
      </c>
      <c r="D602" t="str">
        <f t="shared" si="307"/>
        <v>5740</v>
      </c>
      <c r="E602" t="str">
        <f t="shared" si="308"/>
        <v>850LOS</v>
      </c>
      <c r="F602" t="str">
        <f>""</f>
        <v/>
      </c>
      <c r="G602" t="str">
        <f>""</f>
        <v/>
      </c>
      <c r="H602" s="1">
        <v>38663</v>
      </c>
      <c r="I602" t="str">
        <f>"PCD00206"</f>
        <v>PCD00206</v>
      </c>
      <c r="J602" t="str">
        <f>"32879"</f>
        <v>32879</v>
      </c>
      <c r="K602" t="str">
        <f t="shared" si="309"/>
        <v>AS89</v>
      </c>
      <c r="L602" t="s">
        <v>272</v>
      </c>
      <c r="M602" s="3">
        <v>195.44</v>
      </c>
    </row>
    <row r="603" spans="1:13" x14ac:dyDescent="0.25">
      <c r="A603" t="str">
        <f t="shared" si="306"/>
        <v>E240</v>
      </c>
      <c r="B603">
        <v>1</v>
      </c>
      <c r="C603" t="str">
        <f>"43001"</f>
        <v>43001</v>
      </c>
      <c r="D603" t="str">
        <f t="shared" si="307"/>
        <v>5740</v>
      </c>
      <c r="E603" t="str">
        <f t="shared" si="308"/>
        <v>850LOS</v>
      </c>
      <c r="F603" t="str">
        <f>""</f>
        <v/>
      </c>
      <c r="G603" t="str">
        <f>""</f>
        <v/>
      </c>
      <c r="H603" s="1">
        <v>38772</v>
      </c>
      <c r="I603" t="str">
        <f>"PCD00220"</f>
        <v>PCD00220</v>
      </c>
      <c r="J603" t="str">
        <f>"37082"</f>
        <v>37082</v>
      </c>
      <c r="K603" t="str">
        <f t="shared" si="309"/>
        <v>AS89</v>
      </c>
      <c r="L603" t="s">
        <v>273</v>
      </c>
      <c r="M603" s="3">
        <v>140.41999999999999</v>
      </c>
    </row>
    <row r="604" spans="1:13" x14ac:dyDescent="0.25">
      <c r="A604" t="str">
        <f t="shared" ref="A604:A615" si="310">"E241"</f>
        <v>E241</v>
      </c>
      <c r="B604">
        <v>1</v>
      </c>
      <c r="C604" t="str">
        <f>"14185"</f>
        <v>14185</v>
      </c>
      <c r="D604" t="str">
        <f t="shared" ref="D604:D606" si="311">"5620"</f>
        <v>5620</v>
      </c>
      <c r="E604" t="str">
        <f>"094OMS"</f>
        <v>094OMS</v>
      </c>
      <c r="F604" t="str">
        <f>""</f>
        <v/>
      </c>
      <c r="G604" t="str">
        <f>""</f>
        <v/>
      </c>
      <c r="H604" s="1">
        <v>38663</v>
      </c>
      <c r="I604" t="str">
        <f>"PCD00206"</f>
        <v>PCD00206</v>
      </c>
      <c r="J604" t="str">
        <f>"33415"</f>
        <v>33415</v>
      </c>
      <c r="K604" t="str">
        <f>"AS89"</f>
        <v>AS89</v>
      </c>
      <c r="L604" t="s">
        <v>274</v>
      </c>
      <c r="M604" s="3">
        <v>156.16</v>
      </c>
    </row>
    <row r="605" spans="1:13" x14ac:dyDescent="0.25">
      <c r="A605" t="str">
        <f t="shared" si="310"/>
        <v>E241</v>
      </c>
      <c r="B605">
        <v>1</v>
      </c>
      <c r="C605" t="str">
        <f>"14185"</f>
        <v>14185</v>
      </c>
      <c r="D605" t="str">
        <f t="shared" si="311"/>
        <v>5620</v>
      </c>
      <c r="E605" t="str">
        <f>"094OMS"</f>
        <v>094OMS</v>
      </c>
      <c r="F605" t="str">
        <f>""</f>
        <v/>
      </c>
      <c r="G605" t="str">
        <f>""</f>
        <v/>
      </c>
      <c r="H605" s="1">
        <v>38663</v>
      </c>
      <c r="I605" t="str">
        <f>"PCD00206"</f>
        <v>PCD00206</v>
      </c>
      <c r="J605" t="str">
        <f>"33502"</f>
        <v>33502</v>
      </c>
      <c r="K605" t="str">
        <f>"AS89"</f>
        <v>AS89</v>
      </c>
      <c r="L605" t="s">
        <v>275</v>
      </c>
      <c r="M605" s="3">
        <v>114.46</v>
      </c>
    </row>
    <row r="606" spans="1:13" x14ac:dyDescent="0.25">
      <c r="A606" t="str">
        <f t="shared" si="310"/>
        <v>E241</v>
      </c>
      <c r="B606">
        <v>1</v>
      </c>
      <c r="C606" t="str">
        <f>"14185"</f>
        <v>14185</v>
      </c>
      <c r="D606" t="str">
        <f t="shared" si="311"/>
        <v>5620</v>
      </c>
      <c r="E606" t="str">
        <f>"094OMS"</f>
        <v>094OMS</v>
      </c>
      <c r="F606" t="str">
        <f>""</f>
        <v/>
      </c>
      <c r="G606" t="str">
        <f>""</f>
        <v/>
      </c>
      <c r="H606" s="1">
        <v>38821</v>
      </c>
      <c r="I606" t="str">
        <f>"PCD00225"</f>
        <v>PCD00225</v>
      </c>
      <c r="J606" t="str">
        <f>"38897"</f>
        <v>38897</v>
      </c>
      <c r="K606" t="str">
        <f>"AS89"</f>
        <v>AS89</v>
      </c>
      <c r="L606" t="s">
        <v>276</v>
      </c>
      <c r="M606" s="3">
        <v>519.66</v>
      </c>
    </row>
    <row r="607" spans="1:13" x14ac:dyDescent="0.25">
      <c r="A607" t="str">
        <f t="shared" si="310"/>
        <v>E241</v>
      </c>
      <c r="B607">
        <v>1</v>
      </c>
      <c r="C607" t="str">
        <f>"14288"</f>
        <v>14288</v>
      </c>
      <c r="D607" t="str">
        <f t="shared" ref="D607:D615" si="312">"5740"</f>
        <v>5740</v>
      </c>
      <c r="E607" t="str">
        <f>"094VIS"</f>
        <v>094VIS</v>
      </c>
      <c r="F607" t="str">
        <f>""</f>
        <v/>
      </c>
      <c r="G607" t="str">
        <f>""</f>
        <v/>
      </c>
      <c r="H607" s="1">
        <v>38826</v>
      </c>
      <c r="I607" t="str">
        <f>"G0610056"</f>
        <v>G0610056</v>
      </c>
      <c r="J607" t="str">
        <f>""</f>
        <v/>
      </c>
      <c r="K607" t="str">
        <f>"J096"</f>
        <v>J096</v>
      </c>
      <c r="L607" t="s">
        <v>277</v>
      </c>
      <c r="M607" s="3">
        <v>2408.36</v>
      </c>
    </row>
    <row r="608" spans="1:13" x14ac:dyDescent="0.25">
      <c r="A608" t="str">
        <f t="shared" si="310"/>
        <v>E241</v>
      </c>
      <c r="B608">
        <v>1</v>
      </c>
      <c r="C608" t="str">
        <f>"43000"</f>
        <v>43000</v>
      </c>
      <c r="D608" t="str">
        <f t="shared" si="312"/>
        <v>5740</v>
      </c>
      <c r="E608" t="str">
        <f t="shared" ref="E608:E614" si="313">"850LOS"</f>
        <v>850LOS</v>
      </c>
      <c r="F608" t="str">
        <f>""</f>
        <v/>
      </c>
      <c r="G608" t="str">
        <f>""</f>
        <v/>
      </c>
      <c r="H608" s="1">
        <v>38868</v>
      </c>
      <c r="I608" t="str">
        <f>"SPU00059"</f>
        <v>SPU00059</v>
      </c>
      <c r="J608" t="str">
        <f>""</f>
        <v/>
      </c>
      <c r="K608" t="str">
        <f>"AS96"</f>
        <v>AS96</v>
      </c>
      <c r="L608" t="s">
        <v>278</v>
      </c>
      <c r="M608" s="3">
        <v>288.75</v>
      </c>
    </row>
    <row r="609" spans="1:13" x14ac:dyDescent="0.25">
      <c r="A609" t="str">
        <f t="shared" si="310"/>
        <v>E241</v>
      </c>
      <c r="B609">
        <v>1</v>
      </c>
      <c r="C609" t="str">
        <f t="shared" ref="C609:C614" si="314">"43001"</f>
        <v>43001</v>
      </c>
      <c r="D609" t="str">
        <f t="shared" si="312"/>
        <v>5740</v>
      </c>
      <c r="E609" t="str">
        <f t="shared" si="313"/>
        <v>850LOS</v>
      </c>
      <c r="F609" t="str">
        <f>""</f>
        <v/>
      </c>
      <c r="G609" t="str">
        <f>""</f>
        <v/>
      </c>
      <c r="H609" s="1">
        <v>38564</v>
      </c>
      <c r="I609" t="str">
        <f>"SPU00050"</f>
        <v>SPU00050</v>
      </c>
      <c r="J609" t="str">
        <f>""</f>
        <v/>
      </c>
      <c r="K609" t="str">
        <f>"AS96"</f>
        <v>AS96</v>
      </c>
      <c r="L609" t="s">
        <v>279</v>
      </c>
      <c r="M609" s="3">
        <v>130</v>
      </c>
    </row>
    <row r="610" spans="1:13" x14ac:dyDescent="0.25">
      <c r="A610" t="str">
        <f t="shared" si="310"/>
        <v>E241</v>
      </c>
      <c r="B610">
        <v>1</v>
      </c>
      <c r="C610" t="str">
        <f t="shared" si="314"/>
        <v>43001</v>
      </c>
      <c r="D610" t="str">
        <f t="shared" si="312"/>
        <v>5740</v>
      </c>
      <c r="E610" t="str">
        <f t="shared" si="313"/>
        <v>850LOS</v>
      </c>
      <c r="F610" t="str">
        <f>""</f>
        <v/>
      </c>
      <c r="G610" t="str">
        <f>""</f>
        <v/>
      </c>
      <c r="H610" s="1">
        <v>38625</v>
      </c>
      <c r="I610" t="str">
        <f>"SPU00051"</f>
        <v>SPU00051</v>
      </c>
      <c r="J610" t="str">
        <f>""</f>
        <v/>
      </c>
      <c r="K610" t="str">
        <f>"AS96"</f>
        <v>AS96</v>
      </c>
      <c r="L610" t="s">
        <v>279</v>
      </c>
      <c r="M610" s="3">
        <v>535</v>
      </c>
    </row>
    <row r="611" spans="1:13" x14ac:dyDescent="0.25">
      <c r="A611" t="str">
        <f t="shared" si="310"/>
        <v>E241</v>
      </c>
      <c r="B611">
        <v>1</v>
      </c>
      <c r="C611" t="str">
        <f t="shared" si="314"/>
        <v>43001</v>
      </c>
      <c r="D611" t="str">
        <f t="shared" si="312"/>
        <v>5740</v>
      </c>
      <c r="E611" t="str">
        <f t="shared" si="313"/>
        <v>850LOS</v>
      </c>
      <c r="F611" t="str">
        <f>""</f>
        <v/>
      </c>
      <c r="G611" t="str">
        <f>""</f>
        <v/>
      </c>
      <c r="H611" s="1">
        <v>38625</v>
      </c>
      <c r="I611" t="str">
        <f>"137740"</f>
        <v>137740</v>
      </c>
      <c r="J611" t="str">
        <f t="shared" ref="J611:J614" si="315">"F076326"</f>
        <v>F076326</v>
      </c>
      <c r="K611" t="str">
        <f t="shared" ref="K611:K614" si="316">"INEI"</f>
        <v>INEI</v>
      </c>
      <c r="L611" t="s">
        <v>280</v>
      </c>
      <c r="M611" s="3">
        <v>166.09</v>
      </c>
    </row>
    <row r="612" spans="1:13" x14ac:dyDescent="0.25">
      <c r="A612" t="str">
        <f t="shared" si="310"/>
        <v>E241</v>
      </c>
      <c r="B612">
        <v>1</v>
      </c>
      <c r="C612" t="str">
        <f t="shared" si="314"/>
        <v>43001</v>
      </c>
      <c r="D612" t="str">
        <f t="shared" si="312"/>
        <v>5740</v>
      </c>
      <c r="E612" t="str">
        <f t="shared" si="313"/>
        <v>850LOS</v>
      </c>
      <c r="F612" t="str">
        <f>""</f>
        <v/>
      </c>
      <c r="G612" t="str">
        <f>""</f>
        <v/>
      </c>
      <c r="H612" s="1">
        <v>38625</v>
      </c>
      <c r="I612" t="str">
        <f>"137811"</f>
        <v>137811</v>
      </c>
      <c r="J612" t="str">
        <f t="shared" si="315"/>
        <v>F076326</v>
      </c>
      <c r="K612" t="str">
        <f t="shared" si="316"/>
        <v>INEI</v>
      </c>
      <c r="L612" t="s">
        <v>280</v>
      </c>
      <c r="M612" s="3">
        <v>595.65</v>
      </c>
    </row>
    <row r="613" spans="1:13" x14ac:dyDescent="0.25">
      <c r="A613" t="str">
        <f t="shared" si="310"/>
        <v>E241</v>
      </c>
      <c r="B613">
        <v>1</v>
      </c>
      <c r="C613" t="str">
        <f t="shared" si="314"/>
        <v>43001</v>
      </c>
      <c r="D613" t="str">
        <f t="shared" si="312"/>
        <v>5740</v>
      </c>
      <c r="E613" t="str">
        <f t="shared" si="313"/>
        <v>850LOS</v>
      </c>
      <c r="F613" t="str">
        <f>""</f>
        <v/>
      </c>
      <c r="G613" t="str">
        <f>""</f>
        <v/>
      </c>
      <c r="H613" s="1">
        <v>38658</v>
      </c>
      <c r="I613" t="str">
        <f>"137741"</f>
        <v>137741</v>
      </c>
      <c r="J613" t="str">
        <f t="shared" si="315"/>
        <v>F076326</v>
      </c>
      <c r="K613" t="str">
        <f t="shared" si="316"/>
        <v>INEI</v>
      </c>
      <c r="L613" t="s">
        <v>280</v>
      </c>
      <c r="M613" s="3">
        <v>668.32</v>
      </c>
    </row>
    <row r="614" spans="1:13" x14ac:dyDescent="0.25">
      <c r="A614" t="str">
        <f t="shared" si="310"/>
        <v>E241</v>
      </c>
      <c r="B614">
        <v>1</v>
      </c>
      <c r="C614" t="str">
        <f t="shared" si="314"/>
        <v>43001</v>
      </c>
      <c r="D614" t="str">
        <f t="shared" si="312"/>
        <v>5740</v>
      </c>
      <c r="E614" t="str">
        <f t="shared" si="313"/>
        <v>850LOS</v>
      </c>
      <c r="F614" t="str">
        <f>""</f>
        <v/>
      </c>
      <c r="G614" t="str">
        <f>""</f>
        <v/>
      </c>
      <c r="H614" s="1">
        <v>38674</v>
      </c>
      <c r="I614" t="str">
        <f t="shared" ref="I614" si="317">"137965A"</f>
        <v>137965A</v>
      </c>
      <c r="J614" t="str">
        <f t="shared" si="315"/>
        <v>F076326</v>
      </c>
      <c r="K614" t="str">
        <f t="shared" si="316"/>
        <v>INEI</v>
      </c>
      <c r="L614" t="s">
        <v>280</v>
      </c>
      <c r="M614" s="3">
        <v>210.1</v>
      </c>
    </row>
    <row r="615" spans="1:13" x14ac:dyDescent="0.25">
      <c r="A615" t="str">
        <f t="shared" si="310"/>
        <v>E241</v>
      </c>
      <c r="B615">
        <v>1</v>
      </c>
      <c r="C615" t="str">
        <f>"54551"</f>
        <v>54551</v>
      </c>
      <c r="D615" t="str">
        <f t="shared" si="312"/>
        <v>5740</v>
      </c>
      <c r="E615" t="str">
        <f>"111ZAA"</f>
        <v>111ZAA</v>
      </c>
      <c r="F615" t="str">
        <f>""</f>
        <v/>
      </c>
      <c r="G615" t="str">
        <f>""</f>
        <v/>
      </c>
      <c r="H615" s="1">
        <v>38769</v>
      </c>
      <c r="I615" t="str">
        <f>"1051965H"</f>
        <v>1051965H</v>
      </c>
      <c r="J615" t="str">
        <f>"D102888"</f>
        <v>D102888</v>
      </c>
      <c r="K615" t="str">
        <f>"INEI"</f>
        <v>INEI</v>
      </c>
      <c r="L615" t="s">
        <v>281</v>
      </c>
      <c r="M615" s="3">
        <v>449.86</v>
      </c>
    </row>
    <row r="616" spans="1:13" x14ac:dyDescent="0.25">
      <c r="A616" t="str">
        <f t="shared" ref="A616:A625" si="318">"E247"</f>
        <v>E247</v>
      </c>
      <c r="B616">
        <v>1</v>
      </c>
      <c r="C616" t="str">
        <f t="shared" ref="C616:C625" si="319">"14185"</f>
        <v>14185</v>
      </c>
      <c r="D616" t="str">
        <f t="shared" ref="D616:D625" si="320">"5620"</f>
        <v>5620</v>
      </c>
      <c r="E616" t="str">
        <f t="shared" ref="E616:E625" si="321">"094OMS"</f>
        <v>094OMS</v>
      </c>
      <c r="F616" t="str">
        <f>""</f>
        <v/>
      </c>
      <c r="G616" t="str">
        <f>""</f>
        <v/>
      </c>
      <c r="H616" s="1">
        <v>38646</v>
      </c>
      <c r="I616" t="str">
        <f>"2118C"</f>
        <v>2118C</v>
      </c>
      <c r="J616" t="str">
        <f t="shared" ref="J616:J622" si="322">"B068486A"</f>
        <v>B068486A</v>
      </c>
      <c r="K616" t="str">
        <f t="shared" ref="K616:K624" si="323">"INNI"</f>
        <v>INNI</v>
      </c>
      <c r="L616" t="s">
        <v>283</v>
      </c>
      <c r="M616" s="3">
        <v>782.32</v>
      </c>
    </row>
    <row r="617" spans="1:13" x14ac:dyDescent="0.25">
      <c r="A617" t="str">
        <f t="shared" si="318"/>
        <v>E247</v>
      </c>
      <c r="B617">
        <v>1</v>
      </c>
      <c r="C617" t="str">
        <f t="shared" si="319"/>
        <v>14185</v>
      </c>
      <c r="D617" t="str">
        <f t="shared" si="320"/>
        <v>5620</v>
      </c>
      <c r="E617" t="str">
        <f t="shared" si="321"/>
        <v>094OMS</v>
      </c>
      <c r="F617" t="str">
        <f>""</f>
        <v/>
      </c>
      <c r="G617" t="str">
        <f>""</f>
        <v/>
      </c>
      <c r="H617" s="1">
        <v>38664</v>
      </c>
      <c r="I617" t="str">
        <f>"115F"</f>
        <v>115F</v>
      </c>
      <c r="J617" t="str">
        <f t="shared" si="322"/>
        <v>B068486A</v>
      </c>
      <c r="K617" t="str">
        <f t="shared" si="323"/>
        <v>INNI</v>
      </c>
      <c r="L617" t="s">
        <v>283</v>
      </c>
      <c r="M617" s="3">
        <v>234.76</v>
      </c>
    </row>
    <row r="618" spans="1:13" x14ac:dyDescent="0.25">
      <c r="A618" t="str">
        <f t="shared" si="318"/>
        <v>E247</v>
      </c>
      <c r="B618">
        <v>1</v>
      </c>
      <c r="C618" t="str">
        <f t="shared" si="319"/>
        <v>14185</v>
      </c>
      <c r="D618" t="str">
        <f t="shared" si="320"/>
        <v>5620</v>
      </c>
      <c r="E618" t="str">
        <f t="shared" si="321"/>
        <v>094OMS</v>
      </c>
      <c r="F618" t="str">
        <f>""</f>
        <v/>
      </c>
      <c r="G618" t="str">
        <f>""</f>
        <v/>
      </c>
      <c r="H618" s="1">
        <v>38671</v>
      </c>
      <c r="I618" t="str">
        <f>"159D"</f>
        <v>159D</v>
      </c>
      <c r="J618" t="str">
        <f t="shared" si="322"/>
        <v>B068486A</v>
      </c>
      <c r="K618" t="str">
        <f t="shared" si="323"/>
        <v>INNI</v>
      </c>
      <c r="L618" t="s">
        <v>283</v>
      </c>
      <c r="M618" s="3">
        <v>263.70999999999998</v>
      </c>
    </row>
    <row r="619" spans="1:13" x14ac:dyDescent="0.25">
      <c r="A619" t="str">
        <f t="shared" si="318"/>
        <v>E247</v>
      </c>
      <c r="B619">
        <v>1</v>
      </c>
      <c r="C619" t="str">
        <f t="shared" si="319"/>
        <v>14185</v>
      </c>
      <c r="D619" t="str">
        <f t="shared" si="320"/>
        <v>5620</v>
      </c>
      <c r="E619" t="str">
        <f t="shared" si="321"/>
        <v>094OMS</v>
      </c>
      <c r="F619" t="str">
        <f>""</f>
        <v/>
      </c>
      <c r="G619" t="str">
        <f>""</f>
        <v/>
      </c>
      <c r="H619" s="1">
        <v>38700</v>
      </c>
      <c r="I619" t="str">
        <f>"100D"</f>
        <v>100D</v>
      </c>
      <c r="J619" t="str">
        <f t="shared" si="322"/>
        <v>B068486A</v>
      </c>
      <c r="K619" t="str">
        <f t="shared" si="323"/>
        <v>INNI</v>
      </c>
      <c r="L619" t="s">
        <v>283</v>
      </c>
      <c r="M619" s="3">
        <v>227.68</v>
      </c>
    </row>
    <row r="620" spans="1:13" x14ac:dyDescent="0.25">
      <c r="A620" t="str">
        <f t="shared" si="318"/>
        <v>E247</v>
      </c>
      <c r="B620">
        <v>1</v>
      </c>
      <c r="C620" t="str">
        <f t="shared" si="319"/>
        <v>14185</v>
      </c>
      <c r="D620" t="str">
        <f t="shared" si="320"/>
        <v>5620</v>
      </c>
      <c r="E620" t="str">
        <f t="shared" si="321"/>
        <v>094OMS</v>
      </c>
      <c r="F620" t="str">
        <f>""</f>
        <v/>
      </c>
      <c r="G620" t="str">
        <f>""</f>
        <v/>
      </c>
      <c r="H620" s="1">
        <v>38734</v>
      </c>
      <c r="I620" t="str">
        <f>"259B"</f>
        <v>259B</v>
      </c>
      <c r="J620" t="str">
        <f t="shared" si="322"/>
        <v>B068486A</v>
      </c>
      <c r="K620" t="str">
        <f t="shared" si="323"/>
        <v>INNI</v>
      </c>
      <c r="L620" t="s">
        <v>283</v>
      </c>
      <c r="M620" s="3">
        <v>185.04</v>
      </c>
    </row>
    <row r="621" spans="1:13" x14ac:dyDescent="0.25">
      <c r="A621" t="str">
        <f t="shared" si="318"/>
        <v>E247</v>
      </c>
      <c r="B621">
        <v>1</v>
      </c>
      <c r="C621" t="str">
        <f t="shared" si="319"/>
        <v>14185</v>
      </c>
      <c r="D621" t="str">
        <f t="shared" si="320"/>
        <v>5620</v>
      </c>
      <c r="E621" t="str">
        <f t="shared" si="321"/>
        <v>094OMS</v>
      </c>
      <c r="F621" t="str">
        <f>""</f>
        <v/>
      </c>
      <c r="G621" t="str">
        <f>""</f>
        <v/>
      </c>
      <c r="H621" s="1">
        <v>38762</v>
      </c>
      <c r="I621" t="str">
        <f>"301C"</f>
        <v>301C</v>
      </c>
      <c r="J621" t="str">
        <f t="shared" si="322"/>
        <v>B068486A</v>
      </c>
      <c r="K621" t="str">
        <f t="shared" si="323"/>
        <v>INNI</v>
      </c>
      <c r="L621" t="s">
        <v>283</v>
      </c>
      <c r="M621" s="3">
        <v>224.61</v>
      </c>
    </row>
    <row r="622" spans="1:13" x14ac:dyDescent="0.25">
      <c r="A622" t="str">
        <f t="shared" si="318"/>
        <v>E247</v>
      </c>
      <c r="B622">
        <v>1</v>
      </c>
      <c r="C622" t="str">
        <f t="shared" si="319"/>
        <v>14185</v>
      </c>
      <c r="D622" t="str">
        <f t="shared" si="320"/>
        <v>5620</v>
      </c>
      <c r="E622" t="str">
        <f t="shared" si="321"/>
        <v>094OMS</v>
      </c>
      <c r="F622" t="str">
        <f>""</f>
        <v/>
      </c>
      <c r="G622" t="str">
        <f>""</f>
        <v/>
      </c>
      <c r="H622" s="1">
        <v>38786</v>
      </c>
      <c r="I622" t="str">
        <f>"316A"</f>
        <v>316A</v>
      </c>
      <c r="J622" t="str">
        <f t="shared" si="322"/>
        <v>B068486A</v>
      </c>
      <c r="K622" t="str">
        <f t="shared" si="323"/>
        <v>INNI</v>
      </c>
      <c r="L622" t="s">
        <v>283</v>
      </c>
      <c r="M622" s="3">
        <v>200.8</v>
      </c>
    </row>
    <row r="623" spans="1:13" x14ac:dyDescent="0.25">
      <c r="A623" t="str">
        <f t="shared" si="318"/>
        <v>E247</v>
      </c>
      <c r="B623">
        <v>1</v>
      </c>
      <c r="C623" t="str">
        <f t="shared" si="319"/>
        <v>14185</v>
      </c>
      <c r="D623" t="str">
        <f t="shared" si="320"/>
        <v>5620</v>
      </c>
      <c r="E623" t="str">
        <f t="shared" si="321"/>
        <v>094OMS</v>
      </c>
      <c r="F623" t="str">
        <f>""</f>
        <v/>
      </c>
      <c r="G623" t="str">
        <f>""</f>
        <v/>
      </c>
      <c r="H623" s="1">
        <v>38814</v>
      </c>
      <c r="I623" t="str">
        <f>"360"</f>
        <v>360</v>
      </c>
      <c r="J623" t="str">
        <f>"B068486B"</f>
        <v>B068486B</v>
      </c>
      <c r="K623" t="str">
        <f t="shared" si="323"/>
        <v>INNI</v>
      </c>
      <c r="L623" t="s">
        <v>283</v>
      </c>
      <c r="M623" s="3">
        <v>233.43</v>
      </c>
    </row>
    <row r="624" spans="1:13" x14ac:dyDescent="0.25">
      <c r="A624" t="str">
        <f t="shared" si="318"/>
        <v>E247</v>
      </c>
      <c r="B624">
        <v>1</v>
      </c>
      <c r="C624" t="str">
        <f t="shared" si="319"/>
        <v>14185</v>
      </c>
      <c r="D624" t="str">
        <f t="shared" si="320"/>
        <v>5620</v>
      </c>
      <c r="E624" t="str">
        <f t="shared" si="321"/>
        <v>094OMS</v>
      </c>
      <c r="F624" t="str">
        <f>""</f>
        <v/>
      </c>
      <c r="G624" t="str">
        <f>""</f>
        <v/>
      </c>
      <c r="H624" s="1">
        <v>38853</v>
      </c>
      <c r="I624" t="str">
        <f>"393A"</f>
        <v>393A</v>
      </c>
      <c r="J624" t="str">
        <f>"B068486B"</f>
        <v>B068486B</v>
      </c>
      <c r="K624" t="str">
        <f t="shared" si="323"/>
        <v>INNI</v>
      </c>
      <c r="L624" t="s">
        <v>283</v>
      </c>
      <c r="M624" s="3">
        <v>284.45999999999998</v>
      </c>
    </row>
    <row r="625" spans="1:13" x14ac:dyDescent="0.25">
      <c r="A625" t="str">
        <f t="shared" si="318"/>
        <v>E247</v>
      </c>
      <c r="B625">
        <v>1</v>
      </c>
      <c r="C625" t="str">
        <f t="shared" si="319"/>
        <v>14185</v>
      </c>
      <c r="D625" t="str">
        <f t="shared" si="320"/>
        <v>5620</v>
      </c>
      <c r="E625" t="str">
        <f t="shared" si="321"/>
        <v>094OMS</v>
      </c>
      <c r="F625" t="str">
        <f>""</f>
        <v/>
      </c>
      <c r="G625" t="str">
        <f>""</f>
        <v/>
      </c>
      <c r="H625" s="1">
        <v>38898</v>
      </c>
      <c r="I625" t="str">
        <f>"ACG01486"</f>
        <v>ACG01486</v>
      </c>
      <c r="J625" t="str">
        <f>"430B"</f>
        <v>430B</v>
      </c>
      <c r="K625" t="str">
        <f>"AS89"</f>
        <v>AS89</v>
      </c>
      <c r="L625" t="s">
        <v>8</v>
      </c>
      <c r="M625" s="3">
        <v>656.88</v>
      </c>
    </row>
    <row r="626" spans="1:13" x14ac:dyDescent="0.25">
      <c r="A626" t="str">
        <f>"E254"</f>
        <v>E254</v>
      </c>
      <c r="B626">
        <v>1</v>
      </c>
      <c r="C626" t="str">
        <f>"43000"</f>
        <v>43000</v>
      </c>
      <c r="D626" t="str">
        <f>"5740"</f>
        <v>5740</v>
      </c>
      <c r="E626" t="str">
        <f>"850PKE"</f>
        <v>850PKE</v>
      </c>
      <c r="F626" t="str">
        <f>""</f>
        <v/>
      </c>
      <c r="G626" t="str">
        <f>""</f>
        <v/>
      </c>
      <c r="H626" s="1">
        <v>38778</v>
      </c>
      <c r="I626" t="str">
        <f>"V71632"</f>
        <v>V71632</v>
      </c>
      <c r="J626" t="str">
        <f>""</f>
        <v/>
      </c>
      <c r="K626" t="str">
        <f>"INNI"</f>
        <v>INNI</v>
      </c>
      <c r="L626" t="s">
        <v>284</v>
      </c>
      <c r="M626" s="3">
        <v>115.9</v>
      </c>
    </row>
    <row r="627" spans="1:13" x14ac:dyDescent="0.25">
      <c r="A627" t="str">
        <f t="shared" ref="A627:A628" si="324">"E255"</f>
        <v>E255</v>
      </c>
      <c r="B627">
        <v>1</v>
      </c>
      <c r="C627" t="str">
        <f>"43000"</f>
        <v>43000</v>
      </c>
      <c r="D627" t="str">
        <f>"5740"</f>
        <v>5740</v>
      </c>
      <c r="E627" t="str">
        <f t="shared" ref="E627:E628" si="325">"850LOS"</f>
        <v>850LOS</v>
      </c>
      <c r="F627" t="str">
        <f>""</f>
        <v/>
      </c>
      <c r="G627" t="str">
        <f>""</f>
        <v/>
      </c>
      <c r="H627" s="1">
        <v>38705</v>
      </c>
      <c r="I627" t="str">
        <f>"PCD00211"</f>
        <v>PCD00211</v>
      </c>
      <c r="J627" t="str">
        <f>"34273"</f>
        <v>34273</v>
      </c>
      <c r="K627" t="str">
        <f t="shared" ref="K627:K628" si="326">"AS89"</f>
        <v>AS89</v>
      </c>
      <c r="L627" t="s">
        <v>286</v>
      </c>
      <c r="M627" s="3">
        <v>151.37</v>
      </c>
    </row>
    <row r="628" spans="1:13" x14ac:dyDescent="0.25">
      <c r="A628" t="str">
        <f t="shared" si="324"/>
        <v>E255</v>
      </c>
      <c r="B628">
        <v>1</v>
      </c>
      <c r="C628" t="str">
        <f>"43000"</f>
        <v>43000</v>
      </c>
      <c r="D628" t="str">
        <f>"5740"</f>
        <v>5740</v>
      </c>
      <c r="E628" t="str">
        <f t="shared" si="325"/>
        <v>850LOS</v>
      </c>
      <c r="F628" t="str">
        <f>""</f>
        <v/>
      </c>
      <c r="G628" t="str">
        <f>""</f>
        <v/>
      </c>
      <c r="H628" s="1">
        <v>38877</v>
      </c>
      <c r="I628" t="str">
        <f>"PCD00232"</f>
        <v>PCD00232</v>
      </c>
      <c r="J628" t="str">
        <f>"41984"</f>
        <v>41984</v>
      </c>
      <c r="K628" t="str">
        <f t="shared" si="326"/>
        <v>AS89</v>
      </c>
      <c r="L628" t="s">
        <v>287</v>
      </c>
      <c r="M628" s="3">
        <v>297.48</v>
      </c>
    </row>
    <row r="629" spans="1:13" x14ac:dyDescent="0.25">
      <c r="A629" t="str">
        <f t="shared" ref="A629:A645" si="327">"E257"</f>
        <v>E257</v>
      </c>
      <c r="B629">
        <v>1</v>
      </c>
      <c r="C629" t="str">
        <f t="shared" ref="C629:C650" si="328">"14185"</f>
        <v>14185</v>
      </c>
      <c r="D629" t="str">
        <f t="shared" ref="D629:D650" si="329">"5620"</f>
        <v>5620</v>
      </c>
      <c r="E629" t="str">
        <f t="shared" ref="E629:E650" si="330">"094OMS"</f>
        <v>094OMS</v>
      </c>
      <c r="F629" t="str">
        <f>""</f>
        <v/>
      </c>
      <c r="G629" t="str">
        <f>""</f>
        <v/>
      </c>
      <c r="H629" s="1">
        <v>38604</v>
      </c>
      <c r="I629" t="str">
        <f>"PCD00196"</f>
        <v>PCD00196</v>
      </c>
      <c r="J629" t="str">
        <f>"30759"</f>
        <v>30759</v>
      </c>
      <c r="K629" t="str">
        <f t="shared" ref="K629:K650" si="331">"AS89"</f>
        <v>AS89</v>
      </c>
      <c r="L629" t="s">
        <v>288</v>
      </c>
      <c r="M629" s="3">
        <v>201.17</v>
      </c>
    </row>
    <row r="630" spans="1:13" x14ac:dyDescent="0.25">
      <c r="A630" t="str">
        <f t="shared" si="327"/>
        <v>E257</v>
      </c>
      <c r="B630">
        <v>1</v>
      </c>
      <c r="C630" t="str">
        <f t="shared" si="328"/>
        <v>14185</v>
      </c>
      <c r="D630" t="str">
        <f t="shared" si="329"/>
        <v>5620</v>
      </c>
      <c r="E630" t="str">
        <f t="shared" si="330"/>
        <v>094OMS</v>
      </c>
      <c r="F630" t="str">
        <f>""</f>
        <v/>
      </c>
      <c r="G630" t="str">
        <f>""</f>
        <v/>
      </c>
      <c r="H630" s="1">
        <v>38604</v>
      </c>
      <c r="I630" t="str">
        <f>"PCD00196"</f>
        <v>PCD00196</v>
      </c>
      <c r="J630" t="str">
        <f>"31203"</f>
        <v>31203</v>
      </c>
      <c r="K630" t="str">
        <f t="shared" si="331"/>
        <v>AS89</v>
      </c>
      <c r="L630" t="s">
        <v>289</v>
      </c>
      <c r="M630" s="3">
        <v>398.89</v>
      </c>
    </row>
    <row r="631" spans="1:13" x14ac:dyDescent="0.25">
      <c r="A631" t="str">
        <f t="shared" si="327"/>
        <v>E257</v>
      </c>
      <c r="B631">
        <v>1</v>
      </c>
      <c r="C631" t="str">
        <f t="shared" si="328"/>
        <v>14185</v>
      </c>
      <c r="D631" t="str">
        <f t="shared" si="329"/>
        <v>5620</v>
      </c>
      <c r="E631" t="str">
        <f t="shared" si="330"/>
        <v>094OMS</v>
      </c>
      <c r="F631" t="str">
        <f>""</f>
        <v/>
      </c>
      <c r="G631" t="str">
        <f>""</f>
        <v/>
      </c>
      <c r="H631" s="1">
        <v>38663</v>
      </c>
      <c r="I631" t="str">
        <f>"PCD00206"</f>
        <v>PCD00206</v>
      </c>
      <c r="J631" t="str">
        <f>"32941"</f>
        <v>32941</v>
      </c>
      <c r="K631" t="str">
        <f t="shared" si="331"/>
        <v>AS89</v>
      </c>
      <c r="L631" t="s">
        <v>290</v>
      </c>
      <c r="M631" s="3">
        <v>123.98</v>
      </c>
    </row>
    <row r="632" spans="1:13" x14ac:dyDescent="0.25">
      <c r="A632" t="str">
        <f t="shared" si="327"/>
        <v>E257</v>
      </c>
      <c r="B632">
        <v>1</v>
      </c>
      <c r="C632" t="str">
        <f t="shared" si="328"/>
        <v>14185</v>
      </c>
      <c r="D632" t="str">
        <f t="shared" si="329"/>
        <v>5620</v>
      </c>
      <c r="E632" t="str">
        <f t="shared" si="330"/>
        <v>094OMS</v>
      </c>
      <c r="F632" t="str">
        <f>""</f>
        <v/>
      </c>
      <c r="G632" t="str">
        <f>""</f>
        <v/>
      </c>
      <c r="H632" s="1">
        <v>38663</v>
      </c>
      <c r="I632" t="str">
        <f>"PCD00206"</f>
        <v>PCD00206</v>
      </c>
      <c r="J632" t="str">
        <f>"33414"</f>
        <v>33414</v>
      </c>
      <c r="K632" t="str">
        <f t="shared" si="331"/>
        <v>AS89</v>
      </c>
      <c r="L632" t="s">
        <v>292</v>
      </c>
      <c r="M632" s="3">
        <v>278.29000000000002</v>
      </c>
    </row>
    <row r="633" spans="1:13" x14ac:dyDescent="0.25">
      <c r="A633" t="str">
        <f t="shared" si="327"/>
        <v>E257</v>
      </c>
      <c r="B633">
        <v>1</v>
      </c>
      <c r="C633" t="str">
        <f t="shared" si="328"/>
        <v>14185</v>
      </c>
      <c r="D633" t="str">
        <f t="shared" si="329"/>
        <v>5620</v>
      </c>
      <c r="E633" t="str">
        <f t="shared" si="330"/>
        <v>094OMS</v>
      </c>
      <c r="F633" t="str">
        <f>""</f>
        <v/>
      </c>
      <c r="G633" t="str">
        <f>""</f>
        <v/>
      </c>
      <c r="H633" s="1">
        <v>38663</v>
      </c>
      <c r="I633" t="str">
        <f>"PCD00206"</f>
        <v>PCD00206</v>
      </c>
      <c r="J633" t="str">
        <f>"33617"</f>
        <v>33617</v>
      </c>
      <c r="K633" t="str">
        <f t="shared" si="331"/>
        <v>AS89</v>
      </c>
      <c r="L633" t="s">
        <v>268</v>
      </c>
      <c r="M633" s="3">
        <v>138.07</v>
      </c>
    </row>
    <row r="634" spans="1:13" x14ac:dyDescent="0.25">
      <c r="A634" t="str">
        <f t="shared" si="327"/>
        <v>E257</v>
      </c>
      <c r="B634">
        <v>1</v>
      </c>
      <c r="C634" t="str">
        <f t="shared" si="328"/>
        <v>14185</v>
      </c>
      <c r="D634" t="str">
        <f t="shared" si="329"/>
        <v>5620</v>
      </c>
      <c r="E634" t="str">
        <f t="shared" si="330"/>
        <v>094OMS</v>
      </c>
      <c r="F634" t="str">
        <f>""</f>
        <v/>
      </c>
      <c r="G634" t="str">
        <f>""</f>
        <v/>
      </c>
      <c r="H634" s="1">
        <v>38677</v>
      </c>
      <c r="I634" t="str">
        <f>"PCD00208"</f>
        <v>PCD00208</v>
      </c>
      <c r="J634" t="str">
        <f>"33915"</f>
        <v>33915</v>
      </c>
      <c r="K634" t="str">
        <f t="shared" si="331"/>
        <v>AS89</v>
      </c>
      <c r="L634" t="s">
        <v>293</v>
      </c>
      <c r="M634" s="3">
        <v>194.21</v>
      </c>
    </row>
    <row r="635" spans="1:13" x14ac:dyDescent="0.25">
      <c r="A635" t="str">
        <f t="shared" si="327"/>
        <v>E257</v>
      </c>
      <c r="B635">
        <v>1</v>
      </c>
      <c r="C635" t="str">
        <f t="shared" si="328"/>
        <v>14185</v>
      </c>
      <c r="D635" t="str">
        <f t="shared" si="329"/>
        <v>5620</v>
      </c>
      <c r="E635" t="str">
        <f t="shared" si="330"/>
        <v>094OMS</v>
      </c>
      <c r="F635" t="str">
        <f>""</f>
        <v/>
      </c>
      <c r="G635" t="str">
        <f>""</f>
        <v/>
      </c>
      <c r="H635" s="1">
        <v>38793</v>
      </c>
      <c r="I635" t="str">
        <f>"PCD00222"</f>
        <v>PCD00222</v>
      </c>
      <c r="J635" t="str">
        <f>"37561"</f>
        <v>37561</v>
      </c>
      <c r="K635" t="str">
        <f t="shared" si="331"/>
        <v>AS89</v>
      </c>
      <c r="L635" t="s">
        <v>294</v>
      </c>
      <c r="M635" s="3">
        <v>372.11</v>
      </c>
    </row>
    <row r="636" spans="1:13" x14ac:dyDescent="0.25">
      <c r="A636" t="str">
        <f t="shared" si="327"/>
        <v>E257</v>
      </c>
      <c r="B636">
        <v>1</v>
      </c>
      <c r="C636" t="str">
        <f t="shared" si="328"/>
        <v>14185</v>
      </c>
      <c r="D636" t="str">
        <f t="shared" si="329"/>
        <v>5620</v>
      </c>
      <c r="E636" t="str">
        <f t="shared" si="330"/>
        <v>094OMS</v>
      </c>
      <c r="F636" t="str">
        <f>""</f>
        <v/>
      </c>
      <c r="G636" t="str">
        <f>""</f>
        <v/>
      </c>
      <c r="H636" s="1">
        <v>38793</v>
      </c>
      <c r="I636" t="str">
        <f>"PCD00222"</f>
        <v>PCD00222</v>
      </c>
      <c r="J636" t="str">
        <f>"38049"</f>
        <v>38049</v>
      </c>
      <c r="K636" t="str">
        <f t="shared" si="331"/>
        <v>AS89</v>
      </c>
      <c r="L636" t="s">
        <v>295</v>
      </c>
      <c r="M636" s="3">
        <v>101.73</v>
      </c>
    </row>
    <row r="637" spans="1:13" x14ac:dyDescent="0.25">
      <c r="A637" t="str">
        <f t="shared" si="327"/>
        <v>E257</v>
      </c>
      <c r="B637">
        <v>1</v>
      </c>
      <c r="C637" t="str">
        <f t="shared" si="328"/>
        <v>14185</v>
      </c>
      <c r="D637" t="str">
        <f t="shared" si="329"/>
        <v>5620</v>
      </c>
      <c r="E637" t="str">
        <f t="shared" si="330"/>
        <v>094OMS</v>
      </c>
      <c r="F637" t="str">
        <f>""</f>
        <v/>
      </c>
      <c r="G637" t="str">
        <f>""</f>
        <v/>
      </c>
      <c r="H637" s="1">
        <v>38821</v>
      </c>
      <c r="I637" t="str">
        <f t="shared" ref="I637:I643" si="332">"PCD00225"</f>
        <v>PCD00225</v>
      </c>
      <c r="J637" t="str">
        <f>"38704"</f>
        <v>38704</v>
      </c>
      <c r="K637" t="str">
        <f t="shared" si="331"/>
        <v>AS89</v>
      </c>
      <c r="L637" t="s">
        <v>296</v>
      </c>
      <c r="M637" s="3">
        <v>353.07</v>
      </c>
    </row>
    <row r="638" spans="1:13" x14ac:dyDescent="0.25">
      <c r="A638" t="str">
        <f t="shared" si="327"/>
        <v>E257</v>
      </c>
      <c r="B638">
        <v>1</v>
      </c>
      <c r="C638" t="str">
        <f t="shared" si="328"/>
        <v>14185</v>
      </c>
      <c r="D638" t="str">
        <f t="shared" si="329"/>
        <v>5620</v>
      </c>
      <c r="E638" t="str">
        <f t="shared" si="330"/>
        <v>094OMS</v>
      </c>
      <c r="F638" t="str">
        <f>""</f>
        <v/>
      </c>
      <c r="G638" t="str">
        <f>""</f>
        <v/>
      </c>
      <c r="H638" s="1">
        <v>38821</v>
      </c>
      <c r="I638" t="str">
        <f t="shared" si="332"/>
        <v>PCD00225</v>
      </c>
      <c r="J638" t="str">
        <f>"38705"</f>
        <v>38705</v>
      </c>
      <c r="K638" t="str">
        <f t="shared" si="331"/>
        <v>AS89</v>
      </c>
      <c r="L638" t="s">
        <v>296</v>
      </c>
      <c r="M638" s="3">
        <v>210.96</v>
      </c>
    </row>
    <row r="639" spans="1:13" x14ac:dyDescent="0.25">
      <c r="A639" t="str">
        <f t="shared" si="327"/>
        <v>E257</v>
      </c>
      <c r="B639">
        <v>1</v>
      </c>
      <c r="C639" t="str">
        <f t="shared" si="328"/>
        <v>14185</v>
      </c>
      <c r="D639" t="str">
        <f t="shared" si="329"/>
        <v>5620</v>
      </c>
      <c r="E639" t="str">
        <f t="shared" si="330"/>
        <v>094OMS</v>
      </c>
      <c r="F639" t="str">
        <f>""</f>
        <v/>
      </c>
      <c r="G639" t="str">
        <f>""</f>
        <v/>
      </c>
      <c r="H639" s="1">
        <v>38821</v>
      </c>
      <c r="I639" t="str">
        <f t="shared" si="332"/>
        <v>PCD00225</v>
      </c>
      <c r="J639" t="str">
        <f>"38895"</f>
        <v>38895</v>
      </c>
      <c r="K639" t="str">
        <f t="shared" si="331"/>
        <v>AS89</v>
      </c>
      <c r="L639" t="s">
        <v>297</v>
      </c>
      <c r="M639" s="3">
        <v>145.19</v>
      </c>
    </row>
    <row r="640" spans="1:13" x14ac:dyDescent="0.25">
      <c r="A640" t="str">
        <f t="shared" si="327"/>
        <v>E257</v>
      </c>
      <c r="B640">
        <v>1</v>
      </c>
      <c r="C640" t="str">
        <f t="shared" si="328"/>
        <v>14185</v>
      </c>
      <c r="D640" t="str">
        <f t="shared" si="329"/>
        <v>5620</v>
      </c>
      <c r="E640" t="str">
        <f t="shared" si="330"/>
        <v>094OMS</v>
      </c>
      <c r="F640" t="str">
        <f>""</f>
        <v/>
      </c>
      <c r="G640" t="str">
        <f>""</f>
        <v/>
      </c>
      <c r="H640" s="1">
        <v>38821</v>
      </c>
      <c r="I640" t="str">
        <f t="shared" si="332"/>
        <v>PCD00225</v>
      </c>
      <c r="J640" t="str">
        <f>"38896"</f>
        <v>38896</v>
      </c>
      <c r="K640" t="str">
        <f t="shared" si="331"/>
        <v>AS89</v>
      </c>
      <c r="L640" t="s">
        <v>297</v>
      </c>
      <c r="M640" s="3">
        <v>357.19</v>
      </c>
    </row>
    <row r="641" spans="1:13" x14ac:dyDescent="0.25">
      <c r="A641" t="str">
        <f t="shared" si="327"/>
        <v>E257</v>
      </c>
      <c r="B641">
        <v>1</v>
      </c>
      <c r="C641" t="str">
        <f t="shared" si="328"/>
        <v>14185</v>
      </c>
      <c r="D641" t="str">
        <f t="shared" si="329"/>
        <v>5620</v>
      </c>
      <c r="E641" t="str">
        <f t="shared" si="330"/>
        <v>094OMS</v>
      </c>
      <c r="F641" t="str">
        <f>""</f>
        <v/>
      </c>
      <c r="G641" t="str">
        <f>""</f>
        <v/>
      </c>
      <c r="H641" s="1">
        <v>38821</v>
      </c>
      <c r="I641" t="str">
        <f t="shared" si="332"/>
        <v>PCD00225</v>
      </c>
      <c r="J641" t="str">
        <f>"38962"</f>
        <v>38962</v>
      </c>
      <c r="K641" t="str">
        <f t="shared" si="331"/>
        <v>AS89</v>
      </c>
      <c r="L641" t="s">
        <v>298</v>
      </c>
      <c r="M641" s="3">
        <v>113.15</v>
      </c>
    </row>
    <row r="642" spans="1:13" x14ac:dyDescent="0.25">
      <c r="A642" t="str">
        <f t="shared" si="327"/>
        <v>E257</v>
      </c>
      <c r="B642">
        <v>1</v>
      </c>
      <c r="C642" t="str">
        <f t="shared" si="328"/>
        <v>14185</v>
      </c>
      <c r="D642" t="str">
        <f t="shared" si="329"/>
        <v>5620</v>
      </c>
      <c r="E642" t="str">
        <f t="shared" si="330"/>
        <v>094OMS</v>
      </c>
      <c r="F642" t="str">
        <f>""</f>
        <v/>
      </c>
      <c r="G642" t="str">
        <f>""</f>
        <v/>
      </c>
      <c r="H642" s="1">
        <v>38821</v>
      </c>
      <c r="I642" t="str">
        <f t="shared" si="332"/>
        <v>PCD00225</v>
      </c>
      <c r="J642" t="str">
        <f>"38963"</f>
        <v>38963</v>
      </c>
      <c r="K642" t="str">
        <f t="shared" si="331"/>
        <v>AS89</v>
      </c>
      <c r="L642" t="s">
        <v>299</v>
      </c>
      <c r="M642" s="3">
        <v>194.21</v>
      </c>
    </row>
    <row r="643" spans="1:13" x14ac:dyDescent="0.25">
      <c r="A643" t="str">
        <f t="shared" si="327"/>
        <v>E257</v>
      </c>
      <c r="B643">
        <v>1</v>
      </c>
      <c r="C643" t="str">
        <f t="shared" si="328"/>
        <v>14185</v>
      </c>
      <c r="D643" t="str">
        <f t="shared" si="329"/>
        <v>5620</v>
      </c>
      <c r="E643" t="str">
        <f t="shared" si="330"/>
        <v>094OMS</v>
      </c>
      <c r="F643" t="str">
        <f>""</f>
        <v/>
      </c>
      <c r="G643" t="str">
        <f>""</f>
        <v/>
      </c>
      <c r="H643" s="1">
        <v>38821</v>
      </c>
      <c r="I643" t="str">
        <f t="shared" si="332"/>
        <v>PCD00225</v>
      </c>
      <c r="J643" t="str">
        <f>"39414"</f>
        <v>39414</v>
      </c>
      <c r="K643" t="str">
        <f t="shared" si="331"/>
        <v>AS89</v>
      </c>
      <c r="L643" t="s">
        <v>300</v>
      </c>
      <c r="M643" s="3">
        <v>269</v>
      </c>
    </row>
    <row r="644" spans="1:13" x14ac:dyDescent="0.25">
      <c r="A644" t="str">
        <f t="shared" si="327"/>
        <v>E257</v>
      </c>
      <c r="B644">
        <v>1</v>
      </c>
      <c r="C644" t="str">
        <f t="shared" si="328"/>
        <v>14185</v>
      </c>
      <c r="D644" t="str">
        <f t="shared" si="329"/>
        <v>5620</v>
      </c>
      <c r="E644" t="str">
        <f t="shared" si="330"/>
        <v>094OMS</v>
      </c>
      <c r="F644" t="str">
        <f>""</f>
        <v/>
      </c>
      <c r="G644" t="str">
        <f>""</f>
        <v/>
      </c>
      <c r="H644" s="1">
        <v>38828</v>
      </c>
      <c r="I644" t="str">
        <f>"PCD00226"</f>
        <v>PCD00226</v>
      </c>
      <c r="J644" t="str">
        <f>"39662"</f>
        <v>39662</v>
      </c>
      <c r="K644" t="str">
        <f t="shared" si="331"/>
        <v>AS89</v>
      </c>
      <c r="L644" t="s">
        <v>301</v>
      </c>
      <c r="M644" s="3">
        <v>269</v>
      </c>
    </row>
    <row r="645" spans="1:13" x14ac:dyDescent="0.25">
      <c r="A645" t="str">
        <f t="shared" si="327"/>
        <v>E257</v>
      </c>
      <c r="B645">
        <v>1</v>
      </c>
      <c r="C645" t="str">
        <f t="shared" si="328"/>
        <v>14185</v>
      </c>
      <c r="D645" t="str">
        <f t="shared" si="329"/>
        <v>5620</v>
      </c>
      <c r="E645" t="str">
        <f t="shared" si="330"/>
        <v>094OMS</v>
      </c>
      <c r="F645" t="str">
        <f>""</f>
        <v/>
      </c>
      <c r="G645" t="str">
        <f>""</f>
        <v/>
      </c>
      <c r="H645" s="1">
        <v>38849</v>
      </c>
      <c r="I645" t="str">
        <f>"PCD00228"</f>
        <v>PCD00228</v>
      </c>
      <c r="J645" t="str">
        <f>"39991"</f>
        <v>39991</v>
      </c>
      <c r="K645" t="str">
        <f t="shared" si="331"/>
        <v>AS89</v>
      </c>
      <c r="L645" t="s">
        <v>302</v>
      </c>
      <c r="M645" s="3">
        <v>238.64</v>
      </c>
    </row>
    <row r="646" spans="1:13" x14ac:dyDescent="0.25">
      <c r="A646" t="str">
        <f t="shared" ref="A646:A660" si="333">"E257"</f>
        <v>E257</v>
      </c>
      <c r="B646">
        <v>1</v>
      </c>
      <c r="C646" t="str">
        <f t="shared" si="328"/>
        <v>14185</v>
      </c>
      <c r="D646" t="str">
        <f t="shared" si="329"/>
        <v>5620</v>
      </c>
      <c r="E646" t="str">
        <f t="shared" si="330"/>
        <v>094OMS</v>
      </c>
      <c r="F646" t="str">
        <f>""</f>
        <v/>
      </c>
      <c r="G646" t="str">
        <f>""</f>
        <v/>
      </c>
      <c r="H646" s="1">
        <v>38849</v>
      </c>
      <c r="I646" t="str">
        <f>"PCD00228"</f>
        <v>PCD00228</v>
      </c>
      <c r="J646" t="str">
        <f>"40354"</f>
        <v>40354</v>
      </c>
      <c r="K646" t="str">
        <f t="shared" si="331"/>
        <v>AS89</v>
      </c>
      <c r="L646" t="s">
        <v>303</v>
      </c>
      <c r="M646" s="3">
        <v>120.74</v>
      </c>
    </row>
    <row r="647" spans="1:13" x14ac:dyDescent="0.25">
      <c r="A647" t="str">
        <f t="shared" si="333"/>
        <v>E257</v>
      </c>
      <c r="B647">
        <v>1</v>
      </c>
      <c r="C647" t="str">
        <f t="shared" si="328"/>
        <v>14185</v>
      </c>
      <c r="D647" t="str">
        <f t="shared" si="329"/>
        <v>5620</v>
      </c>
      <c r="E647" t="str">
        <f t="shared" si="330"/>
        <v>094OMS</v>
      </c>
      <c r="F647" t="str">
        <f>""</f>
        <v/>
      </c>
      <c r="G647" t="str">
        <f>""</f>
        <v/>
      </c>
      <c r="H647" s="1">
        <v>38873</v>
      </c>
      <c r="I647" t="str">
        <f>"PCD00231"</f>
        <v>PCD00231</v>
      </c>
      <c r="J647" t="str">
        <f>"41716"</f>
        <v>41716</v>
      </c>
      <c r="K647" t="str">
        <f t="shared" si="331"/>
        <v>AS89</v>
      </c>
      <c r="L647" t="s">
        <v>304</v>
      </c>
      <c r="M647" s="3">
        <v>139.24</v>
      </c>
    </row>
    <row r="648" spans="1:13" x14ac:dyDescent="0.25">
      <c r="A648" t="str">
        <f t="shared" si="333"/>
        <v>E257</v>
      </c>
      <c r="B648">
        <v>1</v>
      </c>
      <c r="C648" t="str">
        <f t="shared" si="328"/>
        <v>14185</v>
      </c>
      <c r="D648" t="str">
        <f t="shared" si="329"/>
        <v>5620</v>
      </c>
      <c r="E648" t="str">
        <f t="shared" si="330"/>
        <v>094OMS</v>
      </c>
      <c r="F648" t="str">
        <f>""</f>
        <v/>
      </c>
      <c r="G648" t="str">
        <f>""</f>
        <v/>
      </c>
      <c r="H648" s="1">
        <v>38873</v>
      </c>
      <c r="I648" t="str">
        <f>"PCD00231"</f>
        <v>PCD00231</v>
      </c>
      <c r="J648" t="str">
        <f>"41718"</f>
        <v>41718</v>
      </c>
      <c r="K648" t="str">
        <f t="shared" si="331"/>
        <v>AS89</v>
      </c>
      <c r="L648" t="s">
        <v>304</v>
      </c>
      <c r="M648" s="3">
        <v>195.73</v>
      </c>
    </row>
    <row r="649" spans="1:13" x14ac:dyDescent="0.25">
      <c r="A649" t="str">
        <f t="shared" si="333"/>
        <v>E257</v>
      </c>
      <c r="B649">
        <v>1</v>
      </c>
      <c r="C649" t="str">
        <f t="shared" si="328"/>
        <v>14185</v>
      </c>
      <c r="D649" t="str">
        <f t="shared" si="329"/>
        <v>5620</v>
      </c>
      <c r="E649" t="str">
        <f t="shared" si="330"/>
        <v>094OMS</v>
      </c>
      <c r="F649" t="str">
        <f>""</f>
        <v/>
      </c>
      <c r="G649" t="str">
        <f>""</f>
        <v/>
      </c>
      <c r="H649" s="1">
        <v>38898</v>
      </c>
      <c r="I649" t="str">
        <f>"PCD00235"</f>
        <v>PCD00235</v>
      </c>
      <c r="J649" t="str">
        <f>"42504"</f>
        <v>42504</v>
      </c>
      <c r="K649" t="str">
        <f t="shared" si="331"/>
        <v>AS89</v>
      </c>
      <c r="L649" t="s">
        <v>305</v>
      </c>
      <c r="M649" s="3">
        <v>109.83</v>
      </c>
    </row>
    <row r="650" spans="1:13" x14ac:dyDescent="0.25">
      <c r="A650" t="str">
        <f t="shared" si="333"/>
        <v>E257</v>
      </c>
      <c r="B650">
        <v>1</v>
      </c>
      <c r="C650" t="str">
        <f t="shared" si="328"/>
        <v>14185</v>
      </c>
      <c r="D650" t="str">
        <f t="shared" si="329"/>
        <v>5620</v>
      </c>
      <c r="E650" t="str">
        <f t="shared" si="330"/>
        <v>094OMS</v>
      </c>
      <c r="F650" t="str">
        <f>""</f>
        <v/>
      </c>
      <c r="G650" t="str">
        <f>""</f>
        <v/>
      </c>
      <c r="H650" s="1">
        <v>38898</v>
      </c>
      <c r="I650" t="str">
        <f>"PCD00235"</f>
        <v>PCD00235</v>
      </c>
      <c r="J650" t="str">
        <f>"42505"</f>
        <v>42505</v>
      </c>
      <c r="K650" t="str">
        <f t="shared" si="331"/>
        <v>AS89</v>
      </c>
      <c r="L650" t="s">
        <v>305</v>
      </c>
      <c r="M650" s="3">
        <v>278.52999999999997</v>
      </c>
    </row>
    <row r="651" spans="1:13" x14ac:dyDescent="0.25">
      <c r="A651" t="str">
        <f t="shared" si="333"/>
        <v>E257</v>
      </c>
      <c r="B651">
        <v>1</v>
      </c>
      <c r="C651" t="str">
        <f t="shared" ref="C651:C659" si="334">"43000"</f>
        <v>43000</v>
      </c>
      <c r="D651" t="str">
        <f t="shared" ref="D651:D660" si="335">"5740"</f>
        <v>5740</v>
      </c>
      <c r="E651" t="str">
        <f t="shared" ref="E651:E657" si="336">"850LOS"</f>
        <v>850LOS</v>
      </c>
      <c r="F651" t="str">
        <f>""</f>
        <v/>
      </c>
      <c r="G651" t="str">
        <f>""</f>
        <v/>
      </c>
      <c r="H651" s="1">
        <v>38632</v>
      </c>
      <c r="I651" t="str">
        <f>"PCD00200"</f>
        <v>PCD00200</v>
      </c>
      <c r="J651" t="str">
        <f>"32516"</f>
        <v>32516</v>
      </c>
      <c r="K651" t="str">
        <f t="shared" ref="K651:K660" si="337">"AS89"</f>
        <v>AS89</v>
      </c>
      <c r="L651" t="s">
        <v>306</v>
      </c>
      <c r="M651" s="3">
        <v>109.34</v>
      </c>
    </row>
    <row r="652" spans="1:13" x14ac:dyDescent="0.25">
      <c r="A652" t="str">
        <f t="shared" si="333"/>
        <v>E257</v>
      </c>
      <c r="B652">
        <v>1</v>
      </c>
      <c r="C652" t="str">
        <f t="shared" si="334"/>
        <v>43000</v>
      </c>
      <c r="D652" t="str">
        <f t="shared" si="335"/>
        <v>5740</v>
      </c>
      <c r="E652" t="str">
        <f t="shared" si="336"/>
        <v>850LOS</v>
      </c>
      <c r="F652" t="str">
        <f>""</f>
        <v/>
      </c>
      <c r="G652" t="str">
        <f>""</f>
        <v/>
      </c>
      <c r="H652" s="1">
        <v>38705</v>
      </c>
      <c r="I652" t="str">
        <f>"PCD00211"</f>
        <v>PCD00211</v>
      </c>
      <c r="J652" t="str">
        <f>"34700"</f>
        <v>34700</v>
      </c>
      <c r="K652" t="str">
        <f t="shared" si="337"/>
        <v>AS89</v>
      </c>
      <c r="L652" t="s">
        <v>307</v>
      </c>
      <c r="M652" s="3">
        <v>176.66</v>
      </c>
    </row>
    <row r="653" spans="1:13" x14ac:dyDescent="0.25">
      <c r="A653" t="str">
        <f t="shared" si="333"/>
        <v>E257</v>
      </c>
      <c r="B653">
        <v>1</v>
      </c>
      <c r="C653" t="str">
        <f t="shared" si="334"/>
        <v>43000</v>
      </c>
      <c r="D653" t="str">
        <f t="shared" si="335"/>
        <v>5740</v>
      </c>
      <c r="E653" t="str">
        <f t="shared" si="336"/>
        <v>850LOS</v>
      </c>
      <c r="F653" t="str">
        <f>""</f>
        <v/>
      </c>
      <c r="G653" t="str">
        <f>""</f>
        <v/>
      </c>
      <c r="H653" s="1">
        <v>38723</v>
      </c>
      <c r="I653" t="str">
        <f>"PCD00214"</f>
        <v>PCD00214</v>
      </c>
      <c r="J653" t="str">
        <f>"35486"</f>
        <v>35486</v>
      </c>
      <c r="K653" t="str">
        <f t="shared" si="337"/>
        <v>AS89</v>
      </c>
      <c r="L653" t="s">
        <v>308</v>
      </c>
      <c r="M653" s="3">
        <v>132.22999999999999</v>
      </c>
    </row>
    <row r="654" spans="1:13" x14ac:dyDescent="0.25">
      <c r="A654" t="str">
        <f t="shared" si="333"/>
        <v>E257</v>
      </c>
      <c r="B654">
        <v>1</v>
      </c>
      <c r="C654" t="str">
        <f t="shared" si="334"/>
        <v>43000</v>
      </c>
      <c r="D654" t="str">
        <f t="shared" si="335"/>
        <v>5740</v>
      </c>
      <c r="E654" t="str">
        <f t="shared" si="336"/>
        <v>850LOS</v>
      </c>
      <c r="F654" t="str">
        <f>""</f>
        <v/>
      </c>
      <c r="G654" t="str">
        <f>""</f>
        <v/>
      </c>
      <c r="H654" s="1">
        <v>38723</v>
      </c>
      <c r="I654" t="str">
        <f>"PCD00214"</f>
        <v>PCD00214</v>
      </c>
      <c r="J654" t="str">
        <f>"35607"</f>
        <v>35607</v>
      </c>
      <c r="K654" t="str">
        <f t="shared" si="337"/>
        <v>AS89</v>
      </c>
      <c r="L654" t="s">
        <v>309</v>
      </c>
      <c r="M654" s="3">
        <v>143.71</v>
      </c>
    </row>
    <row r="655" spans="1:13" x14ac:dyDescent="0.25">
      <c r="A655" t="str">
        <f t="shared" si="333"/>
        <v>E257</v>
      </c>
      <c r="B655">
        <v>1</v>
      </c>
      <c r="C655" t="str">
        <f t="shared" si="334"/>
        <v>43000</v>
      </c>
      <c r="D655" t="str">
        <f t="shared" si="335"/>
        <v>5740</v>
      </c>
      <c r="E655" t="str">
        <f t="shared" si="336"/>
        <v>850LOS</v>
      </c>
      <c r="F655" t="str">
        <f>""</f>
        <v/>
      </c>
      <c r="G655" t="str">
        <f>""</f>
        <v/>
      </c>
      <c r="H655" s="1">
        <v>38793</v>
      </c>
      <c r="I655" t="str">
        <f>"PCD00222"</f>
        <v>PCD00222</v>
      </c>
      <c r="J655" t="str">
        <f>"37577"</f>
        <v>37577</v>
      </c>
      <c r="K655" t="str">
        <f t="shared" si="337"/>
        <v>AS89</v>
      </c>
      <c r="L655" t="s">
        <v>310</v>
      </c>
      <c r="M655" s="3">
        <v>136.46</v>
      </c>
    </row>
    <row r="656" spans="1:13" x14ac:dyDescent="0.25">
      <c r="A656" t="str">
        <f t="shared" si="333"/>
        <v>E257</v>
      </c>
      <c r="B656">
        <v>1</v>
      </c>
      <c r="C656" t="str">
        <f t="shared" si="334"/>
        <v>43000</v>
      </c>
      <c r="D656" t="str">
        <f t="shared" si="335"/>
        <v>5740</v>
      </c>
      <c r="E656" t="str">
        <f t="shared" si="336"/>
        <v>850LOS</v>
      </c>
      <c r="F656" t="str">
        <f>""</f>
        <v/>
      </c>
      <c r="G656" t="str">
        <f>""</f>
        <v/>
      </c>
      <c r="H656" s="1">
        <v>38821</v>
      </c>
      <c r="I656" t="str">
        <f>"PCD00225"</f>
        <v>PCD00225</v>
      </c>
      <c r="J656" t="str">
        <f>"39381"</f>
        <v>39381</v>
      </c>
      <c r="K656" t="str">
        <f t="shared" si="337"/>
        <v>AS89</v>
      </c>
      <c r="L656" t="s">
        <v>311</v>
      </c>
      <c r="M656" s="3">
        <v>138.66999999999999</v>
      </c>
    </row>
    <row r="657" spans="1:13" x14ac:dyDescent="0.25">
      <c r="A657" t="str">
        <f t="shared" si="333"/>
        <v>E257</v>
      </c>
      <c r="B657">
        <v>1</v>
      </c>
      <c r="C657" t="str">
        <f t="shared" si="334"/>
        <v>43000</v>
      </c>
      <c r="D657" t="str">
        <f t="shared" si="335"/>
        <v>5740</v>
      </c>
      <c r="E657" t="str">
        <f t="shared" si="336"/>
        <v>850LOS</v>
      </c>
      <c r="F657" t="str">
        <f>""</f>
        <v/>
      </c>
      <c r="G657" t="str">
        <f>""</f>
        <v/>
      </c>
      <c r="H657" s="1">
        <v>38898</v>
      </c>
      <c r="I657" t="str">
        <f>"PCD00236"</f>
        <v>PCD00236</v>
      </c>
      <c r="J657" t="str">
        <f>"43230"</f>
        <v>43230</v>
      </c>
      <c r="K657" t="str">
        <f t="shared" si="337"/>
        <v>AS89</v>
      </c>
      <c r="L657" t="s">
        <v>312</v>
      </c>
      <c r="M657" s="3">
        <v>130.08000000000001</v>
      </c>
    </row>
    <row r="658" spans="1:13" x14ac:dyDescent="0.25">
      <c r="A658" t="str">
        <f t="shared" si="333"/>
        <v>E257</v>
      </c>
      <c r="B658">
        <v>1</v>
      </c>
      <c r="C658" t="str">
        <f t="shared" si="334"/>
        <v>43000</v>
      </c>
      <c r="D658" t="str">
        <f t="shared" si="335"/>
        <v>5740</v>
      </c>
      <c r="E658" t="str">
        <f>"850PKE"</f>
        <v>850PKE</v>
      </c>
      <c r="F658" t="str">
        <f>""</f>
        <v/>
      </c>
      <c r="G658" t="str">
        <f>""</f>
        <v/>
      </c>
      <c r="H658" s="1">
        <v>38663</v>
      </c>
      <c r="I658" t="str">
        <f>"PCD00206"</f>
        <v>PCD00206</v>
      </c>
      <c r="J658" t="str">
        <f>"32876"</f>
        <v>32876</v>
      </c>
      <c r="K658" t="str">
        <f t="shared" si="337"/>
        <v>AS89</v>
      </c>
      <c r="L658" t="s">
        <v>313</v>
      </c>
      <c r="M658" s="3">
        <v>141.83000000000001</v>
      </c>
    </row>
    <row r="659" spans="1:13" x14ac:dyDescent="0.25">
      <c r="A659" t="str">
        <f t="shared" si="333"/>
        <v>E257</v>
      </c>
      <c r="B659">
        <v>1</v>
      </c>
      <c r="C659" t="str">
        <f t="shared" si="334"/>
        <v>43000</v>
      </c>
      <c r="D659" t="str">
        <f t="shared" si="335"/>
        <v>5740</v>
      </c>
      <c r="E659" t="str">
        <f>"850PKE"</f>
        <v>850PKE</v>
      </c>
      <c r="F659" t="str">
        <f>""</f>
        <v/>
      </c>
      <c r="G659" t="str">
        <f>""</f>
        <v/>
      </c>
      <c r="H659" s="1">
        <v>38663</v>
      </c>
      <c r="I659" t="str">
        <f>"PCD00206"</f>
        <v>PCD00206</v>
      </c>
      <c r="J659" t="str">
        <f>"33003"</f>
        <v>33003</v>
      </c>
      <c r="K659" t="str">
        <f t="shared" si="337"/>
        <v>AS89</v>
      </c>
      <c r="L659" t="s">
        <v>291</v>
      </c>
      <c r="M659" s="3">
        <v>182.68</v>
      </c>
    </row>
    <row r="660" spans="1:13" x14ac:dyDescent="0.25">
      <c r="A660" t="str">
        <f t="shared" si="333"/>
        <v>E257</v>
      </c>
      <c r="B660">
        <v>1</v>
      </c>
      <c r="C660" t="str">
        <f>"43001"</f>
        <v>43001</v>
      </c>
      <c r="D660" t="str">
        <f t="shared" si="335"/>
        <v>5740</v>
      </c>
      <c r="E660" t="str">
        <f t="shared" ref="E660" si="338">"850LOS"</f>
        <v>850LOS</v>
      </c>
      <c r="F660" t="str">
        <f>""</f>
        <v/>
      </c>
      <c r="G660" t="str">
        <f>""</f>
        <v/>
      </c>
      <c r="H660" s="1">
        <v>38632</v>
      </c>
      <c r="I660" t="str">
        <f>"PCD00200"</f>
        <v>PCD00200</v>
      </c>
      <c r="J660" t="str">
        <f>"31862"</f>
        <v>31862</v>
      </c>
      <c r="K660" t="str">
        <f t="shared" si="337"/>
        <v>AS89</v>
      </c>
      <c r="L660" t="s">
        <v>314</v>
      </c>
      <c r="M660" s="3">
        <v>292.73</v>
      </c>
    </row>
    <row r="661" spans="1:13" x14ac:dyDescent="0.25">
      <c r="A661" t="str">
        <f t="shared" ref="A661:A679" si="339">"E260"</f>
        <v>E260</v>
      </c>
      <c r="B661">
        <v>1</v>
      </c>
      <c r="C661" t="str">
        <f t="shared" ref="C661:C677" si="340">"43000"</f>
        <v>43000</v>
      </c>
      <c r="D661" t="str">
        <f t="shared" ref="D661:D673" si="341">"5740"</f>
        <v>5740</v>
      </c>
      <c r="E661" t="str">
        <f t="shared" ref="E661:E673" si="342">"850LOS"</f>
        <v>850LOS</v>
      </c>
      <c r="F661" t="str">
        <f>""</f>
        <v/>
      </c>
      <c r="G661" t="str">
        <f>""</f>
        <v/>
      </c>
      <c r="H661" s="1">
        <v>38583</v>
      </c>
      <c r="I661" t="str">
        <f>"ACG01352"</f>
        <v>ACG01352</v>
      </c>
      <c r="J661" t="str">
        <f>""</f>
        <v/>
      </c>
      <c r="K661" t="str">
        <f t="shared" ref="K661:K673" si="343">"AS89"</f>
        <v>AS89</v>
      </c>
      <c r="L661" t="s">
        <v>317</v>
      </c>
      <c r="M661" s="3">
        <v>296.68</v>
      </c>
    </row>
    <row r="662" spans="1:13" x14ac:dyDescent="0.25">
      <c r="A662" t="str">
        <f t="shared" si="339"/>
        <v>E260</v>
      </c>
      <c r="B662">
        <v>1</v>
      </c>
      <c r="C662" t="str">
        <f t="shared" si="340"/>
        <v>43000</v>
      </c>
      <c r="D662" t="str">
        <f t="shared" si="341"/>
        <v>5740</v>
      </c>
      <c r="E662" t="str">
        <f t="shared" si="342"/>
        <v>850LOS</v>
      </c>
      <c r="F662" t="str">
        <f>""</f>
        <v/>
      </c>
      <c r="G662" t="str">
        <f>""</f>
        <v/>
      </c>
      <c r="H662" s="1">
        <v>38583</v>
      </c>
      <c r="I662" t="str">
        <f>"ACG01352"</f>
        <v>ACG01352</v>
      </c>
      <c r="J662" t="str">
        <f>""</f>
        <v/>
      </c>
      <c r="K662" t="str">
        <f t="shared" si="343"/>
        <v>AS89</v>
      </c>
      <c r="L662" t="s">
        <v>317</v>
      </c>
      <c r="M662" s="3">
        <v>272.55</v>
      </c>
    </row>
    <row r="663" spans="1:13" x14ac:dyDescent="0.25">
      <c r="A663" t="str">
        <f t="shared" si="339"/>
        <v>E260</v>
      </c>
      <c r="B663">
        <v>1</v>
      </c>
      <c r="C663" t="str">
        <f t="shared" si="340"/>
        <v>43000</v>
      </c>
      <c r="D663" t="str">
        <f t="shared" si="341"/>
        <v>5740</v>
      </c>
      <c r="E663" t="str">
        <f t="shared" si="342"/>
        <v>850LOS</v>
      </c>
      <c r="F663" t="str">
        <f>""</f>
        <v/>
      </c>
      <c r="G663" t="str">
        <f>""</f>
        <v/>
      </c>
      <c r="H663" s="1">
        <v>38611</v>
      </c>
      <c r="I663" t="str">
        <f>"ACG01362"</f>
        <v>ACG01362</v>
      </c>
      <c r="J663" t="str">
        <f>""</f>
        <v/>
      </c>
      <c r="K663" t="str">
        <f t="shared" si="343"/>
        <v>AS89</v>
      </c>
      <c r="L663" t="s">
        <v>318</v>
      </c>
      <c r="M663" s="3">
        <v>147.6</v>
      </c>
    </row>
    <row r="664" spans="1:13" x14ac:dyDescent="0.25">
      <c r="A664" t="str">
        <f t="shared" si="339"/>
        <v>E260</v>
      </c>
      <c r="B664">
        <v>1</v>
      </c>
      <c r="C664" t="str">
        <f t="shared" si="340"/>
        <v>43000</v>
      </c>
      <c r="D664" t="str">
        <f t="shared" si="341"/>
        <v>5740</v>
      </c>
      <c r="E664" t="str">
        <f t="shared" si="342"/>
        <v>850LOS</v>
      </c>
      <c r="F664" t="str">
        <f>""</f>
        <v/>
      </c>
      <c r="G664" t="str">
        <f>""</f>
        <v/>
      </c>
      <c r="H664" s="1">
        <v>38611</v>
      </c>
      <c r="I664" t="str">
        <f>"ACG01362"</f>
        <v>ACG01362</v>
      </c>
      <c r="J664" t="str">
        <f>""</f>
        <v/>
      </c>
      <c r="K664" t="str">
        <f t="shared" si="343"/>
        <v>AS89</v>
      </c>
      <c r="L664" t="s">
        <v>318</v>
      </c>
      <c r="M664" s="3">
        <v>298.16000000000003</v>
      </c>
    </row>
    <row r="665" spans="1:13" x14ac:dyDescent="0.25">
      <c r="A665" t="str">
        <f t="shared" si="339"/>
        <v>E260</v>
      </c>
      <c r="B665">
        <v>1</v>
      </c>
      <c r="C665" t="str">
        <f t="shared" si="340"/>
        <v>43000</v>
      </c>
      <c r="D665" t="str">
        <f t="shared" si="341"/>
        <v>5740</v>
      </c>
      <c r="E665" t="str">
        <f t="shared" si="342"/>
        <v>850LOS</v>
      </c>
      <c r="F665" t="str">
        <f>""</f>
        <v/>
      </c>
      <c r="G665" t="str">
        <f>""</f>
        <v/>
      </c>
      <c r="H665" s="1">
        <v>38611</v>
      </c>
      <c r="I665" t="str">
        <f>"ACG01362"</f>
        <v>ACG01362</v>
      </c>
      <c r="J665" t="str">
        <f>""</f>
        <v/>
      </c>
      <c r="K665" t="str">
        <f t="shared" si="343"/>
        <v>AS89</v>
      </c>
      <c r="L665" t="s">
        <v>318</v>
      </c>
      <c r="M665" s="3">
        <v>115.18</v>
      </c>
    </row>
    <row r="666" spans="1:13" x14ac:dyDescent="0.25">
      <c r="A666" t="str">
        <f t="shared" si="339"/>
        <v>E260</v>
      </c>
      <c r="B666">
        <v>1</v>
      </c>
      <c r="C666" t="str">
        <f t="shared" si="340"/>
        <v>43000</v>
      </c>
      <c r="D666" t="str">
        <f t="shared" si="341"/>
        <v>5740</v>
      </c>
      <c r="E666" t="str">
        <f t="shared" si="342"/>
        <v>850LOS</v>
      </c>
      <c r="F666" t="str">
        <f>""</f>
        <v/>
      </c>
      <c r="G666" t="str">
        <f>""</f>
        <v/>
      </c>
      <c r="H666" s="1">
        <v>38636</v>
      </c>
      <c r="I666" t="str">
        <f>"ACG01368"</f>
        <v>ACG01368</v>
      </c>
      <c r="J666" t="str">
        <f>""</f>
        <v/>
      </c>
      <c r="K666" t="str">
        <f t="shared" si="343"/>
        <v>AS89</v>
      </c>
      <c r="L666" t="s">
        <v>315</v>
      </c>
      <c r="M666" s="3">
        <v>990.18</v>
      </c>
    </row>
    <row r="667" spans="1:13" x14ac:dyDescent="0.25">
      <c r="A667" t="str">
        <f t="shared" si="339"/>
        <v>E260</v>
      </c>
      <c r="B667">
        <v>1</v>
      </c>
      <c r="C667" t="str">
        <f t="shared" si="340"/>
        <v>43000</v>
      </c>
      <c r="D667" t="str">
        <f t="shared" si="341"/>
        <v>5740</v>
      </c>
      <c r="E667" t="str">
        <f t="shared" si="342"/>
        <v>850LOS</v>
      </c>
      <c r="F667" t="str">
        <f>""</f>
        <v/>
      </c>
      <c r="G667" t="str">
        <f>""</f>
        <v/>
      </c>
      <c r="H667" s="1">
        <v>38636</v>
      </c>
      <c r="I667" t="str">
        <f>"ACG01368"</f>
        <v>ACG01368</v>
      </c>
      <c r="J667" t="str">
        <f>""</f>
        <v/>
      </c>
      <c r="K667" t="str">
        <f t="shared" si="343"/>
        <v>AS89</v>
      </c>
      <c r="L667" t="s">
        <v>315</v>
      </c>
      <c r="M667" s="3">
        <v>184.52</v>
      </c>
    </row>
    <row r="668" spans="1:13" x14ac:dyDescent="0.25">
      <c r="A668" t="str">
        <f t="shared" si="339"/>
        <v>E260</v>
      </c>
      <c r="B668">
        <v>1</v>
      </c>
      <c r="C668" t="str">
        <f t="shared" si="340"/>
        <v>43000</v>
      </c>
      <c r="D668" t="str">
        <f t="shared" si="341"/>
        <v>5740</v>
      </c>
      <c r="E668" t="str">
        <f t="shared" si="342"/>
        <v>850LOS</v>
      </c>
      <c r="F668" t="str">
        <f>""</f>
        <v/>
      </c>
      <c r="G668" t="str">
        <f>""</f>
        <v/>
      </c>
      <c r="H668" s="1">
        <v>38636</v>
      </c>
      <c r="I668" t="str">
        <f>"ACG01368"</f>
        <v>ACG01368</v>
      </c>
      <c r="J668" t="str">
        <f>""</f>
        <v/>
      </c>
      <c r="K668" t="str">
        <f t="shared" si="343"/>
        <v>AS89</v>
      </c>
      <c r="L668" t="s">
        <v>315</v>
      </c>
      <c r="M668" s="3">
        <v>33645.800000000003</v>
      </c>
    </row>
    <row r="669" spans="1:13" x14ac:dyDescent="0.25">
      <c r="A669" t="str">
        <f t="shared" si="339"/>
        <v>E260</v>
      </c>
      <c r="B669">
        <v>1</v>
      </c>
      <c r="C669" t="str">
        <f t="shared" si="340"/>
        <v>43000</v>
      </c>
      <c r="D669" t="str">
        <f t="shared" si="341"/>
        <v>5740</v>
      </c>
      <c r="E669" t="str">
        <f t="shared" si="342"/>
        <v>850LOS</v>
      </c>
      <c r="F669" t="str">
        <f>""</f>
        <v/>
      </c>
      <c r="G669" t="str">
        <f>""</f>
        <v/>
      </c>
      <c r="H669" s="1">
        <v>38636</v>
      </c>
      <c r="I669" t="str">
        <f>"ACG01368"</f>
        <v>ACG01368</v>
      </c>
      <c r="J669" t="str">
        <f>""</f>
        <v/>
      </c>
      <c r="K669" t="str">
        <f t="shared" si="343"/>
        <v>AS89</v>
      </c>
      <c r="L669" t="s">
        <v>315</v>
      </c>
      <c r="M669" s="3">
        <v>515.27</v>
      </c>
    </row>
    <row r="670" spans="1:13" x14ac:dyDescent="0.25">
      <c r="A670" t="str">
        <f t="shared" si="339"/>
        <v>E260</v>
      </c>
      <c r="B670">
        <v>1</v>
      </c>
      <c r="C670" t="str">
        <f t="shared" si="340"/>
        <v>43000</v>
      </c>
      <c r="D670" t="str">
        <f t="shared" si="341"/>
        <v>5740</v>
      </c>
      <c r="E670" t="str">
        <f t="shared" si="342"/>
        <v>850LOS</v>
      </c>
      <c r="F670" t="str">
        <f>""</f>
        <v/>
      </c>
      <c r="G670" t="str">
        <f>""</f>
        <v/>
      </c>
      <c r="H670" s="1">
        <v>38672</v>
      </c>
      <c r="I670" t="str">
        <f>"ACG01380"</f>
        <v>ACG01380</v>
      </c>
      <c r="J670" t="str">
        <f>""</f>
        <v/>
      </c>
      <c r="K670" t="str">
        <f t="shared" si="343"/>
        <v>AS89</v>
      </c>
      <c r="L670" t="s">
        <v>316</v>
      </c>
      <c r="M670" s="3">
        <v>153.35</v>
      </c>
    </row>
    <row r="671" spans="1:13" x14ac:dyDescent="0.25">
      <c r="A671" t="str">
        <f t="shared" si="339"/>
        <v>E260</v>
      </c>
      <c r="B671">
        <v>1</v>
      </c>
      <c r="C671" t="str">
        <f t="shared" si="340"/>
        <v>43000</v>
      </c>
      <c r="D671" t="str">
        <f t="shared" si="341"/>
        <v>5740</v>
      </c>
      <c r="E671" t="str">
        <f t="shared" si="342"/>
        <v>850LOS</v>
      </c>
      <c r="F671" t="str">
        <f>""</f>
        <v/>
      </c>
      <c r="G671" t="str">
        <f>""</f>
        <v/>
      </c>
      <c r="H671" s="1">
        <v>38672</v>
      </c>
      <c r="I671" t="str">
        <f>"ACG01380"</f>
        <v>ACG01380</v>
      </c>
      <c r="J671" t="str">
        <f>""</f>
        <v/>
      </c>
      <c r="K671" t="str">
        <f t="shared" si="343"/>
        <v>AS89</v>
      </c>
      <c r="L671" t="s">
        <v>316</v>
      </c>
      <c r="M671" s="3">
        <v>5237.68</v>
      </c>
    </row>
    <row r="672" spans="1:13" x14ac:dyDescent="0.25">
      <c r="A672" t="str">
        <f t="shared" si="339"/>
        <v>E260</v>
      </c>
      <c r="B672">
        <v>1</v>
      </c>
      <c r="C672" t="str">
        <f t="shared" si="340"/>
        <v>43000</v>
      </c>
      <c r="D672" t="str">
        <f t="shared" si="341"/>
        <v>5740</v>
      </c>
      <c r="E672" t="str">
        <f t="shared" si="342"/>
        <v>850LOS</v>
      </c>
      <c r="F672" t="str">
        <f>""</f>
        <v/>
      </c>
      <c r="G672" t="str">
        <f>""</f>
        <v/>
      </c>
      <c r="H672" s="1">
        <v>38672</v>
      </c>
      <c r="I672" t="str">
        <f>"ACG01380"</f>
        <v>ACG01380</v>
      </c>
      <c r="J672" t="str">
        <f>""</f>
        <v/>
      </c>
      <c r="K672" t="str">
        <f t="shared" si="343"/>
        <v>AS89</v>
      </c>
      <c r="L672" t="s">
        <v>316</v>
      </c>
      <c r="M672" s="3">
        <v>576.29</v>
      </c>
    </row>
    <row r="673" spans="1:13" x14ac:dyDescent="0.25">
      <c r="A673" t="str">
        <f t="shared" si="339"/>
        <v>E260</v>
      </c>
      <c r="B673">
        <v>1</v>
      </c>
      <c r="C673" t="str">
        <f t="shared" si="340"/>
        <v>43000</v>
      </c>
      <c r="D673" t="str">
        <f t="shared" si="341"/>
        <v>5740</v>
      </c>
      <c r="E673" t="str">
        <f t="shared" si="342"/>
        <v>850LOS</v>
      </c>
      <c r="F673" t="str">
        <f>""</f>
        <v/>
      </c>
      <c r="G673" t="str">
        <f>""</f>
        <v/>
      </c>
      <c r="H673" s="1">
        <v>38672</v>
      </c>
      <c r="I673" t="str">
        <f>"ACG01380"</f>
        <v>ACG01380</v>
      </c>
      <c r="J673" t="str">
        <f>""</f>
        <v/>
      </c>
      <c r="K673" t="str">
        <f t="shared" si="343"/>
        <v>AS89</v>
      </c>
      <c r="L673" t="s">
        <v>316</v>
      </c>
      <c r="M673" s="3">
        <v>1295.1199999999999</v>
      </c>
    </row>
    <row r="674" spans="1:13" x14ac:dyDescent="0.25">
      <c r="A674" t="str">
        <f t="shared" si="339"/>
        <v>E260</v>
      </c>
      <c r="B674">
        <v>1</v>
      </c>
      <c r="C674" t="str">
        <f t="shared" si="340"/>
        <v>43000</v>
      </c>
      <c r="D674" t="str">
        <f t="shared" ref="D674:D683" si="344">"5740"</f>
        <v>5740</v>
      </c>
      <c r="E674" t="str">
        <f t="shared" ref="E674:E677" si="345">"850PKC"</f>
        <v>850PKC</v>
      </c>
      <c r="F674" t="str">
        <f>""</f>
        <v/>
      </c>
      <c r="G674" t="str">
        <f>""</f>
        <v/>
      </c>
      <c r="H674" s="1">
        <v>38583</v>
      </c>
      <c r="I674" t="str">
        <f>"ACG01352"</f>
        <v>ACG01352</v>
      </c>
      <c r="J674" t="str">
        <f>""</f>
        <v/>
      </c>
      <c r="K674" t="str">
        <f t="shared" ref="K674:K681" si="346">"AS89"</f>
        <v>AS89</v>
      </c>
      <c r="L674" t="s">
        <v>317</v>
      </c>
      <c r="M674" s="3">
        <v>269.62</v>
      </c>
    </row>
    <row r="675" spans="1:13" x14ac:dyDescent="0.25">
      <c r="A675" t="str">
        <f t="shared" si="339"/>
        <v>E260</v>
      </c>
      <c r="B675">
        <v>1</v>
      </c>
      <c r="C675" t="str">
        <f t="shared" si="340"/>
        <v>43000</v>
      </c>
      <c r="D675" t="str">
        <f t="shared" si="344"/>
        <v>5740</v>
      </c>
      <c r="E675" t="str">
        <f t="shared" si="345"/>
        <v>850PKC</v>
      </c>
      <c r="F675" t="str">
        <f>""</f>
        <v/>
      </c>
      <c r="G675" t="str">
        <f>""</f>
        <v/>
      </c>
      <c r="H675" s="1">
        <v>38611</v>
      </c>
      <c r="I675" t="str">
        <f>"ACG01362"</f>
        <v>ACG01362</v>
      </c>
      <c r="J675" t="str">
        <f>""</f>
        <v/>
      </c>
      <c r="K675" t="str">
        <f t="shared" si="346"/>
        <v>AS89</v>
      </c>
      <c r="L675" t="s">
        <v>318</v>
      </c>
      <c r="M675" s="3">
        <v>256.36</v>
      </c>
    </row>
    <row r="676" spans="1:13" x14ac:dyDescent="0.25">
      <c r="A676" t="str">
        <f t="shared" si="339"/>
        <v>E260</v>
      </c>
      <c r="B676">
        <v>1</v>
      </c>
      <c r="C676" t="str">
        <f t="shared" si="340"/>
        <v>43000</v>
      </c>
      <c r="D676" t="str">
        <f t="shared" si="344"/>
        <v>5740</v>
      </c>
      <c r="E676" t="str">
        <f t="shared" si="345"/>
        <v>850PKC</v>
      </c>
      <c r="F676" t="str">
        <f>""</f>
        <v/>
      </c>
      <c r="G676" t="str">
        <f>""</f>
        <v/>
      </c>
      <c r="H676" s="1">
        <v>38636</v>
      </c>
      <c r="I676" t="str">
        <f>"ACG01368"</f>
        <v>ACG01368</v>
      </c>
      <c r="J676" t="str">
        <f>""</f>
        <v/>
      </c>
      <c r="K676" t="str">
        <f t="shared" si="346"/>
        <v>AS89</v>
      </c>
      <c r="L676" t="s">
        <v>315</v>
      </c>
      <c r="M676" s="3">
        <v>260.27</v>
      </c>
    </row>
    <row r="677" spans="1:13" x14ac:dyDescent="0.25">
      <c r="A677" t="str">
        <f t="shared" si="339"/>
        <v>E260</v>
      </c>
      <c r="B677">
        <v>1</v>
      </c>
      <c r="C677" t="str">
        <f t="shared" si="340"/>
        <v>43000</v>
      </c>
      <c r="D677" t="str">
        <f t="shared" si="344"/>
        <v>5740</v>
      </c>
      <c r="E677" t="str">
        <f t="shared" si="345"/>
        <v>850PKC</v>
      </c>
      <c r="F677" t="str">
        <f>""</f>
        <v/>
      </c>
      <c r="G677" t="str">
        <f>""</f>
        <v/>
      </c>
      <c r="H677" s="1">
        <v>38672</v>
      </c>
      <c r="I677" t="str">
        <f>"ACG01380"</f>
        <v>ACG01380</v>
      </c>
      <c r="J677" t="str">
        <f>""</f>
        <v/>
      </c>
      <c r="K677" t="str">
        <f t="shared" si="346"/>
        <v>AS89</v>
      </c>
      <c r="L677" t="s">
        <v>316</v>
      </c>
      <c r="M677" s="3">
        <v>432.86</v>
      </c>
    </row>
    <row r="678" spans="1:13" x14ac:dyDescent="0.25">
      <c r="A678" t="str">
        <f t="shared" si="339"/>
        <v>E260</v>
      </c>
      <c r="B678">
        <v>1</v>
      </c>
      <c r="C678" t="str">
        <f t="shared" ref="C678:C681" si="347">"43003"</f>
        <v>43003</v>
      </c>
      <c r="D678" t="str">
        <f t="shared" si="344"/>
        <v>5740</v>
      </c>
      <c r="E678" t="str">
        <f t="shared" ref="E678:E681" si="348">"850LOS"</f>
        <v>850LOS</v>
      </c>
      <c r="F678" t="str">
        <f>""</f>
        <v/>
      </c>
      <c r="G678" t="str">
        <f>""</f>
        <v/>
      </c>
      <c r="H678" s="1">
        <v>38583</v>
      </c>
      <c r="I678" t="str">
        <f>"ACG01352"</f>
        <v>ACG01352</v>
      </c>
      <c r="J678" t="str">
        <f>""</f>
        <v/>
      </c>
      <c r="K678" t="str">
        <f t="shared" si="346"/>
        <v>AS89</v>
      </c>
      <c r="L678" t="s">
        <v>317</v>
      </c>
      <c r="M678" s="3">
        <v>219.03</v>
      </c>
    </row>
    <row r="679" spans="1:13" x14ac:dyDescent="0.25">
      <c r="A679" t="str">
        <f t="shared" si="339"/>
        <v>E260</v>
      </c>
      <c r="B679">
        <v>1</v>
      </c>
      <c r="C679" t="str">
        <f t="shared" si="347"/>
        <v>43003</v>
      </c>
      <c r="D679" t="str">
        <f t="shared" si="344"/>
        <v>5740</v>
      </c>
      <c r="E679" t="str">
        <f t="shared" si="348"/>
        <v>850LOS</v>
      </c>
      <c r="F679" t="str">
        <f>""</f>
        <v/>
      </c>
      <c r="G679" t="str">
        <f>""</f>
        <v/>
      </c>
      <c r="H679" s="1">
        <v>38611</v>
      </c>
      <c r="I679" t="str">
        <f>"ACG01362"</f>
        <v>ACG01362</v>
      </c>
      <c r="J679" t="str">
        <f>""</f>
        <v/>
      </c>
      <c r="K679" t="str">
        <f t="shared" si="346"/>
        <v>AS89</v>
      </c>
      <c r="L679" t="s">
        <v>318</v>
      </c>
      <c r="M679" s="3">
        <v>1038.3599999999999</v>
      </c>
    </row>
    <row r="680" spans="1:13" x14ac:dyDescent="0.25">
      <c r="A680" t="str">
        <f t="shared" ref="A680:A683" si="349">"E260"</f>
        <v>E260</v>
      </c>
      <c r="B680">
        <v>1</v>
      </c>
      <c r="C680" t="str">
        <f t="shared" si="347"/>
        <v>43003</v>
      </c>
      <c r="D680" t="str">
        <f t="shared" si="344"/>
        <v>5740</v>
      </c>
      <c r="E680" t="str">
        <f t="shared" si="348"/>
        <v>850LOS</v>
      </c>
      <c r="F680" t="str">
        <f>""</f>
        <v/>
      </c>
      <c r="G680" t="str">
        <f>""</f>
        <v/>
      </c>
      <c r="H680" s="1">
        <v>38636</v>
      </c>
      <c r="I680" t="str">
        <f>"ACG01368"</f>
        <v>ACG01368</v>
      </c>
      <c r="J680" t="str">
        <f>""</f>
        <v/>
      </c>
      <c r="K680" t="str">
        <f t="shared" si="346"/>
        <v>AS89</v>
      </c>
      <c r="L680" t="s">
        <v>315</v>
      </c>
      <c r="M680" s="3">
        <v>336</v>
      </c>
    </row>
    <row r="681" spans="1:13" x14ac:dyDescent="0.25">
      <c r="A681" t="str">
        <f t="shared" si="349"/>
        <v>E260</v>
      </c>
      <c r="B681">
        <v>1</v>
      </c>
      <c r="C681" t="str">
        <f t="shared" si="347"/>
        <v>43003</v>
      </c>
      <c r="D681" t="str">
        <f t="shared" si="344"/>
        <v>5740</v>
      </c>
      <c r="E681" t="str">
        <f t="shared" si="348"/>
        <v>850LOS</v>
      </c>
      <c r="F681" t="str">
        <f>""</f>
        <v/>
      </c>
      <c r="G681" t="str">
        <f>""</f>
        <v/>
      </c>
      <c r="H681" s="1">
        <v>38672</v>
      </c>
      <c r="I681" t="str">
        <f>"ACG01380"</f>
        <v>ACG01380</v>
      </c>
      <c r="J681" t="str">
        <f>""</f>
        <v/>
      </c>
      <c r="K681" t="str">
        <f t="shared" si="346"/>
        <v>AS89</v>
      </c>
      <c r="L681" t="s">
        <v>316</v>
      </c>
      <c r="M681" s="3">
        <v>1063.54</v>
      </c>
    </row>
    <row r="682" spans="1:13" x14ac:dyDescent="0.25">
      <c r="A682" t="str">
        <f t="shared" si="349"/>
        <v>E260</v>
      </c>
      <c r="B682">
        <v>1</v>
      </c>
      <c r="C682" t="str">
        <f>"43007"</f>
        <v>43007</v>
      </c>
      <c r="D682" t="str">
        <f t="shared" si="344"/>
        <v>5740</v>
      </c>
      <c r="E682" t="str">
        <f>"850GAR"</f>
        <v>850GAR</v>
      </c>
      <c r="F682" t="str">
        <f>""</f>
        <v/>
      </c>
      <c r="G682" t="str">
        <f>""</f>
        <v/>
      </c>
      <c r="H682" s="1">
        <v>38594</v>
      </c>
      <c r="I682" t="str">
        <f>"076327"</f>
        <v>076327</v>
      </c>
      <c r="J682" t="str">
        <f>""</f>
        <v/>
      </c>
      <c r="K682" t="str">
        <f>"INNI"</f>
        <v>INNI</v>
      </c>
      <c r="L682" t="s">
        <v>95</v>
      </c>
      <c r="M682" s="3">
        <v>10306.299999999999</v>
      </c>
    </row>
    <row r="683" spans="1:13" x14ac:dyDescent="0.25">
      <c r="A683" t="str">
        <f t="shared" si="349"/>
        <v>E260</v>
      </c>
      <c r="B683">
        <v>1</v>
      </c>
      <c r="C683" t="str">
        <f>"43007"</f>
        <v>43007</v>
      </c>
      <c r="D683" t="str">
        <f t="shared" si="344"/>
        <v>5740</v>
      </c>
      <c r="E683" t="str">
        <f>"850GAR"</f>
        <v>850GAR</v>
      </c>
      <c r="F683" t="str">
        <f>""</f>
        <v/>
      </c>
      <c r="G683" t="str">
        <f>""</f>
        <v/>
      </c>
      <c r="H683" s="1">
        <v>38827</v>
      </c>
      <c r="I683" t="str">
        <f>"076392"</f>
        <v>076392</v>
      </c>
      <c r="J683" t="str">
        <f>""</f>
        <v/>
      </c>
      <c r="K683" t="str">
        <f>"INNI"</f>
        <v>INNI</v>
      </c>
      <c r="L683" t="s">
        <v>95</v>
      </c>
      <c r="M683" s="3">
        <v>9123.34</v>
      </c>
    </row>
    <row r="684" spans="1:13" x14ac:dyDescent="0.25">
      <c r="A684" t="str">
        <f t="shared" ref="A684:A688" si="350">"E261"</f>
        <v>E261</v>
      </c>
      <c r="B684">
        <v>1</v>
      </c>
      <c r="C684" t="str">
        <f t="shared" ref="C684:C686" si="351">"32040"</f>
        <v>32040</v>
      </c>
      <c r="D684" t="str">
        <f t="shared" ref="D684:D686" si="352">"5610"</f>
        <v>5610</v>
      </c>
      <c r="E684" t="str">
        <f t="shared" ref="E684:E688" si="353">"850LOS"</f>
        <v>850LOS</v>
      </c>
      <c r="F684" t="str">
        <f>""</f>
        <v/>
      </c>
      <c r="G684" t="str">
        <f>""</f>
        <v/>
      </c>
      <c r="H684" s="1">
        <v>38791</v>
      </c>
      <c r="I684" t="str">
        <f>"1051965T"</f>
        <v>1051965T</v>
      </c>
      <c r="J684" t="str">
        <f>"D076371"</f>
        <v>D076371</v>
      </c>
      <c r="K684" t="str">
        <f>"INEI"</f>
        <v>INEI</v>
      </c>
      <c r="L684" t="s">
        <v>281</v>
      </c>
      <c r="M684" s="3">
        <v>102.45</v>
      </c>
    </row>
    <row r="685" spans="1:13" x14ac:dyDescent="0.25">
      <c r="A685" t="str">
        <f t="shared" si="350"/>
        <v>E261</v>
      </c>
      <c r="B685">
        <v>1</v>
      </c>
      <c r="C685" t="str">
        <f t="shared" si="351"/>
        <v>32040</v>
      </c>
      <c r="D685" t="str">
        <f t="shared" si="352"/>
        <v>5610</v>
      </c>
      <c r="E685" t="str">
        <f t="shared" si="353"/>
        <v>850LOS</v>
      </c>
      <c r="F685" t="str">
        <f>""</f>
        <v/>
      </c>
      <c r="G685" t="str">
        <f>""</f>
        <v/>
      </c>
      <c r="H685" s="1">
        <v>38821</v>
      </c>
      <c r="I685" t="str">
        <f>"PCD00225"</f>
        <v>PCD00225</v>
      </c>
      <c r="J685" t="str">
        <f>"38207"</f>
        <v>38207</v>
      </c>
      <c r="K685" t="str">
        <f>"AS89"</f>
        <v>AS89</v>
      </c>
      <c r="L685" t="s">
        <v>319</v>
      </c>
      <c r="M685" s="3">
        <v>180.64</v>
      </c>
    </row>
    <row r="686" spans="1:13" x14ac:dyDescent="0.25">
      <c r="A686" t="str">
        <f t="shared" si="350"/>
        <v>E261</v>
      </c>
      <c r="B686">
        <v>1</v>
      </c>
      <c r="C686" t="str">
        <f t="shared" si="351"/>
        <v>32040</v>
      </c>
      <c r="D686" t="str">
        <f t="shared" si="352"/>
        <v>5610</v>
      </c>
      <c r="E686" t="str">
        <f t="shared" si="353"/>
        <v>850LOS</v>
      </c>
      <c r="F686" t="str">
        <f>""</f>
        <v/>
      </c>
      <c r="G686" t="str">
        <f>""</f>
        <v/>
      </c>
      <c r="H686" s="1">
        <v>38821</v>
      </c>
      <c r="I686" t="str">
        <f>"PCD00225"</f>
        <v>PCD00225</v>
      </c>
      <c r="J686" t="str">
        <f>"38288"</f>
        <v>38288</v>
      </c>
      <c r="K686" t="str">
        <f>"AS89"</f>
        <v>AS89</v>
      </c>
      <c r="L686" t="s">
        <v>320</v>
      </c>
      <c r="M686" s="3">
        <v>374.96</v>
      </c>
    </row>
    <row r="687" spans="1:13" x14ac:dyDescent="0.25">
      <c r="A687" t="str">
        <f t="shared" si="350"/>
        <v>E261</v>
      </c>
      <c r="B687">
        <v>1</v>
      </c>
      <c r="C687" t="str">
        <f>"43000"</f>
        <v>43000</v>
      </c>
      <c r="D687" t="str">
        <f>"5740"</f>
        <v>5740</v>
      </c>
      <c r="E687" t="str">
        <f t="shared" si="353"/>
        <v>850LOS</v>
      </c>
      <c r="F687" t="str">
        <f>""</f>
        <v/>
      </c>
      <c r="G687" t="str">
        <f>""</f>
        <v/>
      </c>
      <c r="H687" s="1">
        <v>38632</v>
      </c>
      <c r="I687" t="str">
        <f>"PCD00200"</f>
        <v>PCD00200</v>
      </c>
      <c r="J687" t="str">
        <f>"32225"</f>
        <v>32225</v>
      </c>
      <c r="K687" t="str">
        <f>"AS89"</f>
        <v>AS89</v>
      </c>
      <c r="L687" t="s">
        <v>321</v>
      </c>
      <c r="M687" s="3">
        <v>160.47999999999999</v>
      </c>
    </row>
    <row r="688" spans="1:13" x14ac:dyDescent="0.25">
      <c r="A688" t="str">
        <f t="shared" si="350"/>
        <v>E261</v>
      </c>
      <c r="B688">
        <v>1</v>
      </c>
      <c r="C688" t="str">
        <f>"43000"</f>
        <v>43000</v>
      </c>
      <c r="D688" t="str">
        <f>"5740"</f>
        <v>5740</v>
      </c>
      <c r="E688" t="str">
        <f t="shared" si="353"/>
        <v>850LOS</v>
      </c>
      <c r="F688" t="str">
        <f>""</f>
        <v/>
      </c>
      <c r="G688" t="str">
        <f>""</f>
        <v/>
      </c>
      <c r="H688" s="1">
        <v>38723</v>
      </c>
      <c r="I688" t="str">
        <f>"1043799B"</f>
        <v>1043799B</v>
      </c>
      <c r="J688" t="str">
        <f>""</f>
        <v/>
      </c>
      <c r="K688" t="str">
        <f t="shared" ref="K688:K690" si="354">"INNI"</f>
        <v>INNI</v>
      </c>
      <c r="L688" t="s">
        <v>281</v>
      </c>
      <c r="M688" s="3">
        <v>140.72</v>
      </c>
    </row>
    <row r="689" spans="1:13" x14ac:dyDescent="0.25">
      <c r="A689" t="str">
        <f>"E262"</f>
        <v>E262</v>
      </c>
      <c r="B689">
        <v>1</v>
      </c>
      <c r="C689" t="str">
        <f>"14185"</f>
        <v>14185</v>
      </c>
      <c r="D689" t="str">
        <f>"5620"</f>
        <v>5620</v>
      </c>
      <c r="E689" t="str">
        <f>"094OMS"</f>
        <v>094OMS</v>
      </c>
      <c r="F689" t="str">
        <f>""</f>
        <v/>
      </c>
      <c r="G689" t="str">
        <f>""</f>
        <v/>
      </c>
      <c r="H689" s="1">
        <v>38575</v>
      </c>
      <c r="I689" t="str">
        <f>"068497"</f>
        <v>068497</v>
      </c>
      <c r="J689" t="str">
        <f>""</f>
        <v/>
      </c>
      <c r="K689" t="str">
        <f t="shared" si="354"/>
        <v>INNI</v>
      </c>
      <c r="L689" t="s">
        <v>322</v>
      </c>
      <c r="M689" s="3">
        <v>345.51</v>
      </c>
    </row>
    <row r="690" spans="1:13" x14ac:dyDescent="0.25">
      <c r="A690" t="str">
        <f>"E262"</f>
        <v>E262</v>
      </c>
      <c r="B690">
        <v>1</v>
      </c>
      <c r="C690" t="str">
        <f>"14185"</f>
        <v>14185</v>
      </c>
      <c r="D690" t="str">
        <f>"5620"</f>
        <v>5620</v>
      </c>
      <c r="E690" t="str">
        <f>"094OMS"</f>
        <v>094OMS</v>
      </c>
      <c r="F690" t="str">
        <f>""</f>
        <v/>
      </c>
      <c r="G690" t="str">
        <f>""</f>
        <v/>
      </c>
      <c r="H690" s="1">
        <v>38580</v>
      </c>
      <c r="I690" t="str">
        <f>"076324"</f>
        <v>076324</v>
      </c>
      <c r="J690" t="str">
        <f>""</f>
        <v/>
      </c>
      <c r="K690" t="str">
        <f t="shared" si="354"/>
        <v>INNI</v>
      </c>
      <c r="L690" t="s">
        <v>323</v>
      </c>
      <c r="M690" s="3">
        <v>125</v>
      </c>
    </row>
    <row r="691" spans="1:13" x14ac:dyDescent="0.25">
      <c r="A691" t="str">
        <f t="shared" ref="A691:A699" si="355">"E267"</f>
        <v>E267</v>
      </c>
      <c r="B691">
        <v>1</v>
      </c>
      <c r="C691" t="str">
        <f>"32040"</f>
        <v>32040</v>
      </c>
      <c r="D691" t="str">
        <f>"5610"</f>
        <v>5610</v>
      </c>
      <c r="E691" t="str">
        <f t="shared" ref="E691:E699" si="356">"850LOS"</f>
        <v>850LOS</v>
      </c>
      <c r="F691" t="str">
        <f>""</f>
        <v/>
      </c>
      <c r="G691" t="str">
        <f>""</f>
        <v/>
      </c>
      <c r="H691" s="1">
        <v>38656</v>
      </c>
      <c r="I691" t="str">
        <f>"G0604132"</f>
        <v>G0604132</v>
      </c>
      <c r="J691" t="str">
        <f>""</f>
        <v/>
      </c>
      <c r="K691" t="str">
        <f t="shared" ref="K691:K699" si="357">"J096"</f>
        <v>J096</v>
      </c>
      <c r="L691" t="s">
        <v>325</v>
      </c>
      <c r="M691" s="3">
        <v>718.5</v>
      </c>
    </row>
    <row r="692" spans="1:13" x14ac:dyDescent="0.25">
      <c r="A692" t="str">
        <f t="shared" si="355"/>
        <v>E267</v>
      </c>
      <c r="B692">
        <v>1</v>
      </c>
      <c r="C692" t="str">
        <f>"32040"</f>
        <v>32040</v>
      </c>
      <c r="D692" t="str">
        <f>"5610"</f>
        <v>5610</v>
      </c>
      <c r="E692" t="str">
        <f t="shared" si="356"/>
        <v>850LOS</v>
      </c>
      <c r="F692" t="str">
        <f>""</f>
        <v/>
      </c>
      <c r="G692" t="str">
        <f>""</f>
        <v/>
      </c>
      <c r="H692" s="1">
        <v>38748</v>
      </c>
      <c r="I692" t="str">
        <f>"G0607187"</f>
        <v>G0607187</v>
      </c>
      <c r="J692" t="str">
        <f>""</f>
        <v/>
      </c>
      <c r="K692" t="str">
        <f t="shared" si="357"/>
        <v>J096</v>
      </c>
      <c r="L692" t="s">
        <v>326</v>
      </c>
      <c r="M692" s="3">
        <v>718.5</v>
      </c>
    </row>
    <row r="693" spans="1:13" x14ac:dyDescent="0.25">
      <c r="A693" t="str">
        <f t="shared" si="355"/>
        <v>E267</v>
      </c>
      <c r="B693">
        <v>1</v>
      </c>
      <c r="C693" t="str">
        <f>"32040"</f>
        <v>32040</v>
      </c>
      <c r="D693" t="str">
        <f>"5610"</f>
        <v>5610</v>
      </c>
      <c r="E693" t="str">
        <f t="shared" si="356"/>
        <v>850LOS</v>
      </c>
      <c r="F693" t="str">
        <f>""</f>
        <v/>
      </c>
      <c r="G693" t="str">
        <f>""</f>
        <v/>
      </c>
      <c r="H693" s="1">
        <v>38781</v>
      </c>
      <c r="I693" t="str">
        <f>"G0609179"</f>
        <v>G0609179</v>
      </c>
      <c r="J693" t="str">
        <f>""</f>
        <v/>
      </c>
      <c r="K693" t="str">
        <f t="shared" si="357"/>
        <v>J096</v>
      </c>
      <c r="L693" t="s">
        <v>327</v>
      </c>
      <c r="M693" s="3">
        <v>718.5</v>
      </c>
    </row>
    <row r="694" spans="1:13" x14ac:dyDescent="0.25">
      <c r="A694" t="str">
        <f t="shared" si="355"/>
        <v>E267</v>
      </c>
      <c r="B694">
        <v>1</v>
      </c>
      <c r="C694" t="str">
        <f>"32040"</f>
        <v>32040</v>
      </c>
      <c r="D694" t="str">
        <f>"5610"</f>
        <v>5610</v>
      </c>
      <c r="E694" t="str">
        <f t="shared" si="356"/>
        <v>850LOS</v>
      </c>
      <c r="F694" t="str">
        <f>""</f>
        <v/>
      </c>
      <c r="G694" t="str">
        <f>""</f>
        <v/>
      </c>
      <c r="H694" s="1">
        <v>38898</v>
      </c>
      <c r="I694" t="str">
        <f>"G0612086"</f>
        <v>G0612086</v>
      </c>
      <c r="J694" t="str">
        <f>""</f>
        <v/>
      </c>
      <c r="K694" t="str">
        <f t="shared" si="357"/>
        <v>J096</v>
      </c>
      <c r="L694" t="s">
        <v>328</v>
      </c>
      <c r="M694" s="3">
        <v>718.5</v>
      </c>
    </row>
    <row r="695" spans="1:13" x14ac:dyDescent="0.25">
      <c r="A695" t="str">
        <f t="shared" si="355"/>
        <v>E267</v>
      </c>
      <c r="B695">
        <v>1</v>
      </c>
      <c r="C695" t="str">
        <f t="shared" ref="C695:C699" si="358">"43000"</f>
        <v>43000</v>
      </c>
      <c r="D695" t="str">
        <f t="shared" ref="D695:D699" si="359">"5740"</f>
        <v>5740</v>
      </c>
      <c r="E695" t="str">
        <f t="shared" si="356"/>
        <v>850LOS</v>
      </c>
      <c r="F695" t="str">
        <f>""</f>
        <v/>
      </c>
      <c r="G695" t="str">
        <f>""</f>
        <v/>
      </c>
      <c r="H695" s="1">
        <v>38656</v>
      </c>
      <c r="I695" t="str">
        <f>"G0604132"</f>
        <v>G0604132</v>
      </c>
      <c r="J695" t="str">
        <f>""</f>
        <v/>
      </c>
      <c r="K695" t="str">
        <f t="shared" si="357"/>
        <v>J096</v>
      </c>
      <c r="L695" t="s">
        <v>325</v>
      </c>
      <c r="M695" s="3">
        <v>8225.5</v>
      </c>
    </row>
    <row r="696" spans="1:13" x14ac:dyDescent="0.25">
      <c r="A696" t="str">
        <f t="shared" si="355"/>
        <v>E267</v>
      </c>
      <c r="B696">
        <v>1</v>
      </c>
      <c r="C696" t="str">
        <f t="shared" si="358"/>
        <v>43000</v>
      </c>
      <c r="D696" t="str">
        <f t="shared" si="359"/>
        <v>5740</v>
      </c>
      <c r="E696" t="str">
        <f t="shared" si="356"/>
        <v>850LOS</v>
      </c>
      <c r="F696" t="str">
        <f>""</f>
        <v/>
      </c>
      <c r="G696" t="str">
        <f>""</f>
        <v/>
      </c>
      <c r="H696" s="1">
        <v>38748</v>
      </c>
      <c r="I696" t="str">
        <f>"G0607187"</f>
        <v>G0607187</v>
      </c>
      <c r="J696" t="str">
        <f>""</f>
        <v/>
      </c>
      <c r="K696" t="str">
        <f t="shared" si="357"/>
        <v>J096</v>
      </c>
      <c r="L696" t="s">
        <v>326</v>
      </c>
      <c r="M696" s="3">
        <v>2380.5</v>
      </c>
    </row>
    <row r="697" spans="1:13" x14ac:dyDescent="0.25">
      <c r="A697" t="str">
        <f t="shared" si="355"/>
        <v>E267</v>
      </c>
      <c r="B697">
        <v>1</v>
      </c>
      <c r="C697" t="str">
        <f t="shared" si="358"/>
        <v>43000</v>
      </c>
      <c r="D697" t="str">
        <f t="shared" si="359"/>
        <v>5740</v>
      </c>
      <c r="E697" t="str">
        <f t="shared" si="356"/>
        <v>850LOS</v>
      </c>
      <c r="F697" t="str">
        <f>""</f>
        <v/>
      </c>
      <c r="G697" t="str">
        <f>""</f>
        <v/>
      </c>
      <c r="H697" s="1">
        <v>38748</v>
      </c>
      <c r="I697" t="str">
        <f>"G0607200"</f>
        <v>G0607200</v>
      </c>
      <c r="J697" t="str">
        <f>""</f>
        <v/>
      </c>
      <c r="K697" t="str">
        <f t="shared" si="357"/>
        <v>J096</v>
      </c>
      <c r="L697" t="s">
        <v>329</v>
      </c>
      <c r="M697" s="3">
        <v>2380.5</v>
      </c>
    </row>
    <row r="698" spans="1:13" x14ac:dyDescent="0.25">
      <c r="A698" t="str">
        <f t="shared" si="355"/>
        <v>E267</v>
      </c>
      <c r="B698">
        <v>1</v>
      </c>
      <c r="C698" t="str">
        <f t="shared" si="358"/>
        <v>43000</v>
      </c>
      <c r="D698" t="str">
        <f t="shared" si="359"/>
        <v>5740</v>
      </c>
      <c r="E698" t="str">
        <f t="shared" si="356"/>
        <v>850LOS</v>
      </c>
      <c r="F698" t="str">
        <f>""</f>
        <v/>
      </c>
      <c r="G698" t="str">
        <f>""</f>
        <v/>
      </c>
      <c r="H698" s="1">
        <v>38781</v>
      </c>
      <c r="I698" t="str">
        <f>"G0609179"</f>
        <v>G0609179</v>
      </c>
      <c r="J698" t="str">
        <f>""</f>
        <v/>
      </c>
      <c r="K698" t="str">
        <f t="shared" si="357"/>
        <v>J096</v>
      </c>
      <c r="L698" t="s">
        <v>327</v>
      </c>
      <c r="M698" s="3">
        <v>2380.5</v>
      </c>
    </row>
    <row r="699" spans="1:13" x14ac:dyDescent="0.25">
      <c r="A699" t="str">
        <f t="shared" si="355"/>
        <v>E267</v>
      </c>
      <c r="B699">
        <v>1</v>
      </c>
      <c r="C699" t="str">
        <f t="shared" si="358"/>
        <v>43000</v>
      </c>
      <c r="D699" t="str">
        <f t="shared" si="359"/>
        <v>5740</v>
      </c>
      <c r="E699" t="str">
        <f t="shared" si="356"/>
        <v>850LOS</v>
      </c>
      <c r="F699" t="str">
        <f>""</f>
        <v/>
      </c>
      <c r="G699" t="str">
        <f>""</f>
        <v/>
      </c>
      <c r="H699" s="1">
        <v>38898</v>
      </c>
      <c r="I699" t="str">
        <f>"G0612086"</f>
        <v>G0612086</v>
      </c>
      <c r="J699" t="str">
        <f>""</f>
        <v/>
      </c>
      <c r="K699" t="str">
        <f t="shared" si="357"/>
        <v>J096</v>
      </c>
      <c r="L699" t="s">
        <v>328</v>
      </c>
      <c r="M699" s="3">
        <v>2380.5</v>
      </c>
    </row>
    <row r="700" spans="1:13" x14ac:dyDescent="0.25">
      <c r="A700" t="str">
        <f t="shared" ref="A700:A707" si="360">"E279"</f>
        <v>E279</v>
      </c>
      <c r="B700">
        <v>1</v>
      </c>
      <c r="C700" t="str">
        <f t="shared" ref="C700:C707" si="361">"43004"</f>
        <v>43004</v>
      </c>
      <c r="D700" t="str">
        <f t="shared" ref="D700:D707" si="362">"5740"</f>
        <v>5740</v>
      </c>
      <c r="E700" t="str">
        <f t="shared" ref="E700:E713" si="363">"850LOS"</f>
        <v>850LOS</v>
      </c>
      <c r="F700" t="str">
        <f>""</f>
        <v/>
      </c>
      <c r="G700" t="str">
        <f>""</f>
        <v/>
      </c>
      <c r="H700" s="1">
        <v>38656</v>
      </c>
      <c r="I700" t="str">
        <f>"2551295"</f>
        <v>2551295</v>
      </c>
      <c r="J700" t="str">
        <f>"B076209B"</f>
        <v>B076209B</v>
      </c>
      <c r="K700" t="str">
        <f>"INNI"</f>
        <v>INNI</v>
      </c>
      <c r="L700" t="s">
        <v>330</v>
      </c>
      <c r="M700" s="3">
        <v>10580</v>
      </c>
    </row>
    <row r="701" spans="1:13" x14ac:dyDescent="0.25">
      <c r="A701" t="str">
        <f t="shared" si="360"/>
        <v>E279</v>
      </c>
      <c r="B701">
        <v>1</v>
      </c>
      <c r="C701" t="str">
        <f t="shared" si="361"/>
        <v>43004</v>
      </c>
      <c r="D701" t="str">
        <f t="shared" si="362"/>
        <v>5740</v>
      </c>
      <c r="E701" t="str">
        <f t="shared" si="363"/>
        <v>850LOS</v>
      </c>
      <c r="F701" t="str">
        <f>""</f>
        <v/>
      </c>
      <c r="G701" t="str">
        <f>""</f>
        <v/>
      </c>
      <c r="H701" s="1">
        <v>38656</v>
      </c>
      <c r="I701" t="str">
        <f>"2551295"</f>
        <v>2551295</v>
      </c>
      <c r="J701" t="str">
        <f>"B076209B"</f>
        <v>B076209B</v>
      </c>
      <c r="K701" t="str">
        <f>"INNI"</f>
        <v>INNI</v>
      </c>
      <c r="L701" t="s">
        <v>330</v>
      </c>
      <c r="M701" s="3">
        <v>1980</v>
      </c>
    </row>
    <row r="702" spans="1:13" x14ac:dyDescent="0.25">
      <c r="A702" t="str">
        <f t="shared" si="360"/>
        <v>E279</v>
      </c>
      <c r="B702">
        <v>1</v>
      </c>
      <c r="C702" t="str">
        <f t="shared" si="361"/>
        <v>43004</v>
      </c>
      <c r="D702" t="str">
        <f t="shared" si="362"/>
        <v>5740</v>
      </c>
      <c r="E702" t="str">
        <f t="shared" si="363"/>
        <v>850LOS</v>
      </c>
      <c r="F702" t="str">
        <f>""</f>
        <v/>
      </c>
      <c r="G702" t="str">
        <f>""</f>
        <v/>
      </c>
      <c r="H702" s="1">
        <v>38754</v>
      </c>
      <c r="I702" t="str">
        <f>"2650032"</f>
        <v>2650032</v>
      </c>
      <c r="J702" t="str">
        <f t="shared" ref="J702:J707" si="364">"B076209B"</f>
        <v>B076209B</v>
      </c>
      <c r="K702" t="str">
        <f t="shared" ref="K702:K707" si="365">"INNI"</f>
        <v>INNI</v>
      </c>
      <c r="L702" t="s">
        <v>330</v>
      </c>
      <c r="M702" s="3">
        <v>61288.33</v>
      </c>
    </row>
    <row r="703" spans="1:13" x14ac:dyDescent="0.25">
      <c r="A703" t="str">
        <f t="shared" si="360"/>
        <v>E279</v>
      </c>
      <c r="B703">
        <v>1</v>
      </c>
      <c r="C703" t="str">
        <f t="shared" si="361"/>
        <v>43004</v>
      </c>
      <c r="D703" t="str">
        <f t="shared" si="362"/>
        <v>5740</v>
      </c>
      <c r="E703" t="str">
        <f t="shared" si="363"/>
        <v>850LOS</v>
      </c>
      <c r="F703" t="str">
        <f>""</f>
        <v/>
      </c>
      <c r="G703" t="str">
        <f>""</f>
        <v/>
      </c>
      <c r="H703" s="1">
        <v>38754</v>
      </c>
      <c r="I703" t="str">
        <f>"2650032"</f>
        <v>2650032</v>
      </c>
      <c r="J703" t="str">
        <f t="shared" si="364"/>
        <v>B076209B</v>
      </c>
      <c r="K703" t="str">
        <f t="shared" si="365"/>
        <v>INNI</v>
      </c>
      <c r="L703" t="s">
        <v>330</v>
      </c>
      <c r="M703" s="3">
        <v>232230</v>
      </c>
    </row>
    <row r="704" spans="1:13" x14ac:dyDescent="0.25">
      <c r="A704" t="str">
        <f t="shared" si="360"/>
        <v>E279</v>
      </c>
      <c r="B704">
        <v>1</v>
      </c>
      <c r="C704" t="str">
        <f t="shared" si="361"/>
        <v>43004</v>
      </c>
      <c r="D704" t="str">
        <f t="shared" si="362"/>
        <v>5740</v>
      </c>
      <c r="E704" t="str">
        <f t="shared" si="363"/>
        <v>850LOS</v>
      </c>
      <c r="F704" t="str">
        <f>""</f>
        <v/>
      </c>
      <c r="G704" t="str">
        <f>""</f>
        <v/>
      </c>
      <c r="H704" s="1">
        <v>38814</v>
      </c>
      <c r="I704" t="str">
        <f>"2650160I"</f>
        <v>2650160I</v>
      </c>
      <c r="J704" t="str">
        <f t="shared" si="364"/>
        <v>B076209B</v>
      </c>
      <c r="K704" t="str">
        <f t="shared" si="365"/>
        <v>INNI</v>
      </c>
      <c r="L704" t="s">
        <v>330</v>
      </c>
      <c r="M704" s="3">
        <v>32960</v>
      </c>
    </row>
    <row r="705" spans="1:13" x14ac:dyDescent="0.25">
      <c r="A705" t="str">
        <f t="shared" si="360"/>
        <v>E279</v>
      </c>
      <c r="B705">
        <v>1</v>
      </c>
      <c r="C705" t="str">
        <f t="shared" si="361"/>
        <v>43004</v>
      </c>
      <c r="D705" t="str">
        <f t="shared" si="362"/>
        <v>5740</v>
      </c>
      <c r="E705" t="str">
        <f t="shared" si="363"/>
        <v>850LOS</v>
      </c>
      <c r="F705" t="str">
        <f>""</f>
        <v/>
      </c>
      <c r="G705" t="str">
        <f>""</f>
        <v/>
      </c>
      <c r="H705" s="1">
        <v>38814</v>
      </c>
      <c r="I705" t="str">
        <f>"2650160I"</f>
        <v>2650160I</v>
      </c>
      <c r="J705" t="str">
        <f t="shared" si="364"/>
        <v>B076209B</v>
      </c>
      <c r="K705" t="str">
        <f t="shared" si="365"/>
        <v>INNI</v>
      </c>
      <c r="L705" t="s">
        <v>330</v>
      </c>
      <c r="M705" s="3">
        <v>61288.33</v>
      </c>
    </row>
    <row r="706" spans="1:13" x14ac:dyDescent="0.25">
      <c r="A706" t="str">
        <f t="shared" si="360"/>
        <v>E279</v>
      </c>
      <c r="B706">
        <v>1</v>
      </c>
      <c r="C706" t="str">
        <f t="shared" si="361"/>
        <v>43004</v>
      </c>
      <c r="D706" t="str">
        <f t="shared" si="362"/>
        <v>5740</v>
      </c>
      <c r="E706" t="str">
        <f t="shared" si="363"/>
        <v>850LOS</v>
      </c>
      <c r="F706" t="str">
        <f>""</f>
        <v/>
      </c>
      <c r="G706" t="str">
        <f>""</f>
        <v/>
      </c>
      <c r="H706" s="1">
        <v>38897</v>
      </c>
      <c r="I706" t="str">
        <f>"2650300"</f>
        <v>2650300</v>
      </c>
      <c r="J706" t="str">
        <f t="shared" si="364"/>
        <v>B076209B</v>
      </c>
      <c r="K706" t="str">
        <f t="shared" si="365"/>
        <v>INNI</v>
      </c>
      <c r="L706" t="s">
        <v>330</v>
      </c>
      <c r="M706" s="3">
        <v>61288.34</v>
      </c>
    </row>
    <row r="707" spans="1:13" x14ac:dyDescent="0.25">
      <c r="A707" t="str">
        <f t="shared" si="360"/>
        <v>E279</v>
      </c>
      <c r="B707">
        <v>1</v>
      </c>
      <c r="C707" t="str">
        <f t="shared" si="361"/>
        <v>43004</v>
      </c>
      <c r="D707" t="str">
        <f t="shared" si="362"/>
        <v>5740</v>
      </c>
      <c r="E707" t="str">
        <f t="shared" si="363"/>
        <v>850LOS</v>
      </c>
      <c r="F707" t="str">
        <f>""</f>
        <v/>
      </c>
      <c r="G707" t="str">
        <f>""</f>
        <v/>
      </c>
      <c r="H707" s="1">
        <v>38897</v>
      </c>
      <c r="I707" t="str">
        <f>"2650300"</f>
        <v>2650300</v>
      </c>
      <c r="J707" t="str">
        <f t="shared" si="364"/>
        <v>B076209B</v>
      </c>
      <c r="K707" t="str">
        <f t="shared" si="365"/>
        <v>INNI</v>
      </c>
      <c r="L707" t="s">
        <v>330</v>
      </c>
      <c r="M707" s="3">
        <v>23560</v>
      </c>
    </row>
    <row r="708" spans="1:13" x14ac:dyDescent="0.25">
      <c r="A708" t="str">
        <f>"E303"</f>
        <v>E303</v>
      </c>
      <c r="B708">
        <v>1</v>
      </c>
      <c r="C708" t="str">
        <f>"32040"</f>
        <v>32040</v>
      </c>
      <c r="D708" t="str">
        <f>"5610"</f>
        <v>5610</v>
      </c>
      <c r="E708" t="str">
        <f t="shared" si="363"/>
        <v>850LOS</v>
      </c>
      <c r="F708" t="str">
        <f>""</f>
        <v/>
      </c>
      <c r="G708" t="str">
        <f>""</f>
        <v/>
      </c>
      <c r="H708" s="1">
        <v>38898</v>
      </c>
      <c r="I708" t="str">
        <f>"ACG01449"</f>
        <v>ACG01449</v>
      </c>
      <c r="J708" t="str">
        <f>""</f>
        <v/>
      </c>
      <c r="K708" t="str">
        <f>"AS79"</f>
        <v>AS79</v>
      </c>
      <c r="L708" t="s">
        <v>331</v>
      </c>
      <c r="M708" s="3">
        <v>11522.38</v>
      </c>
    </row>
    <row r="709" spans="1:13" x14ac:dyDescent="0.25">
      <c r="A709" t="str">
        <f t="shared" ref="A709:A712" si="366">"E304"</f>
        <v>E304</v>
      </c>
      <c r="B709">
        <v>1</v>
      </c>
      <c r="C709" t="str">
        <f t="shared" ref="C709:C713" si="367">"43000"</f>
        <v>43000</v>
      </c>
      <c r="D709" t="str">
        <f t="shared" ref="D709:D713" si="368">"5740"</f>
        <v>5740</v>
      </c>
      <c r="E709" t="str">
        <f t="shared" si="363"/>
        <v>850LOS</v>
      </c>
      <c r="F709" t="str">
        <f>""</f>
        <v/>
      </c>
      <c r="G709" t="str">
        <f>""</f>
        <v/>
      </c>
      <c r="H709" s="1">
        <v>38735</v>
      </c>
      <c r="I709" t="str">
        <f>"58159"</f>
        <v>58159</v>
      </c>
      <c r="J709" t="str">
        <f t="shared" ref="J709:J711" si="369">"F076370"</f>
        <v>F076370</v>
      </c>
      <c r="K709" t="str">
        <f t="shared" ref="K709:K712" si="370">"INEI"</f>
        <v>INEI</v>
      </c>
      <c r="L709" t="s">
        <v>140</v>
      </c>
      <c r="M709" s="3">
        <v>630.85</v>
      </c>
    </row>
    <row r="710" spans="1:13" x14ac:dyDescent="0.25">
      <c r="A710" t="str">
        <f t="shared" si="366"/>
        <v>E304</v>
      </c>
      <c r="B710">
        <v>1</v>
      </c>
      <c r="C710" t="str">
        <f t="shared" si="367"/>
        <v>43000</v>
      </c>
      <c r="D710" t="str">
        <f t="shared" si="368"/>
        <v>5740</v>
      </c>
      <c r="E710" t="str">
        <f t="shared" si="363"/>
        <v>850LOS</v>
      </c>
      <c r="F710" t="str">
        <f>""</f>
        <v/>
      </c>
      <c r="G710" t="str">
        <f>""</f>
        <v/>
      </c>
      <c r="H710" s="1">
        <v>38735</v>
      </c>
      <c r="I710" t="str">
        <f>"58171"</f>
        <v>58171</v>
      </c>
      <c r="J710" t="str">
        <f t="shared" si="369"/>
        <v>F076370</v>
      </c>
      <c r="K710" t="str">
        <f t="shared" si="370"/>
        <v>INEI</v>
      </c>
      <c r="L710" t="s">
        <v>140</v>
      </c>
      <c r="M710" s="3">
        <v>630.85</v>
      </c>
    </row>
    <row r="711" spans="1:13" x14ac:dyDescent="0.25">
      <c r="A711" t="str">
        <f t="shared" si="366"/>
        <v>E304</v>
      </c>
      <c r="B711">
        <v>1</v>
      </c>
      <c r="C711" t="str">
        <f t="shared" si="367"/>
        <v>43000</v>
      </c>
      <c r="D711" t="str">
        <f t="shared" si="368"/>
        <v>5740</v>
      </c>
      <c r="E711" t="str">
        <f t="shared" si="363"/>
        <v>850LOS</v>
      </c>
      <c r="F711" t="str">
        <f>""</f>
        <v/>
      </c>
      <c r="G711" t="str">
        <f>""</f>
        <v/>
      </c>
      <c r="H711" s="1">
        <v>38735</v>
      </c>
      <c r="I711" t="str">
        <f>"58172"</f>
        <v>58172</v>
      </c>
      <c r="J711" t="str">
        <f t="shared" si="369"/>
        <v>F076370</v>
      </c>
      <c r="K711" t="str">
        <f t="shared" si="370"/>
        <v>INEI</v>
      </c>
      <c r="L711" t="s">
        <v>140</v>
      </c>
      <c r="M711" s="3">
        <v>630.85</v>
      </c>
    </row>
    <row r="712" spans="1:13" x14ac:dyDescent="0.25">
      <c r="A712" t="str">
        <f t="shared" si="366"/>
        <v>E304</v>
      </c>
      <c r="B712">
        <v>1</v>
      </c>
      <c r="C712" t="str">
        <f t="shared" si="367"/>
        <v>43000</v>
      </c>
      <c r="D712" t="str">
        <f t="shared" si="368"/>
        <v>5740</v>
      </c>
      <c r="E712" t="str">
        <f t="shared" si="363"/>
        <v>850LOS</v>
      </c>
      <c r="F712" t="str">
        <f>""</f>
        <v/>
      </c>
      <c r="G712" t="str">
        <f>""</f>
        <v/>
      </c>
      <c r="H712" s="1">
        <v>38756</v>
      </c>
      <c r="I712" t="str">
        <f>"58613"</f>
        <v>58613</v>
      </c>
      <c r="J712" t="str">
        <f>"D076378"</f>
        <v>D076378</v>
      </c>
      <c r="K712" t="str">
        <f t="shared" si="370"/>
        <v>INEI</v>
      </c>
      <c r="L712" t="s">
        <v>140</v>
      </c>
      <c r="M712" s="3">
        <v>1245.46</v>
      </c>
    </row>
    <row r="713" spans="1:13" x14ac:dyDescent="0.25">
      <c r="A713" t="str">
        <f>"E305"</f>
        <v>E305</v>
      </c>
      <c r="B713">
        <v>1</v>
      </c>
      <c r="C713" t="str">
        <f t="shared" si="367"/>
        <v>43000</v>
      </c>
      <c r="D713" t="str">
        <f t="shared" si="368"/>
        <v>5740</v>
      </c>
      <c r="E713" t="str">
        <f t="shared" si="363"/>
        <v>850LOS</v>
      </c>
      <c r="F713" t="str">
        <f>""</f>
        <v/>
      </c>
      <c r="G713" t="str">
        <f>""</f>
        <v/>
      </c>
      <c r="H713" s="1">
        <v>38793</v>
      </c>
      <c r="I713" t="str">
        <f>"PCD00222"</f>
        <v>PCD00222</v>
      </c>
      <c r="J713" t="str">
        <f>"37578"</f>
        <v>37578</v>
      </c>
      <c r="K713" t="str">
        <f>"AS89"</f>
        <v>AS89</v>
      </c>
      <c r="L713" t="s">
        <v>332</v>
      </c>
      <c r="M713" s="3">
        <v>123.19</v>
      </c>
    </row>
    <row r="714" spans="1:13" x14ac:dyDescent="0.25">
      <c r="A714" t="str">
        <f t="shared" ref="A714:A728" si="371">"E351"</f>
        <v>E351</v>
      </c>
      <c r="B714">
        <v>1</v>
      </c>
      <c r="C714" t="str">
        <f t="shared" ref="C714:C727" si="372">"14185"</f>
        <v>14185</v>
      </c>
      <c r="D714" t="str">
        <f t="shared" ref="D714:D727" si="373">"5620"</f>
        <v>5620</v>
      </c>
      <c r="E714" t="str">
        <f t="shared" ref="E714:E727" si="374">"094OMS"</f>
        <v>094OMS</v>
      </c>
      <c r="F714" t="str">
        <f>""</f>
        <v/>
      </c>
      <c r="G714" t="str">
        <f>""</f>
        <v/>
      </c>
      <c r="H714" s="1">
        <v>38638</v>
      </c>
      <c r="I714" t="str">
        <f>"V80629"</f>
        <v>V80629</v>
      </c>
      <c r="J714" t="str">
        <f>""</f>
        <v/>
      </c>
      <c r="K714" t="str">
        <f t="shared" ref="K714:K735" si="375">"INNI"</f>
        <v>INNI</v>
      </c>
      <c r="L714" t="s">
        <v>333</v>
      </c>
      <c r="M714" s="3">
        <v>125</v>
      </c>
    </row>
    <row r="715" spans="1:13" x14ac:dyDescent="0.25">
      <c r="A715" t="str">
        <f t="shared" si="371"/>
        <v>E351</v>
      </c>
      <c r="B715">
        <v>1</v>
      </c>
      <c r="C715" t="str">
        <f t="shared" si="372"/>
        <v>14185</v>
      </c>
      <c r="D715" t="str">
        <f t="shared" si="373"/>
        <v>5620</v>
      </c>
      <c r="E715" t="str">
        <f t="shared" si="374"/>
        <v>094OMS</v>
      </c>
      <c r="F715" t="str">
        <f>""</f>
        <v/>
      </c>
      <c r="G715" t="str">
        <f>""</f>
        <v/>
      </c>
      <c r="H715" s="1">
        <v>38659</v>
      </c>
      <c r="I715" t="str">
        <f>"V80631"</f>
        <v>V80631</v>
      </c>
      <c r="J715" t="str">
        <f>""</f>
        <v/>
      </c>
      <c r="K715" t="str">
        <f t="shared" si="375"/>
        <v>INNI</v>
      </c>
      <c r="L715" t="s">
        <v>333</v>
      </c>
      <c r="M715" s="3">
        <v>128</v>
      </c>
    </row>
    <row r="716" spans="1:13" x14ac:dyDescent="0.25">
      <c r="A716" t="str">
        <f t="shared" si="371"/>
        <v>E351</v>
      </c>
      <c r="B716">
        <v>1</v>
      </c>
      <c r="C716" t="str">
        <f t="shared" si="372"/>
        <v>14185</v>
      </c>
      <c r="D716" t="str">
        <f t="shared" si="373"/>
        <v>5620</v>
      </c>
      <c r="E716" t="str">
        <f t="shared" si="374"/>
        <v>094OMS</v>
      </c>
      <c r="F716" t="str">
        <f>""</f>
        <v/>
      </c>
      <c r="G716" t="str">
        <f>""</f>
        <v/>
      </c>
      <c r="H716" s="1">
        <v>38659</v>
      </c>
      <c r="I716" t="str">
        <f>"V80632"</f>
        <v>V80632</v>
      </c>
      <c r="J716" t="str">
        <f>""</f>
        <v/>
      </c>
      <c r="K716" t="str">
        <f t="shared" si="375"/>
        <v>INNI</v>
      </c>
      <c r="L716" t="s">
        <v>334</v>
      </c>
      <c r="M716" s="3">
        <v>309.83999999999997</v>
      </c>
    </row>
    <row r="717" spans="1:13" x14ac:dyDescent="0.25">
      <c r="A717" t="str">
        <f t="shared" si="371"/>
        <v>E351</v>
      </c>
      <c r="B717">
        <v>1</v>
      </c>
      <c r="C717" t="str">
        <f t="shared" si="372"/>
        <v>14185</v>
      </c>
      <c r="D717" t="str">
        <f t="shared" si="373"/>
        <v>5620</v>
      </c>
      <c r="E717" t="str">
        <f t="shared" si="374"/>
        <v>094OMS</v>
      </c>
      <c r="F717" t="str">
        <f>""</f>
        <v/>
      </c>
      <c r="G717" t="str">
        <f>""</f>
        <v/>
      </c>
      <c r="H717" s="1">
        <v>38660</v>
      </c>
      <c r="I717" t="str">
        <f>"V80633"</f>
        <v>V80633</v>
      </c>
      <c r="J717" t="str">
        <f>""</f>
        <v/>
      </c>
      <c r="K717" t="str">
        <f t="shared" si="375"/>
        <v>INNI</v>
      </c>
      <c r="L717" t="s">
        <v>335</v>
      </c>
      <c r="M717" s="3">
        <v>545.11</v>
      </c>
    </row>
    <row r="718" spans="1:13" x14ac:dyDescent="0.25">
      <c r="A718" t="str">
        <f t="shared" si="371"/>
        <v>E351</v>
      </c>
      <c r="B718">
        <v>1</v>
      </c>
      <c r="C718" t="str">
        <f t="shared" si="372"/>
        <v>14185</v>
      </c>
      <c r="D718" t="str">
        <f t="shared" si="373"/>
        <v>5620</v>
      </c>
      <c r="E718" t="str">
        <f t="shared" si="374"/>
        <v>094OMS</v>
      </c>
      <c r="F718" t="str">
        <f>""</f>
        <v/>
      </c>
      <c r="G718" t="str">
        <f>""</f>
        <v/>
      </c>
      <c r="H718" s="1">
        <v>38670</v>
      </c>
      <c r="I718" t="str">
        <f>"V80634"</f>
        <v>V80634</v>
      </c>
      <c r="J718" t="str">
        <f>""</f>
        <v/>
      </c>
      <c r="K718" t="str">
        <f t="shared" si="375"/>
        <v>INNI</v>
      </c>
      <c r="L718" t="s">
        <v>336</v>
      </c>
      <c r="M718" s="3">
        <v>784.52</v>
      </c>
    </row>
    <row r="719" spans="1:13" x14ac:dyDescent="0.25">
      <c r="A719" t="str">
        <f t="shared" si="371"/>
        <v>E351</v>
      </c>
      <c r="B719">
        <v>1</v>
      </c>
      <c r="C719" t="str">
        <f t="shared" si="372"/>
        <v>14185</v>
      </c>
      <c r="D719" t="str">
        <f t="shared" si="373"/>
        <v>5620</v>
      </c>
      <c r="E719" t="str">
        <f t="shared" si="374"/>
        <v>094OMS</v>
      </c>
      <c r="F719" t="str">
        <f>""</f>
        <v/>
      </c>
      <c r="G719" t="str">
        <f>""</f>
        <v/>
      </c>
      <c r="H719" s="1">
        <v>38684</v>
      </c>
      <c r="I719" t="str">
        <f>"V80637"</f>
        <v>V80637</v>
      </c>
      <c r="J719" t="str">
        <f>""</f>
        <v/>
      </c>
      <c r="K719" t="str">
        <f t="shared" si="375"/>
        <v>INNI</v>
      </c>
      <c r="L719" t="s">
        <v>337</v>
      </c>
      <c r="M719" s="3">
        <v>128.16999999999999</v>
      </c>
    </row>
    <row r="720" spans="1:13" x14ac:dyDescent="0.25">
      <c r="A720" t="str">
        <f t="shared" si="371"/>
        <v>E351</v>
      </c>
      <c r="B720">
        <v>1</v>
      </c>
      <c r="C720" t="str">
        <f t="shared" si="372"/>
        <v>14185</v>
      </c>
      <c r="D720" t="str">
        <f t="shared" si="373"/>
        <v>5620</v>
      </c>
      <c r="E720" t="str">
        <f t="shared" si="374"/>
        <v>094OMS</v>
      </c>
      <c r="F720" t="str">
        <f>""</f>
        <v/>
      </c>
      <c r="G720" t="str">
        <f>""</f>
        <v/>
      </c>
      <c r="H720" s="1">
        <v>38684</v>
      </c>
      <c r="I720" t="str">
        <f>"V80636"</f>
        <v>V80636</v>
      </c>
      <c r="J720" t="str">
        <f>""</f>
        <v/>
      </c>
      <c r="K720" t="str">
        <f t="shared" si="375"/>
        <v>INNI</v>
      </c>
      <c r="L720" t="s">
        <v>338</v>
      </c>
      <c r="M720" s="3">
        <v>842.52</v>
      </c>
    </row>
    <row r="721" spans="1:13" x14ac:dyDescent="0.25">
      <c r="A721" t="str">
        <f t="shared" si="371"/>
        <v>E351</v>
      </c>
      <c r="B721">
        <v>1</v>
      </c>
      <c r="C721" t="str">
        <f t="shared" si="372"/>
        <v>14185</v>
      </c>
      <c r="D721" t="str">
        <f t="shared" si="373"/>
        <v>5620</v>
      </c>
      <c r="E721" t="str">
        <f t="shared" si="374"/>
        <v>094OMS</v>
      </c>
      <c r="F721" t="str">
        <f>""</f>
        <v/>
      </c>
      <c r="G721" t="str">
        <f>""</f>
        <v/>
      </c>
      <c r="H721" s="1">
        <v>38694</v>
      </c>
      <c r="I721" t="str">
        <f>"V71626"</f>
        <v>V71626</v>
      </c>
      <c r="J721" t="str">
        <f>""</f>
        <v/>
      </c>
      <c r="K721" t="str">
        <f t="shared" si="375"/>
        <v>INNI</v>
      </c>
      <c r="L721" t="s">
        <v>334</v>
      </c>
      <c r="M721" s="3">
        <v>339.02</v>
      </c>
    </row>
    <row r="722" spans="1:13" x14ac:dyDescent="0.25">
      <c r="A722" t="str">
        <f t="shared" si="371"/>
        <v>E351</v>
      </c>
      <c r="B722">
        <v>1</v>
      </c>
      <c r="C722" t="str">
        <f t="shared" si="372"/>
        <v>14185</v>
      </c>
      <c r="D722" t="str">
        <f t="shared" si="373"/>
        <v>5620</v>
      </c>
      <c r="E722" t="str">
        <f t="shared" si="374"/>
        <v>094OMS</v>
      </c>
      <c r="F722" t="str">
        <f>""</f>
        <v/>
      </c>
      <c r="G722" t="str">
        <f>""</f>
        <v/>
      </c>
      <c r="H722" s="1">
        <v>38824</v>
      </c>
      <c r="I722" t="str">
        <f>"V96902"</f>
        <v>V96902</v>
      </c>
      <c r="J722" t="str">
        <f>""</f>
        <v/>
      </c>
      <c r="K722" t="str">
        <f t="shared" si="375"/>
        <v>INNI</v>
      </c>
      <c r="L722" t="s">
        <v>338</v>
      </c>
      <c r="M722" s="3">
        <v>639.14</v>
      </c>
    </row>
    <row r="723" spans="1:13" x14ac:dyDescent="0.25">
      <c r="A723" t="str">
        <f t="shared" si="371"/>
        <v>E351</v>
      </c>
      <c r="B723">
        <v>1</v>
      </c>
      <c r="C723" t="str">
        <f t="shared" si="372"/>
        <v>14185</v>
      </c>
      <c r="D723" t="str">
        <f t="shared" si="373"/>
        <v>5620</v>
      </c>
      <c r="E723" t="str">
        <f t="shared" si="374"/>
        <v>094OMS</v>
      </c>
      <c r="F723" t="str">
        <f>""</f>
        <v/>
      </c>
      <c r="G723" t="str">
        <f>""</f>
        <v/>
      </c>
      <c r="H723" s="1">
        <v>38827</v>
      </c>
      <c r="I723" t="str">
        <f>"V96903"</f>
        <v>V96903</v>
      </c>
      <c r="J723" t="str">
        <f>""</f>
        <v/>
      </c>
      <c r="K723" t="str">
        <f t="shared" si="375"/>
        <v>INNI</v>
      </c>
      <c r="L723" t="s">
        <v>333</v>
      </c>
      <c r="M723" s="3">
        <v>101.6</v>
      </c>
    </row>
    <row r="724" spans="1:13" x14ac:dyDescent="0.25">
      <c r="A724" t="str">
        <f t="shared" si="371"/>
        <v>E351</v>
      </c>
      <c r="B724">
        <v>1</v>
      </c>
      <c r="C724" t="str">
        <f t="shared" si="372"/>
        <v>14185</v>
      </c>
      <c r="D724" t="str">
        <f t="shared" si="373"/>
        <v>5620</v>
      </c>
      <c r="E724" t="str">
        <f t="shared" si="374"/>
        <v>094OMS</v>
      </c>
      <c r="F724" t="str">
        <f>""</f>
        <v/>
      </c>
      <c r="G724" t="str">
        <f>""</f>
        <v/>
      </c>
      <c r="H724" s="1">
        <v>38846</v>
      </c>
      <c r="I724" t="str">
        <f>"V96904"</f>
        <v>V96904</v>
      </c>
      <c r="J724" t="str">
        <f>""</f>
        <v/>
      </c>
      <c r="K724" t="str">
        <f t="shared" si="375"/>
        <v>INNI</v>
      </c>
      <c r="L724" t="s">
        <v>197</v>
      </c>
      <c r="M724" s="3">
        <v>965.9</v>
      </c>
    </row>
    <row r="725" spans="1:13" x14ac:dyDescent="0.25">
      <c r="A725" t="str">
        <f t="shared" si="371"/>
        <v>E351</v>
      </c>
      <c r="B725">
        <v>1</v>
      </c>
      <c r="C725" t="str">
        <f t="shared" si="372"/>
        <v>14185</v>
      </c>
      <c r="D725" t="str">
        <f t="shared" si="373"/>
        <v>5620</v>
      </c>
      <c r="E725" t="str">
        <f t="shared" si="374"/>
        <v>094OMS</v>
      </c>
      <c r="F725" t="str">
        <f>""</f>
        <v/>
      </c>
      <c r="G725" t="str">
        <f>""</f>
        <v/>
      </c>
      <c r="H725" s="1">
        <v>38877</v>
      </c>
      <c r="I725" t="str">
        <f>"V96906"</f>
        <v>V96906</v>
      </c>
      <c r="J725" t="str">
        <f>""</f>
        <v/>
      </c>
      <c r="K725" t="str">
        <f t="shared" si="375"/>
        <v>INNI</v>
      </c>
      <c r="L725" t="s">
        <v>197</v>
      </c>
      <c r="M725" s="3">
        <v>232.37</v>
      </c>
    </row>
    <row r="726" spans="1:13" x14ac:dyDescent="0.25">
      <c r="A726" t="str">
        <f t="shared" si="371"/>
        <v>E351</v>
      </c>
      <c r="B726">
        <v>1</v>
      </c>
      <c r="C726" t="str">
        <f t="shared" si="372"/>
        <v>14185</v>
      </c>
      <c r="D726" t="str">
        <f t="shared" si="373"/>
        <v>5620</v>
      </c>
      <c r="E726" t="str">
        <f t="shared" si="374"/>
        <v>094OMS</v>
      </c>
      <c r="F726" t="str">
        <f>""</f>
        <v/>
      </c>
      <c r="G726" t="str">
        <f>""</f>
        <v/>
      </c>
      <c r="H726" s="1">
        <v>38892</v>
      </c>
      <c r="I726" t="str">
        <f>"V96907"</f>
        <v>V96907</v>
      </c>
      <c r="J726" t="str">
        <f>""</f>
        <v/>
      </c>
      <c r="K726" t="str">
        <f t="shared" si="375"/>
        <v>INNI</v>
      </c>
      <c r="L726" t="s">
        <v>339</v>
      </c>
      <c r="M726" s="3">
        <v>434.11</v>
      </c>
    </row>
    <row r="727" spans="1:13" x14ac:dyDescent="0.25">
      <c r="A727" t="str">
        <f t="shared" si="371"/>
        <v>E351</v>
      </c>
      <c r="B727">
        <v>1</v>
      </c>
      <c r="C727" t="str">
        <f t="shared" si="372"/>
        <v>14185</v>
      </c>
      <c r="D727" t="str">
        <f t="shared" si="373"/>
        <v>5620</v>
      </c>
      <c r="E727" t="str">
        <f t="shared" si="374"/>
        <v>094OMS</v>
      </c>
      <c r="F727" t="str">
        <f>""</f>
        <v/>
      </c>
      <c r="G727" t="str">
        <f>""</f>
        <v/>
      </c>
      <c r="H727" s="1">
        <v>38895</v>
      </c>
      <c r="I727" t="str">
        <f>"V96908"</f>
        <v>V96908</v>
      </c>
      <c r="J727" t="str">
        <f>""</f>
        <v/>
      </c>
      <c r="K727" t="str">
        <f t="shared" si="375"/>
        <v>INNI</v>
      </c>
      <c r="L727" t="s">
        <v>340</v>
      </c>
      <c r="M727" s="3">
        <v>123</v>
      </c>
    </row>
    <row r="728" spans="1:13" x14ac:dyDescent="0.25">
      <c r="A728" t="str">
        <f t="shared" si="371"/>
        <v>E351</v>
      </c>
      <c r="B728">
        <v>1</v>
      </c>
      <c r="C728" t="str">
        <f>"43000"</f>
        <v>43000</v>
      </c>
      <c r="D728" t="str">
        <f>"5740"</f>
        <v>5740</v>
      </c>
      <c r="E728" t="str">
        <f>"850LOS"</f>
        <v>850LOS</v>
      </c>
      <c r="F728" t="str">
        <f>""</f>
        <v/>
      </c>
      <c r="G728" t="str">
        <f>""</f>
        <v/>
      </c>
      <c r="H728" s="1">
        <v>38726</v>
      </c>
      <c r="I728" t="str">
        <f>"V71627"</f>
        <v>V71627</v>
      </c>
      <c r="J728" t="str">
        <f>""</f>
        <v/>
      </c>
      <c r="K728" t="str">
        <f t="shared" si="375"/>
        <v>INNI</v>
      </c>
      <c r="L728" t="s">
        <v>284</v>
      </c>
      <c r="M728" s="3">
        <v>207.05</v>
      </c>
    </row>
    <row r="729" spans="1:13" x14ac:dyDescent="0.25">
      <c r="A729" t="str">
        <f t="shared" ref="A729:A736" si="376">"E353"</f>
        <v>E353</v>
      </c>
      <c r="B729">
        <v>1</v>
      </c>
      <c r="C729" t="str">
        <f t="shared" ref="C729:C735" si="377">"14185"</f>
        <v>14185</v>
      </c>
      <c r="D729" t="str">
        <f t="shared" ref="D729:D735" si="378">"5620"</f>
        <v>5620</v>
      </c>
      <c r="E729" t="str">
        <f t="shared" ref="E729:E735" si="379">"094OMS"</f>
        <v>094OMS</v>
      </c>
      <c r="F729" t="str">
        <f>""</f>
        <v/>
      </c>
      <c r="G729" t="str">
        <f>""</f>
        <v/>
      </c>
      <c r="H729" s="1">
        <v>38638</v>
      </c>
      <c r="I729" t="str">
        <f>"V80629"</f>
        <v>V80629</v>
      </c>
      <c r="J729" t="str">
        <f>""</f>
        <v/>
      </c>
      <c r="K729" t="str">
        <f t="shared" si="375"/>
        <v>INNI</v>
      </c>
      <c r="L729" t="s">
        <v>333</v>
      </c>
      <c r="M729" s="3">
        <v>124.41</v>
      </c>
    </row>
    <row r="730" spans="1:13" x14ac:dyDescent="0.25">
      <c r="A730" t="str">
        <f t="shared" si="376"/>
        <v>E353</v>
      </c>
      <c r="B730">
        <v>1</v>
      </c>
      <c r="C730" t="str">
        <f t="shared" si="377"/>
        <v>14185</v>
      </c>
      <c r="D730" t="str">
        <f t="shared" si="378"/>
        <v>5620</v>
      </c>
      <c r="E730" t="str">
        <f t="shared" si="379"/>
        <v>094OMS</v>
      </c>
      <c r="F730" t="str">
        <f>""</f>
        <v/>
      </c>
      <c r="G730" t="str">
        <f>""</f>
        <v/>
      </c>
      <c r="H730" s="1">
        <v>38659</v>
      </c>
      <c r="I730" t="str">
        <f>"V80631"</f>
        <v>V80631</v>
      </c>
      <c r="J730" t="str">
        <f>""</f>
        <v/>
      </c>
      <c r="K730" t="str">
        <f t="shared" si="375"/>
        <v>INNI</v>
      </c>
      <c r="L730" t="s">
        <v>333</v>
      </c>
      <c r="M730" s="3">
        <v>128.52000000000001</v>
      </c>
    </row>
    <row r="731" spans="1:13" x14ac:dyDescent="0.25">
      <c r="A731" t="str">
        <f t="shared" si="376"/>
        <v>E353</v>
      </c>
      <c r="B731">
        <v>1</v>
      </c>
      <c r="C731" t="str">
        <f t="shared" si="377"/>
        <v>14185</v>
      </c>
      <c r="D731" t="str">
        <f t="shared" si="378"/>
        <v>5620</v>
      </c>
      <c r="E731" t="str">
        <f t="shared" si="379"/>
        <v>094OMS</v>
      </c>
      <c r="F731" t="str">
        <f>""</f>
        <v/>
      </c>
      <c r="G731" t="str">
        <f>""</f>
        <v/>
      </c>
      <c r="H731" s="1">
        <v>38684</v>
      </c>
      <c r="I731" t="str">
        <f>"V80637"</f>
        <v>V80637</v>
      </c>
      <c r="J731" t="str">
        <f>""</f>
        <v/>
      </c>
      <c r="K731" t="str">
        <f t="shared" si="375"/>
        <v>INNI</v>
      </c>
      <c r="L731" t="s">
        <v>337</v>
      </c>
      <c r="M731" s="3">
        <v>145.5</v>
      </c>
    </row>
    <row r="732" spans="1:13" x14ac:dyDescent="0.25">
      <c r="A732" t="str">
        <f t="shared" si="376"/>
        <v>E353</v>
      </c>
      <c r="B732">
        <v>1</v>
      </c>
      <c r="C732" t="str">
        <f t="shared" si="377"/>
        <v>14185</v>
      </c>
      <c r="D732" t="str">
        <f t="shared" si="378"/>
        <v>5620</v>
      </c>
      <c r="E732" t="str">
        <f t="shared" si="379"/>
        <v>094OMS</v>
      </c>
      <c r="F732" t="str">
        <f>""</f>
        <v/>
      </c>
      <c r="G732" t="str">
        <f>""</f>
        <v/>
      </c>
      <c r="H732" s="1">
        <v>38761</v>
      </c>
      <c r="I732" t="str">
        <f>"VM184322"</f>
        <v>VM184322</v>
      </c>
      <c r="J732" t="str">
        <f>""</f>
        <v/>
      </c>
      <c r="K732" t="str">
        <f t="shared" si="375"/>
        <v>INNI</v>
      </c>
      <c r="L732" t="s">
        <v>333</v>
      </c>
      <c r="M732" s="3">
        <v>119.26</v>
      </c>
    </row>
    <row r="733" spans="1:13" x14ac:dyDescent="0.25">
      <c r="A733" t="str">
        <f t="shared" si="376"/>
        <v>E353</v>
      </c>
      <c r="B733">
        <v>1</v>
      </c>
      <c r="C733" t="str">
        <f t="shared" si="377"/>
        <v>14185</v>
      </c>
      <c r="D733" t="str">
        <f t="shared" si="378"/>
        <v>5620</v>
      </c>
      <c r="E733" t="str">
        <f t="shared" si="379"/>
        <v>094OMS</v>
      </c>
      <c r="F733" t="str">
        <f>""</f>
        <v/>
      </c>
      <c r="G733" t="str">
        <f>""</f>
        <v/>
      </c>
      <c r="H733" s="1">
        <v>38827</v>
      </c>
      <c r="I733" t="str">
        <f>"V96903"</f>
        <v>V96903</v>
      </c>
      <c r="J733" t="str">
        <f>""</f>
        <v/>
      </c>
      <c r="K733" t="str">
        <f t="shared" si="375"/>
        <v>INNI</v>
      </c>
      <c r="L733" t="s">
        <v>333</v>
      </c>
      <c r="M733" s="3">
        <v>169.99</v>
      </c>
    </row>
    <row r="734" spans="1:13" x14ac:dyDescent="0.25">
      <c r="A734" t="str">
        <f t="shared" si="376"/>
        <v>E353</v>
      </c>
      <c r="B734">
        <v>1</v>
      </c>
      <c r="C734" t="str">
        <f t="shared" si="377"/>
        <v>14185</v>
      </c>
      <c r="D734" t="str">
        <f t="shared" si="378"/>
        <v>5620</v>
      </c>
      <c r="E734" t="str">
        <f t="shared" si="379"/>
        <v>094OMS</v>
      </c>
      <c r="F734" t="str">
        <f>""</f>
        <v/>
      </c>
      <c r="G734" t="str">
        <f>""</f>
        <v/>
      </c>
      <c r="H734" s="1">
        <v>38892</v>
      </c>
      <c r="I734" t="str">
        <f>"V96907"</f>
        <v>V96907</v>
      </c>
      <c r="J734" t="str">
        <f>""</f>
        <v/>
      </c>
      <c r="K734" t="str">
        <f t="shared" si="375"/>
        <v>INNI</v>
      </c>
      <c r="L734" t="s">
        <v>339</v>
      </c>
      <c r="M734" s="3">
        <v>123.26</v>
      </c>
    </row>
    <row r="735" spans="1:13" x14ac:dyDescent="0.25">
      <c r="A735" t="str">
        <f t="shared" si="376"/>
        <v>E353</v>
      </c>
      <c r="B735">
        <v>1</v>
      </c>
      <c r="C735" t="str">
        <f t="shared" si="377"/>
        <v>14185</v>
      </c>
      <c r="D735" t="str">
        <f t="shared" si="378"/>
        <v>5620</v>
      </c>
      <c r="E735" t="str">
        <f t="shared" si="379"/>
        <v>094OMS</v>
      </c>
      <c r="F735" t="str">
        <f>""</f>
        <v/>
      </c>
      <c r="G735" t="str">
        <f>""</f>
        <v/>
      </c>
      <c r="H735" s="1">
        <v>38895</v>
      </c>
      <c r="I735" t="str">
        <f>"V96908"</f>
        <v>V96908</v>
      </c>
      <c r="J735" t="str">
        <f>""</f>
        <v/>
      </c>
      <c r="K735" t="str">
        <f t="shared" si="375"/>
        <v>INNI</v>
      </c>
      <c r="L735" t="s">
        <v>340</v>
      </c>
      <c r="M735" s="3">
        <v>111.25</v>
      </c>
    </row>
    <row r="736" spans="1:13" x14ac:dyDescent="0.25">
      <c r="A736" t="str">
        <f t="shared" si="376"/>
        <v>E353</v>
      </c>
      <c r="B736">
        <v>1</v>
      </c>
      <c r="C736" t="str">
        <f t="shared" ref="C736" si="380">"43000"</f>
        <v>43000</v>
      </c>
      <c r="D736" t="str">
        <f t="shared" ref="D736" si="381">"5740"</f>
        <v>5740</v>
      </c>
      <c r="E736" t="str">
        <f t="shared" ref="E736" si="382">"850LOS"</f>
        <v>850LOS</v>
      </c>
      <c r="F736" t="str">
        <f>""</f>
        <v/>
      </c>
      <c r="G736" t="str">
        <f>""</f>
        <v/>
      </c>
      <c r="H736" s="1">
        <v>38687</v>
      </c>
      <c r="I736" t="str">
        <f>"V80635"</f>
        <v>V80635</v>
      </c>
      <c r="J736" t="str">
        <f>""</f>
        <v/>
      </c>
      <c r="K736" t="str">
        <f>"INNI"</f>
        <v>INNI</v>
      </c>
      <c r="L736" t="s">
        <v>343</v>
      </c>
      <c r="M736" s="3">
        <v>111.84</v>
      </c>
    </row>
    <row r="737" spans="1:13" x14ac:dyDescent="0.25">
      <c r="A737" t="str">
        <f t="shared" ref="A737:A740" si="383">"E354"</f>
        <v>E354</v>
      </c>
      <c r="B737">
        <v>1</v>
      </c>
      <c r="C737" t="str">
        <f t="shared" ref="C737" si="384">"14185"</f>
        <v>14185</v>
      </c>
      <c r="D737" t="str">
        <f t="shared" ref="D737" si="385">"5620"</f>
        <v>5620</v>
      </c>
      <c r="E737" t="str">
        <f t="shared" ref="E737" si="386">"094OMS"</f>
        <v>094OMS</v>
      </c>
      <c r="F737" t="str">
        <f>""</f>
        <v/>
      </c>
      <c r="G737" t="str">
        <f>""</f>
        <v/>
      </c>
      <c r="H737" s="1">
        <v>38859</v>
      </c>
      <c r="I737" t="str">
        <f>"V90255"</f>
        <v>V90255</v>
      </c>
      <c r="J737" t="str">
        <f>""</f>
        <v/>
      </c>
      <c r="K737" t="str">
        <f t="shared" ref="K737:K739" si="387">"INNI"</f>
        <v>INNI</v>
      </c>
      <c r="L737" t="s">
        <v>344</v>
      </c>
      <c r="M737" s="3">
        <v>627.73</v>
      </c>
    </row>
    <row r="738" spans="1:13" x14ac:dyDescent="0.25">
      <c r="A738" t="str">
        <f t="shared" si="383"/>
        <v>E354</v>
      </c>
      <c r="B738">
        <v>1</v>
      </c>
      <c r="C738" t="str">
        <f>"43000"</f>
        <v>43000</v>
      </c>
      <c r="D738" t="str">
        <f t="shared" ref="D738:D740" si="388">"5740"</f>
        <v>5740</v>
      </c>
      <c r="E738" t="str">
        <f>"850LOS"</f>
        <v>850LOS</v>
      </c>
      <c r="F738" t="str">
        <f>""</f>
        <v/>
      </c>
      <c r="G738" t="str">
        <f>""</f>
        <v/>
      </c>
      <c r="H738" s="1">
        <v>38687</v>
      </c>
      <c r="I738" t="str">
        <f>"V80635"</f>
        <v>V80635</v>
      </c>
      <c r="J738" t="str">
        <f>""</f>
        <v/>
      </c>
      <c r="K738" t="str">
        <f t="shared" si="387"/>
        <v>INNI</v>
      </c>
      <c r="L738" t="s">
        <v>343</v>
      </c>
      <c r="M738" s="3">
        <v>208.22</v>
      </c>
    </row>
    <row r="739" spans="1:13" x14ac:dyDescent="0.25">
      <c r="A739" t="str">
        <f t="shared" si="383"/>
        <v>E354</v>
      </c>
      <c r="B739">
        <v>1</v>
      </c>
      <c r="C739" t="str">
        <f>"43000"</f>
        <v>43000</v>
      </c>
      <c r="D739" t="str">
        <f t="shared" si="388"/>
        <v>5740</v>
      </c>
      <c r="E739" t="str">
        <f>"850PKE"</f>
        <v>850PKE</v>
      </c>
      <c r="F739" t="str">
        <f>""</f>
        <v/>
      </c>
      <c r="G739" t="str">
        <f>""</f>
        <v/>
      </c>
      <c r="H739" s="1">
        <v>38740</v>
      </c>
      <c r="I739" t="str">
        <f>"Q20429"</f>
        <v>Q20429</v>
      </c>
      <c r="J739" t="str">
        <f>""</f>
        <v/>
      </c>
      <c r="K739" t="str">
        <f t="shared" si="387"/>
        <v>INNI</v>
      </c>
      <c r="L739" t="s">
        <v>342</v>
      </c>
      <c r="M739" s="3">
        <v>118</v>
      </c>
    </row>
    <row r="740" spans="1:13" x14ac:dyDescent="0.25">
      <c r="A740" t="str">
        <f t="shared" si="383"/>
        <v>E354</v>
      </c>
      <c r="B740">
        <v>1</v>
      </c>
      <c r="C740" t="str">
        <f>"43000"</f>
        <v>43000</v>
      </c>
      <c r="D740" t="str">
        <f t="shared" si="388"/>
        <v>5740</v>
      </c>
      <c r="E740" t="str">
        <f>"850PKE"</f>
        <v>850PKE</v>
      </c>
      <c r="F740" t="str">
        <f>""</f>
        <v/>
      </c>
      <c r="G740" t="str">
        <f>""</f>
        <v/>
      </c>
      <c r="H740" s="1">
        <v>38898</v>
      </c>
      <c r="I740" t="str">
        <f>"G0614391"</f>
        <v>G0614391</v>
      </c>
      <c r="J740" t="str">
        <f>"V1632"</f>
        <v>V1632</v>
      </c>
      <c r="K740" t="str">
        <f>"J079"</f>
        <v>J079</v>
      </c>
      <c r="L740" t="s">
        <v>285</v>
      </c>
      <c r="M740" s="3">
        <v>115.9</v>
      </c>
    </row>
    <row r="741" spans="1:13" x14ac:dyDescent="0.25">
      <c r="A741" t="str">
        <f>"E355"</f>
        <v>E355</v>
      </c>
      <c r="B741">
        <v>1</v>
      </c>
      <c r="C741" t="str">
        <f>"14185"</f>
        <v>14185</v>
      </c>
      <c r="D741" t="str">
        <f>"5620"</f>
        <v>5620</v>
      </c>
      <c r="E741" t="str">
        <f>"094OMS"</f>
        <v>094OMS</v>
      </c>
      <c r="F741" t="str">
        <f>""</f>
        <v/>
      </c>
      <c r="G741" t="str">
        <f>""</f>
        <v/>
      </c>
      <c r="H741" s="1">
        <v>38618</v>
      </c>
      <c r="I741" t="str">
        <f>"V80630"</f>
        <v>V80630</v>
      </c>
      <c r="J741" t="str">
        <f>""</f>
        <v/>
      </c>
      <c r="K741" t="str">
        <f t="shared" ref="K741:K752" si="389">"INNI"</f>
        <v>INNI</v>
      </c>
      <c r="L741" t="s">
        <v>197</v>
      </c>
      <c r="M741" s="3">
        <v>1568.65</v>
      </c>
    </row>
    <row r="742" spans="1:13" x14ac:dyDescent="0.25">
      <c r="A742" t="str">
        <f t="shared" ref="A742:A749" si="390">"E370"</f>
        <v>E370</v>
      </c>
      <c r="B742">
        <v>1</v>
      </c>
      <c r="C742" t="str">
        <f>"14185"</f>
        <v>14185</v>
      </c>
      <c r="D742" t="str">
        <f>"5620"</f>
        <v>5620</v>
      </c>
      <c r="E742" t="str">
        <f>"094OMS"</f>
        <v>094OMS</v>
      </c>
      <c r="F742" t="str">
        <f>""</f>
        <v/>
      </c>
      <c r="G742" t="str">
        <f>""</f>
        <v/>
      </c>
      <c r="H742" s="1">
        <v>38803</v>
      </c>
      <c r="I742" t="str">
        <f>"V90251"</f>
        <v>V90251</v>
      </c>
      <c r="J742" t="str">
        <f>""</f>
        <v/>
      </c>
      <c r="K742" t="str">
        <f t="shared" si="389"/>
        <v>INNI</v>
      </c>
      <c r="L742" t="s">
        <v>337</v>
      </c>
      <c r="M742" s="3">
        <v>473.77</v>
      </c>
    </row>
    <row r="743" spans="1:13" x14ac:dyDescent="0.25">
      <c r="A743" t="str">
        <f t="shared" si="390"/>
        <v>E370</v>
      </c>
      <c r="B743">
        <v>1</v>
      </c>
      <c r="C743" t="str">
        <f>"14185"</f>
        <v>14185</v>
      </c>
      <c r="D743" t="str">
        <f>"5620"</f>
        <v>5620</v>
      </c>
      <c r="E743" t="str">
        <f>"094OMS"</f>
        <v>094OMS</v>
      </c>
      <c r="F743" t="str">
        <f>""</f>
        <v/>
      </c>
      <c r="G743" t="str">
        <f>""</f>
        <v/>
      </c>
      <c r="H743" s="1">
        <v>38859</v>
      </c>
      <c r="I743" t="str">
        <f>"V90255"</f>
        <v>V90255</v>
      </c>
      <c r="J743" t="str">
        <f>""</f>
        <v/>
      </c>
      <c r="K743" t="str">
        <f t="shared" si="389"/>
        <v>INNI</v>
      </c>
      <c r="L743" t="s">
        <v>344</v>
      </c>
      <c r="M743" s="3">
        <v>763.94</v>
      </c>
    </row>
    <row r="744" spans="1:13" x14ac:dyDescent="0.25">
      <c r="A744" t="str">
        <f t="shared" si="390"/>
        <v>E370</v>
      </c>
      <c r="B744">
        <v>1</v>
      </c>
      <c r="C744" t="str">
        <f>"43000"</f>
        <v>43000</v>
      </c>
      <c r="D744" t="str">
        <f t="shared" ref="D744:D749" si="391">"5740"</f>
        <v>5740</v>
      </c>
      <c r="E744" t="str">
        <f>"850LOS"</f>
        <v>850LOS</v>
      </c>
      <c r="F744" t="str">
        <f>""</f>
        <v/>
      </c>
      <c r="G744" t="str">
        <f>""</f>
        <v/>
      </c>
      <c r="H744" s="1">
        <v>38687</v>
      </c>
      <c r="I744" t="str">
        <f>"V80635"</f>
        <v>V80635</v>
      </c>
      <c r="J744" t="str">
        <f>""</f>
        <v/>
      </c>
      <c r="K744" t="str">
        <f t="shared" si="389"/>
        <v>INNI</v>
      </c>
      <c r="L744" t="s">
        <v>343</v>
      </c>
      <c r="M744" s="3">
        <v>534.4</v>
      </c>
    </row>
    <row r="745" spans="1:13" x14ac:dyDescent="0.25">
      <c r="A745" t="str">
        <f t="shared" si="390"/>
        <v>E370</v>
      </c>
      <c r="B745">
        <v>1</v>
      </c>
      <c r="C745" t="str">
        <f>"43000"</f>
        <v>43000</v>
      </c>
      <c r="D745" t="str">
        <f t="shared" si="391"/>
        <v>5740</v>
      </c>
      <c r="E745" t="str">
        <f>"850LOS"</f>
        <v>850LOS</v>
      </c>
      <c r="F745" t="str">
        <f>""</f>
        <v/>
      </c>
      <c r="G745" t="str">
        <f>""</f>
        <v/>
      </c>
      <c r="H745" s="1">
        <v>38695</v>
      </c>
      <c r="I745" t="str">
        <f>"V71625"</f>
        <v>V71625</v>
      </c>
      <c r="J745" t="str">
        <f>""</f>
        <v/>
      </c>
      <c r="K745" t="str">
        <f t="shared" si="389"/>
        <v>INNI</v>
      </c>
      <c r="L745" t="s">
        <v>284</v>
      </c>
      <c r="M745" s="3">
        <v>815</v>
      </c>
    </row>
    <row r="746" spans="1:13" x14ac:dyDescent="0.25">
      <c r="A746" t="str">
        <f t="shared" si="390"/>
        <v>E370</v>
      </c>
      <c r="B746">
        <v>1</v>
      </c>
      <c r="C746" t="str">
        <f>"43000"</f>
        <v>43000</v>
      </c>
      <c r="D746" t="str">
        <f t="shared" si="391"/>
        <v>5740</v>
      </c>
      <c r="E746" t="str">
        <f>"850PKE"</f>
        <v>850PKE</v>
      </c>
      <c r="F746" t="str">
        <f>""</f>
        <v/>
      </c>
      <c r="G746" t="str">
        <f>""</f>
        <v/>
      </c>
      <c r="H746" s="1">
        <v>38778</v>
      </c>
      <c r="I746" t="str">
        <f>"V71631"</f>
        <v>V71631</v>
      </c>
      <c r="J746" t="str">
        <f>""</f>
        <v/>
      </c>
      <c r="K746" t="str">
        <f t="shared" si="389"/>
        <v>INNI</v>
      </c>
      <c r="L746" t="s">
        <v>342</v>
      </c>
      <c r="M746" s="3">
        <v>291</v>
      </c>
    </row>
    <row r="747" spans="1:13" x14ac:dyDescent="0.25">
      <c r="A747" t="str">
        <f t="shared" si="390"/>
        <v>E370</v>
      </c>
      <c r="B747">
        <v>1</v>
      </c>
      <c r="C747" t="str">
        <f>"43000"</f>
        <v>43000</v>
      </c>
      <c r="D747" t="str">
        <f t="shared" si="391"/>
        <v>5740</v>
      </c>
      <c r="E747" t="str">
        <f>"850PKE"</f>
        <v>850PKE</v>
      </c>
      <c r="F747" t="str">
        <f>""</f>
        <v/>
      </c>
      <c r="G747" t="str">
        <f>""</f>
        <v/>
      </c>
      <c r="H747" s="1">
        <v>38778</v>
      </c>
      <c r="I747" t="str">
        <f>"V71632"</f>
        <v>V71632</v>
      </c>
      <c r="J747" t="str">
        <f>""</f>
        <v/>
      </c>
      <c r="K747" t="str">
        <f t="shared" si="389"/>
        <v>INNI</v>
      </c>
      <c r="L747" t="s">
        <v>284</v>
      </c>
      <c r="M747" s="3">
        <v>266.26</v>
      </c>
    </row>
    <row r="748" spans="1:13" x14ac:dyDescent="0.25">
      <c r="A748" t="str">
        <f t="shared" si="390"/>
        <v>E370</v>
      </c>
      <c r="B748">
        <v>1</v>
      </c>
      <c r="C748" t="str">
        <f>"43000"</f>
        <v>43000</v>
      </c>
      <c r="D748" t="str">
        <f t="shared" si="391"/>
        <v>5740</v>
      </c>
      <c r="E748" t="str">
        <f>"850PKE"</f>
        <v>850PKE</v>
      </c>
      <c r="F748" t="str">
        <f>""</f>
        <v/>
      </c>
      <c r="G748" t="str">
        <f>""</f>
        <v/>
      </c>
      <c r="H748" s="1">
        <v>38778</v>
      </c>
      <c r="I748" t="str">
        <f>"V96901"</f>
        <v>V96901</v>
      </c>
      <c r="J748" t="str">
        <f>""</f>
        <v/>
      </c>
      <c r="K748" t="str">
        <f t="shared" si="389"/>
        <v>INNI</v>
      </c>
      <c r="L748" t="s">
        <v>346</v>
      </c>
      <c r="M748" s="3">
        <v>120</v>
      </c>
    </row>
    <row r="749" spans="1:13" x14ac:dyDescent="0.25">
      <c r="A749" t="str">
        <f t="shared" si="390"/>
        <v>E370</v>
      </c>
      <c r="B749">
        <v>1</v>
      </c>
      <c r="C749" t="str">
        <f>"43001"</f>
        <v>43001</v>
      </c>
      <c r="D749" t="str">
        <f t="shared" si="391"/>
        <v>5740</v>
      </c>
      <c r="E749" t="str">
        <f>"850LOS"</f>
        <v>850LOS</v>
      </c>
      <c r="F749" t="str">
        <f>""</f>
        <v/>
      </c>
      <c r="G749" t="str">
        <f>""</f>
        <v/>
      </c>
      <c r="H749" s="1">
        <v>38874</v>
      </c>
      <c r="I749" t="str">
        <f>"V96905"</f>
        <v>V96905</v>
      </c>
      <c r="J749" t="str">
        <f>""</f>
        <v/>
      </c>
      <c r="K749" t="str">
        <f t="shared" si="389"/>
        <v>INNI</v>
      </c>
      <c r="L749" t="s">
        <v>345</v>
      </c>
      <c r="M749" s="3">
        <v>462.03</v>
      </c>
    </row>
    <row r="750" spans="1:13" x14ac:dyDescent="0.25">
      <c r="A750" t="str">
        <f>"E374"</f>
        <v>E374</v>
      </c>
      <c r="B750">
        <v>1</v>
      </c>
      <c r="C750" t="str">
        <f>"14185"</f>
        <v>14185</v>
      </c>
      <c r="D750" t="str">
        <f>"5620"</f>
        <v>5620</v>
      </c>
      <c r="E750" t="str">
        <f>"094OMS"</f>
        <v>094OMS</v>
      </c>
      <c r="F750" t="str">
        <f>""</f>
        <v/>
      </c>
      <c r="G750" t="str">
        <f>""</f>
        <v/>
      </c>
      <c r="H750" s="1">
        <v>38803</v>
      </c>
      <c r="I750" t="str">
        <f>"V90251"</f>
        <v>V90251</v>
      </c>
      <c r="J750" t="str">
        <f>""</f>
        <v/>
      </c>
      <c r="K750" t="str">
        <f t="shared" si="389"/>
        <v>INNI</v>
      </c>
      <c r="L750" t="s">
        <v>337</v>
      </c>
      <c r="M750" s="3">
        <v>403.7</v>
      </c>
    </row>
    <row r="751" spans="1:13" x14ac:dyDescent="0.25">
      <c r="A751" t="str">
        <f>"E374"</f>
        <v>E374</v>
      </c>
      <c r="B751">
        <v>1</v>
      </c>
      <c r="C751" t="str">
        <f>"43000"</f>
        <v>43000</v>
      </c>
      <c r="D751" t="str">
        <f>"5740"</f>
        <v>5740</v>
      </c>
      <c r="E751" t="str">
        <f>"850LOS"</f>
        <v>850LOS</v>
      </c>
      <c r="F751" t="str">
        <f>""</f>
        <v/>
      </c>
      <c r="G751" t="str">
        <f>""</f>
        <v/>
      </c>
      <c r="H751" s="1">
        <v>38673</v>
      </c>
      <c r="I751" t="str">
        <f>"Q20426"</f>
        <v>Q20426</v>
      </c>
      <c r="J751" t="str">
        <f>""</f>
        <v/>
      </c>
      <c r="K751" t="str">
        <f t="shared" si="389"/>
        <v>INNI</v>
      </c>
      <c r="L751" t="s">
        <v>343</v>
      </c>
      <c r="M751" s="3">
        <v>203.4</v>
      </c>
    </row>
    <row r="752" spans="1:13" x14ac:dyDescent="0.25">
      <c r="A752" t="str">
        <f>"E374"</f>
        <v>E374</v>
      </c>
      <c r="B752">
        <v>1</v>
      </c>
      <c r="C752" t="str">
        <f>"43000"</f>
        <v>43000</v>
      </c>
      <c r="D752" t="str">
        <f>"5740"</f>
        <v>5740</v>
      </c>
      <c r="E752" t="str">
        <f>"850LOS"</f>
        <v>850LOS</v>
      </c>
      <c r="F752" t="str">
        <f>""</f>
        <v/>
      </c>
      <c r="G752" t="str">
        <f>""</f>
        <v/>
      </c>
      <c r="H752" s="1">
        <v>38677</v>
      </c>
      <c r="I752" t="str">
        <f>"Q20421"</f>
        <v>Q20421</v>
      </c>
      <c r="J752" t="str">
        <f>""</f>
        <v/>
      </c>
      <c r="K752" t="str">
        <f t="shared" si="389"/>
        <v>INNI</v>
      </c>
      <c r="L752" t="s">
        <v>284</v>
      </c>
      <c r="M752" s="3">
        <v>474.8</v>
      </c>
    </row>
    <row r="753" spans="1:13" x14ac:dyDescent="0.25">
      <c r="A753" t="str">
        <f>"E378"</f>
        <v>E378</v>
      </c>
      <c r="B753">
        <v>1</v>
      </c>
      <c r="C753" t="str">
        <f>"43000"</f>
        <v>43000</v>
      </c>
      <c r="D753" t="str">
        <f>"5740"</f>
        <v>5740</v>
      </c>
      <c r="E753" t="str">
        <f>"850PKE"</f>
        <v>850PKE</v>
      </c>
      <c r="F753" t="str">
        <f>""</f>
        <v/>
      </c>
      <c r="G753" t="str">
        <f>""</f>
        <v/>
      </c>
      <c r="H753" s="1">
        <v>38898</v>
      </c>
      <c r="I753" t="str">
        <f>"MPG00311"</f>
        <v>MPG00311</v>
      </c>
      <c r="J753" t="str">
        <f>"15010E"</f>
        <v>15010E</v>
      </c>
      <c r="K753" t="str">
        <f>"AS89"</f>
        <v>AS89</v>
      </c>
      <c r="L753" t="s">
        <v>347</v>
      </c>
      <c r="M753" s="3">
        <v>2750</v>
      </c>
    </row>
    <row r="754" spans="1:13" x14ac:dyDescent="0.25">
      <c r="A754" t="str">
        <f t="shared" ref="A754:A755" si="392">"E402"</f>
        <v>E402</v>
      </c>
      <c r="B754">
        <v>1</v>
      </c>
      <c r="C754" t="str">
        <f t="shared" ref="C754:C755" si="393">"14185"</f>
        <v>14185</v>
      </c>
      <c r="D754" t="str">
        <f t="shared" ref="D754:D755" si="394">"5620"</f>
        <v>5620</v>
      </c>
      <c r="E754" t="str">
        <f t="shared" ref="E754:E755" si="395">"094OMS"</f>
        <v>094OMS</v>
      </c>
      <c r="F754" t="str">
        <f>""</f>
        <v/>
      </c>
      <c r="G754" t="str">
        <f>""</f>
        <v/>
      </c>
      <c r="H754" s="1">
        <v>38821</v>
      </c>
      <c r="I754" t="str">
        <f>"40015100"</f>
        <v>40015100</v>
      </c>
      <c r="J754" t="str">
        <f>"F076391"</f>
        <v>F076391</v>
      </c>
      <c r="K754" t="str">
        <f>"INEI"</f>
        <v>INEI</v>
      </c>
      <c r="L754" t="s">
        <v>348</v>
      </c>
      <c r="M754" s="3">
        <v>186.45</v>
      </c>
    </row>
    <row r="755" spans="1:13" x14ac:dyDescent="0.25">
      <c r="A755" t="str">
        <f t="shared" si="392"/>
        <v>E402</v>
      </c>
      <c r="B755">
        <v>1</v>
      </c>
      <c r="C755" t="str">
        <f t="shared" si="393"/>
        <v>14185</v>
      </c>
      <c r="D755" t="str">
        <f t="shared" si="394"/>
        <v>5620</v>
      </c>
      <c r="E755" t="str">
        <f t="shared" si="395"/>
        <v>094OMS</v>
      </c>
      <c r="F755" t="str">
        <f>""</f>
        <v/>
      </c>
      <c r="G755" t="str">
        <f>""</f>
        <v/>
      </c>
      <c r="H755" s="1">
        <v>38889</v>
      </c>
      <c r="I755" t="str">
        <f>"0729001M"</f>
        <v>0729001M</v>
      </c>
      <c r="J755" t="str">
        <f>"F076393"</f>
        <v>F076393</v>
      </c>
      <c r="K755" t="str">
        <f>"INEI"</f>
        <v>INEI</v>
      </c>
      <c r="L755" t="s">
        <v>349</v>
      </c>
      <c r="M755" s="3">
        <v>255.82</v>
      </c>
    </row>
    <row r="756" spans="1:13" x14ac:dyDescent="0.25">
      <c r="A756" t="str">
        <f t="shared" ref="A756:A774" si="396">"E404"</f>
        <v>E404</v>
      </c>
      <c r="B756">
        <v>1</v>
      </c>
      <c r="C756" t="str">
        <f t="shared" ref="C756:C761" si="397">"14185"</f>
        <v>14185</v>
      </c>
      <c r="D756" t="str">
        <f t="shared" ref="D756:D761" si="398">"5620"</f>
        <v>5620</v>
      </c>
      <c r="E756" t="str">
        <f t="shared" ref="E756:E761" si="399">"094OMS"</f>
        <v>094OMS</v>
      </c>
      <c r="F756" t="str">
        <f>""</f>
        <v/>
      </c>
      <c r="G756" t="str">
        <f>""</f>
        <v/>
      </c>
      <c r="H756" s="1">
        <v>38614</v>
      </c>
      <c r="I756" t="str">
        <f>"PCD00197"</f>
        <v>PCD00197</v>
      </c>
      <c r="J756" t="str">
        <f>"31492"</f>
        <v>31492</v>
      </c>
      <c r="K756" t="str">
        <f>"AS89"</f>
        <v>AS89</v>
      </c>
      <c r="L756" t="s">
        <v>350</v>
      </c>
      <c r="M756" s="3">
        <v>247.5</v>
      </c>
    </row>
    <row r="757" spans="1:13" x14ac:dyDescent="0.25">
      <c r="A757" t="str">
        <f t="shared" si="396"/>
        <v>E404</v>
      </c>
      <c r="B757">
        <v>1</v>
      </c>
      <c r="C757" t="str">
        <f t="shared" si="397"/>
        <v>14185</v>
      </c>
      <c r="D757" t="str">
        <f t="shared" si="398"/>
        <v>5620</v>
      </c>
      <c r="E757" t="str">
        <f t="shared" si="399"/>
        <v>094OMS</v>
      </c>
      <c r="F757" t="str">
        <f>""</f>
        <v/>
      </c>
      <c r="G757" t="str">
        <f>""</f>
        <v/>
      </c>
      <c r="H757" s="1">
        <v>38663</v>
      </c>
      <c r="I757" t="str">
        <f>"PCD00206"</f>
        <v>PCD00206</v>
      </c>
      <c r="J757" t="str">
        <f>"32663"</f>
        <v>32663</v>
      </c>
      <c r="K757" t="str">
        <f>"AS89"</f>
        <v>AS89</v>
      </c>
      <c r="L757" t="s">
        <v>351</v>
      </c>
      <c r="M757" s="3">
        <v>247.2</v>
      </c>
    </row>
    <row r="758" spans="1:13" x14ac:dyDescent="0.25">
      <c r="A758" t="str">
        <f t="shared" si="396"/>
        <v>E404</v>
      </c>
      <c r="B758">
        <v>1</v>
      </c>
      <c r="C758" t="str">
        <f t="shared" si="397"/>
        <v>14185</v>
      </c>
      <c r="D758" t="str">
        <f t="shared" si="398"/>
        <v>5620</v>
      </c>
      <c r="E758" t="str">
        <f t="shared" si="399"/>
        <v>094OMS</v>
      </c>
      <c r="F758" t="str">
        <f>""</f>
        <v/>
      </c>
      <c r="G758" t="str">
        <f>""</f>
        <v/>
      </c>
      <c r="H758" s="1">
        <v>38705</v>
      </c>
      <c r="I758" t="str">
        <f>"PCD00211"</f>
        <v>PCD00211</v>
      </c>
      <c r="J758" t="str">
        <f>"34328"</f>
        <v>34328</v>
      </c>
      <c r="K758" t="str">
        <f>"AS89"</f>
        <v>AS89</v>
      </c>
      <c r="L758" t="s">
        <v>352</v>
      </c>
      <c r="M758" s="3">
        <v>352.51</v>
      </c>
    </row>
    <row r="759" spans="1:13" x14ac:dyDescent="0.25">
      <c r="A759" t="str">
        <f t="shared" si="396"/>
        <v>E404</v>
      </c>
      <c r="B759">
        <v>1</v>
      </c>
      <c r="C759" t="str">
        <f t="shared" si="397"/>
        <v>14185</v>
      </c>
      <c r="D759" t="str">
        <f t="shared" si="398"/>
        <v>5620</v>
      </c>
      <c r="E759" t="str">
        <f t="shared" si="399"/>
        <v>094OMS</v>
      </c>
      <c r="F759" t="str">
        <f>""</f>
        <v/>
      </c>
      <c r="G759" t="str">
        <f>""</f>
        <v/>
      </c>
      <c r="H759" s="1">
        <v>38821</v>
      </c>
      <c r="I759" t="str">
        <f>"PCD00225"</f>
        <v>PCD00225</v>
      </c>
      <c r="J759" t="str">
        <f>"38523"</f>
        <v>38523</v>
      </c>
      <c r="K759" t="str">
        <f>"AS89"</f>
        <v>AS89</v>
      </c>
      <c r="L759" t="s">
        <v>353</v>
      </c>
      <c r="M759" s="3">
        <v>509.55</v>
      </c>
    </row>
    <row r="760" spans="1:13" x14ac:dyDescent="0.25">
      <c r="A760" t="str">
        <f t="shared" si="396"/>
        <v>E404</v>
      </c>
      <c r="B760">
        <v>1</v>
      </c>
      <c r="C760" t="str">
        <f t="shared" si="397"/>
        <v>14185</v>
      </c>
      <c r="D760" t="str">
        <f t="shared" si="398"/>
        <v>5620</v>
      </c>
      <c r="E760" t="str">
        <f t="shared" si="399"/>
        <v>094OMS</v>
      </c>
      <c r="F760" t="str">
        <f>""</f>
        <v/>
      </c>
      <c r="G760" t="str">
        <f>""</f>
        <v/>
      </c>
      <c r="H760" s="1">
        <v>38821</v>
      </c>
      <c r="I760" t="str">
        <f>"PCD00225"</f>
        <v>PCD00225</v>
      </c>
      <c r="J760" t="str">
        <f>"38758"</f>
        <v>38758</v>
      </c>
      <c r="K760" t="str">
        <f>"AS89"</f>
        <v>AS89</v>
      </c>
      <c r="L760" t="s">
        <v>354</v>
      </c>
      <c r="M760" s="3">
        <v>176.53</v>
      </c>
    </row>
    <row r="761" spans="1:13" x14ac:dyDescent="0.25">
      <c r="A761" t="str">
        <f t="shared" si="396"/>
        <v>E404</v>
      </c>
      <c r="B761">
        <v>1</v>
      </c>
      <c r="C761" t="str">
        <f t="shared" si="397"/>
        <v>14185</v>
      </c>
      <c r="D761" t="str">
        <f t="shared" si="398"/>
        <v>5620</v>
      </c>
      <c r="E761" t="str">
        <f t="shared" si="399"/>
        <v>094OMS</v>
      </c>
      <c r="F761" t="str">
        <f>""</f>
        <v/>
      </c>
      <c r="G761" t="str">
        <f>""</f>
        <v/>
      </c>
      <c r="H761" s="1">
        <v>38867</v>
      </c>
      <c r="I761" t="str">
        <f>"076396"</f>
        <v>076396</v>
      </c>
      <c r="J761" t="str">
        <f>""</f>
        <v/>
      </c>
      <c r="K761" t="str">
        <f>"INNI"</f>
        <v>INNI</v>
      </c>
      <c r="L761" t="s">
        <v>355</v>
      </c>
      <c r="M761" s="3">
        <v>286.18</v>
      </c>
    </row>
    <row r="762" spans="1:13" x14ac:dyDescent="0.25">
      <c r="A762" t="str">
        <f t="shared" si="396"/>
        <v>E404</v>
      </c>
      <c r="B762">
        <v>1</v>
      </c>
      <c r="C762" t="str">
        <f>"14288"</f>
        <v>14288</v>
      </c>
      <c r="D762" t="str">
        <f>"5740"</f>
        <v>5740</v>
      </c>
      <c r="E762" t="str">
        <f>"094VIS"</f>
        <v>094VIS</v>
      </c>
      <c r="F762" t="str">
        <f>""</f>
        <v/>
      </c>
      <c r="G762" t="str">
        <f>""</f>
        <v/>
      </c>
      <c r="H762" s="1">
        <v>38629</v>
      </c>
      <c r="I762" t="str">
        <f>"381063"</f>
        <v>381063</v>
      </c>
      <c r="J762" t="str">
        <f>"P093423"</f>
        <v>P093423</v>
      </c>
      <c r="K762" t="str">
        <f>"INEI"</f>
        <v>INEI</v>
      </c>
      <c r="L762" t="s">
        <v>356</v>
      </c>
      <c r="M762" s="3">
        <v>3209.57</v>
      </c>
    </row>
    <row r="763" spans="1:13" x14ac:dyDescent="0.25">
      <c r="A763" t="str">
        <f t="shared" si="396"/>
        <v>E404</v>
      </c>
      <c r="B763">
        <v>1</v>
      </c>
      <c r="C763" t="str">
        <f>"14288"</f>
        <v>14288</v>
      </c>
      <c r="D763" t="str">
        <f>"5740"</f>
        <v>5740</v>
      </c>
      <c r="E763" t="str">
        <f>"094VIS"</f>
        <v>094VIS</v>
      </c>
      <c r="F763" t="str">
        <f>""</f>
        <v/>
      </c>
      <c r="G763" t="str">
        <f>""</f>
        <v/>
      </c>
      <c r="H763" s="1">
        <v>38657</v>
      </c>
      <c r="I763" t="str">
        <f>"395542"</f>
        <v>395542</v>
      </c>
      <c r="J763" t="str">
        <f>"P093423"</f>
        <v>P093423</v>
      </c>
      <c r="K763" t="str">
        <f>"INEI"</f>
        <v>INEI</v>
      </c>
      <c r="L763" t="s">
        <v>356</v>
      </c>
      <c r="M763" s="3">
        <v>103.33</v>
      </c>
    </row>
    <row r="764" spans="1:13" x14ac:dyDescent="0.25">
      <c r="A764" t="str">
        <f t="shared" si="396"/>
        <v>E404</v>
      </c>
      <c r="B764">
        <v>1</v>
      </c>
      <c r="C764" t="str">
        <f t="shared" ref="C764:C773" si="400">"43000"</f>
        <v>43000</v>
      </c>
      <c r="D764" t="str">
        <f t="shared" ref="D764:D776" si="401">"5740"</f>
        <v>5740</v>
      </c>
      <c r="E764" t="str">
        <f t="shared" ref="E764:E771" si="402">"850LOS"</f>
        <v>850LOS</v>
      </c>
      <c r="F764" t="str">
        <f>""</f>
        <v/>
      </c>
      <c r="G764" t="str">
        <f>""</f>
        <v/>
      </c>
      <c r="H764" s="1">
        <v>38604</v>
      </c>
      <c r="I764" t="str">
        <f>"PCD00196"</f>
        <v>PCD00196</v>
      </c>
      <c r="J764" t="str">
        <f>"30813"</f>
        <v>30813</v>
      </c>
      <c r="K764" t="str">
        <f t="shared" ref="K764:K771" si="403">"AS89"</f>
        <v>AS89</v>
      </c>
      <c r="L764" t="s">
        <v>357</v>
      </c>
      <c r="M764" s="3">
        <v>500</v>
      </c>
    </row>
    <row r="765" spans="1:13" x14ac:dyDescent="0.25">
      <c r="A765" t="str">
        <f t="shared" si="396"/>
        <v>E404</v>
      </c>
      <c r="B765">
        <v>1</v>
      </c>
      <c r="C765" t="str">
        <f t="shared" si="400"/>
        <v>43000</v>
      </c>
      <c r="D765" t="str">
        <f t="shared" si="401"/>
        <v>5740</v>
      </c>
      <c r="E765" t="str">
        <f t="shared" si="402"/>
        <v>850LOS</v>
      </c>
      <c r="F765" t="str">
        <f>""</f>
        <v/>
      </c>
      <c r="G765" t="str">
        <f>""</f>
        <v/>
      </c>
      <c r="H765" s="1">
        <v>38604</v>
      </c>
      <c r="I765" t="str">
        <f>"PCD00196"</f>
        <v>PCD00196</v>
      </c>
      <c r="J765" t="str">
        <f>"31285"</f>
        <v>31285</v>
      </c>
      <c r="K765" t="str">
        <f t="shared" si="403"/>
        <v>AS89</v>
      </c>
      <c r="L765" t="s">
        <v>358</v>
      </c>
      <c r="M765" s="3">
        <v>247.5</v>
      </c>
    </row>
    <row r="766" spans="1:13" x14ac:dyDescent="0.25">
      <c r="A766" t="str">
        <f t="shared" si="396"/>
        <v>E404</v>
      </c>
      <c r="B766">
        <v>1</v>
      </c>
      <c r="C766" t="str">
        <f t="shared" si="400"/>
        <v>43000</v>
      </c>
      <c r="D766" t="str">
        <f t="shared" si="401"/>
        <v>5740</v>
      </c>
      <c r="E766" t="str">
        <f t="shared" si="402"/>
        <v>850LOS</v>
      </c>
      <c r="F766" t="str">
        <f>""</f>
        <v/>
      </c>
      <c r="G766" t="str">
        <f>""</f>
        <v/>
      </c>
      <c r="H766" s="1">
        <v>38705</v>
      </c>
      <c r="I766" t="str">
        <f>"PCD00211"</f>
        <v>PCD00211</v>
      </c>
      <c r="J766" t="str">
        <f>"34636"</f>
        <v>34636</v>
      </c>
      <c r="K766" t="str">
        <f t="shared" si="403"/>
        <v>AS89</v>
      </c>
      <c r="L766" t="s">
        <v>359</v>
      </c>
      <c r="M766" s="3">
        <v>366.02</v>
      </c>
    </row>
    <row r="767" spans="1:13" x14ac:dyDescent="0.25">
      <c r="A767" t="str">
        <f t="shared" si="396"/>
        <v>E404</v>
      </c>
      <c r="B767">
        <v>1</v>
      </c>
      <c r="C767" t="str">
        <f t="shared" si="400"/>
        <v>43000</v>
      </c>
      <c r="D767" t="str">
        <f t="shared" si="401"/>
        <v>5740</v>
      </c>
      <c r="E767" t="str">
        <f t="shared" si="402"/>
        <v>850LOS</v>
      </c>
      <c r="F767" t="str">
        <f>""</f>
        <v/>
      </c>
      <c r="G767" t="str">
        <f>""</f>
        <v/>
      </c>
      <c r="H767" s="1">
        <v>38723</v>
      </c>
      <c r="I767" t="str">
        <f>"PCD00214"</f>
        <v>PCD00214</v>
      </c>
      <c r="J767" t="str">
        <f>"35778"</f>
        <v>35778</v>
      </c>
      <c r="K767" t="str">
        <f t="shared" si="403"/>
        <v>AS89</v>
      </c>
      <c r="L767" t="s">
        <v>360</v>
      </c>
      <c r="M767" s="3">
        <v>695.46</v>
      </c>
    </row>
    <row r="768" spans="1:13" x14ac:dyDescent="0.25">
      <c r="A768" t="str">
        <f t="shared" si="396"/>
        <v>E404</v>
      </c>
      <c r="B768">
        <v>1</v>
      </c>
      <c r="C768" t="str">
        <f t="shared" si="400"/>
        <v>43000</v>
      </c>
      <c r="D768" t="str">
        <f t="shared" si="401"/>
        <v>5740</v>
      </c>
      <c r="E768" t="str">
        <f t="shared" si="402"/>
        <v>850LOS</v>
      </c>
      <c r="F768" t="str">
        <f>""</f>
        <v/>
      </c>
      <c r="G768" t="str">
        <f>""</f>
        <v/>
      </c>
      <c r="H768" s="1">
        <v>38751</v>
      </c>
      <c r="I768" t="str">
        <f>"PCD00218"</f>
        <v>PCD00218</v>
      </c>
      <c r="J768" t="str">
        <f>"36898"</f>
        <v>36898</v>
      </c>
      <c r="K768" t="str">
        <f t="shared" si="403"/>
        <v>AS89</v>
      </c>
      <c r="L768" t="s">
        <v>361</v>
      </c>
      <c r="M768" s="3">
        <v>230.7</v>
      </c>
    </row>
    <row r="769" spans="1:13" x14ac:dyDescent="0.25">
      <c r="A769" t="str">
        <f t="shared" si="396"/>
        <v>E404</v>
      </c>
      <c r="B769">
        <v>1</v>
      </c>
      <c r="C769" t="str">
        <f t="shared" si="400"/>
        <v>43000</v>
      </c>
      <c r="D769" t="str">
        <f t="shared" si="401"/>
        <v>5740</v>
      </c>
      <c r="E769" t="str">
        <f t="shared" si="402"/>
        <v>850LOS</v>
      </c>
      <c r="F769" t="str">
        <f>""</f>
        <v/>
      </c>
      <c r="G769" t="str">
        <f>""</f>
        <v/>
      </c>
      <c r="H769" s="1">
        <v>38793</v>
      </c>
      <c r="I769" t="str">
        <f t="shared" ref="I769:I771" si="404">"PCD00222"</f>
        <v>PCD00222</v>
      </c>
      <c r="J769" t="str">
        <f>"37346"</f>
        <v>37346</v>
      </c>
      <c r="K769" t="str">
        <f t="shared" si="403"/>
        <v>AS89</v>
      </c>
      <c r="L769" t="s">
        <v>362</v>
      </c>
      <c r="M769" s="3">
        <v>489.58</v>
      </c>
    </row>
    <row r="770" spans="1:13" x14ac:dyDescent="0.25">
      <c r="A770" t="str">
        <f t="shared" si="396"/>
        <v>E404</v>
      </c>
      <c r="B770">
        <v>1</v>
      </c>
      <c r="C770" t="str">
        <f t="shared" si="400"/>
        <v>43000</v>
      </c>
      <c r="D770" t="str">
        <f t="shared" si="401"/>
        <v>5740</v>
      </c>
      <c r="E770" t="str">
        <f t="shared" si="402"/>
        <v>850LOS</v>
      </c>
      <c r="F770" t="str">
        <f>""</f>
        <v/>
      </c>
      <c r="G770" t="str">
        <f>""</f>
        <v/>
      </c>
      <c r="H770" s="1">
        <v>38793</v>
      </c>
      <c r="I770" t="str">
        <f t="shared" si="404"/>
        <v>PCD00222</v>
      </c>
      <c r="J770" t="str">
        <f>"37479"</f>
        <v>37479</v>
      </c>
      <c r="K770" t="str">
        <f t="shared" si="403"/>
        <v>AS89</v>
      </c>
      <c r="L770" t="s">
        <v>363</v>
      </c>
      <c r="M770" s="3">
        <v>137.03</v>
      </c>
    </row>
    <row r="771" spans="1:13" x14ac:dyDescent="0.25">
      <c r="A771" t="str">
        <f t="shared" si="396"/>
        <v>E404</v>
      </c>
      <c r="B771">
        <v>1</v>
      </c>
      <c r="C771" t="str">
        <f t="shared" si="400"/>
        <v>43000</v>
      </c>
      <c r="D771" t="str">
        <f t="shared" si="401"/>
        <v>5740</v>
      </c>
      <c r="E771" t="str">
        <f t="shared" si="402"/>
        <v>850LOS</v>
      </c>
      <c r="F771" t="str">
        <f>""</f>
        <v/>
      </c>
      <c r="G771" t="str">
        <f>""</f>
        <v/>
      </c>
      <c r="H771" s="1">
        <v>38793</v>
      </c>
      <c r="I771" t="str">
        <f t="shared" si="404"/>
        <v>PCD00222</v>
      </c>
      <c r="J771" t="str">
        <f>"38009"</f>
        <v>38009</v>
      </c>
      <c r="K771" t="str">
        <f t="shared" si="403"/>
        <v>AS89</v>
      </c>
      <c r="L771" t="s">
        <v>364</v>
      </c>
      <c r="M771" s="3">
        <v>264.56</v>
      </c>
    </row>
    <row r="772" spans="1:13" x14ac:dyDescent="0.25">
      <c r="A772" t="str">
        <f t="shared" si="396"/>
        <v>E404</v>
      </c>
      <c r="B772">
        <v>1</v>
      </c>
      <c r="C772" t="str">
        <f t="shared" si="400"/>
        <v>43000</v>
      </c>
      <c r="D772" t="str">
        <f t="shared" si="401"/>
        <v>5740</v>
      </c>
      <c r="E772" t="str">
        <f>"850PKC"</f>
        <v>850PKC</v>
      </c>
      <c r="F772" t="str">
        <f>""</f>
        <v/>
      </c>
      <c r="G772" t="str">
        <f>""</f>
        <v/>
      </c>
      <c r="H772" s="1">
        <v>38604</v>
      </c>
      <c r="I772" t="str">
        <f>"F068499"</f>
        <v>F068499</v>
      </c>
      <c r="J772" t="str">
        <f>"F068499"</f>
        <v>F068499</v>
      </c>
      <c r="K772" t="str">
        <f>"INEI"</f>
        <v>INEI</v>
      </c>
      <c r="L772" t="s">
        <v>348</v>
      </c>
      <c r="M772" s="3">
        <v>122.38</v>
      </c>
    </row>
    <row r="773" spans="1:13" x14ac:dyDescent="0.25">
      <c r="A773" t="str">
        <f t="shared" si="396"/>
        <v>E404</v>
      </c>
      <c r="B773">
        <v>1</v>
      </c>
      <c r="C773" t="str">
        <f t="shared" si="400"/>
        <v>43000</v>
      </c>
      <c r="D773" t="str">
        <f t="shared" si="401"/>
        <v>5740</v>
      </c>
      <c r="E773" t="str">
        <f>"850PKE"</f>
        <v>850PKE</v>
      </c>
      <c r="F773" t="str">
        <f>""</f>
        <v/>
      </c>
      <c r="G773" t="str">
        <f>""</f>
        <v/>
      </c>
      <c r="H773" s="1">
        <v>38604</v>
      </c>
      <c r="I773" t="str">
        <f>"PCD00196"</f>
        <v>PCD00196</v>
      </c>
      <c r="J773" t="str">
        <f>"31285"</f>
        <v>31285</v>
      </c>
      <c r="K773" t="str">
        <f>"AS89"</f>
        <v>AS89</v>
      </c>
      <c r="L773" t="s">
        <v>358</v>
      </c>
      <c r="M773" s="3">
        <v>247.5</v>
      </c>
    </row>
    <row r="774" spans="1:13" x14ac:dyDescent="0.25">
      <c r="A774" t="str">
        <f t="shared" si="396"/>
        <v>E404</v>
      </c>
      <c r="B774">
        <v>1</v>
      </c>
      <c r="C774" t="str">
        <f>"43001"</f>
        <v>43001</v>
      </c>
      <c r="D774" t="str">
        <f t="shared" si="401"/>
        <v>5740</v>
      </c>
      <c r="E774" t="str">
        <f t="shared" ref="E774:E775" si="405">"850LOS"</f>
        <v>850LOS</v>
      </c>
      <c r="F774" t="str">
        <f>""</f>
        <v/>
      </c>
      <c r="G774" t="str">
        <f>""</f>
        <v/>
      </c>
      <c r="H774" s="1">
        <v>38705</v>
      </c>
      <c r="I774" t="str">
        <f>"PCD00211"</f>
        <v>PCD00211</v>
      </c>
      <c r="J774" t="str">
        <f>"34276"</f>
        <v>34276</v>
      </c>
      <c r="K774" t="str">
        <f>"AS89"</f>
        <v>AS89</v>
      </c>
      <c r="L774" t="s">
        <v>365</v>
      </c>
      <c r="M774" s="3">
        <v>216.57</v>
      </c>
    </row>
    <row r="775" spans="1:13" x14ac:dyDescent="0.25">
      <c r="A775" t="str">
        <f t="shared" ref="A775:A776" si="406">"E405"</f>
        <v>E405</v>
      </c>
      <c r="B775">
        <v>1</v>
      </c>
      <c r="C775" t="str">
        <f t="shared" ref="C775:C776" si="407">"43000"</f>
        <v>43000</v>
      </c>
      <c r="D775" t="str">
        <f t="shared" si="401"/>
        <v>5740</v>
      </c>
      <c r="E775" t="str">
        <f t="shared" si="405"/>
        <v>850LOS</v>
      </c>
      <c r="F775" t="str">
        <f>""</f>
        <v/>
      </c>
      <c r="G775" t="str">
        <f>""</f>
        <v/>
      </c>
      <c r="H775" s="1">
        <v>38807</v>
      </c>
      <c r="I775" t="str">
        <f>"366234"</f>
        <v>366234</v>
      </c>
      <c r="J775" t="str">
        <f>"F076379"</f>
        <v>F076379</v>
      </c>
      <c r="K775" t="str">
        <f>"INEI"</f>
        <v>INEI</v>
      </c>
      <c r="L775" t="s">
        <v>220</v>
      </c>
      <c r="M775" s="3">
        <v>555.98</v>
      </c>
    </row>
    <row r="776" spans="1:13" x14ac:dyDescent="0.25">
      <c r="A776" t="str">
        <f t="shared" si="406"/>
        <v>E405</v>
      </c>
      <c r="B776">
        <v>1</v>
      </c>
      <c r="C776" t="str">
        <f t="shared" si="407"/>
        <v>43000</v>
      </c>
      <c r="D776" t="str">
        <f t="shared" si="401"/>
        <v>5740</v>
      </c>
      <c r="E776" t="str">
        <f>"850PKC"</f>
        <v>850PKC</v>
      </c>
      <c r="F776" t="str">
        <f>""</f>
        <v/>
      </c>
      <c r="G776" t="str">
        <f>""</f>
        <v/>
      </c>
      <c r="H776" s="1">
        <v>38786</v>
      </c>
      <c r="I776" t="str">
        <f>"363915"</f>
        <v>363915</v>
      </c>
      <c r="J776" t="str">
        <f>"F076349"</f>
        <v>F076349</v>
      </c>
      <c r="K776" t="str">
        <f>"INEI"</f>
        <v>INEI</v>
      </c>
      <c r="L776" t="s">
        <v>220</v>
      </c>
      <c r="M776" s="3">
        <v>206.05</v>
      </c>
    </row>
    <row r="777" spans="1:13" x14ac:dyDescent="0.25">
      <c r="A777" t="str">
        <f t="shared" ref="A777:A781" si="408">"E407"</f>
        <v>E407</v>
      </c>
      <c r="B777">
        <v>1</v>
      </c>
      <c r="C777" t="str">
        <f t="shared" ref="C777" si="409">"14185"</f>
        <v>14185</v>
      </c>
      <c r="D777" t="str">
        <f t="shared" ref="D777:D782" si="410">"5620"</f>
        <v>5620</v>
      </c>
      <c r="E777" t="str">
        <f t="shared" ref="E777" si="411">"094OMS"</f>
        <v>094OMS</v>
      </c>
      <c r="F777" t="str">
        <f>""</f>
        <v/>
      </c>
      <c r="G777" t="str">
        <f>""</f>
        <v/>
      </c>
      <c r="H777" s="1">
        <v>38785</v>
      </c>
      <c r="I777" t="str">
        <f>"68347028"</f>
        <v>68347028</v>
      </c>
      <c r="J777" t="str">
        <f>"F076382"</f>
        <v>F076382</v>
      </c>
      <c r="K777" t="str">
        <f>"INEI"</f>
        <v>INEI</v>
      </c>
      <c r="L777" t="s">
        <v>349</v>
      </c>
      <c r="M777" s="3">
        <v>1071.55</v>
      </c>
    </row>
    <row r="778" spans="1:13" x14ac:dyDescent="0.25">
      <c r="A778" t="str">
        <f t="shared" si="408"/>
        <v>E407</v>
      </c>
      <c r="B778">
        <v>1</v>
      </c>
      <c r="C778" t="str">
        <f t="shared" ref="C778:C781" si="412">"14676"</f>
        <v>14676</v>
      </c>
      <c r="D778" t="str">
        <f t="shared" si="410"/>
        <v>5620</v>
      </c>
      <c r="E778" t="str">
        <f t="shared" ref="E778:E781" si="413">"011EQP"</f>
        <v>011EQP</v>
      </c>
      <c r="F778" t="str">
        <f>""</f>
        <v/>
      </c>
      <c r="G778" t="str">
        <f>""</f>
        <v/>
      </c>
      <c r="H778" s="1">
        <v>38727</v>
      </c>
      <c r="I778" t="str">
        <f>"73409301"</f>
        <v>73409301</v>
      </c>
      <c r="J778" t="str">
        <f>"F076348"</f>
        <v>F076348</v>
      </c>
      <c r="K778" t="str">
        <f>"INEI"</f>
        <v>INEI</v>
      </c>
      <c r="L778" t="s">
        <v>349</v>
      </c>
      <c r="M778" s="3">
        <v>3660.54</v>
      </c>
    </row>
    <row r="779" spans="1:13" x14ac:dyDescent="0.25">
      <c r="A779" t="str">
        <f t="shared" si="408"/>
        <v>E407</v>
      </c>
      <c r="B779">
        <v>1</v>
      </c>
      <c r="C779" t="str">
        <f t="shared" si="412"/>
        <v>14676</v>
      </c>
      <c r="D779" t="str">
        <f t="shared" si="410"/>
        <v>5620</v>
      </c>
      <c r="E779" t="str">
        <f t="shared" si="413"/>
        <v>011EQP</v>
      </c>
      <c r="F779" t="str">
        <f>""</f>
        <v/>
      </c>
      <c r="G779" t="str">
        <f>""</f>
        <v/>
      </c>
      <c r="H779" s="1">
        <v>38785</v>
      </c>
      <c r="I779" t="str">
        <f>"68347028"</f>
        <v>68347028</v>
      </c>
      <c r="J779" t="str">
        <f>"F076382"</f>
        <v>F076382</v>
      </c>
      <c r="K779" t="str">
        <f t="shared" ref="K779:K781" si="414">"INEI"</f>
        <v>INEI</v>
      </c>
      <c r="L779" t="s">
        <v>349</v>
      </c>
      <c r="M779" s="3">
        <v>386.78</v>
      </c>
    </row>
    <row r="780" spans="1:13" x14ac:dyDescent="0.25">
      <c r="A780" t="str">
        <f t="shared" si="408"/>
        <v>E407</v>
      </c>
      <c r="B780">
        <v>1</v>
      </c>
      <c r="C780" t="str">
        <f t="shared" si="412"/>
        <v>14676</v>
      </c>
      <c r="D780" t="str">
        <f t="shared" si="410"/>
        <v>5620</v>
      </c>
      <c r="E780" t="str">
        <f t="shared" si="413"/>
        <v>011EQP</v>
      </c>
      <c r="F780" t="str">
        <f>""</f>
        <v/>
      </c>
      <c r="G780" t="str">
        <f>""</f>
        <v/>
      </c>
      <c r="H780" s="1">
        <v>38785</v>
      </c>
      <c r="I780" t="str">
        <f>"69080432"</f>
        <v>69080432</v>
      </c>
      <c r="J780" t="str">
        <f>"F076382"</f>
        <v>F076382</v>
      </c>
      <c r="K780" t="str">
        <f t="shared" si="414"/>
        <v>INEI</v>
      </c>
      <c r="L780" t="s">
        <v>349</v>
      </c>
      <c r="M780" s="3">
        <v>1160.52</v>
      </c>
    </row>
    <row r="781" spans="1:13" x14ac:dyDescent="0.25">
      <c r="A781" t="str">
        <f t="shared" si="408"/>
        <v>E407</v>
      </c>
      <c r="B781">
        <v>1</v>
      </c>
      <c r="C781" t="str">
        <f t="shared" si="412"/>
        <v>14676</v>
      </c>
      <c r="D781" t="str">
        <f t="shared" si="410"/>
        <v>5620</v>
      </c>
      <c r="E781" t="str">
        <f t="shared" si="413"/>
        <v>011EQP</v>
      </c>
      <c r="F781" t="str">
        <f>""</f>
        <v/>
      </c>
      <c r="G781" t="str">
        <f>""</f>
        <v/>
      </c>
      <c r="H781" s="1">
        <v>38898</v>
      </c>
      <c r="I781" t="str">
        <f>"61794"</f>
        <v>61794</v>
      </c>
      <c r="J781" t="str">
        <f>"F076306"</f>
        <v>F076306</v>
      </c>
      <c r="K781" t="str">
        <f t="shared" si="414"/>
        <v>INEI</v>
      </c>
      <c r="L781" t="s">
        <v>33</v>
      </c>
      <c r="M781" s="3">
        <v>1923.56</v>
      </c>
    </row>
    <row r="782" spans="1:13" x14ac:dyDescent="0.25">
      <c r="A782" t="str">
        <f t="shared" ref="A782:A786" si="415">"E408"</f>
        <v>E408</v>
      </c>
      <c r="B782">
        <v>1</v>
      </c>
      <c r="C782" t="str">
        <f t="shared" ref="C782:C786" si="416">"14185"</f>
        <v>14185</v>
      </c>
      <c r="D782" t="str">
        <f t="shared" si="410"/>
        <v>5620</v>
      </c>
      <c r="E782" t="str">
        <f t="shared" ref="E782:E786" si="417">"094OMS"</f>
        <v>094OMS</v>
      </c>
      <c r="F782" t="str">
        <f>""</f>
        <v/>
      </c>
      <c r="G782" t="str">
        <f>""</f>
        <v/>
      </c>
      <c r="H782" s="1">
        <v>38608</v>
      </c>
      <c r="I782" t="str">
        <f>"568116"</f>
        <v>568116</v>
      </c>
      <c r="J782" t="str">
        <f>"F068498"</f>
        <v>F068498</v>
      </c>
      <c r="K782" t="str">
        <f>"INEI"</f>
        <v>INEI</v>
      </c>
      <c r="L782" t="s">
        <v>366</v>
      </c>
      <c r="M782" s="3">
        <v>1121.99</v>
      </c>
    </row>
    <row r="783" spans="1:13" x14ac:dyDescent="0.25">
      <c r="A783" t="str">
        <f t="shared" si="415"/>
        <v>E408</v>
      </c>
      <c r="B783">
        <v>1</v>
      </c>
      <c r="C783" t="str">
        <f t="shared" si="416"/>
        <v>14185</v>
      </c>
      <c r="D783" t="str">
        <f t="shared" ref="D783:D788" si="418">"5620"</f>
        <v>5620</v>
      </c>
      <c r="E783" t="str">
        <f t="shared" si="417"/>
        <v>094OMS</v>
      </c>
      <c r="F783" t="str">
        <f>""</f>
        <v/>
      </c>
      <c r="G783" t="str">
        <f>""</f>
        <v/>
      </c>
      <c r="H783" s="1">
        <v>38791</v>
      </c>
      <c r="I783" t="str">
        <f>"571388"</f>
        <v>571388</v>
      </c>
      <c r="J783" t="str">
        <f>"D076386"</f>
        <v>D076386</v>
      </c>
      <c r="K783" t="str">
        <f>"INEI"</f>
        <v>INEI</v>
      </c>
      <c r="L783" t="s">
        <v>366</v>
      </c>
      <c r="M783" s="3">
        <v>560.99</v>
      </c>
    </row>
    <row r="784" spans="1:13" x14ac:dyDescent="0.25">
      <c r="A784" t="str">
        <f t="shared" si="415"/>
        <v>E408</v>
      </c>
      <c r="B784">
        <v>1</v>
      </c>
      <c r="C784" t="str">
        <f t="shared" si="416"/>
        <v>14185</v>
      </c>
      <c r="D784" t="str">
        <f t="shared" si="418"/>
        <v>5620</v>
      </c>
      <c r="E784" t="str">
        <f t="shared" si="417"/>
        <v>094OMS</v>
      </c>
      <c r="F784" t="str">
        <f>""</f>
        <v/>
      </c>
      <c r="G784" t="str">
        <f>""</f>
        <v/>
      </c>
      <c r="H784" s="1">
        <v>38821</v>
      </c>
      <c r="I784" t="str">
        <f>"571908"</f>
        <v>571908</v>
      </c>
      <c r="J784" t="str">
        <f>"D076386"</f>
        <v>D076386</v>
      </c>
      <c r="K784" t="str">
        <f>"INEI"</f>
        <v>INEI</v>
      </c>
      <c r="L784" t="s">
        <v>366</v>
      </c>
      <c r="M784" s="3">
        <v>280.76</v>
      </c>
    </row>
    <row r="785" spans="1:13" x14ac:dyDescent="0.25">
      <c r="A785" t="str">
        <f t="shared" si="415"/>
        <v>E408</v>
      </c>
      <c r="B785">
        <v>1</v>
      </c>
      <c r="C785" t="str">
        <f t="shared" si="416"/>
        <v>14185</v>
      </c>
      <c r="D785" t="str">
        <f t="shared" si="418"/>
        <v>5620</v>
      </c>
      <c r="E785" t="str">
        <f t="shared" si="417"/>
        <v>094OMS</v>
      </c>
      <c r="F785" t="str">
        <f>""</f>
        <v/>
      </c>
      <c r="G785" t="str">
        <f>""</f>
        <v/>
      </c>
      <c r="H785" s="1">
        <v>38898</v>
      </c>
      <c r="I785" t="str">
        <f>"39734B"</f>
        <v>39734B</v>
      </c>
      <c r="J785" t="str">
        <f>"F076400"</f>
        <v>F076400</v>
      </c>
      <c r="K785" t="str">
        <f>"INEI"</f>
        <v>INEI</v>
      </c>
      <c r="L785" t="s">
        <v>367</v>
      </c>
      <c r="M785" s="3">
        <v>2617.87</v>
      </c>
    </row>
    <row r="786" spans="1:13" x14ac:dyDescent="0.25">
      <c r="A786" t="str">
        <f t="shared" si="415"/>
        <v>E408</v>
      </c>
      <c r="B786">
        <v>1</v>
      </c>
      <c r="C786" t="str">
        <f t="shared" si="416"/>
        <v>14185</v>
      </c>
      <c r="D786" t="str">
        <f t="shared" si="418"/>
        <v>5620</v>
      </c>
      <c r="E786" t="str">
        <f t="shared" si="417"/>
        <v>094OMS</v>
      </c>
      <c r="F786" t="str">
        <f>""</f>
        <v/>
      </c>
      <c r="G786" t="str">
        <f>""</f>
        <v/>
      </c>
      <c r="H786" s="1">
        <v>38898</v>
      </c>
      <c r="I786" t="str">
        <f>"PCD00235"</f>
        <v>PCD00235</v>
      </c>
      <c r="J786" t="str">
        <f>"42757"</f>
        <v>42757</v>
      </c>
      <c r="K786" t="str">
        <f>"AS89"</f>
        <v>AS89</v>
      </c>
      <c r="L786" t="s">
        <v>368</v>
      </c>
      <c r="M786" s="3">
        <v>656.9</v>
      </c>
    </row>
    <row r="787" spans="1:13" x14ac:dyDescent="0.25">
      <c r="A787" t="str">
        <f>"E413"</f>
        <v>E413</v>
      </c>
      <c r="B787">
        <v>1</v>
      </c>
      <c r="C787" t="str">
        <f t="shared" ref="C787:C788" si="419">"14676"</f>
        <v>14676</v>
      </c>
      <c r="D787" t="str">
        <f t="shared" si="418"/>
        <v>5620</v>
      </c>
      <c r="E787" t="str">
        <f t="shared" ref="E787:E788" si="420">"011EQP"</f>
        <v>011EQP</v>
      </c>
      <c r="F787" t="str">
        <f>""</f>
        <v/>
      </c>
      <c r="G787" t="str">
        <f>""</f>
        <v/>
      </c>
      <c r="H787" s="1">
        <v>38898</v>
      </c>
      <c r="I787" t="str">
        <f>"61794"</f>
        <v>61794</v>
      </c>
      <c r="J787" t="str">
        <f>"F076306"</f>
        <v>F076306</v>
      </c>
      <c r="K787" t="str">
        <f>"INEI"</f>
        <v>INEI</v>
      </c>
      <c r="L787" t="s">
        <v>33</v>
      </c>
      <c r="M787" s="3">
        <v>2601.6</v>
      </c>
    </row>
    <row r="788" spans="1:13" x14ac:dyDescent="0.25">
      <c r="A788" t="str">
        <f t="shared" ref="A788:A791" si="421">"E414"</f>
        <v>E414</v>
      </c>
      <c r="B788">
        <v>1</v>
      </c>
      <c r="C788" t="str">
        <f t="shared" si="419"/>
        <v>14676</v>
      </c>
      <c r="D788" t="str">
        <f t="shared" si="418"/>
        <v>5620</v>
      </c>
      <c r="E788" t="str">
        <f t="shared" si="420"/>
        <v>011EQP</v>
      </c>
      <c r="F788" t="str">
        <f>""</f>
        <v/>
      </c>
      <c r="G788" t="str">
        <f>""</f>
        <v/>
      </c>
      <c r="H788" s="1">
        <v>38898</v>
      </c>
      <c r="I788" t="str">
        <f>"61794"</f>
        <v>61794</v>
      </c>
      <c r="J788" t="str">
        <f>"F076306"</f>
        <v>F076306</v>
      </c>
      <c r="K788" t="str">
        <f>"INEI"</f>
        <v>INEI</v>
      </c>
      <c r="L788" t="s">
        <v>33</v>
      </c>
      <c r="M788" s="3">
        <v>9360.8799999999992</v>
      </c>
    </row>
    <row r="789" spans="1:13" x14ac:dyDescent="0.25">
      <c r="A789" t="str">
        <f t="shared" si="421"/>
        <v>E414</v>
      </c>
      <c r="B789">
        <v>1</v>
      </c>
      <c r="C789" t="str">
        <f t="shared" ref="C789:C791" si="422">"43005"</f>
        <v>43005</v>
      </c>
      <c r="D789" t="str">
        <f t="shared" ref="D789:D791" si="423">"5740"</f>
        <v>5740</v>
      </c>
      <c r="E789" t="str">
        <f t="shared" ref="E789:E791" si="424">"850REP"</f>
        <v>850REP</v>
      </c>
      <c r="F789" t="str">
        <f>""</f>
        <v/>
      </c>
      <c r="G789" t="str">
        <f>""</f>
        <v/>
      </c>
      <c r="H789" s="1">
        <v>38708</v>
      </c>
      <c r="I789" t="str">
        <f>"I0077697"</f>
        <v>I0077697</v>
      </c>
      <c r="J789" t="str">
        <f>"F076341"</f>
        <v>F076341</v>
      </c>
      <c r="K789" t="str">
        <f t="shared" ref="K789:K791" si="425">"INEI"</f>
        <v>INEI</v>
      </c>
      <c r="L789" t="s">
        <v>369</v>
      </c>
      <c r="M789" s="3">
        <v>11766.8</v>
      </c>
    </row>
    <row r="790" spans="1:13" x14ac:dyDescent="0.25">
      <c r="A790" t="str">
        <f t="shared" si="421"/>
        <v>E414</v>
      </c>
      <c r="B790">
        <v>1</v>
      </c>
      <c r="C790" t="str">
        <f t="shared" si="422"/>
        <v>43005</v>
      </c>
      <c r="D790" t="str">
        <f t="shared" si="423"/>
        <v>5740</v>
      </c>
      <c r="E790" t="str">
        <f t="shared" si="424"/>
        <v>850REP</v>
      </c>
      <c r="F790" t="str">
        <f>""</f>
        <v/>
      </c>
      <c r="G790" t="str">
        <f>""</f>
        <v/>
      </c>
      <c r="H790" s="1">
        <v>38708</v>
      </c>
      <c r="I790" t="str">
        <f>"I0077713"</f>
        <v>I0077713</v>
      </c>
      <c r="J790" t="str">
        <f>"F076341"</f>
        <v>F076341</v>
      </c>
      <c r="K790" t="str">
        <f t="shared" si="425"/>
        <v>INEI</v>
      </c>
      <c r="L790" t="s">
        <v>369</v>
      </c>
      <c r="M790" s="3">
        <v>11766.8</v>
      </c>
    </row>
    <row r="791" spans="1:13" x14ac:dyDescent="0.25">
      <c r="A791" t="str">
        <f t="shared" si="421"/>
        <v>E414</v>
      </c>
      <c r="B791">
        <v>1</v>
      </c>
      <c r="C791" t="str">
        <f t="shared" si="422"/>
        <v>43005</v>
      </c>
      <c r="D791" t="str">
        <f t="shared" si="423"/>
        <v>5740</v>
      </c>
      <c r="E791" t="str">
        <f t="shared" si="424"/>
        <v>850REP</v>
      </c>
      <c r="F791" t="str">
        <f>""</f>
        <v/>
      </c>
      <c r="G791" t="str">
        <f>""</f>
        <v/>
      </c>
      <c r="H791" s="1">
        <v>38749</v>
      </c>
      <c r="I791" t="str">
        <f>"8396"</f>
        <v>8396</v>
      </c>
      <c r="J791" t="str">
        <f>"F060238"</f>
        <v>F060238</v>
      </c>
      <c r="K791" t="str">
        <f t="shared" si="425"/>
        <v>INEI</v>
      </c>
      <c r="L791" t="s">
        <v>370</v>
      </c>
      <c r="M791" s="3">
        <v>17742.89</v>
      </c>
    </row>
  </sheetData>
  <autoFilter ref="A1:M7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4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8.425781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"43007"</f>
        <v>43007</v>
      </c>
      <c r="D2" t="str">
        <f>"5740"</f>
        <v>5740</v>
      </c>
      <c r="E2" t="str">
        <f>"850GAR"</f>
        <v>850GAR</v>
      </c>
      <c r="F2" t="str">
        <f>""</f>
        <v/>
      </c>
      <c r="G2" t="str">
        <f>""</f>
        <v/>
      </c>
      <c r="H2" s="1">
        <v>38991</v>
      </c>
      <c r="I2" t="str">
        <f>"42502780"</f>
        <v>42502780</v>
      </c>
      <c r="J2" t="str">
        <f>"B113001"</f>
        <v>B113001</v>
      </c>
      <c r="K2" t="str">
        <f t="shared" ref="K2:K9" si="0">"INNI"</f>
        <v>INNI</v>
      </c>
      <c r="L2" t="s">
        <v>673</v>
      </c>
      <c r="M2" s="2">
        <v>5000</v>
      </c>
    </row>
    <row r="3" spans="1:13" x14ac:dyDescent="0.25">
      <c r="A3" t="str">
        <f>"E051"</f>
        <v>E051</v>
      </c>
      <c r="B3">
        <v>1</v>
      </c>
      <c r="C3" t="str">
        <f>"43007"</f>
        <v>43007</v>
      </c>
      <c r="D3" t="str">
        <f>"5740"</f>
        <v>5740</v>
      </c>
      <c r="E3" t="str">
        <f>"850GAR"</f>
        <v>850GAR</v>
      </c>
      <c r="F3" t="str">
        <f>""</f>
        <v/>
      </c>
      <c r="G3" t="str">
        <f>""</f>
        <v/>
      </c>
      <c r="H3" s="1">
        <v>38991</v>
      </c>
      <c r="I3" t="str">
        <f>"42525785"</f>
        <v>42525785</v>
      </c>
      <c r="J3" t="str">
        <f>"B113001"</f>
        <v>B113001</v>
      </c>
      <c r="K3" t="str">
        <f t="shared" si="0"/>
        <v>INNI</v>
      </c>
      <c r="L3" t="s">
        <v>673</v>
      </c>
      <c r="M3" s="2">
        <v>5000</v>
      </c>
    </row>
    <row r="4" spans="1:13" x14ac:dyDescent="0.25">
      <c r="A4" t="str">
        <f>"E051"</f>
        <v>E051</v>
      </c>
      <c r="B4">
        <v>1</v>
      </c>
      <c r="C4" t="str">
        <f>"43007"</f>
        <v>43007</v>
      </c>
      <c r="D4" t="str">
        <f>"5740"</f>
        <v>5740</v>
      </c>
      <c r="E4" t="str">
        <f>"850GAR"</f>
        <v>850GAR</v>
      </c>
      <c r="F4" t="str">
        <f>""</f>
        <v/>
      </c>
      <c r="G4" t="str">
        <f>""</f>
        <v/>
      </c>
      <c r="H4" s="1">
        <v>38991</v>
      </c>
      <c r="I4" t="str">
        <f>"42535479"</f>
        <v>42535479</v>
      </c>
      <c r="J4" t="str">
        <f>"B113001"</f>
        <v>B113001</v>
      </c>
      <c r="K4" t="str">
        <f t="shared" si="0"/>
        <v>INNI</v>
      </c>
      <c r="L4" t="s">
        <v>673</v>
      </c>
      <c r="M4" s="2">
        <v>1070</v>
      </c>
    </row>
    <row r="5" spans="1:13" x14ac:dyDescent="0.25">
      <c r="A5" t="str">
        <f>"E051"</f>
        <v>E051</v>
      </c>
      <c r="B5">
        <v>1</v>
      </c>
      <c r="C5" t="str">
        <f>"43007"</f>
        <v>43007</v>
      </c>
      <c r="D5" t="str">
        <f>"5740"</f>
        <v>5740</v>
      </c>
      <c r="E5" t="str">
        <f>"850GAR"</f>
        <v>850GAR</v>
      </c>
      <c r="F5" t="str">
        <f>""</f>
        <v/>
      </c>
      <c r="G5" t="str">
        <f>""</f>
        <v/>
      </c>
      <c r="H5" s="1">
        <v>38991</v>
      </c>
      <c r="I5" t="str">
        <f>"42550435"</f>
        <v>42550435</v>
      </c>
      <c r="J5" t="str">
        <f>"B113001"</f>
        <v>B113001</v>
      </c>
      <c r="K5" t="str">
        <f t="shared" si="0"/>
        <v>INNI</v>
      </c>
      <c r="L5" t="s">
        <v>673</v>
      </c>
      <c r="M5" s="2">
        <v>5030</v>
      </c>
    </row>
    <row r="6" spans="1:13" x14ac:dyDescent="0.25">
      <c r="A6" t="str">
        <f>"E051"</f>
        <v>E051</v>
      </c>
      <c r="B6">
        <v>1</v>
      </c>
      <c r="C6" t="str">
        <f>"43007"</f>
        <v>43007</v>
      </c>
      <c r="D6" t="str">
        <f>"5740"</f>
        <v>5740</v>
      </c>
      <c r="E6" t="str">
        <f>"850GAR"</f>
        <v>850GAR</v>
      </c>
      <c r="F6" t="str">
        <f>""</f>
        <v/>
      </c>
      <c r="G6" t="str">
        <f>""</f>
        <v/>
      </c>
      <c r="H6" s="1">
        <v>39003</v>
      </c>
      <c r="I6" t="str">
        <f>"111970A"</f>
        <v>111970A</v>
      </c>
      <c r="J6" t="str">
        <f>""</f>
        <v/>
      </c>
      <c r="K6" t="str">
        <f t="shared" si="0"/>
        <v>INNI</v>
      </c>
      <c r="L6" t="s">
        <v>0</v>
      </c>
      <c r="M6">
        <v>181.69</v>
      </c>
    </row>
    <row r="7" spans="1:13" x14ac:dyDescent="0.25">
      <c r="A7" t="str">
        <f>"E053"</f>
        <v>E053</v>
      </c>
      <c r="B7">
        <v>1</v>
      </c>
      <c r="C7" t="str">
        <f>"14185"</f>
        <v>14185</v>
      </c>
      <c r="D7" t="str">
        <f>"5620"</f>
        <v>5620</v>
      </c>
      <c r="E7" t="str">
        <f>"094OMS"</f>
        <v>094OMS</v>
      </c>
      <c r="F7" t="str">
        <f>""</f>
        <v/>
      </c>
      <c r="G7" t="str">
        <f>""</f>
        <v/>
      </c>
      <c r="H7" s="1">
        <v>39094</v>
      </c>
      <c r="I7" t="str">
        <f>"00052086"</f>
        <v>00052086</v>
      </c>
      <c r="J7" t="str">
        <f>"BP43801L"</f>
        <v>BP43801L</v>
      </c>
      <c r="K7" t="str">
        <f t="shared" si="0"/>
        <v>INNI</v>
      </c>
      <c r="L7" t="s">
        <v>1</v>
      </c>
      <c r="M7">
        <v>355</v>
      </c>
    </row>
    <row r="8" spans="1:13" x14ac:dyDescent="0.25">
      <c r="A8" t="str">
        <f>"E053"</f>
        <v>E053</v>
      </c>
      <c r="B8">
        <v>1</v>
      </c>
      <c r="C8" t="str">
        <f>"14185"</f>
        <v>14185</v>
      </c>
      <c r="D8" t="str">
        <f>"5620"</f>
        <v>5620</v>
      </c>
      <c r="E8" t="str">
        <f>"094OMS"</f>
        <v>094OMS</v>
      </c>
      <c r="F8" t="str">
        <f>""</f>
        <v/>
      </c>
      <c r="G8" t="str">
        <f>""</f>
        <v/>
      </c>
      <c r="H8" s="1">
        <v>39135</v>
      </c>
      <c r="I8" t="str">
        <f>"00054156"</f>
        <v>00054156</v>
      </c>
      <c r="J8" t="str">
        <f>"BP43801L"</f>
        <v>BP43801L</v>
      </c>
      <c r="K8" t="str">
        <f t="shared" si="0"/>
        <v>INNI</v>
      </c>
      <c r="L8" t="s">
        <v>1</v>
      </c>
      <c r="M8">
        <v>405</v>
      </c>
    </row>
    <row r="9" spans="1:13" x14ac:dyDescent="0.25">
      <c r="A9" t="str">
        <f>"E053"</f>
        <v>E053</v>
      </c>
      <c r="B9">
        <v>1</v>
      </c>
      <c r="C9" t="str">
        <f>"14185"</f>
        <v>14185</v>
      </c>
      <c r="D9" t="str">
        <f>"5620"</f>
        <v>5620</v>
      </c>
      <c r="E9" t="str">
        <f>"094OMS"</f>
        <v>094OMS</v>
      </c>
      <c r="F9" t="str">
        <f>""</f>
        <v/>
      </c>
      <c r="G9" t="str">
        <f>""</f>
        <v/>
      </c>
      <c r="H9" s="1">
        <v>39156</v>
      </c>
      <c r="I9" t="str">
        <f>"00055028"</f>
        <v>00055028</v>
      </c>
      <c r="J9" t="str">
        <f>"BP43801L"</f>
        <v>BP43801L</v>
      </c>
      <c r="K9" t="str">
        <f t="shared" si="0"/>
        <v>INNI</v>
      </c>
      <c r="L9" t="s">
        <v>1</v>
      </c>
      <c r="M9">
        <v>150</v>
      </c>
    </row>
    <row r="10" spans="1:13" x14ac:dyDescent="0.25">
      <c r="A10" t="str">
        <f>"E054"</f>
        <v>E054</v>
      </c>
      <c r="B10">
        <v>1</v>
      </c>
      <c r="C10" t="str">
        <f>"43000"</f>
        <v>43000</v>
      </c>
      <c r="D10" t="str">
        <f>"5740"</f>
        <v>5740</v>
      </c>
      <c r="E10" t="str">
        <f>"850LOS"</f>
        <v>850LOS</v>
      </c>
      <c r="F10" t="str">
        <f>""</f>
        <v/>
      </c>
      <c r="G10" t="str">
        <f>""</f>
        <v/>
      </c>
      <c r="H10" s="1">
        <v>39232</v>
      </c>
      <c r="I10" t="str">
        <f>"9590A"</f>
        <v>9590A</v>
      </c>
      <c r="J10" t="str">
        <f>"F110038"</f>
        <v>F110038</v>
      </c>
      <c r="K10" t="str">
        <f>"INEI"</f>
        <v>INEI</v>
      </c>
      <c r="L10" t="s">
        <v>3</v>
      </c>
      <c r="M10" s="2">
        <v>11000</v>
      </c>
    </row>
    <row r="11" spans="1:13" x14ac:dyDescent="0.25">
      <c r="A11" t="str">
        <f>"E054"</f>
        <v>E054</v>
      </c>
      <c r="B11">
        <v>1</v>
      </c>
      <c r="C11" t="str">
        <f>"43007"</f>
        <v>43007</v>
      </c>
      <c r="D11" t="str">
        <f>"5740"</f>
        <v>5740</v>
      </c>
      <c r="E11" t="str">
        <f>"850GAR"</f>
        <v>850GAR</v>
      </c>
      <c r="F11" t="str">
        <f>""</f>
        <v/>
      </c>
      <c r="G11" t="str">
        <f>""</f>
        <v/>
      </c>
      <c r="H11" s="1">
        <v>39007</v>
      </c>
      <c r="I11" t="str">
        <f>"112881A"</f>
        <v>112881A</v>
      </c>
      <c r="J11" t="str">
        <f>""</f>
        <v/>
      </c>
      <c r="K11" t="str">
        <f t="shared" ref="K11:K20" si="1">"INNI"</f>
        <v>INNI</v>
      </c>
      <c r="L11" t="s">
        <v>672</v>
      </c>
      <c r="M11" s="2">
        <v>1800</v>
      </c>
    </row>
    <row r="12" spans="1:13" x14ac:dyDescent="0.25">
      <c r="A12" t="str">
        <f t="shared" ref="A12:A21" si="2">"E055"</f>
        <v>E055</v>
      </c>
      <c r="B12">
        <v>1</v>
      </c>
      <c r="C12" t="str">
        <f>"14185"</f>
        <v>14185</v>
      </c>
      <c r="D12" t="str">
        <f>"5620"</f>
        <v>5620</v>
      </c>
      <c r="E12" t="str">
        <f>"094OMS"</f>
        <v>094OMS</v>
      </c>
      <c r="F12" t="str">
        <f>""</f>
        <v/>
      </c>
      <c r="G12" t="str">
        <f>""</f>
        <v/>
      </c>
      <c r="H12" s="1">
        <v>38918</v>
      </c>
      <c r="I12" t="str">
        <f>"110032"</f>
        <v>110032</v>
      </c>
      <c r="J12" t="str">
        <f>""</f>
        <v/>
      </c>
      <c r="K12" t="str">
        <f t="shared" si="1"/>
        <v>INNI</v>
      </c>
      <c r="L12" t="s">
        <v>4</v>
      </c>
      <c r="M12">
        <v>150</v>
      </c>
    </row>
    <row r="13" spans="1:13" x14ac:dyDescent="0.25">
      <c r="A13" t="str">
        <f t="shared" si="2"/>
        <v>E055</v>
      </c>
      <c r="B13">
        <v>1</v>
      </c>
      <c r="C13" t="str">
        <f>"14185"</f>
        <v>14185</v>
      </c>
      <c r="D13" t="str">
        <f>"5620"</f>
        <v>5620</v>
      </c>
      <c r="E13" t="str">
        <f>"094OMS"</f>
        <v>094OMS</v>
      </c>
      <c r="F13" t="str">
        <f>""</f>
        <v/>
      </c>
      <c r="G13" t="str">
        <f>""</f>
        <v/>
      </c>
      <c r="H13" s="1">
        <v>39070</v>
      </c>
      <c r="I13" t="str">
        <f>"110047"</f>
        <v>110047</v>
      </c>
      <c r="J13" t="str">
        <f>""</f>
        <v/>
      </c>
      <c r="K13" t="str">
        <f t="shared" si="1"/>
        <v>INNI</v>
      </c>
      <c r="L13" t="s">
        <v>7</v>
      </c>
      <c r="M13">
        <v>300</v>
      </c>
    </row>
    <row r="14" spans="1:13" x14ac:dyDescent="0.25">
      <c r="A14" t="str">
        <f t="shared" si="2"/>
        <v>E055</v>
      </c>
      <c r="B14">
        <v>1</v>
      </c>
      <c r="C14" t="str">
        <f>"14185"</f>
        <v>14185</v>
      </c>
      <c r="D14" t="str">
        <f>"5620"</f>
        <v>5620</v>
      </c>
      <c r="E14" t="str">
        <f>"094OMS"</f>
        <v>094OMS</v>
      </c>
      <c r="F14" t="str">
        <f>""</f>
        <v/>
      </c>
      <c r="G14" t="str">
        <f>""</f>
        <v/>
      </c>
      <c r="H14" s="1">
        <v>39090</v>
      </c>
      <c r="I14" t="str">
        <f>"110049"</f>
        <v>110049</v>
      </c>
      <c r="J14" t="str">
        <f>""</f>
        <v/>
      </c>
      <c r="K14" t="str">
        <f t="shared" si="1"/>
        <v>INNI</v>
      </c>
      <c r="L14" t="s">
        <v>4</v>
      </c>
      <c r="M14">
        <v>150</v>
      </c>
    </row>
    <row r="15" spans="1:13" x14ac:dyDescent="0.25">
      <c r="A15" t="str">
        <f t="shared" si="2"/>
        <v>E055</v>
      </c>
      <c r="B15">
        <v>1</v>
      </c>
      <c r="C15" t="str">
        <f>"14185"</f>
        <v>14185</v>
      </c>
      <c r="D15" t="str">
        <f>"5620"</f>
        <v>5620</v>
      </c>
      <c r="E15" t="str">
        <f>"094OMS"</f>
        <v>094OMS</v>
      </c>
      <c r="F15" t="str">
        <f>""</f>
        <v/>
      </c>
      <c r="G15" t="str">
        <f>""</f>
        <v/>
      </c>
      <c r="H15" s="1">
        <v>39126</v>
      </c>
      <c r="I15" t="str">
        <f>"113801"</f>
        <v>113801</v>
      </c>
      <c r="J15" t="str">
        <f>""</f>
        <v/>
      </c>
      <c r="K15" t="str">
        <f t="shared" si="1"/>
        <v>INNI</v>
      </c>
      <c r="L15" t="s">
        <v>4</v>
      </c>
      <c r="M15">
        <v>150</v>
      </c>
    </row>
    <row r="16" spans="1:13" x14ac:dyDescent="0.25">
      <c r="A16" t="str">
        <f t="shared" si="2"/>
        <v>E055</v>
      </c>
      <c r="B16">
        <v>1</v>
      </c>
      <c r="C16" t="str">
        <f>"14185"</f>
        <v>14185</v>
      </c>
      <c r="D16" t="str">
        <f>"5620"</f>
        <v>5620</v>
      </c>
      <c r="E16" t="str">
        <f>"094OMS"</f>
        <v>094OMS</v>
      </c>
      <c r="F16" t="str">
        <f>""</f>
        <v/>
      </c>
      <c r="G16" t="str">
        <f>""</f>
        <v/>
      </c>
      <c r="H16" s="1">
        <v>39126</v>
      </c>
      <c r="I16" t="str">
        <f>"113802A"</f>
        <v>113802A</v>
      </c>
      <c r="J16" t="str">
        <f>""</f>
        <v/>
      </c>
      <c r="K16" t="str">
        <f t="shared" si="1"/>
        <v>INNI</v>
      </c>
      <c r="L16" t="s">
        <v>7</v>
      </c>
      <c r="M16">
        <v>300</v>
      </c>
    </row>
    <row r="17" spans="1:13" x14ac:dyDescent="0.25">
      <c r="A17" t="str">
        <f t="shared" si="2"/>
        <v>E055</v>
      </c>
      <c r="B17">
        <v>1</v>
      </c>
      <c r="C17" t="str">
        <f>"43007"</f>
        <v>43007</v>
      </c>
      <c r="D17" t="str">
        <f t="shared" ref="D17:D30" si="3">"5740"</f>
        <v>5740</v>
      </c>
      <c r="E17" t="str">
        <f>"850GAR"</f>
        <v>850GAR</v>
      </c>
      <c r="F17" t="str">
        <f>""</f>
        <v/>
      </c>
      <c r="G17" t="str">
        <f>""</f>
        <v/>
      </c>
      <c r="H17" s="1">
        <v>38939</v>
      </c>
      <c r="I17" t="str">
        <f>"I0080134"</f>
        <v>I0080134</v>
      </c>
      <c r="J17" t="str">
        <f>"B080176C"</f>
        <v>B080176C</v>
      </c>
      <c r="K17" t="str">
        <f t="shared" si="1"/>
        <v>INNI</v>
      </c>
      <c r="L17" t="s">
        <v>9</v>
      </c>
      <c r="M17">
        <v>500</v>
      </c>
    </row>
    <row r="18" spans="1:13" x14ac:dyDescent="0.25">
      <c r="A18" t="str">
        <f t="shared" si="2"/>
        <v>E055</v>
      </c>
      <c r="B18">
        <v>1</v>
      </c>
      <c r="C18" t="str">
        <f>"43007"</f>
        <v>43007</v>
      </c>
      <c r="D18" t="str">
        <f t="shared" si="3"/>
        <v>5740</v>
      </c>
      <c r="E18" t="str">
        <f>"850GAR"</f>
        <v>850GAR</v>
      </c>
      <c r="F18" t="str">
        <f>""</f>
        <v/>
      </c>
      <c r="G18" t="str">
        <f>""</f>
        <v/>
      </c>
      <c r="H18" s="1">
        <v>39146</v>
      </c>
      <c r="I18" t="str">
        <f>"I0082533"</f>
        <v>I0082533</v>
      </c>
      <c r="J18" t="str">
        <f>"B080176B"</f>
        <v>B080176B</v>
      </c>
      <c r="K18" t="str">
        <f t="shared" si="1"/>
        <v>INNI</v>
      </c>
      <c r="L18" t="s">
        <v>9</v>
      </c>
      <c r="M18">
        <v>500</v>
      </c>
    </row>
    <row r="19" spans="1:13" x14ac:dyDescent="0.25">
      <c r="A19" t="str">
        <f t="shared" si="2"/>
        <v>E055</v>
      </c>
      <c r="B19">
        <v>1</v>
      </c>
      <c r="C19" t="str">
        <f>"43007"</f>
        <v>43007</v>
      </c>
      <c r="D19" t="str">
        <f t="shared" si="3"/>
        <v>5740</v>
      </c>
      <c r="E19" t="str">
        <f>"850GAR"</f>
        <v>850GAR</v>
      </c>
      <c r="F19" t="str">
        <f>""</f>
        <v/>
      </c>
      <c r="G19" t="str">
        <f>""</f>
        <v/>
      </c>
      <c r="H19" s="1">
        <v>39146</v>
      </c>
      <c r="I19" t="str">
        <f>"I0082535"</f>
        <v>I0082535</v>
      </c>
      <c r="J19" t="str">
        <f>"B080176C"</f>
        <v>B080176C</v>
      </c>
      <c r="K19" t="str">
        <f t="shared" si="1"/>
        <v>INNI</v>
      </c>
      <c r="L19" t="s">
        <v>9</v>
      </c>
      <c r="M19">
        <v>500</v>
      </c>
    </row>
    <row r="20" spans="1:13" x14ac:dyDescent="0.25">
      <c r="A20" t="str">
        <f t="shared" si="2"/>
        <v>E055</v>
      </c>
      <c r="B20">
        <v>1</v>
      </c>
      <c r="C20" t="str">
        <f>"43007"</f>
        <v>43007</v>
      </c>
      <c r="D20" t="str">
        <f t="shared" si="3"/>
        <v>5740</v>
      </c>
      <c r="E20" t="str">
        <f>"850GAR"</f>
        <v>850GAR</v>
      </c>
      <c r="F20" t="str">
        <f>""</f>
        <v/>
      </c>
      <c r="G20" t="str">
        <f>""</f>
        <v/>
      </c>
      <c r="H20" s="1">
        <v>39238</v>
      </c>
      <c r="I20" t="str">
        <f>"I0083720"</f>
        <v>I0083720</v>
      </c>
      <c r="J20" t="str">
        <f>"B080176C"</f>
        <v>B080176C</v>
      </c>
      <c r="K20" t="str">
        <f t="shared" si="1"/>
        <v>INNI</v>
      </c>
      <c r="L20" t="s">
        <v>9</v>
      </c>
      <c r="M20">
        <v>500</v>
      </c>
    </row>
    <row r="21" spans="1:13" x14ac:dyDescent="0.25">
      <c r="A21" t="str">
        <f t="shared" si="2"/>
        <v>E055</v>
      </c>
      <c r="B21">
        <v>1</v>
      </c>
      <c r="C21" t="str">
        <f>"43007"</f>
        <v>43007</v>
      </c>
      <c r="D21" t="str">
        <f t="shared" si="3"/>
        <v>5740</v>
      </c>
      <c r="E21" t="str">
        <f>"850HSG"</f>
        <v>850HSG</v>
      </c>
      <c r="F21" t="str">
        <f>""</f>
        <v/>
      </c>
      <c r="G21" t="str">
        <f>""</f>
        <v/>
      </c>
      <c r="H21" s="1">
        <v>39263</v>
      </c>
      <c r="I21" t="str">
        <f>"ACG01582"</f>
        <v>ACG01582</v>
      </c>
      <c r="J21" t="str">
        <f>"I0083912"</f>
        <v>I0083912</v>
      </c>
      <c r="K21" t="str">
        <f>"AS89"</f>
        <v>AS89</v>
      </c>
      <c r="L21" t="s">
        <v>603</v>
      </c>
      <c r="M21">
        <v>500</v>
      </c>
    </row>
    <row r="22" spans="1:13" x14ac:dyDescent="0.25">
      <c r="A22" t="str">
        <f t="shared" ref="A22:A30" si="4">"E057"</f>
        <v>E057</v>
      </c>
      <c r="B22">
        <v>1</v>
      </c>
      <c r="C22" t="str">
        <f>"43000"</f>
        <v>43000</v>
      </c>
      <c r="D22" t="str">
        <f t="shared" si="3"/>
        <v>5740</v>
      </c>
      <c r="E22" t="str">
        <f>"850LOS"</f>
        <v>850LOS</v>
      </c>
      <c r="F22" t="str">
        <f>""</f>
        <v/>
      </c>
      <c r="G22" t="str">
        <f>""</f>
        <v/>
      </c>
      <c r="H22" s="1">
        <v>39072</v>
      </c>
      <c r="I22" t="str">
        <f>"1015325B"</f>
        <v>1015325B</v>
      </c>
      <c r="J22" t="str">
        <f>"B076220C"</f>
        <v>B076220C</v>
      </c>
      <c r="K22" t="str">
        <f>"INNI"</f>
        <v>INNI</v>
      </c>
      <c r="L22" t="s">
        <v>12</v>
      </c>
      <c r="M22" s="2">
        <v>6366.5</v>
      </c>
    </row>
    <row r="23" spans="1:13" x14ac:dyDescent="0.25">
      <c r="A23" t="str">
        <f t="shared" si="4"/>
        <v>E057</v>
      </c>
      <c r="B23">
        <v>1</v>
      </c>
      <c r="C23" t="str">
        <f>"43001"</f>
        <v>43001</v>
      </c>
      <c r="D23" t="str">
        <f t="shared" si="3"/>
        <v>5740</v>
      </c>
      <c r="E23" t="str">
        <f>"850LOS"</f>
        <v>850LOS</v>
      </c>
      <c r="F23" t="str">
        <f>""</f>
        <v/>
      </c>
      <c r="G23" t="str">
        <f>""</f>
        <v/>
      </c>
      <c r="H23" s="1">
        <v>39072</v>
      </c>
      <c r="I23" t="str">
        <f>"1015325A"</f>
        <v>1015325A</v>
      </c>
      <c r="J23" t="str">
        <f>"B076220C"</f>
        <v>B076220C</v>
      </c>
      <c r="K23" t="str">
        <f>"INNI"</f>
        <v>INNI</v>
      </c>
      <c r="L23" t="s">
        <v>12</v>
      </c>
      <c r="M23" s="2">
        <v>7854</v>
      </c>
    </row>
    <row r="24" spans="1:13" x14ac:dyDescent="0.25">
      <c r="A24" t="str">
        <f t="shared" si="4"/>
        <v>E057</v>
      </c>
      <c r="B24">
        <v>1</v>
      </c>
      <c r="C24" t="str">
        <f>"43001"</f>
        <v>43001</v>
      </c>
      <c r="D24" t="str">
        <f t="shared" si="3"/>
        <v>5740</v>
      </c>
      <c r="E24" t="str">
        <f>"850LOS"</f>
        <v>850LOS</v>
      </c>
      <c r="F24" t="str">
        <f>""</f>
        <v/>
      </c>
      <c r="G24" t="str">
        <f>""</f>
        <v/>
      </c>
      <c r="H24" s="1">
        <v>39118</v>
      </c>
      <c r="I24" t="str">
        <f>"1015326A"</f>
        <v>1015326A</v>
      </c>
      <c r="J24" t="str">
        <f>"B076220C"</f>
        <v>B076220C</v>
      </c>
      <c r="K24" t="str">
        <f>"INNI"</f>
        <v>INNI</v>
      </c>
      <c r="L24" t="s">
        <v>12</v>
      </c>
      <c r="M24" s="2">
        <v>3332</v>
      </c>
    </row>
    <row r="25" spans="1:13" x14ac:dyDescent="0.25">
      <c r="A25" t="str">
        <f t="shared" si="4"/>
        <v>E057</v>
      </c>
      <c r="B25">
        <v>1</v>
      </c>
      <c r="C25" t="str">
        <f>"43001"</f>
        <v>43001</v>
      </c>
      <c r="D25" t="str">
        <f t="shared" si="3"/>
        <v>5740</v>
      </c>
      <c r="E25" t="str">
        <f>"850LOS"</f>
        <v>850LOS</v>
      </c>
      <c r="F25" t="str">
        <f>""</f>
        <v/>
      </c>
      <c r="G25" t="str">
        <f>""</f>
        <v/>
      </c>
      <c r="H25" s="1">
        <v>39203</v>
      </c>
      <c r="I25" t="str">
        <f>"1015327A"</f>
        <v>1015327A</v>
      </c>
      <c r="J25" t="str">
        <f>"B076220C"</f>
        <v>B076220C</v>
      </c>
      <c r="K25" t="str">
        <f>"INNI"</f>
        <v>INNI</v>
      </c>
      <c r="L25" t="s">
        <v>12</v>
      </c>
      <c r="M25">
        <v>476</v>
      </c>
    </row>
    <row r="26" spans="1:13" x14ac:dyDescent="0.25">
      <c r="A26" t="str">
        <f t="shared" si="4"/>
        <v>E057</v>
      </c>
      <c r="B26">
        <v>1</v>
      </c>
      <c r="C26" t="str">
        <f>"43007"</f>
        <v>43007</v>
      </c>
      <c r="D26" t="str">
        <f t="shared" si="3"/>
        <v>5740</v>
      </c>
      <c r="E26" t="str">
        <f>"850GAR"</f>
        <v>850GAR</v>
      </c>
      <c r="F26" t="str">
        <f>""</f>
        <v/>
      </c>
      <c r="G26" t="str">
        <f>""</f>
        <v/>
      </c>
      <c r="H26" s="1">
        <v>39263</v>
      </c>
      <c r="I26" t="str">
        <f>"G0714190"</f>
        <v>G0714190</v>
      </c>
      <c r="J26" t="str">
        <f>""</f>
        <v/>
      </c>
      <c r="K26" t="str">
        <f>"J096"</f>
        <v>J096</v>
      </c>
      <c r="L26" t="s">
        <v>371</v>
      </c>
      <c r="M26" s="2">
        <v>7021</v>
      </c>
    </row>
    <row r="27" spans="1:13" x14ac:dyDescent="0.25">
      <c r="A27" t="str">
        <f t="shared" si="4"/>
        <v>E057</v>
      </c>
      <c r="B27">
        <v>1</v>
      </c>
      <c r="C27" t="str">
        <f>"43007"</f>
        <v>43007</v>
      </c>
      <c r="D27" t="str">
        <f t="shared" si="3"/>
        <v>5740</v>
      </c>
      <c r="E27" t="str">
        <f>"850LOS"</f>
        <v>850LOS</v>
      </c>
      <c r="F27" t="str">
        <f>""</f>
        <v/>
      </c>
      <c r="G27" t="str">
        <f>""</f>
        <v/>
      </c>
      <c r="H27" s="1">
        <v>39118</v>
      </c>
      <c r="I27" t="str">
        <f>"1015326B"</f>
        <v>1015326B</v>
      </c>
      <c r="J27" t="str">
        <f>"B076220C"</f>
        <v>B076220C</v>
      </c>
      <c r="K27" t="str">
        <f>"INNI"</f>
        <v>INNI</v>
      </c>
      <c r="L27" t="s">
        <v>12</v>
      </c>
      <c r="M27" s="2">
        <v>4760</v>
      </c>
    </row>
    <row r="28" spans="1:13" x14ac:dyDescent="0.25">
      <c r="A28" t="str">
        <f t="shared" si="4"/>
        <v>E057</v>
      </c>
      <c r="B28">
        <v>1</v>
      </c>
      <c r="C28" t="str">
        <f>"43007"</f>
        <v>43007</v>
      </c>
      <c r="D28" t="str">
        <f t="shared" si="3"/>
        <v>5740</v>
      </c>
      <c r="E28" t="str">
        <f>"850LOS"</f>
        <v>850LOS</v>
      </c>
      <c r="F28" t="str">
        <f>""</f>
        <v/>
      </c>
      <c r="G28" t="str">
        <f>""</f>
        <v/>
      </c>
      <c r="H28" s="1">
        <v>39203</v>
      </c>
      <c r="I28" t="str">
        <f>"015326BA"</f>
        <v>015326BA</v>
      </c>
      <c r="J28" t="str">
        <f>"B076220C"</f>
        <v>B076220C</v>
      </c>
      <c r="K28" t="str">
        <f>"INNI"</f>
        <v>INNI</v>
      </c>
      <c r="L28" t="s">
        <v>12</v>
      </c>
      <c r="M28" s="2">
        <v>2261</v>
      </c>
    </row>
    <row r="29" spans="1:13" x14ac:dyDescent="0.25">
      <c r="A29" t="str">
        <f t="shared" si="4"/>
        <v>E057</v>
      </c>
      <c r="B29">
        <v>1</v>
      </c>
      <c r="C29" t="str">
        <f>"54551"</f>
        <v>54551</v>
      </c>
      <c r="D29" t="str">
        <f t="shared" si="3"/>
        <v>5740</v>
      </c>
      <c r="E29" t="str">
        <f>"111ZAA"</f>
        <v>111ZAA</v>
      </c>
      <c r="F29" t="str">
        <f>"GRAADM"</f>
        <v>GRAADM</v>
      </c>
      <c r="G29" t="str">
        <f>""</f>
        <v/>
      </c>
      <c r="H29" s="1">
        <v>39072</v>
      </c>
      <c r="I29" t="str">
        <f>"1015325B"</f>
        <v>1015325B</v>
      </c>
      <c r="J29" t="str">
        <f>"B076220C"</f>
        <v>B076220C</v>
      </c>
      <c r="K29" t="str">
        <f>"INNI"</f>
        <v>INNI</v>
      </c>
      <c r="L29" t="s">
        <v>12</v>
      </c>
      <c r="M29">
        <v>119</v>
      </c>
    </row>
    <row r="30" spans="1:13" x14ac:dyDescent="0.25">
      <c r="A30" t="str">
        <f t="shared" si="4"/>
        <v>E057</v>
      </c>
      <c r="B30">
        <v>1</v>
      </c>
      <c r="C30" t="str">
        <f>"54551"</f>
        <v>54551</v>
      </c>
      <c r="D30" t="str">
        <f t="shared" si="3"/>
        <v>5740</v>
      </c>
      <c r="E30" t="str">
        <f>"111ZAA"</f>
        <v>111ZAA</v>
      </c>
      <c r="F30" t="str">
        <f>"GRAADM"</f>
        <v>GRAADM</v>
      </c>
      <c r="G30" t="str">
        <f>""</f>
        <v/>
      </c>
      <c r="H30" s="1">
        <v>39118</v>
      </c>
      <c r="I30" t="str">
        <f>"1015326B"</f>
        <v>1015326B</v>
      </c>
      <c r="J30" t="str">
        <f>"B076220C"</f>
        <v>B076220C</v>
      </c>
      <c r="K30" t="str">
        <f>"INNI"</f>
        <v>INNI</v>
      </c>
      <c r="L30" t="s">
        <v>12</v>
      </c>
      <c r="M30">
        <v>119</v>
      </c>
    </row>
    <row r="31" spans="1:13" x14ac:dyDescent="0.25">
      <c r="A31" t="str">
        <f t="shared" ref="A31:A62" si="5">"E111"</f>
        <v>E111</v>
      </c>
      <c r="B31">
        <v>1</v>
      </c>
      <c r="C31" t="str">
        <f t="shared" ref="C31:C52" si="6">"14185"</f>
        <v>14185</v>
      </c>
      <c r="D31" t="str">
        <f t="shared" ref="D31:D53" si="7">"5620"</f>
        <v>5620</v>
      </c>
      <c r="E31" t="str">
        <f t="shared" ref="E31:E53" si="8">"094OMS"</f>
        <v>094OMS</v>
      </c>
      <c r="F31" t="str">
        <f>""</f>
        <v/>
      </c>
      <c r="G31" t="str">
        <f>""</f>
        <v/>
      </c>
      <c r="H31" s="1">
        <v>38929</v>
      </c>
      <c r="I31" t="str">
        <f>"CST00337"</f>
        <v>CST00337</v>
      </c>
      <c r="J31" t="str">
        <f>"42513036"</f>
        <v>42513036</v>
      </c>
      <c r="K31" t="str">
        <f>"AS96"</f>
        <v>AS96</v>
      </c>
      <c r="L31" t="s">
        <v>671</v>
      </c>
      <c r="M31">
        <v>164.31</v>
      </c>
    </row>
    <row r="32" spans="1:13" x14ac:dyDescent="0.25">
      <c r="A32" t="str">
        <f t="shared" si="5"/>
        <v>E111</v>
      </c>
      <c r="B32">
        <v>1</v>
      </c>
      <c r="C32" t="str">
        <f t="shared" si="6"/>
        <v>14185</v>
      </c>
      <c r="D32" t="str">
        <f t="shared" si="7"/>
        <v>5620</v>
      </c>
      <c r="E32" t="str">
        <f t="shared" si="8"/>
        <v>094OMS</v>
      </c>
      <c r="F32" t="str">
        <f>""</f>
        <v/>
      </c>
      <c r="G32" t="str">
        <f>""</f>
        <v/>
      </c>
      <c r="H32" s="1">
        <v>38970</v>
      </c>
      <c r="I32" t="str">
        <f>"PCD00243"</f>
        <v>PCD00243</v>
      </c>
      <c r="J32" t="str">
        <f>"44718"</f>
        <v>44718</v>
      </c>
      <c r="K32" t="str">
        <f>"AS89"</f>
        <v>AS89</v>
      </c>
      <c r="L32" t="s">
        <v>670</v>
      </c>
      <c r="M32">
        <v>413.33</v>
      </c>
    </row>
    <row r="33" spans="1:13" x14ac:dyDescent="0.25">
      <c r="A33" t="str">
        <f t="shared" si="5"/>
        <v>E111</v>
      </c>
      <c r="B33">
        <v>1</v>
      </c>
      <c r="C33" t="str">
        <f t="shared" si="6"/>
        <v>14185</v>
      </c>
      <c r="D33" t="str">
        <f t="shared" si="7"/>
        <v>5620</v>
      </c>
      <c r="E33" t="str">
        <f t="shared" si="8"/>
        <v>094OMS</v>
      </c>
      <c r="F33" t="str">
        <f>""</f>
        <v/>
      </c>
      <c r="G33" t="str">
        <f>""</f>
        <v/>
      </c>
      <c r="H33" s="1">
        <v>38990</v>
      </c>
      <c r="I33" t="str">
        <f>"CST00341"</f>
        <v>CST00341</v>
      </c>
      <c r="J33" t="str">
        <f>"47287713"</f>
        <v>47287713</v>
      </c>
      <c r="K33" t="str">
        <f>"AS96"</f>
        <v>AS96</v>
      </c>
      <c r="L33" t="s">
        <v>669</v>
      </c>
      <c r="M33">
        <v>106.95</v>
      </c>
    </row>
    <row r="34" spans="1:13" x14ac:dyDescent="0.25">
      <c r="A34" t="str">
        <f t="shared" si="5"/>
        <v>E111</v>
      </c>
      <c r="B34">
        <v>1</v>
      </c>
      <c r="C34" t="str">
        <f t="shared" si="6"/>
        <v>14185</v>
      </c>
      <c r="D34" t="str">
        <f t="shared" si="7"/>
        <v>5620</v>
      </c>
      <c r="E34" t="str">
        <f t="shared" si="8"/>
        <v>094OMS</v>
      </c>
      <c r="F34" t="str">
        <f>""</f>
        <v/>
      </c>
      <c r="G34" t="str">
        <f>""</f>
        <v/>
      </c>
      <c r="H34" s="1">
        <v>39003</v>
      </c>
      <c r="I34" t="str">
        <f>"PCD00246"</f>
        <v>PCD00246</v>
      </c>
      <c r="J34" t="str">
        <f>"45653"</f>
        <v>45653</v>
      </c>
      <c r="K34" t="str">
        <f>"AS89"</f>
        <v>AS89</v>
      </c>
      <c r="L34" t="s">
        <v>649</v>
      </c>
      <c r="M34">
        <v>725.18</v>
      </c>
    </row>
    <row r="35" spans="1:13" x14ac:dyDescent="0.25">
      <c r="A35" t="str">
        <f t="shared" si="5"/>
        <v>E111</v>
      </c>
      <c r="B35">
        <v>1</v>
      </c>
      <c r="C35" t="str">
        <f t="shared" si="6"/>
        <v>14185</v>
      </c>
      <c r="D35" t="str">
        <f t="shared" si="7"/>
        <v>5620</v>
      </c>
      <c r="E35" t="str">
        <f t="shared" si="8"/>
        <v>094OMS</v>
      </c>
      <c r="F35" t="str">
        <f>""</f>
        <v/>
      </c>
      <c r="G35" t="str">
        <f>""</f>
        <v/>
      </c>
      <c r="H35" s="1">
        <v>39038</v>
      </c>
      <c r="I35" t="str">
        <f>"PCD00249"</f>
        <v>PCD00249</v>
      </c>
      <c r="J35" t="str">
        <f>"47855"</f>
        <v>47855</v>
      </c>
      <c r="K35" t="str">
        <f>"AS89"</f>
        <v>AS89</v>
      </c>
      <c r="L35" t="s">
        <v>618</v>
      </c>
      <c r="M35">
        <v>110.5</v>
      </c>
    </row>
    <row r="36" spans="1:13" x14ac:dyDescent="0.25">
      <c r="A36" t="str">
        <f t="shared" si="5"/>
        <v>E111</v>
      </c>
      <c r="B36">
        <v>1</v>
      </c>
      <c r="C36" t="str">
        <f t="shared" si="6"/>
        <v>14185</v>
      </c>
      <c r="D36" t="str">
        <f t="shared" si="7"/>
        <v>5620</v>
      </c>
      <c r="E36" t="str">
        <f t="shared" si="8"/>
        <v>094OMS</v>
      </c>
      <c r="F36" t="str">
        <f>""</f>
        <v/>
      </c>
      <c r="G36" t="str">
        <f>""</f>
        <v/>
      </c>
      <c r="H36" s="1">
        <v>39051</v>
      </c>
      <c r="I36" t="str">
        <f>"EIS00020"</f>
        <v>EIS00020</v>
      </c>
      <c r="J36" t="str">
        <f>"F110033"</f>
        <v>F110033</v>
      </c>
      <c r="K36" t="str">
        <f>"AS46"</f>
        <v>AS46</v>
      </c>
      <c r="L36" t="s">
        <v>459</v>
      </c>
      <c r="M36" s="2">
        <v>2105.67</v>
      </c>
    </row>
    <row r="37" spans="1:13" x14ac:dyDescent="0.25">
      <c r="A37" t="str">
        <f t="shared" si="5"/>
        <v>E111</v>
      </c>
      <c r="B37">
        <v>1</v>
      </c>
      <c r="C37" t="str">
        <f t="shared" si="6"/>
        <v>14185</v>
      </c>
      <c r="D37" t="str">
        <f t="shared" si="7"/>
        <v>5620</v>
      </c>
      <c r="E37" t="str">
        <f t="shared" si="8"/>
        <v>094OMS</v>
      </c>
      <c r="F37" t="str">
        <f>""</f>
        <v/>
      </c>
      <c r="G37" t="str">
        <f>""</f>
        <v/>
      </c>
      <c r="H37" s="1">
        <v>39129</v>
      </c>
      <c r="I37" t="str">
        <f>"PCD00257"</f>
        <v>PCD00257</v>
      </c>
      <c r="J37" t="str">
        <f>"53080"</f>
        <v>53080</v>
      </c>
      <c r="K37" t="str">
        <f t="shared" ref="K37:K48" si="9">"AS89"</f>
        <v>AS89</v>
      </c>
      <c r="L37" t="s">
        <v>668</v>
      </c>
      <c r="M37">
        <v>205.41</v>
      </c>
    </row>
    <row r="38" spans="1:13" x14ac:dyDescent="0.25">
      <c r="A38" t="str">
        <f t="shared" si="5"/>
        <v>E111</v>
      </c>
      <c r="B38">
        <v>1</v>
      </c>
      <c r="C38" t="str">
        <f t="shared" si="6"/>
        <v>14185</v>
      </c>
      <c r="D38" t="str">
        <f t="shared" si="7"/>
        <v>5620</v>
      </c>
      <c r="E38" t="str">
        <f t="shared" si="8"/>
        <v>094OMS</v>
      </c>
      <c r="F38" t="str">
        <f>""</f>
        <v/>
      </c>
      <c r="G38" t="str">
        <f>""</f>
        <v/>
      </c>
      <c r="H38" s="1">
        <v>39142</v>
      </c>
      <c r="I38" t="str">
        <f>"PCD00261"</f>
        <v>PCD00261</v>
      </c>
      <c r="J38" t="str">
        <f>"54537"</f>
        <v>54537</v>
      </c>
      <c r="K38" t="str">
        <f t="shared" si="9"/>
        <v>AS89</v>
      </c>
      <c r="L38" t="s">
        <v>643</v>
      </c>
      <c r="M38">
        <v>127.3</v>
      </c>
    </row>
    <row r="39" spans="1:13" x14ac:dyDescent="0.25">
      <c r="A39" t="str">
        <f t="shared" si="5"/>
        <v>E111</v>
      </c>
      <c r="B39">
        <v>1</v>
      </c>
      <c r="C39" t="str">
        <f t="shared" si="6"/>
        <v>14185</v>
      </c>
      <c r="D39" t="str">
        <f t="shared" si="7"/>
        <v>5620</v>
      </c>
      <c r="E39" t="str">
        <f t="shared" si="8"/>
        <v>094OMS</v>
      </c>
      <c r="F39" t="str">
        <f>""</f>
        <v/>
      </c>
      <c r="G39" t="str">
        <f>""</f>
        <v/>
      </c>
      <c r="H39" s="1">
        <v>39173</v>
      </c>
      <c r="I39" t="str">
        <f>"PCD00266"</f>
        <v>PCD00266</v>
      </c>
      <c r="J39" t="str">
        <f>"56172"</f>
        <v>56172</v>
      </c>
      <c r="K39" t="str">
        <f t="shared" si="9"/>
        <v>AS89</v>
      </c>
      <c r="L39" t="s">
        <v>667</v>
      </c>
      <c r="M39">
        <v>897.45</v>
      </c>
    </row>
    <row r="40" spans="1:13" x14ac:dyDescent="0.25">
      <c r="A40" t="str">
        <f t="shared" si="5"/>
        <v>E111</v>
      </c>
      <c r="B40">
        <v>1</v>
      </c>
      <c r="C40" t="str">
        <f t="shared" si="6"/>
        <v>14185</v>
      </c>
      <c r="D40" t="str">
        <f t="shared" si="7"/>
        <v>5620</v>
      </c>
      <c r="E40" t="str">
        <f t="shared" si="8"/>
        <v>094OMS</v>
      </c>
      <c r="F40" t="str">
        <f>""</f>
        <v/>
      </c>
      <c r="G40" t="str">
        <f>""</f>
        <v/>
      </c>
      <c r="H40" s="1">
        <v>39203</v>
      </c>
      <c r="I40" t="str">
        <f>"PCD00269"</f>
        <v>PCD00269</v>
      </c>
      <c r="J40" t="str">
        <f>"56996"</f>
        <v>56996</v>
      </c>
      <c r="K40" t="str">
        <f t="shared" si="9"/>
        <v>AS89</v>
      </c>
      <c r="L40" t="s">
        <v>666</v>
      </c>
      <c r="M40">
        <v>550.17999999999995</v>
      </c>
    </row>
    <row r="41" spans="1:13" x14ac:dyDescent="0.25">
      <c r="A41" t="str">
        <f t="shared" si="5"/>
        <v>E111</v>
      </c>
      <c r="B41">
        <v>1</v>
      </c>
      <c r="C41" t="str">
        <f t="shared" si="6"/>
        <v>14185</v>
      </c>
      <c r="D41" t="str">
        <f t="shared" si="7"/>
        <v>5620</v>
      </c>
      <c r="E41" t="str">
        <f t="shared" si="8"/>
        <v>094OMS</v>
      </c>
      <c r="F41" t="str">
        <f>""</f>
        <v/>
      </c>
      <c r="G41" t="str">
        <f>""</f>
        <v/>
      </c>
      <c r="H41" s="1">
        <v>39203</v>
      </c>
      <c r="I41" t="str">
        <f>"PCD00269"</f>
        <v>PCD00269</v>
      </c>
      <c r="J41" t="str">
        <f>"57575"</f>
        <v>57575</v>
      </c>
      <c r="K41" t="str">
        <f t="shared" si="9"/>
        <v>AS89</v>
      </c>
      <c r="L41" t="s">
        <v>665</v>
      </c>
      <c r="M41">
        <v>162.59</v>
      </c>
    </row>
    <row r="42" spans="1:13" x14ac:dyDescent="0.25">
      <c r="A42" t="str">
        <f t="shared" si="5"/>
        <v>E111</v>
      </c>
      <c r="B42">
        <v>1</v>
      </c>
      <c r="C42" t="str">
        <f t="shared" si="6"/>
        <v>14185</v>
      </c>
      <c r="D42" t="str">
        <f t="shared" si="7"/>
        <v>5620</v>
      </c>
      <c r="E42" t="str">
        <f t="shared" si="8"/>
        <v>094OMS</v>
      </c>
      <c r="F42" t="str">
        <f>""</f>
        <v/>
      </c>
      <c r="G42" t="str">
        <f>""</f>
        <v/>
      </c>
      <c r="H42" s="1">
        <v>39203</v>
      </c>
      <c r="I42" t="str">
        <f>"PCD00269"</f>
        <v>PCD00269</v>
      </c>
      <c r="J42" t="str">
        <f>"58316"</f>
        <v>58316</v>
      </c>
      <c r="K42" t="str">
        <f t="shared" si="9"/>
        <v>AS89</v>
      </c>
      <c r="L42" t="s">
        <v>664</v>
      </c>
      <c r="M42">
        <v>506.86</v>
      </c>
    </row>
    <row r="43" spans="1:13" x14ac:dyDescent="0.25">
      <c r="A43" t="str">
        <f t="shared" si="5"/>
        <v>E111</v>
      </c>
      <c r="B43">
        <v>1</v>
      </c>
      <c r="C43" t="str">
        <f t="shared" si="6"/>
        <v>14185</v>
      </c>
      <c r="D43" t="str">
        <f t="shared" si="7"/>
        <v>5620</v>
      </c>
      <c r="E43" t="str">
        <f t="shared" si="8"/>
        <v>094OMS</v>
      </c>
      <c r="F43" t="str">
        <f>""</f>
        <v/>
      </c>
      <c r="G43" t="str">
        <f>""</f>
        <v/>
      </c>
      <c r="H43" s="1">
        <v>39213</v>
      </c>
      <c r="I43" t="str">
        <f>"PCD00270"</f>
        <v>PCD00270</v>
      </c>
      <c r="J43" t="str">
        <f>"58856"</f>
        <v>58856</v>
      </c>
      <c r="K43" t="str">
        <f t="shared" si="9"/>
        <v>AS89</v>
      </c>
      <c r="L43" t="s">
        <v>663</v>
      </c>
      <c r="M43">
        <v>134.41</v>
      </c>
    </row>
    <row r="44" spans="1:13" x14ac:dyDescent="0.25">
      <c r="A44" t="str">
        <f t="shared" si="5"/>
        <v>E111</v>
      </c>
      <c r="B44">
        <v>1</v>
      </c>
      <c r="C44" t="str">
        <f t="shared" si="6"/>
        <v>14185</v>
      </c>
      <c r="D44" t="str">
        <f t="shared" si="7"/>
        <v>5620</v>
      </c>
      <c r="E44" t="str">
        <f t="shared" si="8"/>
        <v>094OMS</v>
      </c>
      <c r="F44" t="str">
        <f>""</f>
        <v/>
      </c>
      <c r="G44" t="str">
        <f>""</f>
        <v/>
      </c>
      <c r="H44" s="1">
        <v>39213</v>
      </c>
      <c r="I44" t="str">
        <f>"PCD00270"</f>
        <v>PCD00270</v>
      </c>
      <c r="J44" t="str">
        <f>"58857"</f>
        <v>58857</v>
      </c>
      <c r="K44" t="str">
        <f t="shared" si="9"/>
        <v>AS89</v>
      </c>
      <c r="L44" t="s">
        <v>663</v>
      </c>
      <c r="M44">
        <v>192.93</v>
      </c>
    </row>
    <row r="45" spans="1:13" x14ac:dyDescent="0.25">
      <c r="A45" t="str">
        <f t="shared" si="5"/>
        <v>E111</v>
      </c>
      <c r="B45">
        <v>1</v>
      </c>
      <c r="C45" t="str">
        <f t="shared" si="6"/>
        <v>14185</v>
      </c>
      <c r="D45" t="str">
        <f t="shared" si="7"/>
        <v>5620</v>
      </c>
      <c r="E45" t="str">
        <f t="shared" si="8"/>
        <v>094OMS</v>
      </c>
      <c r="F45" t="str">
        <f>""</f>
        <v/>
      </c>
      <c r="G45" t="str">
        <f>""</f>
        <v/>
      </c>
      <c r="H45" s="1">
        <v>39213</v>
      </c>
      <c r="I45" t="str">
        <f>"PCD00270"</f>
        <v>PCD00270</v>
      </c>
      <c r="J45" t="str">
        <f>"58858"</f>
        <v>58858</v>
      </c>
      <c r="K45" t="str">
        <f t="shared" si="9"/>
        <v>AS89</v>
      </c>
      <c r="L45" t="s">
        <v>663</v>
      </c>
      <c r="M45">
        <v>164.55</v>
      </c>
    </row>
    <row r="46" spans="1:13" x14ac:dyDescent="0.25">
      <c r="A46" t="str">
        <f t="shared" si="5"/>
        <v>E111</v>
      </c>
      <c r="B46">
        <v>1</v>
      </c>
      <c r="C46" t="str">
        <f t="shared" si="6"/>
        <v>14185</v>
      </c>
      <c r="D46" t="str">
        <f t="shared" si="7"/>
        <v>5620</v>
      </c>
      <c r="E46" t="str">
        <f t="shared" si="8"/>
        <v>094OMS</v>
      </c>
      <c r="F46" t="str">
        <f>""</f>
        <v/>
      </c>
      <c r="G46" t="str">
        <f>""</f>
        <v/>
      </c>
      <c r="H46" s="1">
        <v>39234</v>
      </c>
      <c r="I46" t="str">
        <f>"PCD00272"</f>
        <v>PCD00272</v>
      </c>
      <c r="J46" t="str">
        <f>"59209"</f>
        <v>59209</v>
      </c>
      <c r="K46" t="str">
        <f t="shared" si="9"/>
        <v>AS89</v>
      </c>
      <c r="L46" t="s">
        <v>662</v>
      </c>
      <c r="M46">
        <v>101.78</v>
      </c>
    </row>
    <row r="47" spans="1:13" x14ac:dyDescent="0.25">
      <c r="A47" t="str">
        <f t="shared" si="5"/>
        <v>E111</v>
      </c>
      <c r="B47">
        <v>1</v>
      </c>
      <c r="C47" t="str">
        <f t="shared" si="6"/>
        <v>14185</v>
      </c>
      <c r="D47" t="str">
        <f t="shared" si="7"/>
        <v>5620</v>
      </c>
      <c r="E47" t="str">
        <f t="shared" si="8"/>
        <v>094OMS</v>
      </c>
      <c r="F47" t="str">
        <f>""</f>
        <v/>
      </c>
      <c r="G47" t="str">
        <f>""</f>
        <v/>
      </c>
      <c r="H47" s="1">
        <v>39234</v>
      </c>
      <c r="I47" t="str">
        <f>"PCD00272"</f>
        <v>PCD00272</v>
      </c>
      <c r="J47" t="str">
        <f>"59285"</f>
        <v>59285</v>
      </c>
      <c r="K47" t="str">
        <f t="shared" si="9"/>
        <v>AS89</v>
      </c>
      <c r="L47" t="s">
        <v>661</v>
      </c>
      <c r="M47">
        <v>397.44</v>
      </c>
    </row>
    <row r="48" spans="1:13" x14ac:dyDescent="0.25">
      <c r="A48" t="str">
        <f t="shared" si="5"/>
        <v>E111</v>
      </c>
      <c r="B48">
        <v>1</v>
      </c>
      <c r="C48" t="str">
        <f t="shared" si="6"/>
        <v>14185</v>
      </c>
      <c r="D48" t="str">
        <f t="shared" si="7"/>
        <v>5620</v>
      </c>
      <c r="E48" t="str">
        <f t="shared" si="8"/>
        <v>094OMS</v>
      </c>
      <c r="F48" t="str">
        <f>""</f>
        <v/>
      </c>
      <c r="G48" t="str">
        <f>""</f>
        <v/>
      </c>
      <c r="H48" s="1">
        <v>39234</v>
      </c>
      <c r="I48" t="str">
        <f>"PCD00272"</f>
        <v>PCD00272</v>
      </c>
      <c r="J48" t="str">
        <f>"59286"</f>
        <v>59286</v>
      </c>
      <c r="K48" t="str">
        <f t="shared" si="9"/>
        <v>AS89</v>
      </c>
      <c r="L48" t="s">
        <v>661</v>
      </c>
      <c r="M48">
        <v>124.06</v>
      </c>
    </row>
    <row r="49" spans="1:13" x14ac:dyDescent="0.25">
      <c r="A49" t="str">
        <f t="shared" si="5"/>
        <v>E111</v>
      </c>
      <c r="B49">
        <v>1</v>
      </c>
      <c r="C49" t="str">
        <f t="shared" si="6"/>
        <v>14185</v>
      </c>
      <c r="D49" t="str">
        <f t="shared" si="7"/>
        <v>5620</v>
      </c>
      <c r="E49" t="str">
        <f t="shared" si="8"/>
        <v>094OMS</v>
      </c>
      <c r="F49" t="str">
        <f>""</f>
        <v/>
      </c>
      <c r="G49" t="str">
        <f>""</f>
        <v/>
      </c>
      <c r="H49" s="1">
        <v>39263</v>
      </c>
      <c r="I49" t="str">
        <f>"11596C"</f>
        <v>11596C</v>
      </c>
      <c r="J49" t="str">
        <f>"F113815"</f>
        <v>F113815</v>
      </c>
      <c r="K49" t="str">
        <f>"INEI"</f>
        <v>INEI</v>
      </c>
      <c r="L49" t="s">
        <v>458</v>
      </c>
      <c r="M49">
        <v>113.4</v>
      </c>
    </row>
    <row r="50" spans="1:13" x14ac:dyDescent="0.25">
      <c r="A50" t="str">
        <f t="shared" si="5"/>
        <v>E111</v>
      </c>
      <c r="B50">
        <v>1</v>
      </c>
      <c r="C50" t="str">
        <f t="shared" si="6"/>
        <v>14185</v>
      </c>
      <c r="D50" t="str">
        <f t="shared" si="7"/>
        <v>5620</v>
      </c>
      <c r="E50" t="str">
        <f t="shared" si="8"/>
        <v>094OMS</v>
      </c>
      <c r="F50" t="str">
        <f>""</f>
        <v/>
      </c>
      <c r="G50" t="str">
        <f>""</f>
        <v/>
      </c>
      <c r="H50" s="1">
        <v>39263</v>
      </c>
      <c r="I50" t="str">
        <f>"PCD00275"</f>
        <v>PCD00275</v>
      </c>
      <c r="J50" t="str">
        <f>"61124"</f>
        <v>61124</v>
      </c>
      <c r="K50" t="str">
        <f>"AS89"</f>
        <v>AS89</v>
      </c>
      <c r="L50" t="s">
        <v>660</v>
      </c>
      <c r="M50">
        <v>225.91</v>
      </c>
    </row>
    <row r="51" spans="1:13" x14ac:dyDescent="0.25">
      <c r="A51" t="str">
        <f t="shared" si="5"/>
        <v>E111</v>
      </c>
      <c r="B51">
        <v>1</v>
      </c>
      <c r="C51" t="str">
        <f t="shared" si="6"/>
        <v>14185</v>
      </c>
      <c r="D51" t="str">
        <f t="shared" si="7"/>
        <v>5620</v>
      </c>
      <c r="E51" t="str">
        <f t="shared" si="8"/>
        <v>094OMS</v>
      </c>
      <c r="F51" t="str">
        <f>""</f>
        <v/>
      </c>
      <c r="G51" t="str">
        <f>""</f>
        <v/>
      </c>
      <c r="H51" s="1">
        <v>39263</v>
      </c>
      <c r="I51" t="str">
        <f>"PCD00275"</f>
        <v>PCD00275</v>
      </c>
      <c r="J51" t="str">
        <f>"61147"</f>
        <v>61147</v>
      </c>
      <c r="K51" t="str">
        <f>"AS89"</f>
        <v>AS89</v>
      </c>
      <c r="L51" t="s">
        <v>613</v>
      </c>
      <c r="M51">
        <v>193.23</v>
      </c>
    </row>
    <row r="52" spans="1:13" x14ac:dyDescent="0.25">
      <c r="A52" t="str">
        <f t="shared" si="5"/>
        <v>E111</v>
      </c>
      <c r="B52">
        <v>1</v>
      </c>
      <c r="C52" t="str">
        <f t="shared" si="6"/>
        <v>14185</v>
      </c>
      <c r="D52" t="str">
        <f t="shared" si="7"/>
        <v>5620</v>
      </c>
      <c r="E52" t="str">
        <f t="shared" si="8"/>
        <v>094OMS</v>
      </c>
      <c r="F52" t="str">
        <f>""</f>
        <v/>
      </c>
      <c r="G52" t="str">
        <f>""</f>
        <v/>
      </c>
      <c r="H52" s="1">
        <v>39263</v>
      </c>
      <c r="I52" t="str">
        <f>"PCD00275"</f>
        <v>PCD00275</v>
      </c>
      <c r="J52" t="str">
        <f>"61188"</f>
        <v>61188</v>
      </c>
      <c r="K52" t="str">
        <f>"AS89"</f>
        <v>AS89</v>
      </c>
      <c r="L52" t="s">
        <v>659</v>
      </c>
      <c r="M52">
        <v>157.18</v>
      </c>
    </row>
    <row r="53" spans="1:13" x14ac:dyDescent="0.25">
      <c r="A53" t="str">
        <f t="shared" si="5"/>
        <v>E111</v>
      </c>
      <c r="B53">
        <v>1</v>
      </c>
      <c r="C53" t="str">
        <f>"31040"</f>
        <v>31040</v>
      </c>
      <c r="D53" t="str">
        <f t="shared" si="7"/>
        <v>5620</v>
      </c>
      <c r="E53" t="str">
        <f t="shared" si="8"/>
        <v>094OMS</v>
      </c>
      <c r="F53" t="str">
        <f>""</f>
        <v/>
      </c>
      <c r="G53" t="str">
        <f>""</f>
        <v/>
      </c>
      <c r="H53" s="1">
        <v>39129</v>
      </c>
      <c r="I53" t="str">
        <f>"PCD00257"</f>
        <v>PCD00257</v>
      </c>
      <c r="J53" t="str">
        <f>"52219"</f>
        <v>52219</v>
      </c>
      <c r="K53" t="str">
        <f>"AS89"</f>
        <v>AS89</v>
      </c>
      <c r="L53" t="s">
        <v>658</v>
      </c>
      <c r="M53">
        <v>103.34</v>
      </c>
    </row>
    <row r="54" spans="1:13" x14ac:dyDescent="0.25">
      <c r="A54" t="str">
        <f t="shared" si="5"/>
        <v>E111</v>
      </c>
      <c r="B54">
        <v>1</v>
      </c>
      <c r="C54" t="str">
        <f t="shared" ref="C54:C85" si="10">"32040"</f>
        <v>32040</v>
      </c>
      <c r="D54" t="str">
        <f t="shared" ref="D54:D85" si="11">"5610"</f>
        <v>5610</v>
      </c>
      <c r="E54" t="str">
        <f t="shared" ref="E54:E85" si="12">"850LOS"</f>
        <v>850LOS</v>
      </c>
      <c r="F54" t="str">
        <f>""</f>
        <v/>
      </c>
      <c r="G54" t="str">
        <f>""</f>
        <v/>
      </c>
      <c r="H54" s="1">
        <v>38916</v>
      </c>
      <c r="I54" t="str">
        <f>"58291601"</f>
        <v>58291601</v>
      </c>
      <c r="J54" t="str">
        <f t="shared" ref="J54:J61" si="13">"BP52205J"</f>
        <v>BP52205J</v>
      </c>
      <c r="K54" t="str">
        <f t="shared" ref="K54:K61" si="14">"INNI"</f>
        <v>INNI</v>
      </c>
      <c r="L54" t="s">
        <v>36</v>
      </c>
      <c r="M54" s="2">
        <v>3380.59</v>
      </c>
    </row>
    <row r="55" spans="1:13" x14ac:dyDescent="0.25">
      <c r="A55" t="str">
        <f t="shared" si="5"/>
        <v>E111</v>
      </c>
      <c r="B55">
        <v>1</v>
      </c>
      <c r="C55" t="str">
        <f t="shared" si="10"/>
        <v>32040</v>
      </c>
      <c r="D55" t="str">
        <f t="shared" si="11"/>
        <v>5610</v>
      </c>
      <c r="E55" t="str">
        <f t="shared" si="12"/>
        <v>850LOS</v>
      </c>
      <c r="F55" t="str">
        <f>""</f>
        <v/>
      </c>
      <c r="G55" t="str">
        <f>""</f>
        <v/>
      </c>
      <c r="H55" s="1">
        <v>38925</v>
      </c>
      <c r="I55" t="str">
        <f>"58429501"</f>
        <v>58429501</v>
      </c>
      <c r="J55" t="str">
        <f t="shared" si="13"/>
        <v>BP52205J</v>
      </c>
      <c r="K55" t="str">
        <f t="shared" si="14"/>
        <v>INNI</v>
      </c>
      <c r="L55" t="s">
        <v>36</v>
      </c>
      <c r="M55" s="2">
        <v>1368.6</v>
      </c>
    </row>
    <row r="56" spans="1:13" x14ac:dyDescent="0.25">
      <c r="A56" t="str">
        <f t="shared" si="5"/>
        <v>E111</v>
      </c>
      <c r="B56">
        <v>1</v>
      </c>
      <c r="C56" t="str">
        <f t="shared" si="10"/>
        <v>32040</v>
      </c>
      <c r="D56" t="str">
        <f t="shared" si="11"/>
        <v>5610</v>
      </c>
      <c r="E56" t="str">
        <f t="shared" si="12"/>
        <v>850LOS</v>
      </c>
      <c r="F56" t="str">
        <f>""</f>
        <v/>
      </c>
      <c r="G56" t="str">
        <f>""</f>
        <v/>
      </c>
      <c r="H56" s="1">
        <v>38925</v>
      </c>
      <c r="I56" t="str">
        <f>"58432201"</f>
        <v>58432201</v>
      </c>
      <c r="J56" t="str">
        <f t="shared" si="13"/>
        <v>BP52205J</v>
      </c>
      <c r="K56" t="str">
        <f t="shared" si="14"/>
        <v>INNI</v>
      </c>
      <c r="L56" t="s">
        <v>36</v>
      </c>
      <c r="M56">
        <v>456.2</v>
      </c>
    </row>
    <row r="57" spans="1:13" x14ac:dyDescent="0.25">
      <c r="A57" t="str">
        <f t="shared" si="5"/>
        <v>E111</v>
      </c>
      <c r="B57">
        <v>1</v>
      </c>
      <c r="C57" t="str">
        <f t="shared" si="10"/>
        <v>32040</v>
      </c>
      <c r="D57" t="str">
        <f t="shared" si="11"/>
        <v>5610</v>
      </c>
      <c r="E57" t="str">
        <f t="shared" si="12"/>
        <v>850LOS</v>
      </c>
      <c r="F57" t="str">
        <f>""</f>
        <v/>
      </c>
      <c r="G57" t="str">
        <f>""</f>
        <v/>
      </c>
      <c r="H57" s="1">
        <v>38925</v>
      </c>
      <c r="I57" t="str">
        <f>"58574301"</f>
        <v>58574301</v>
      </c>
      <c r="J57" t="str">
        <f t="shared" si="13"/>
        <v>BP52205J</v>
      </c>
      <c r="K57" t="str">
        <f t="shared" si="14"/>
        <v>INNI</v>
      </c>
      <c r="L57" t="s">
        <v>36</v>
      </c>
      <c r="M57">
        <v>436.98</v>
      </c>
    </row>
    <row r="58" spans="1:13" x14ac:dyDescent="0.25">
      <c r="A58" t="str">
        <f t="shared" si="5"/>
        <v>E111</v>
      </c>
      <c r="B58">
        <v>1</v>
      </c>
      <c r="C58" t="str">
        <f t="shared" si="10"/>
        <v>32040</v>
      </c>
      <c r="D58" t="str">
        <f t="shared" si="11"/>
        <v>5610</v>
      </c>
      <c r="E58" t="str">
        <f t="shared" si="12"/>
        <v>850LOS</v>
      </c>
      <c r="F58" t="str">
        <f>""</f>
        <v/>
      </c>
      <c r="G58" t="str">
        <f>""</f>
        <v/>
      </c>
      <c r="H58" s="1">
        <v>38937</v>
      </c>
      <c r="I58" t="str">
        <f>"57931902"</f>
        <v>57931902</v>
      </c>
      <c r="J58" t="str">
        <f t="shared" si="13"/>
        <v>BP52205J</v>
      </c>
      <c r="K58" t="str">
        <f t="shared" si="14"/>
        <v>INNI</v>
      </c>
      <c r="L58" t="s">
        <v>36</v>
      </c>
      <c r="M58">
        <v>961.4</v>
      </c>
    </row>
    <row r="59" spans="1:13" x14ac:dyDescent="0.25">
      <c r="A59" t="str">
        <f t="shared" si="5"/>
        <v>E111</v>
      </c>
      <c r="B59">
        <v>1</v>
      </c>
      <c r="C59" t="str">
        <f t="shared" si="10"/>
        <v>32040</v>
      </c>
      <c r="D59" t="str">
        <f t="shared" si="11"/>
        <v>5610</v>
      </c>
      <c r="E59" t="str">
        <f t="shared" si="12"/>
        <v>850LOS</v>
      </c>
      <c r="F59" t="str">
        <f>""</f>
        <v/>
      </c>
      <c r="G59" t="str">
        <f>""</f>
        <v/>
      </c>
      <c r="H59" s="1">
        <v>38937</v>
      </c>
      <c r="I59" t="str">
        <f>"57931903"</f>
        <v>57931903</v>
      </c>
      <c r="J59" t="str">
        <f t="shared" si="13"/>
        <v>BP52205J</v>
      </c>
      <c r="K59" t="str">
        <f t="shared" si="14"/>
        <v>INNI</v>
      </c>
      <c r="L59" t="s">
        <v>36</v>
      </c>
      <c r="M59">
        <v>244.33</v>
      </c>
    </row>
    <row r="60" spans="1:13" x14ac:dyDescent="0.25">
      <c r="A60" t="str">
        <f t="shared" si="5"/>
        <v>E111</v>
      </c>
      <c r="B60">
        <v>1</v>
      </c>
      <c r="C60" t="str">
        <f t="shared" si="10"/>
        <v>32040</v>
      </c>
      <c r="D60" t="str">
        <f t="shared" si="11"/>
        <v>5610</v>
      </c>
      <c r="E60" t="str">
        <f t="shared" si="12"/>
        <v>850LOS</v>
      </c>
      <c r="F60" t="str">
        <f>""</f>
        <v/>
      </c>
      <c r="G60" t="str">
        <f>""</f>
        <v/>
      </c>
      <c r="H60" s="1">
        <v>38937</v>
      </c>
      <c r="I60" t="str">
        <f>"58225901"</f>
        <v>58225901</v>
      </c>
      <c r="J60" t="str">
        <f t="shared" si="13"/>
        <v>BP52205J</v>
      </c>
      <c r="K60" t="str">
        <f t="shared" si="14"/>
        <v>INNI</v>
      </c>
      <c r="L60" t="s">
        <v>36</v>
      </c>
      <c r="M60" s="2">
        <v>1811.53</v>
      </c>
    </row>
    <row r="61" spans="1:13" x14ac:dyDescent="0.25">
      <c r="A61" t="str">
        <f t="shared" si="5"/>
        <v>E111</v>
      </c>
      <c r="B61">
        <v>1</v>
      </c>
      <c r="C61" t="str">
        <f t="shared" si="10"/>
        <v>32040</v>
      </c>
      <c r="D61" t="str">
        <f t="shared" si="11"/>
        <v>5610</v>
      </c>
      <c r="E61" t="str">
        <f t="shared" si="12"/>
        <v>850LOS</v>
      </c>
      <c r="F61" t="str">
        <f>""</f>
        <v/>
      </c>
      <c r="G61" t="str">
        <f>""</f>
        <v/>
      </c>
      <c r="H61" s="1">
        <v>38939</v>
      </c>
      <c r="I61" t="str">
        <f>"58735102"</f>
        <v>58735102</v>
      </c>
      <c r="J61" t="str">
        <f t="shared" si="13"/>
        <v>BP52205J</v>
      </c>
      <c r="K61" t="str">
        <f t="shared" si="14"/>
        <v>INNI</v>
      </c>
      <c r="L61" t="s">
        <v>36</v>
      </c>
      <c r="M61">
        <v>247.26</v>
      </c>
    </row>
    <row r="62" spans="1:13" x14ac:dyDescent="0.25">
      <c r="A62" t="str">
        <f t="shared" si="5"/>
        <v>E111</v>
      </c>
      <c r="B62">
        <v>1</v>
      </c>
      <c r="C62" t="str">
        <f t="shared" si="10"/>
        <v>32040</v>
      </c>
      <c r="D62" t="str">
        <f t="shared" si="11"/>
        <v>5610</v>
      </c>
      <c r="E62" t="str">
        <f t="shared" si="12"/>
        <v>850LOS</v>
      </c>
      <c r="F62" t="str">
        <f>""</f>
        <v/>
      </c>
      <c r="G62" t="str">
        <f>""</f>
        <v/>
      </c>
      <c r="H62" s="1">
        <v>38940</v>
      </c>
      <c r="I62" t="str">
        <f>"PCD00239"</f>
        <v>PCD00239</v>
      </c>
      <c r="J62" t="str">
        <f>"44075"</f>
        <v>44075</v>
      </c>
      <c r="K62" t="str">
        <f>"AS89"</f>
        <v>AS89</v>
      </c>
      <c r="L62" t="s">
        <v>657</v>
      </c>
      <c r="M62">
        <v>330.51</v>
      </c>
    </row>
    <row r="63" spans="1:13" x14ac:dyDescent="0.25">
      <c r="A63" t="str">
        <f t="shared" ref="A63:A94" si="15">"E111"</f>
        <v>E111</v>
      </c>
      <c r="B63">
        <v>1</v>
      </c>
      <c r="C63" t="str">
        <f t="shared" si="10"/>
        <v>32040</v>
      </c>
      <c r="D63" t="str">
        <f t="shared" si="11"/>
        <v>5610</v>
      </c>
      <c r="E63" t="str">
        <f t="shared" si="12"/>
        <v>850LOS</v>
      </c>
      <c r="F63" t="str">
        <f>""</f>
        <v/>
      </c>
      <c r="G63" t="str">
        <f>""</f>
        <v/>
      </c>
      <c r="H63" s="1">
        <v>38945</v>
      </c>
      <c r="I63" t="str">
        <f>"58168603"</f>
        <v>58168603</v>
      </c>
      <c r="J63" t="str">
        <f>"BP52205J"</f>
        <v>BP52205J</v>
      </c>
      <c r="K63" t="str">
        <f t="shared" ref="K63:K96" si="16">"INNI"</f>
        <v>INNI</v>
      </c>
      <c r="L63" t="s">
        <v>36</v>
      </c>
      <c r="M63" s="2">
        <v>1278.82</v>
      </c>
    </row>
    <row r="64" spans="1:13" x14ac:dyDescent="0.25">
      <c r="A64" t="str">
        <f t="shared" si="15"/>
        <v>E111</v>
      </c>
      <c r="B64">
        <v>1</v>
      </c>
      <c r="C64" t="str">
        <f t="shared" si="10"/>
        <v>32040</v>
      </c>
      <c r="D64" t="str">
        <f t="shared" si="11"/>
        <v>5610</v>
      </c>
      <c r="E64" t="str">
        <f t="shared" si="12"/>
        <v>850LOS</v>
      </c>
      <c r="F64" t="str">
        <f>""</f>
        <v/>
      </c>
      <c r="G64" t="str">
        <f>""</f>
        <v/>
      </c>
      <c r="H64" s="1">
        <v>38945</v>
      </c>
      <c r="I64" t="str">
        <f>"58735101"</f>
        <v>58735101</v>
      </c>
      <c r="J64" t="str">
        <f>"BP52205J"</f>
        <v>BP52205J</v>
      </c>
      <c r="K64" t="str">
        <f t="shared" si="16"/>
        <v>INNI</v>
      </c>
      <c r="L64" t="s">
        <v>36</v>
      </c>
      <c r="M64">
        <v>124.8</v>
      </c>
    </row>
    <row r="65" spans="1:13" x14ac:dyDescent="0.25">
      <c r="A65" t="str">
        <f t="shared" si="15"/>
        <v>E111</v>
      </c>
      <c r="B65">
        <v>1</v>
      </c>
      <c r="C65" t="str">
        <f t="shared" si="10"/>
        <v>32040</v>
      </c>
      <c r="D65" t="str">
        <f t="shared" si="11"/>
        <v>5610</v>
      </c>
      <c r="E65" t="str">
        <f t="shared" si="12"/>
        <v>850LOS</v>
      </c>
      <c r="F65" t="str">
        <f>""</f>
        <v/>
      </c>
      <c r="G65" t="str">
        <f>""</f>
        <v/>
      </c>
      <c r="H65" s="1">
        <v>38968</v>
      </c>
      <c r="I65" t="str">
        <f>"58104702"</f>
        <v>58104702</v>
      </c>
      <c r="J65" t="str">
        <f t="shared" ref="J65:J96" si="17">"BP52205K"</f>
        <v>BP52205K</v>
      </c>
      <c r="K65" t="str">
        <f t="shared" si="16"/>
        <v>INNI</v>
      </c>
      <c r="L65" t="s">
        <v>36</v>
      </c>
      <c r="M65">
        <v>140.76</v>
      </c>
    </row>
    <row r="66" spans="1:13" x14ac:dyDescent="0.25">
      <c r="A66" t="str">
        <f t="shared" si="15"/>
        <v>E111</v>
      </c>
      <c r="B66">
        <v>1</v>
      </c>
      <c r="C66" t="str">
        <f t="shared" si="10"/>
        <v>32040</v>
      </c>
      <c r="D66" t="str">
        <f t="shared" si="11"/>
        <v>5610</v>
      </c>
      <c r="E66" t="str">
        <f t="shared" si="12"/>
        <v>850LOS</v>
      </c>
      <c r="F66" t="str">
        <f>""</f>
        <v/>
      </c>
      <c r="G66" t="str">
        <f>""</f>
        <v/>
      </c>
      <c r="H66" s="1">
        <v>38968</v>
      </c>
      <c r="I66" t="str">
        <f>"58981201"</f>
        <v>58981201</v>
      </c>
      <c r="J66" t="str">
        <f t="shared" si="17"/>
        <v>BP52205K</v>
      </c>
      <c r="K66" t="str">
        <f t="shared" si="16"/>
        <v>INNI</v>
      </c>
      <c r="L66" t="s">
        <v>36</v>
      </c>
      <c r="M66">
        <v>836.56</v>
      </c>
    </row>
    <row r="67" spans="1:13" x14ac:dyDescent="0.25">
      <c r="A67" t="str">
        <f t="shared" si="15"/>
        <v>E111</v>
      </c>
      <c r="B67">
        <v>1</v>
      </c>
      <c r="C67" t="str">
        <f t="shared" si="10"/>
        <v>32040</v>
      </c>
      <c r="D67" t="str">
        <f t="shared" si="11"/>
        <v>5610</v>
      </c>
      <c r="E67" t="str">
        <f t="shared" si="12"/>
        <v>850LOS</v>
      </c>
      <c r="F67" t="str">
        <f>""</f>
        <v/>
      </c>
      <c r="G67" t="str">
        <f>""</f>
        <v/>
      </c>
      <c r="H67" s="1">
        <v>38968</v>
      </c>
      <c r="I67" t="str">
        <f>"58981206"</f>
        <v>58981206</v>
      </c>
      <c r="J67" t="str">
        <f t="shared" si="17"/>
        <v>BP52205K</v>
      </c>
      <c r="K67" t="str">
        <f t="shared" si="16"/>
        <v>INNI</v>
      </c>
      <c r="L67" t="s">
        <v>36</v>
      </c>
      <c r="M67">
        <v>228.37</v>
      </c>
    </row>
    <row r="68" spans="1:13" x14ac:dyDescent="0.25">
      <c r="A68" t="str">
        <f t="shared" si="15"/>
        <v>E111</v>
      </c>
      <c r="B68">
        <v>1</v>
      </c>
      <c r="C68" t="str">
        <f t="shared" si="10"/>
        <v>32040</v>
      </c>
      <c r="D68" t="str">
        <f t="shared" si="11"/>
        <v>5610</v>
      </c>
      <c r="E68" t="str">
        <f t="shared" si="12"/>
        <v>850LOS</v>
      </c>
      <c r="F68" t="str">
        <f>""</f>
        <v/>
      </c>
      <c r="G68" t="str">
        <f>""</f>
        <v/>
      </c>
      <c r="H68" s="1">
        <v>38968</v>
      </c>
      <c r="I68" t="str">
        <f>"58981601"</f>
        <v>58981601</v>
      </c>
      <c r="J68" t="str">
        <f t="shared" si="17"/>
        <v>BP52205K</v>
      </c>
      <c r="K68" t="str">
        <f t="shared" si="16"/>
        <v>INNI</v>
      </c>
      <c r="L68" t="s">
        <v>36</v>
      </c>
      <c r="M68">
        <v>241.3</v>
      </c>
    </row>
    <row r="69" spans="1:13" x14ac:dyDescent="0.25">
      <c r="A69" t="str">
        <f t="shared" si="15"/>
        <v>E111</v>
      </c>
      <c r="B69">
        <v>1</v>
      </c>
      <c r="C69" t="str">
        <f t="shared" si="10"/>
        <v>32040</v>
      </c>
      <c r="D69" t="str">
        <f t="shared" si="11"/>
        <v>5610</v>
      </c>
      <c r="E69" t="str">
        <f t="shared" si="12"/>
        <v>850LOS</v>
      </c>
      <c r="F69" t="str">
        <f>""</f>
        <v/>
      </c>
      <c r="G69" t="str">
        <f>""</f>
        <v/>
      </c>
      <c r="H69" s="1">
        <v>38968</v>
      </c>
      <c r="I69" t="str">
        <f>"59090201"</f>
        <v>59090201</v>
      </c>
      <c r="J69" t="str">
        <f t="shared" si="17"/>
        <v>BP52205K</v>
      </c>
      <c r="K69" t="str">
        <f t="shared" si="16"/>
        <v>INNI</v>
      </c>
      <c r="L69" t="s">
        <v>36</v>
      </c>
      <c r="M69">
        <v>242.86</v>
      </c>
    </row>
    <row r="70" spans="1:13" x14ac:dyDescent="0.25">
      <c r="A70" t="str">
        <f t="shared" si="15"/>
        <v>E111</v>
      </c>
      <c r="B70">
        <v>1</v>
      </c>
      <c r="C70" t="str">
        <f t="shared" si="10"/>
        <v>32040</v>
      </c>
      <c r="D70" t="str">
        <f t="shared" si="11"/>
        <v>5610</v>
      </c>
      <c r="E70" t="str">
        <f t="shared" si="12"/>
        <v>850LOS</v>
      </c>
      <c r="F70" t="str">
        <f>""</f>
        <v/>
      </c>
      <c r="G70" t="str">
        <f>""</f>
        <v/>
      </c>
      <c r="H70" s="1">
        <v>38979</v>
      </c>
      <c r="I70" t="str">
        <f>"58981207"</f>
        <v>58981207</v>
      </c>
      <c r="J70" t="str">
        <f t="shared" si="17"/>
        <v>BP52205K</v>
      </c>
      <c r="K70" t="str">
        <f t="shared" si="16"/>
        <v>INNI</v>
      </c>
      <c r="L70" t="s">
        <v>36</v>
      </c>
      <c r="M70">
        <v>112.18</v>
      </c>
    </row>
    <row r="71" spans="1:13" x14ac:dyDescent="0.25">
      <c r="A71" t="str">
        <f t="shared" si="15"/>
        <v>E111</v>
      </c>
      <c r="B71">
        <v>1</v>
      </c>
      <c r="C71" t="str">
        <f t="shared" si="10"/>
        <v>32040</v>
      </c>
      <c r="D71" t="str">
        <f t="shared" si="11"/>
        <v>5610</v>
      </c>
      <c r="E71" t="str">
        <f t="shared" si="12"/>
        <v>850LOS</v>
      </c>
      <c r="F71" t="str">
        <f>""</f>
        <v/>
      </c>
      <c r="G71" t="str">
        <f>""</f>
        <v/>
      </c>
      <c r="H71" s="1">
        <v>38994</v>
      </c>
      <c r="I71" t="str">
        <f>"59106501"</f>
        <v>59106501</v>
      </c>
      <c r="J71" t="str">
        <f t="shared" si="17"/>
        <v>BP52205K</v>
      </c>
      <c r="K71" t="str">
        <f t="shared" si="16"/>
        <v>INNI</v>
      </c>
      <c r="L71" t="s">
        <v>36</v>
      </c>
      <c r="M71">
        <v>628.47</v>
      </c>
    </row>
    <row r="72" spans="1:13" x14ac:dyDescent="0.25">
      <c r="A72" t="str">
        <f t="shared" si="15"/>
        <v>E111</v>
      </c>
      <c r="B72">
        <v>1</v>
      </c>
      <c r="C72" t="str">
        <f t="shared" si="10"/>
        <v>32040</v>
      </c>
      <c r="D72" t="str">
        <f t="shared" si="11"/>
        <v>5610</v>
      </c>
      <c r="E72" t="str">
        <f t="shared" si="12"/>
        <v>850LOS</v>
      </c>
      <c r="F72" t="str">
        <f>""</f>
        <v/>
      </c>
      <c r="G72" t="str">
        <f>""</f>
        <v/>
      </c>
      <c r="H72" s="1">
        <v>38994</v>
      </c>
      <c r="I72" t="str">
        <f>"59381402"</f>
        <v>59381402</v>
      </c>
      <c r="J72" t="str">
        <f t="shared" si="17"/>
        <v>BP52205K</v>
      </c>
      <c r="K72" t="str">
        <f t="shared" si="16"/>
        <v>INNI</v>
      </c>
      <c r="L72" t="s">
        <v>36</v>
      </c>
      <c r="M72">
        <v>405.21</v>
      </c>
    </row>
    <row r="73" spans="1:13" x14ac:dyDescent="0.25">
      <c r="A73" t="str">
        <f t="shared" si="15"/>
        <v>E111</v>
      </c>
      <c r="B73">
        <v>1</v>
      </c>
      <c r="C73" t="str">
        <f t="shared" si="10"/>
        <v>32040</v>
      </c>
      <c r="D73" t="str">
        <f t="shared" si="11"/>
        <v>5610</v>
      </c>
      <c r="E73" t="str">
        <f t="shared" si="12"/>
        <v>850LOS</v>
      </c>
      <c r="F73" t="str">
        <f>""</f>
        <v/>
      </c>
      <c r="G73" t="str">
        <f>""</f>
        <v/>
      </c>
      <c r="H73" s="1">
        <v>39002</v>
      </c>
      <c r="I73" t="str">
        <f>"58692601"</f>
        <v>58692601</v>
      </c>
      <c r="J73" t="str">
        <f t="shared" si="17"/>
        <v>BP52205K</v>
      </c>
      <c r="K73" t="str">
        <f t="shared" si="16"/>
        <v>INNI</v>
      </c>
      <c r="L73" t="s">
        <v>36</v>
      </c>
      <c r="M73" s="2">
        <v>3978.79</v>
      </c>
    </row>
    <row r="74" spans="1:13" x14ac:dyDescent="0.25">
      <c r="A74" t="str">
        <f t="shared" si="15"/>
        <v>E111</v>
      </c>
      <c r="B74">
        <v>1</v>
      </c>
      <c r="C74" t="str">
        <f t="shared" si="10"/>
        <v>32040</v>
      </c>
      <c r="D74" t="str">
        <f t="shared" si="11"/>
        <v>5610</v>
      </c>
      <c r="E74" t="str">
        <f t="shared" si="12"/>
        <v>850LOS</v>
      </c>
      <c r="F74" t="str">
        <f>""</f>
        <v/>
      </c>
      <c r="G74" t="str">
        <f>""</f>
        <v/>
      </c>
      <c r="H74" s="1">
        <v>39002</v>
      </c>
      <c r="I74" t="str">
        <f>"58692602"</f>
        <v>58692602</v>
      </c>
      <c r="J74" t="str">
        <f t="shared" si="17"/>
        <v>BP52205K</v>
      </c>
      <c r="K74" t="str">
        <f t="shared" si="16"/>
        <v>INNI</v>
      </c>
      <c r="L74" t="s">
        <v>36</v>
      </c>
      <c r="M74" s="2">
        <v>5680.09</v>
      </c>
    </row>
    <row r="75" spans="1:13" x14ac:dyDescent="0.25">
      <c r="A75" t="str">
        <f t="shared" si="15"/>
        <v>E111</v>
      </c>
      <c r="B75">
        <v>1</v>
      </c>
      <c r="C75" t="str">
        <f t="shared" si="10"/>
        <v>32040</v>
      </c>
      <c r="D75" t="str">
        <f t="shared" si="11"/>
        <v>5610</v>
      </c>
      <c r="E75" t="str">
        <f t="shared" si="12"/>
        <v>850LOS</v>
      </c>
      <c r="F75" t="str">
        <f>""</f>
        <v/>
      </c>
      <c r="G75" t="str">
        <f>""</f>
        <v/>
      </c>
      <c r="H75" s="1">
        <v>39003</v>
      </c>
      <c r="I75" t="str">
        <f>"59242701"</f>
        <v>59242701</v>
      </c>
      <c r="J75" t="str">
        <f t="shared" si="17"/>
        <v>BP52205K</v>
      </c>
      <c r="K75" t="str">
        <f t="shared" si="16"/>
        <v>INNI</v>
      </c>
      <c r="L75" t="s">
        <v>36</v>
      </c>
      <c r="M75">
        <v>870.26</v>
      </c>
    </row>
    <row r="76" spans="1:13" x14ac:dyDescent="0.25">
      <c r="A76" t="str">
        <f t="shared" si="15"/>
        <v>E111</v>
      </c>
      <c r="B76">
        <v>1</v>
      </c>
      <c r="C76" t="str">
        <f t="shared" si="10"/>
        <v>32040</v>
      </c>
      <c r="D76" t="str">
        <f t="shared" si="11"/>
        <v>5610</v>
      </c>
      <c r="E76" t="str">
        <f t="shared" si="12"/>
        <v>850LOS</v>
      </c>
      <c r="F76" t="str">
        <f>""</f>
        <v/>
      </c>
      <c r="G76" t="str">
        <f>""</f>
        <v/>
      </c>
      <c r="H76" s="1">
        <v>39003</v>
      </c>
      <c r="I76" t="str">
        <f>"59475701"</f>
        <v>59475701</v>
      </c>
      <c r="J76" t="str">
        <f t="shared" si="17"/>
        <v>BP52205K</v>
      </c>
      <c r="K76" t="str">
        <f t="shared" si="16"/>
        <v>INNI</v>
      </c>
      <c r="L76" t="s">
        <v>36</v>
      </c>
      <c r="M76">
        <v>169.68</v>
      </c>
    </row>
    <row r="77" spans="1:13" x14ac:dyDescent="0.25">
      <c r="A77" t="str">
        <f t="shared" si="15"/>
        <v>E111</v>
      </c>
      <c r="B77">
        <v>1</v>
      </c>
      <c r="C77" t="str">
        <f t="shared" si="10"/>
        <v>32040</v>
      </c>
      <c r="D77" t="str">
        <f t="shared" si="11"/>
        <v>5610</v>
      </c>
      <c r="E77" t="str">
        <f t="shared" si="12"/>
        <v>850LOS</v>
      </c>
      <c r="F77" t="str">
        <f>""</f>
        <v/>
      </c>
      <c r="G77" t="str">
        <f>""</f>
        <v/>
      </c>
      <c r="H77" s="1">
        <v>39003</v>
      </c>
      <c r="I77" t="str">
        <f>"59475702"</f>
        <v>59475702</v>
      </c>
      <c r="J77" t="str">
        <f t="shared" si="17"/>
        <v>BP52205K</v>
      </c>
      <c r="K77" t="str">
        <f t="shared" si="16"/>
        <v>INNI</v>
      </c>
      <c r="L77" t="s">
        <v>36</v>
      </c>
      <c r="M77">
        <v>509.02</v>
      </c>
    </row>
    <row r="78" spans="1:13" x14ac:dyDescent="0.25">
      <c r="A78" t="str">
        <f t="shared" si="15"/>
        <v>E111</v>
      </c>
      <c r="B78">
        <v>1</v>
      </c>
      <c r="C78" t="str">
        <f t="shared" si="10"/>
        <v>32040</v>
      </c>
      <c r="D78" t="str">
        <f t="shared" si="11"/>
        <v>5610</v>
      </c>
      <c r="E78" t="str">
        <f t="shared" si="12"/>
        <v>850LOS</v>
      </c>
      <c r="F78" t="str">
        <f>""</f>
        <v/>
      </c>
      <c r="G78" t="str">
        <f>""</f>
        <v/>
      </c>
      <c r="H78" s="1">
        <v>39003</v>
      </c>
      <c r="I78" t="str">
        <f>"59475704"</f>
        <v>59475704</v>
      </c>
      <c r="J78" t="str">
        <f t="shared" si="17"/>
        <v>BP52205K</v>
      </c>
      <c r="K78" t="str">
        <f t="shared" si="16"/>
        <v>INNI</v>
      </c>
      <c r="L78" t="s">
        <v>36</v>
      </c>
      <c r="M78">
        <v>241.7</v>
      </c>
    </row>
    <row r="79" spans="1:13" x14ac:dyDescent="0.25">
      <c r="A79" t="str">
        <f t="shared" si="15"/>
        <v>E111</v>
      </c>
      <c r="B79">
        <v>1</v>
      </c>
      <c r="C79" t="str">
        <f t="shared" si="10"/>
        <v>32040</v>
      </c>
      <c r="D79" t="str">
        <f t="shared" si="11"/>
        <v>5610</v>
      </c>
      <c r="E79" t="str">
        <f t="shared" si="12"/>
        <v>850LOS</v>
      </c>
      <c r="F79" t="str">
        <f>""</f>
        <v/>
      </c>
      <c r="G79" t="str">
        <f>""</f>
        <v/>
      </c>
      <c r="H79" s="1">
        <v>39015</v>
      </c>
      <c r="I79" t="str">
        <f>"58981210"</f>
        <v>58981210</v>
      </c>
      <c r="J79" t="str">
        <f t="shared" si="17"/>
        <v>BP52205K</v>
      </c>
      <c r="K79" t="str">
        <f t="shared" si="16"/>
        <v>INNI</v>
      </c>
      <c r="L79" t="s">
        <v>36</v>
      </c>
      <c r="M79">
        <v>459.59</v>
      </c>
    </row>
    <row r="80" spans="1:13" x14ac:dyDescent="0.25">
      <c r="A80" t="str">
        <f t="shared" si="15"/>
        <v>E111</v>
      </c>
      <c r="B80">
        <v>1</v>
      </c>
      <c r="C80" t="str">
        <f t="shared" si="10"/>
        <v>32040</v>
      </c>
      <c r="D80" t="str">
        <f t="shared" si="11"/>
        <v>5610</v>
      </c>
      <c r="E80" t="str">
        <f t="shared" si="12"/>
        <v>850LOS</v>
      </c>
      <c r="F80" t="str">
        <f>""</f>
        <v/>
      </c>
      <c r="G80" t="str">
        <f>""</f>
        <v/>
      </c>
      <c r="H80" s="1">
        <v>39015</v>
      </c>
      <c r="I80" t="str">
        <f>"59568501"</f>
        <v>59568501</v>
      </c>
      <c r="J80" t="str">
        <f t="shared" si="17"/>
        <v>BP52205K</v>
      </c>
      <c r="K80" t="str">
        <f t="shared" si="16"/>
        <v>INNI</v>
      </c>
      <c r="L80" t="s">
        <v>36</v>
      </c>
      <c r="M80">
        <v>248.31</v>
      </c>
    </row>
    <row r="81" spans="1:13" x14ac:dyDescent="0.25">
      <c r="A81" t="str">
        <f t="shared" si="15"/>
        <v>E111</v>
      </c>
      <c r="B81">
        <v>1</v>
      </c>
      <c r="C81" t="str">
        <f t="shared" si="10"/>
        <v>32040</v>
      </c>
      <c r="D81" t="str">
        <f t="shared" si="11"/>
        <v>5610</v>
      </c>
      <c r="E81" t="str">
        <f t="shared" si="12"/>
        <v>850LOS</v>
      </c>
      <c r="F81" t="str">
        <f>""</f>
        <v/>
      </c>
      <c r="G81" t="str">
        <f>""</f>
        <v/>
      </c>
      <c r="H81" s="1">
        <v>39015</v>
      </c>
      <c r="I81" t="str">
        <f>"59568502"</f>
        <v>59568502</v>
      </c>
      <c r="J81" t="str">
        <f t="shared" si="17"/>
        <v>BP52205K</v>
      </c>
      <c r="K81" t="str">
        <f t="shared" si="16"/>
        <v>INNI</v>
      </c>
      <c r="L81" t="s">
        <v>36</v>
      </c>
      <c r="M81">
        <v>289.70999999999998</v>
      </c>
    </row>
    <row r="82" spans="1:13" x14ac:dyDescent="0.25">
      <c r="A82" t="str">
        <f t="shared" si="15"/>
        <v>E111</v>
      </c>
      <c r="B82">
        <v>1</v>
      </c>
      <c r="C82" t="str">
        <f t="shared" si="10"/>
        <v>32040</v>
      </c>
      <c r="D82" t="str">
        <f t="shared" si="11"/>
        <v>5610</v>
      </c>
      <c r="E82" t="str">
        <f t="shared" si="12"/>
        <v>850LOS</v>
      </c>
      <c r="F82" t="str">
        <f>""</f>
        <v/>
      </c>
      <c r="G82" t="str">
        <f>""</f>
        <v/>
      </c>
      <c r="H82" s="1">
        <v>39015</v>
      </c>
      <c r="I82" t="str">
        <f>"59574001"</f>
        <v>59574001</v>
      </c>
      <c r="J82" t="str">
        <f t="shared" si="17"/>
        <v>BP52205K</v>
      </c>
      <c r="K82" t="str">
        <f t="shared" si="16"/>
        <v>INNI</v>
      </c>
      <c r="L82" t="s">
        <v>36</v>
      </c>
      <c r="M82">
        <v>131.63</v>
      </c>
    </row>
    <row r="83" spans="1:13" x14ac:dyDescent="0.25">
      <c r="A83" t="str">
        <f t="shared" si="15"/>
        <v>E111</v>
      </c>
      <c r="B83">
        <v>1</v>
      </c>
      <c r="C83" t="str">
        <f t="shared" si="10"/>
        <v>32040</v>
      </c>
      <c r="D83" t="str">
        <f t="shared" si="11"/>
        <v>5610</v>
      </c>
      <c r="E83" t="str">
        <f t="shared" si="12"/>
        <v>850LOS</v>
      </c>
      <c r="F83" t="str">
        <f>""</f>
        <v/>
      </c>
      <c r="G83" t="str">
        <f>""</f>
        <v/>
      </c>
      <c r="H83" s="1">
        <v>39029</v>
      </c>
      <c r="I83" t="str">
        <f>"59837101"</f>
        <v>59837101</v>
      </c>
      <c r="J83" t="str">
        <f t="shared" si="17"/>
        <v>BP52205K</v>
      </c>
      <c r="K83" t="str">
        <f t="shared" si="16"/>
        <v>INNI</v>
      </c>
      <c r="L83" t="s">
        <v>36</v>
      </c>
      <c r="M83">
        <v>357.47</v>
      </c>
    </row>
    <row r="84" spans="1:13" x14ac:dyDescent="0.25">
      <c r="A84" t="str">
        <f t="shared" si="15"/>
        <v>E111</v>
      </c>
      <c r="B84">
        <v>1</v>
      </c>
      <c r="C84" t="str">
        <f t="shared" si="10"/>
        <v>32040</v>
      </c>
      <c r="D84" t="str">
        <f t="shared" si="11"/>
        <v>5610</v>
      </c>
      <c r="E84" t="str">
        <f t="shared" si="12"/>
        <v>850LOS</v>
      </c>
      <c r="F84" t="str">
        <f>""</f>
        <v/>
      </c>
      <c r="G84" t="str">
        <f>""</f>
        <v/>
      </c>
      <c r="H84" s="1">
        <v>39029</v>
      </c>
      <c r="I84" t="str">
        <f>"59837102"</f>
        <v>59837102</v>
      </c>
      <c r="J84" t="str">
        <f t="shared" si="17"/>
        <v>BP52205K</v>
      </c>
      <c r="K84" t="str">
        <f t="shared" si="16"/>
        <v>INNI</v>
      </c>
      <c r="L84" t="s">
        <v>36</v>
      </c>
      <c r="M84" s="2">
        <v>2208.36</v>
      </c>
    </row>
    <row r="85" spans="1:13" x14ac:dyDescent="0.25">
      <c r="A85" t="str">
        <f t="shared" si="15"/>
        <v>E111</v>
      </c>
      <c r="B85">
        <v>1</v>
      </c>
      <c r="C85" t="str">
        <f t="shared" si="10"/>
        <v>32040</v>
      </c>
      <c r="D85" t="str">
        <f t="shared" si="11"/>
        <v>5610</v>
      </c>
      <c r="E85" t="str">
        <f t="shared" si="12"/>
        <v>850LOS</v>
      </c>
      <c r="F85" t="str">
        <f>""</f>
        <v/>
      </c>
      <c r="G85" t="str">
        <f>""</f>
        <v/>
      </c>
      <c r="H85" s="1">
        <v>39038</v>
      </c>
      <c r="I85" t="str">
        <f>"59475705"</f>
        <v>59475705</v>
      </c>
      <c r="J85" t="str">
        <f t="shared" si="17"/>
        <v>BP52205K</v>
      </c>
      <c r="K85" t="str">
        <f t="shared" si="16"/>
        <v>INNI</v>
      </c>
      <c r="L85" t="s">
        <v>36</v>
      </c>
      <c r="M85">
        <v>151.32</v>
      </c>
    </row>
    <row r="86" spans="1:13" x14ac:dyDescent="0.25">
      <c r="A86" t="str">
        <f t="shared" si="15"/>
        <v>E111</v>
      </c>
      <c r="B86">
        <v>1</v>
      </c>
      <c r="C86" t="str">
        <f t="shared" ref="C86:C117" si="18">"32040"</f>
        <v>32040</v>
      </c>
      <c r="D86" t="str">
        <f t="shared" ref="D86:D117" si="19">"5610"</f>
        <v>5610</v>
      </c>
      <c r="E86" t="str">
        <f t="shared" ref="E86:E117" si="20">"850LOS"</f>
        <v>850LOS</v>
      </c>
      <c r="F86" t="str">
        <f>""</f>
        <v/>
      </c>
      <c r="G86" t="str">
        <f>""</f>
        <v/>
      </c>
      <c r="H86" s="1">
        <v>39038</v>
      </c>
      <c r="I86" t="str">
        <f>"59905002"</f>
        <v>59905002</v>
      </c>
      <c r="J86" t="str">
        <f t="shared" si="17"/>
        <v>BP52205K</v>
      </c>
      <c r="K86" t="str">
        <f t="shared" si="16"/>
        <v>INNI</v>
      </c>
      <c r="L86" t="s">
        <v>36</v>
      </c>
      <c r="M86">
        <v>125.82</v>
      </c>
    </row>
    <row r="87" spans="1:13" x14ac:dyDescent="0.25">
      <c r="A87" t="str">
        <f t="shared" si="15"/>
        <v>E111</v>
      </c>
      <c r="B87">
        <v>1</v>
      </c>
      <c r="C87" t="str">
        <f t="shared" si="18"/>
        <v>32040</v>
      </c>
      <c r="D87" t="str">
        <f t="shared" si="19"/>
        <v>5610</v>
      </c>
      <c r="E87" t="str">
        <f t="shared" si="20"/>
        <v>850LOS</v>
      </c>
      <c r="F87" t="str">
        <f>""</f>
        <v/>
      </c>
      <c r="G87" t="str">
        <f>""</f>
        <v/>
      </c>
      <c r="H87" s="1">
        <v>39038</v>
      </c>
      <c r="I87" t="str">
        <f>"59911101"</f>
        <v>59911101</v>
      </c>
      <c r="J87" t="str">
        <f t="shared" si="17"/>
        <v>BP52205K</v>
      </c>
      <c r="K87" t="str">
        <f t="shared" si="16"/>
        <v>INNI</v>
      </c>
      <c r="L87" t="s">
        <v>36</v>
      </c>
      <c r="M87">
        <v>231.05</v>
      </c>
    </row>
    <row r="88" spans="1:13" x14ac:dyDescent="0.25">
      <c r="A88" t="str">
        <f t="shared" si="15"/>
        <v>E111</v>
      </c>
      <c r="B88">
        <v>1</v>
      </c>
      <c r="C88" t="str">
        <f t="shared" si="18"/>
        <v>32040</v>
      </c>
      <c r="D88" t="str">
        <f t="shared" si="19"/>
        <v>5610</v>
      </c>
      <c r="E88" t="str">
        <f t="shared" si="20"/>
        <v>850LOS</v>
      </c>
      <c r="F88" t="str">
        <f>""</f>
        <v/>
      </c>
      <c r="G88" t="str">
        <f>""</f>
        <v/>
      </c>
      <c r="H88" s="1">
        <v>39057</v>
      </c>
      <c r="I88" t="str">
        <f>"60147501"</f>
        <v>60147501</v>
      </c>
      <c r="J88" t="str">
        <f t="shared" si="17"/>
        <v>BP52205K</v>
      </c>
      <c r="K88" t="str">
        <f t="shared" si="16"/>
        <v>INNI</v>
      </c>
      <c r="L88" t="s">
        <v>36</v>
      </c>
      <c r="M88">
        <v>405.55</v>
      </c>
    </row>
    <row r="89" spans="1:13" x14ac:dyDescent="0.25">
      <c r="A89" t="str">
        <f t="shared" si="15"/>
        <v>E111</v>
      </c>
      <c r="B89">
        <v>1</v>
      </c>
      <c r="C89" t="str">
        <f t="shared" si="18"/>
        <v>32040</v>
      </c>
      <c r="D89" t="str">
        <f t="shared" si="19"/>
        <v>5610</v>
      </c>
      <c r="E89" t="str">
        <f t="shared" si="20"/>
        <v>850LOS</v>
      </c>
      <c r="F89" t="str">
        <f>""</f>
        <v/>
      </c>
      <c r="G89" t="str">
        <f>""</f>
        <v/>
      </c>
      <c r="H89" s="1">
        <v>39057</v>
      </c>
      <c r="I89" t="str">
        <f>"60147502"</f>
        <v>60147502</v>
      </c>
      <c r="J89" t="str">
        <f t="shared" si="17"/>
        <v>BP52205K</v>
      </c>
      <c r="K89" t="str">
        <f t="shared" si="16"/>
        <v>INNI</v>
      </c>
      <c r="L89" t="s">
        <v>36</v>
      </c>
      <c r="M89" s="2">
        <v>3571.39</v>
      </c>
    </row>
    <row r="90" spans="1:13" x14ac:dyDescent="0.25">
      <c r="A90" t="str">
        <f t="shared" si="15"/>
        <v>E111</v>
      </c>
      <c r="B90">
        <v>1</v>
      </c>
      <c r="C90" t="str">
        <f t="shared" si="18"/>
        <v>32040</v>
      </c>
      <c r="D90" t="str">
        <f t="shared" si="19"/>
        <v>5610</v>
      </c>
      <c r="E90" t="str">
        <f t="shared" si="20"/>
        <v>850LOS</v>
      </c>
      <c r="F90" t="str">
        <f>""</f>
        <v/>
      </c>
      <c r="G90" t="str">
        <f>""</f>
        <v/>
      </c>
      <c r="H90" s="1">
        <v>39064</v>
      </c>
      <c r="I90" t="str">
        <f>"59836801"</f>
        <v>59836801</v>
      </c>
      <c r="J90" t="str">
        <f t="shared" si="17"/>
        <v>BP52205K</v>
      </c>
      <c r="K90" t="str">
        <f t="shared" si="16"/>
        <v>INNI</v>
      </c>
      <c r="L90" t="s">
        <v>36</v>
      </c>
      <c r="M90">
        <v>309.14</v>
      </c>
    </row>
    <row r="91" spans="1:13" x14ac:dyDescent="0.25">
      <c r="A91" t="str">
        <f t="shared" si="15"/>
        <v>E111</v>
      </c>
      <c r="B91">
        <v>1</v>
      </c>
      <c r="C91" t="str">
        <f t="shared" si="18"/>
        <v>32040</v>
      </c>
      <c r="D91" t="str">
        <f t="shared" si="19"/>
        <v>5610</v>
      </c>
      <c r="E91" t="str">
        <f t="shared" si="20"/>
        <v>850LOS</v>
      </c>
      <c r="F91" t="str">
        <f>""</f>
        <v/>
      </c>
      <c r="G91" t="str">
        <f>""</f>
        <v/>
      </c>
      <c r="H91" s="1">
        <v>39064</v>
      </c>
      <c r="I91" t="str">
        <f>"59836802"</f>
        <v>59836802</v>
      </c>
      <c r="J91" t="str">
        <f t="shared" si="17"/>
        <v>BP52205K</v>
      </c>
      <c r="K91" t="str">
        <f t="shared" si="16"/>
        <v>INNI</v>
      </c>
      <c r="L91" t="s">
        <v>36</v>
      </c>
      <c r="M91">
        <v>515.23</v>
      </c>
    </row>
    <row r="92" spans="1:13" x14ac:dyDescent="0.25">
      <c r="A92" t="str">
        <f t="shared" si="15"/>
        <v>E111</v>
      </c>
      <c r="B92">
        <v>1</v>
      </c>
      <c r="C92" t="str">
        <f t="shared" si="18"/>
        <v>32040</v>
      </c>
      <c r="D92" t="str">
        <f t="shared" si="19"/>
        <v>5610</v>
      </c>
      <c r="E92" t="str">
        <f t="shared" si="20"/>
        <v>850LOS</v>
      </c>
      <c r="F92" t="str">
        <f>""</f>
        <v/>
      </c>
      <c r="G92" t="str">
        <f>""</f>
        <v/>
      </c>
      <c r="H92" s="1">
        <v>39064</v>
      </c>
      <c r="I92" t="str">
        <f>"59908701"</f>
        <v>59908701</v>
      </c>
      <c r="J92" t="str">
        <f t="shared" si="17"/>
        <v>BP52205K</v>
      </c>
      <c r="K92" t="str">
        <f t="shared" si="16"/>
        <v>INNI</v>
      </c>
      <c r="L92" t="s">
        <v>36</v>
      </c>
      <c r="M92">
        <v>941.81</v>
      </c>
    </row>
    <row r="93" spans="1:13" x14ac:dyDescent="0.25">
      <c r="A93" t="str">
        <f t="shared" si="15"/>
        <v>E111</v>
      </c>
      <c r="B93">
        <v>1</v>
      </c>
      <c r="C93" t="str">
        <f t="shared" si="18"/>
        <v>32040</v>
      </c>
      <c r="D93" t="str">
        <f t="shared" si="19"/>
        <v>5610</v>
      </c>
      <c r="E93" t="str">
        <f t="shared" si="20"/>
        <v>850LOS</v>
      </c>
      <c r="F93" t="str">
        <f>""</f>
        <v/>
      </c>
      <c r="G93" t="str">
        <f>""</f>
        <v/>
      </c>
      <c r="H93" s="1">
        <v>39064</v>
      </c>
      <c r="I93" t="str">
        <f>"60147601"</f>
        <v>60147601</v>
      </c>
      <c r="J93" t="str">
        <f t="shared" si="17"/>
        <v>BP52205K</v>
      </c>
      <c r="K93" t="str">
        <f t="shared" si="16"/>
        <v>INNI</v>
      </c>
      <c r="L93" t="s">
        <v>36</v>
      </c>
      <c r="M93">
        <v>505.69</v>
      </c>
    </row>
    <row r="94" spans="1:13" x14ac:dyDescent="0.25">
      <c r="A94" t="str">
        <f t="shared" si="15"/>
        <v>E111</v>
      </c>
      <c r="B94">
        <v>1</v>
      </c>
      <c r="C94" t="str">
        <f t="shared" si="18"/>
        <v>32040</v>
      </c>
      <c r="D94" t="str">
        <f t="shared" si="19"/>
        <v>5610</v>
      </c>
      <c r="E94" t="str">
        <f t="shared" si="20"/>
        <v>850LOS</v>
      </c>
      <c r="F94" t="str">
        <f>""</f>
        <v/>
      </c>
      <c r="G94" t="str">
        <f>""</f>
        <v/>
      </c>
      <c r="H94" s="1">
        <v>39091</v>
      </c>
      <c r="I94" t="str">
        <f>"58732601"</f>
        <v>58732601</v>
      </c>
      <c r="J94" t="str">
        <f t="shared" si="17"/>
        <v>BP52205K</v>
      </c>
      <c r="K94" t="str">
        <f t="shared" si="16"/>
        <v>INNI</v>
      </c>
      <c r="L94" t="s">
        <v>36</v>
      </c>
      <c r="M94" s="2">
        <v>5176.9799999999996</v>
      </c>
    </row>
    <row r="95" spans="1:13" x14ac:dyDescent="0.25">
      <c r="A95" t="str">
        <f t="shared" ref="A95:A126" si="21">"E111"</f>
        <v>E111</v>
      </c>
      <c r="B95">
        <v>1</v>
      </c>
      <c r="C95" t="str">
        <f t="shared" si="18"/>
        <v>32040</v>
      </c>
      <c r="D95" t="str">
        <f t="shared" si="19"/>
        <v>5610</v>
      </c>
      <c r="E95" t="str">
        <f t="shared" si="20"/>
        <v>850LOS</v>
      </c>
      <c r="F95" t="str">
        <f>""</f>
        <v/>
      </c>
      <c r="G95" t="str">
        <f>""</f>
        <v/>
      </c>
      <c r="H95" s="1">
        <v>39091</v>
      </c>
      <c r="I95" t="str">
        <f>"60468901"</f>
        <v>60468901</v>
      </c>
      <c r="J95" t="str">
        <f t="shared" si="17"/>
        <v>BP52205K</v>
      </c>
      <c r="K95" t="str">
        <f t="shared" si="16"/>
        <v>INNI</v>
      </c>
      <c r="L95" t="s">
        <v>36</v>
      </c>
      <c r="M95">
        <v>684.31</v>
      </c>
    </row>
    <row r="96" spans="1:13" x14ac:dyDescent="0.25">
      <c r="A96" t="str">
        <f t="shared" si="21"/>
        <v>E111</v>
      </c>
      <c r="B96">
        <v>1</v>
      </c>
      <c r="C96" t="str">
        <f t="shared" si="18"/>
        <v>32040</v>
      </c>
      <c r="D96" t="str">
        <f t="shared" si="19"/>
        <v>5610</v>
      </c>
      <c r="E96" t="str">
        <f t="shared" si="20"/>
        <v>850LOS</v>
      </c>
      <c r="F96" t="str">
        <f>""</f>
        <v/>
      </c>
      <c r="G96" t="str">
        <f>""</f>
        <v/>
      </c>
      <c r="H96" s="1">
        <v>39091</v>
      </c>
      <c r="I96" t="str">
        <f>"60469101"</f>
        <v>60469101</v>
      </c>
      <c r="J96" t="str">
        <f t="shared" si="17"/>
        <v>BP52205K</v>
      </c>
      <c r="K96" t="str">
        <f t="shared" si="16"/>
        <v>INNI</v>
      </c>
      <c r="L96" t="s">
        <v>36</v>
      </c>
      <c r="M96">
        <v>483.45</v>
      </c>
    </row>
    <row r="97" spans="1:13" x14ac:dyDescent="0.25">
      <c r="A97" t="str">
        <f t="shared" si="21"/>
        <v>E111</v>
      </c>
      <c r="B97">
        <v>1</v>
      </c>
      <c r="C97" t="str">
        <f t="shared" si="18"/>
        <v>32040</v>
      </c>
      <c r="D97" t="str">
        <f t="shared" si="19"/>
        <v>5610</v>
      </c>
      <c r="E97" t="str">
        <f t="shared" si="20"/>
        <v>850LOS</v>
      </c>
      <c r="F97" t="str">
        <f>""</f>
        <v/>
      </c>
      <c r="G97" t="str">
        <f>""</f>
        <v/>
      </c>
      <c r="H97" s="1">
        <v>39100</v>
      </c>
      <c r="I97" t="str">
        <f>"PCD00254"</f>
        <v>PCD00254</v>
      </c>
      <c r="J97" t="str">
        <f>"51462"</f>
        <v>51462</v>
      </c>
      <c r="K97" t="str">
        <f>"AS89"</f>
        <v>AS89</v>
      </c>
      <c r="L97" t="s">
        <v>656</v>
      </c>
      <c r="M97">
        <v>108.4</v>
      </c>
    </row>
    <row r="98" spans="1:13" x14ac:dyDescent="0.25">
      <c r="A98" t="str">
        <f t="shared" si="21"/>
        <v>E111</v>
      </c>
      <c r="B98">
        <v>1</v>
      </c>
      <c r="C98" t="str">
        <f t="shared" si="18"/>
        <v>32040</v>
      </c>
      <c r="D98" t="str">
        <f t="shared" si="19"/>
        <v>5610</v>
      </c>
      <c r="E98" t="str">
        <f t="shared" si="20"/>
        <v>850LOS</v>
      </c>
      <c r="F98" t="str">
        <f>""</f>
        <v/>
      </c>
      <c r="G98" t="str">
        <f>""</f>
        <v/>
      </c>
      <c r="H98" s="1">
        <v>39119</v>
      </c>
      <c r="I98" t="str">
        <f>"60043801"</f>
        <v>60043801</v>
      </c>
      <c r="J98" t="str">
        <f t="shared" ref="J98:J128" si="22">"BP52205K"</f>
        <v>BP52205K</v>
      </c>
      <c r="K98" t="str">
        <f t="shared" ref="K98:K128" si="23">"INNI"</f>
        <v>INNI</v>
      </c>
      <c r="L98" t="s">
        <v>36</v>
      </c>
      <c r="M98" s="2">
        <v>1859.4</v>
      </c>
    </row>
    <row r="99" spans="1:13" x14ac:dyDescent="0.25">
      <c r="A99" t="str">
        <f t="shared" si="21"/>
        <v>E111</v>
      </c>
      <c r="B99">
        <v>1</v>
      </c>
      <c r="C99" t="str">
        <f t="shared" si="18"/>
        <v>32040</v>
      </c>
      <c r="D99" t="str">
        <f t="shared" si="19"/>
        <v>5610</v>
      </c>
      <c r="E99" t="str">
        <f t="shared" si="20"/>
        <v>850LOS</v>
      </c>
      <c r="F99" t="str">
        <f>""</f>
        <v/>
      </c>
      <c r="G99" t="str">
        <f>""</f>
        <v/>
      </c>
      <c r="H99" s="1">
        <v>39119</v>
      </c>
      <c r="I99" t="str">
        <f>"60669301"</f>
        <v>60669301</v>
      </c>
      <c r="J99" t="str">
        <f t="shared" si="22"/>
        <v>BP52205K</v>
      </c>
      <c r="K99" t="str">
        <f t="shared" si="23"/>
        <v>INNI</v>
      </c>
      <c r="L99" t="s">
        <v>36</v>
      </c>
      <c r="M99">
        <v>482.05</v>
      </c>
    </row>
    <row r="100" spans="1:13" x14ac:dyDescent="0.25">
      <c r="A100" t="str">
        <f t="shared" si="21"/>
        <v>E111</v>
      </c>
      <c r="B100">
        <v>1</v>
      </c>
      <c r="C100" t="str">
        <f t="shared" si="18"/>
        <v>32040</v>
      </c>
      <c r="D100" t="str">
        <f t="shared" si="19"/>
        <v>5610</v>
      </c>
      <c r="E100" t="str">
        <f t="shared" si="20"/>
        <v>850LOS</v>
      </c>
      <c r="F100" t="str">
        <f>""</f>
        <v/>
      </c>
      <c r="G100" t="str">
        <f>""</f>
        <v/>
      </c>
      <c r="H100" s="1">
        <v>39119</v>
      </c>
      <c r="I100" t="str">
        <f>"60693402"</f>
        <v>60693402</v>
      </c>
      <c r="J100" t="str">
        <f t="shared" si="22"/>
        <v>BP52205K</v>
      </c>
      <c r="K100" t="str">
        <f t="shared" si="23"/>
        <v>INNI</v>
      </c>
      <c r="L100" t="s">
        <v>36</v>
      </c>
      <c r="M100">
        <v>519.47</v>
      </c>
    </row>
    <row r="101" spans="1:13" x14ac:dyDescent="0.25">
      <c r="A101" t="str">
        <f t="shared" si="21"/>
        <v>E111</v>
      </c>
      <c r="B101">
        <v>1</v>
      </c>
      <c r="C101" t="str">
        <f t="shared" si="18"/>
        <v>32040</v>
      </c>
      <c r="D101" t="str">
        <f t="shared" si="19"/>
        <v>5610</v>
      </c>
      <c r="E101" t="str">
        <f t="shared" si="20"/>
        <v>850LOS</v>
      </c>
      <c r="F101" t="str">
        <f>""</f>
        <v/>
      </c>
      <c r="G101" t="str">
        <f>""</f>
        <v/>
      </c>
      <c r="H101" s="1">
        <v>39148</v>
      </c>
      <c r="I101" t="str">
        <f>"60690601"</f>
        <v>60690601</v>
      </c>
      <c r="J101" t="str">
        <f t="shared" si="22"/>
        <v>BP52205K</v>
      </c>
      <c r="K101" t="str">
        <f t="shared" si="23"/>
        <v>INNI</v>
      </c>
      <c r="L101" t="s">
        <v>36</v>
      </c>
      <c r="M101" s="2">
        <v>1864.37</v>
      </c>
    </row>
    <row r="102" spans="1:13" x14ac:dyDescent="0.25">
      <c r="A102" t="str">
        <f t="shared" si="21"/>
        <v>E111</v>
      </c>
      <c r="B102">
        <v>1</v>
      </c>
      <c r="C102" t="str">
        <f t="shared" si="18"/>
        <v>32040</v>
      </c>
      <c r="D102" t="str">
        <f t="shared" si="19"/>
        <v>5610</v>
      </c>
      <c r="E102" t="str">
        <f t="shared" si="20"/>
        <v>850LOS</v>
      </c>
      <c r="F102" t="str">
        <f>""</f>
        <v/>
      </c>
      <c r="G102" t="str">
        <f>""</f>
        <v/>
      </c>
      <c r="H102" s="1">
        <v>39148</v>
      </c>
      <c r="I102" t="str">
        <f>"61111501"</f>
        <v>61111501</v>
      </c>
      <c r="J102" t="str">
        <f t="shared" si="22"/>
        <v>BP52205K</v>
      </c>
      <c r="K102" t="str">
        <f t="shared" si="23"/>
        <v>INNI</v>
      </c>
      <c r="L102" t="s">
        <v>36</v>
      </c>
      <c r="M102">
        <v>584.67999999999995</v>
      </c>
    </row>
    <row r="103" spans="1:13" x14ac:dyDescent="0.25">
      <c r="A103" t="str">
        <f t="shared" si="21"/>
        <v>E111</v>
      </c>
      <c r="B103">
        <v>1</v>
      </c>
      <c r="C103" t="str">
        <f t="shared" si="18"/>
        <v>32040</v>
      </c>
      <c r="D103" t="str">
        <f t="shared" si="19"/>
        <v>5610</v>
      </c>
      <c r="E103" t="str">
        <f t="shared" si="20"/>
        <v>850LOS</v>
      </c>
      <c r="F103" t="str">
        <f>""</f>
        <v/>
      </c>
      <c r="G103" t="str">
        <f>""</f>
        <v/>
      </c>
      <c r="H103" s="1">
        <v>39168</v>
      </c>
      <c r="I103" t="str">
        <f>"61111502"</f>
        <v>61111502</v>
      </c>
      <c r="J103" t="str">
        <f t="shared" si="22"/>
        <v>BP52205K</v>
      </c>
      <c r="K103" t="str">
        <f t="shared" si="23"/>
        <v>INNI</v>
      </c>
      <c r="L103" t="s">
        <v>36</v>
      </c>
      <c r="M103">
        <v>234.24</v>
      </c>
    </row>
    <row r="104" spans="1:13" x14ac:dyDescent="0.25">
      <c r="A104" t="str">
        <f t="shared" si="21"/>
        <v>E111</v>
      </c>
      <c r="B104">
        <v>1</v>
      </c>
      <c r="C104" t="str">
        <f t="shared" si="18"/>
        <v>32040</v>
      </c>
      <c r="D104" t="str">
        <f t="shared" si="19"/>
        <v>5610</v>
      </c>
      <c r="E104" t="str">
        <f t="shared" si="20"/>
        <v>850LOS</v>
      </c>
      <c r="F104" t="str">
        <f>""</f>
        <v/>
      </c>
      <c r="G104" t="str">
        <f>""</f>
        <v/>
      </c>
      <c r="H104" s="1">
        <v>39189</v>
      </c>
      <c r="I104" t="str">
        <f>"61111503"</f>
        <v>61111503</v>
      </c>
      <c r="J104" t="str">
        <f t="shared" si="22"/>
        <v>BP52205K</v>
      </c>
      <c r="K104" t="str">
        <f t="shared" si="23"/>
        <v>INNI</v>
      </c>
      <c r="L104" t="s">
        <v>36</v>
      </c>
      <c r="M104" s="2">
        <v>3088.16</v>
      </c>
    </row>
    <row r="105" spans="1:13" x14ac:dyDescent="0.25">
      <c r="A105" t="str">
        <f t="shared" si="21"/>
        <v>E111</v>
      </c>
      <c r="B105">
        <v>1</v>
      </c>
      <c r="C105" t="str">
        <f t="shared" si="18"/>
        <v>32040</v>
      </c>
      <c r="D105" t="str">
        <f t="shared" si="19"/>
        <v>5610</v>
      </c>
      <c r="E105" t="str">
        <f t="shared" si="20"/>
        <v>850LOS</v>
      </c>
      <c r="F105" t="str">
        <f>""</f>
        <v/>
      </c>
      <c r="G105" t="str">
        <f>""</f>
        <v/>
      </c>
      <c r="H105" s="1">
        <v>39189</v>
      </c>
      <c r="I105" t="str">
        <f>"61600201"</f>
        <v>61600201</v>
      </c>
      <c r="J105" t="str">
        <f t="shared" si="22"/>
        <v>BP52205K</v>
      </c>
      <c r="K105" t="str">
        <f t="shared" si="23"/>
        <v>INNI</v>
      </c>
      <c r="L105" t="s">
        <v>36</v>
      </c>
      <c r="M105">
        <v>207.53</v>
      </c>
    </row>
    <row r="106" spans="1:13" x14ac:dyDescent="0.25">
      <c r="A106" t="str">
        <f t="shared" si="21"/>
        <v>E111</v>
      </c>
      <c r="B106">
        <v>1</v>
      </c>
      <c r="C106" t="str">
        <f t="shared" si="18"/>
        <v>32040</v>
      </c>
      <c r="D106" t="str">
        <f t="shared" si="19"/>
        <v>5610</v>
      </c>
      <c r="E106" t="str">
        <f t="shared" si="20"/>
        <v>850LOS</v>
      </c>
      <c r="F106" t="str">
        <f>""</f>
        <v/>
      </c>
      <c r="G106" t="str">
        <f>""</f>
        <v/>
      </c>
      <c r="H106" s="1">
        <v>39189</v>
      </c>
      <c r="I106" t="str">
        <f>"61600202"</f>
        <v>61600202</v>
      </c>
      <c r="J106" t="str">
        <f t="shared" si="22"/>
        <v>BP52205K</v>
      </c>
      <c r="K106" t="str">
        <f t="shared" si="23"/>
        <v>INNI</v>
      </c>
      <c r="L106" t="s">
        <v>36</v>
      </c>
      <c r="M106">
        <v>746.64</v>
      </c>
    </row>
    <row r="107" spans="1:13" x14ac:dyDescent="0.25">
      <c r="A107" t="str">
        <f t="shared" si="21"/>
        <v>E111</v>
      </c>
      <c r="B107">
        <v>1</v>
      </c>
      <c r="C107" t="str">
        <f t="shared" si="18"/>
        <v>32040</v>
      </c>
      <c r="D107" t="str">
        <f t="shared" si="19"/>
        <v>5610</v>
      </c>
      <c r="E107" t="str">
        <f t="shared" si="20"/>
        <v>850LOS</v>
      </c>
      <c r="F107" t="str">
        <f>""</f>
        <v/>
      </c>
      <c r="G107" t="str">
        <f>""</f>
        <v/>
      </c>
      <c r="H107" s="1">
        <v>39204</v>
      </c>
      <c r="I107" t="str">
        <f>"61449701"</f>
        <v>61449701</v>
      </c>
      <c r="J107" t="str">
        <f t="shared" si="22"/>
        <v>BP52205K</v>
      </c>
      <c r="K107" t="str">
        <f t="shared" si="23"/>
        <v>INNI</v>
      </c>
      <c r="L107" t="s">
        <v>36</v>
      </c>
      <c r="M107" s="2">
        <v>2787.26</v>
      </c>
    </row>
    <row r="108" spans="1:13" x14ac:dyDescent="0.25">
      <c r="A108" t="str">
        <f t="shared" si="21"/>
        <v>E111</v>
      </c>
      <c r="B108">
        <v>1</v>
      </c>
      <c r="C108" t="str">
        <f t="shared" si="18"/>
        <v>32040</v>
      </c>
      <c r="D108" t="str">
        <f t="shared" si="19"/>
        <v>5610</v>
      </c>
      <c r="E108" t="str">
        <f t="shared" si="20"/>
        <v>850LOS</v>
      </c>
      <c r="F108" t="str">
        <f>""</f>
        <v/>
      </c>
      <c r="G108" t="str">
        <f>""</f>
        <v/>
      </c>
      <c r="H108" s="1">
        <v>39204</v>
      </c>
      <c r="I108" t="str">
        <f>"61600204"</f>
        <v>61600204</v>
      </c>
      <c r="J108" t="str">
        <f t="shared" si="22"/>
        <v>BP52205K</v>
      </c>
      <c r="K108" t="str">
        <f t="shared" si="23"/>
        <v>INNI</v>
      </c>
      <c r="L108" t="s">
        <v>36</v>
      </c>
      <c r="M108" s="2">
        <v>1235.26</v>
      </c>
    </row>
    <row r="109" spans="1:13" x14ac:dyDescent="0.25">
      <c r="A109" t="str">
        <f t="shared" si="21"/>
        <v>E111</v>
      </c>
      <c r="B109">
        <v>1</v>
      </c>
      <c r="C109" t="str">
        <f t="shared" si="18"/>
        <v>32040</v>
      </c>
      <c r="D109" t="str">
        <f t="shared" si="19"/>
        <v>5610</v>
      </c>
      <c r="E109" t="str">
        <f t="shared" si="20"/>
        <v>850LOS</v>
      </c>
      <c r="F109" t="str">
        <f>""</f>
        <v/>
      </c>
      <c r="G109" t="str">
        <f>""</f>
        <v/>
      </c>
      <c r="H109" s="1">
        <v>39211</v>
      </c>
      <c r="I109" t="str">
        <f>"61386701"</f>
        <v>61386701</v>
      </c>
      <c r="J109" t="str">
        <f t="shared" si="22"/>
        <v>BP52205K</v>
      </c>
      <c r="K109" t="str">
        <f t="shared" si="23"/>
        <v>INNI</v>
      </c>
      <c r="L109" t="s">
        <v>36</v>
      </c>
      <c r="M109" s="2">
        <v>6021.83</v>
      </c>
    </row>
    <row r="110" spans="1:13" x14ac:dyDescent="0.25">
      <c r="A110" t="str">
        <f t="shared" si="21"/>
        <v>E111</v>
      </c>
      <c r="B110">
        <v>1</v>
      </c>
      <c r="C110" t="str">
        <f t="shared" si="18"/>
        <v>32040</v>
      </c>
      <c r="D110" t="str">
        <f t="shared" si="19"/>
        <v>5610</v>
      </c>
      <c r="E110" t="str">
        <f t="shared" si="20"/>
        <v>850LOS</v>
      </c>
      <c r="F110" t="str">
        <f>""</f>
        <v/>
      </c>
      <c r="G110" t="str">
        <f>""</f>
        <v/>
      </c>
      <c r="H110" s="1">
        <v>39211</v>
      </c>
      <c r="I110" t="str">
        <f>"61386702"</f>
        <v>61386702</v>
      </c>
      <c r="J110" t="str">
        <f t="shared" si="22"/>
        <v>BP52205K</v>
      </c>
      <c r="K110" t="str">
        <f t="shared" si="23"/>
        <v>INNI</v>
      </c>
      <c r="L110" t="s">
        <v>36</v>
      </c>
      <c r="M110" s="2">
        <v>3699.64</v>
      </c>
    </row>
    <row r="111" spans="1:13" x14ac:dyDescent="0.25">
      <c r="A111" t="str">
        <f t="shared" si="21"/>
        <v>E111</v>
      </c>
      <c r="B111">
        <v>1</v>
      </c>
      <c r="C111" t="str">
        <f t="shared" si="18"/>
        <v>32040</v>
      </c>
      <c r="D111" t="str">
        <f t="shared" si="19"/>
        <v>5610</v>
      </c>
      <c r="E111" t="str">
        <f t="shared" si="20"/>
        <v>850LOS</v>
      </c>
      <c r="F111" t="str">
        <f>""</f>
        <v/>
      </c>
      <c r="G111" t="str">
        <f>""</f>
        <v/>
      </c>
      <c r="H111" s="1">
        <v>39216</v>
      </c>
      <c r="I111" t="str">
        <f>"61446001"</f>
        <v>61446001</v>
      </c>
      <c r="J111" t="str">
        <f t="shared" si="22"/>
        <v>BP52205K</v>
      </c>
      <c r="K111" t="str">
        <f t="shared" si="23"/>
        <v>INNI</v>
      </c>
      <c r="L111" t="s">
        <v>36</v>
      </c>
      <c r="M111">
        <v>733.12</v>
      </c>
    </row>
    <row r="112" spans="1:13" x14ac:dyDescent="0.25">
      <c r="A112" t="str">
        <f t="shared" si="21"/>
        <v>E111</v>
      </c>
      <c r="B112">
        <v>1</v>
      </c>
      <c r="C112" t="str">
        <f t="shared" si="18"/>
        <v>32040</v>
      </c>
      <c r="D112" t="str">
        <f t="shared" si="19"/>
        <v>5610</v>
      </c>
      <c r="E112" t="str">
        <f t="shared" si="20"/>
        <v>850LOS</v>
      </c>
      <c r="F112" t="str">
        <f>""</f>
        <v/>
      </c>
      <c r="G112" t="str">
        <f>""</f>
        <v/>
      </c>
      <c r="H112" s="1">
        <v>39216</v>
      </c>
      <c r="I112" t="str">
        <f>"61449702"</f>
        <v>61449702</v>
      </c>
      <c r="J112" t="str">
        <f t="shared" si="22"/>
        <v>BP52205K</v>
      </c>
      <c r="K112" t="str">
        <f t="shared" si="23"/>
        <v>INNI</v>
      </c>
      <c r="L112" t="s">
        <v>36</v>
      </c>
      <c r="M112">
        <v>335.47</v>
      </c>
    </row>
    <row r="113" spans="1:13" x14ac:dyDescent="0.25">
      <c r="A113" t="str">
        <f t="shared" si="21"/>
        <v>E111</v>
      </c>
      <c r="B113">
        <v>1</v>
      </c>
      <c r="C113" t="str">
        <f t="shared" si="18"/>
        <v>32040</v>
      </c>
      <c r="D113" t="str">
        <f t="shared" si="19"/>
        <v>5610</v>
      </c>
      <c r="E113" t="str">
        <f t="shared" si="20"/>
        <v>850LOS</v>
      </c>
      <c r="F113" t="str">
        <f>""</f>
        <v/>
      </c>
      <c r="G113" t="str">
        <f>""</f>
        <v/>
      </c>
      <c r="H113" s="1">
        <v>39217</v>
      </c>
      <c r="I113" t="str">
        <f>"61476001"</f>
        <v>61476001</v>
      </c>
      <c r="J113" t="str">
        <f t="shared" si="22"/>
        <v>BP52205K</v>
      </c>
      <c r="K113" t="str">
        <f t="shared" si="23"/>
        <v>INNI</v>
      </c>
      <c r="L113" t="s">
        <v>36</v>
      </c>
      <c r="M113">
        <v>933.78</v>
      </c>
    </row>
    <row r="114" spans="1:13" x14ac:dyDescent="0.25">
      <c r="A114" t="str">
        <f t="shared" si="21"/>
        <v>E111</v>
      </c>
      <c r="B114">
        <v>1</v>
      </c>
      <c r="C114" t="str">
        <f t="shared" si="18"/>
        <v>32040</v>
      </c>
      <c r="D114" t="str">
        <f t="shared" si="19"/>
        <v>5610</v>
      </c>
      <c r="E114" t="str">
        <f t="shared" si="20"/>
        <v>850LOS</v>
      </c>
      <c r="F114" t="str">
        <f>""</f>
        <v/>
      </c>
      <c r="G114" t="str">
        <f>""</f>
        <v/>
      </c>
      <c r="H114" s="1">
        <v>39219</v>
      </c>
      <c r="I114" t="str">
        <f>"61960001"</f>
        <v>61960001</v>
      </c>
      <c r="J114" t="str">
        <f t="shared" si="22"/>
        <v>BP52205K</v>
      </c>
      <c r="K114" t="str">
        <f t="shared" si="23"/>
        <v>INNI</v>
      </c>
      <c r="L114" t="s">
        <v>36</v>
      </c>
      <c r="M114" s="2">
        <v>1225.58</v>
      </c>
    </row>
    <row r="115" spans="1:13" x14ac:dyDescent="0.25">
      <c r="A115" t="str">
        <f t="shared" si="21"/>
        <v>E111</v>
      </c>
      <c r="B115">
        <v>1</v>
      </c>
      <c r="C115" t="str">
        <f t="shared" si="18"/>
        <v>32040</v>
      </c>
      <c r="D115" t="str">
        <f t="shared" si="19"/>
        <v>5610</v>
      </c>
      <c r="E115" t="str">
        <f t="shared" si="20"/>
        <v>850LOS</v>
      </c>
      <c r="F115" t="str">
        <f>""</f>
        <v/>
      </c>
      <c r="G115" t="str">
        <f>""</f>
        <v/>
      </c>
      <c r="H115" s="1">
        <v>39219</v>
      </c>
      <c r="I115" t="str">
        <f>"61960002"</f>
        <v>61960002</v>
      </c>
      <c r="J115" t="str">
        <f t="shared" si="22"/>
        <v>BP52205K</v>
      </c>
      <c r="K115" t="str">
        <f t="shared" si="23"/>
        <v>INNI</v>
      </c>
      <c r="L115" t="s">
        <v>36</v>
      </c>
      <c r="M115" s="2">
        <v>3701.36</v>
      </c>
    </row>
    <row r="116" spans="1:13" x14ac:dyDescent="0.25">
      <c r="A116" t="str">
        <f t="shared" si="21"/>
        <v>E111</v>
      </c>
      <c r="B116">
        <v>1</v>
      </c>
      <c r="C116" t="str">
        <f t="shared" si="18"/>
        <v>32040</v>
      </c>
      <c r="D116" t="str">
        <f t="shared" si="19"/>
        <v>5610</v>
      </c>
      <c r="E116" t="str">
        <f t="shared" si="20"/>
        <v>850LOS</v>
      </c>
      <c r="F116" t="str">
        <f>""</f>
        <v/>
      </c>
      <c r="G116" t="str">
        <f>""</f>
        <v/>
      </c>
      <c r="H116" s="1">
        <v>39219</v>
      </c>
      <c r="I116" t="str">
        <f>"61967601"</f>
        <v>61967601</v>
      </c>
      <c r="J116" t="str">
        <f t="shared" si="22"/>
        <v>BP52205K</v>
      </c>
      <c r="K116" t="str">
        <f t="shared" si="23"/>
        <v>INNI</v>
      </c>
      <c r="L116" t="s">
        <v>36</v>
      </c>
      <c r="M116">
        <v>478.64</v>
      </c>
    </row>
    <row r="117" spans="1:13" x14ac:dyDescent="0.25">
      <c r="A117" t="str">
        <f t="shared" si="21"/>
        <v>E111</v>
      </c>
      <c r="B117">
        <v>1</v>
      </c>
      <c r="C117" t="str">
        <f t="shared" si="18"/>
        <v>32040</v>
      </c>
      <c r="D117" t="str">
        <f t="shared" si="19"/>
        <v>5610</v>
      </c>
      <c r="E117" t="str">
        <f t="shared" si="20"/>
        <v>850LOS</v>
      </c>
      <c r="F117" t="str">
        <f>""</f>
        <v/>
      </c>
      <c r="G117" t="str">
        <f>""</f>
        <v/>
      </c>
      <c r="H117" s="1">
        <v>39219</v>
      </c>
      <c r="I117" t="str">
        <f>"61976401"</f>
        <v>61976401</v>
      </c>
      <c r="J117" t="str">
        <f t="shared" si="22"/>
        <v>BP52205K</v>
      </c>
      <c r="K117" t="str">
        <f t="shared" si="23"/>
        <v>INNI</v>
      </c>
      <c r="L117" t="s">
        <v>36</v>
      </c>
      <c r="M117">
        <v>289.54000000000002</v>
      </c>
    </row>
    <row r="118" spans="1:13" x14ac:dyDescent="0.25">
      <c r="A118" t="str">
        <f t="shared" si="21"/>
        <v>E111</v>
      </c>
      <c r="B118">
        <v>1</v>
      </c>
      <c r="C118" t="str">
        <f t="shared" ref="C118:C128" si="24">"32040"</f>
        <v>32040</v>
      </c>
      <c r="D118" t="str">
        <f t="shared" ref="D118:D128" si="25">"5610"</f>
        <v>5610</v>
      </c>
      <c r="E118" t="str">
        <f t="shared" ref="E118:E151" si="26">"850LOS"</f>
        <v>850LOS</v>
      </c>
      <c r="F118" t="str">
        <f>""</f>
        <v/>
      </c>
      <c r="G118" t="str">
        <f>""</f>
        <v/>
      </c>
      <c r="H118" s="1">
        <v>39227</v>
      </c>
      <c r="I118" t="str">
        <f>"61576401"</f>
        <v>61576401</v>
      </c>
      <c r="J118" t="str">
        <f t="shared" si="22"/>
        <v>BP52205K</v>
      </c>
      <c r="K118" t="str">
        <f t="shared" si="23"/>
        <v>INNI</v>
      </c>
      <c r="L118" t="s">
        <v>36</v>
      </c>
      <c r="M118" s="2">
        <v>1088.6600000000001</v>
      </c>
    </row>
    <row r="119" spans="1:13" x14ac:dyDescent="0.25">
      <c r="A119" t="str">
        <f t="shared" si="21"/>
        <v>E111</v>
      </c>
      <c r="B119">
        <v>1</v>
      </c>
      <c r="C119" t="str">
        <f t="shared" si="24"/>
        <v>32040</v>
      </c>
      <c r="D119" t="str">
        <f t="shared" si="25"/>
        <v>5610</v>
      </c>
      <c r="E119" t="str">
        <f t="shared" si="26"/>
        <v>850LOS</v>
      </c>
      <c r="F119" t="str">
        <f>""</f>
        <v/>
      </c>
      <c r="G119" t="str">
        <f>""</f>
        <v/>
      </c>
      <c r="H119" s="1">
        <v>39227</v>
      </c>
      <c r="I119" t="str">
        <f>"61600206"</f>
        <v>61600206</v>
      </c>
      <c r="J119" t="str">
        <f t="shared" si="22"/>
        <v>BP52205K</v>
      </c>
      <c r="K119" t="str">
        <f t="shared" si="23"/>
        <v>INNI</v>
      </c>
      <c r="L119" t="s">
        <v>36</v>
      </c>
      <c r="M119">
        <v>283</v>
      </c>
    </row>
    <row r="120" spans="1:13" x14ac:dyDescent="0.25">
      <c r="A120" t="str">
        <f t="shared" si="21"/>
        <v>E111</v>
      </c>
      <c r="B120">
        <v>1</v>
      </c>
      <c r="C120" t="str">
        <f t="shared" si="24"/>
        <v>32040</v>
      </c>
      <c r="D120" t="str">
        <f t="shared" si="25"/>
        <v>5610</v>
      </c>
      <c r="E120" t="str">
        <f t="shared" si="26"/>
        <v>850LOS</v>
      </c>
      <c r="F120" t="str">
        <f>""</f>
        <v/>
      </c>
      <c r="G120" t="str">
        <f>""</f>
        <v/>
      </c>
      <c r="H120" s="1">
        <v>39251</v>
      </c>
      <c r="I120" t="str">
        <f>"61901201"</f>
        <v>61901201</v>
      </c>
      <c r="J120" t="str">
        <f t="shared" si="22"/>
        <v>BP52205K</v>
      </c>
      <c r="K120" t="str">
        <f t="shared" si="23"/>
        <v>INNI</v>
      </c>
      <c r="L120" t="s">
        <v>36</v>
      </c>
      <c r="M120">
        <v>227.87</v>
      </c>
    </row>
    <row r="121" spans="1:13" x14ac:dyDescent="0.25">
      <c r="A121" t="str">
        <f t="shared" si="21"/>
        <v>E111</v>
      </c>
      <c r="B121">
        <v>1</v>
      </c>
      <c r="C121" t="str">
        <f t="shared" si="24"/>
        <v>32040</v>
      </c>
      <c r="D121" t="str">
        <f t="shared" si="25"/>
        <v>5610</v>
      </c>
      <c r="E121" t="str">
        <f t="shared" si="26"/>
        <v>850LOS</v>
      </c>
      <c r="F121" t="str">
        <f>""</f>
        <v/>
      </c>
      <c r="G121" t="str">
        <f>""</f>
        <v/>
      </c>
      <c r="H121" s="1">
        <v>39251</v>
      </c>
      <c r="I121" t="str">
        <f>"61960005"</f>
        <v>61960005</v>
      </c>
      <c r="J121" t="str">
        <f t="shared" si="22"/>
        <v>BP52205K</v>
      </c>
      <c r="K121" t="str">
        <f t="shared" si="23"/>
        <v>INNI</v>
      </c>
      <c r="L121" t="s">
        <v>36</v>
      </c>
      <c r="M121">
        <v>347.78</v>
      </c>
    </row>
    <row r="122" spans="1:13" x14ac:dyDescent="0.25">
      <c r="A122" t="str">
        <f t="shared" si="21"/>
        <v>E111</v>
      </c>
      <c r="B122">
        <v>1</v>
      </c>
      <c r="C122" t="str">
        <f t="shared" si="24"/>
        <v>32040</v>
      </c>
      <c r="D122" t="str">
        <f t="shared" si="25"/>
        <v>5610</v>
      </c>
      <c r="E122" t="str">
        <f t="shared" si="26"/>
        <v>850LOS</v>
      </c>
      <c r="F122" t="str">
        <f>""</f>
        <v/>
      </c>
      <c r="G122" t="str">
        <f>""</f>
        <v/>
      </c>
      <c r="H122" s="1">
        <v>39262</v>
      </c>
      <c r="I122" t="str">
        <f>"62167901"</f>
        <v>62167901</v>
      </c>
      <c r="J122" t="str">
        <f t="shared" si="22"/>
        <v>BP52205K</v>
      </c>
      <c r="K122" t="str">
        <f t="shared" si="23"/>
        <v>INNI</v>
      </c>
      <c r="L122" t="s">
        <v>36</v>
      </c>
      <c r="M122" s="2">
        <v>3070.1</v>
      </c>
    </row>
    <row r="123" spans="1:13" x14ac:dyDescent="0.25">
      <c r="A123" t="str">
        <f t="shared" si="21"/>
        <v>E111</v>
      </c>
      <c r="B123">
        <v>1</v>
      </c>
      <c r="C123" t="str">
        <f t="shared" si="24"/>
        <v>32040</v>
      </c>
      <c r="D123" t="str">
        <f t="shared" si="25"/>
        <v>5610</v>
      </c>
      <c r="E123" t="str">
        <f t="shared" si="26"/>
        <v>850LOS</v>
      </c>
      <c r="F123" t="str">
        <f>""</f>
        <v/>
      </c>
      <c r="G123" t="str">
        <f>""</f>
        <v/>
      </c>
      <c r="H123" s="1">
        <v>39262</v>
      </c>
      <c r="I123" t="str">
        <f>"62376201"</f>
        <v>62376201</v>
      </c>
      <c r="J123" t="str">
        <f t="shared" si="22"/>
        <v>BP52205K</v>
      </c>
      <c r="K123" t="str">
        <f t="shared" si="23"/>
        <v>INNI</v>
      </c>
      <c r="L123" t="s">
        <v>36</v>
      </c>
      <c r="M123">
        <v>205.99</v>
      </c>
    </row>
    <row r="124" spans="1:13" x14ac:dyDescent="0.25">
      <c r="A124" t="str">
        <f t="shared" si="21"/>
        <v>E111</v>
      </c>
      <c r="B124">
        <v>1</v>
      </c>
      <c r="C124" t="str">
        <f t="shared" si="24"/>
        <v>32040</v>
      </c>
      <c r="D124" t="str">
        <f t="shared" si="25"/>
        <v>5610</v>
      </c>
      <c r="E124" t="str">
        <f t="shared" si="26"/>
        <v>850LOS</v>
      </c>
      <c r="F124" t="str">
        <f>""</f>
        <v/>
      </c>
      <c r="G124" t="str">
        <f>""</f>
        <v/>
      </c>
      <c r="H124" s="1">
        <v>39262</v>
      </c>
      <c r="I124" t="str">
        <f>"62404001"</f>
        <v>62404001</v>
      </c>
      <c r="J124" t="str">
        <f t="shared" si="22"/>
        <v>BP52205K</v>
      </c>
      <c r="K124" t="str">
        <f t="shared" si="23"/>
        <v>INNI</v>
      </c>
      <c r="L124" t="s">
        <v>36</v>
      </c>
      <c r="M124" s="2">
        <v>2771.59</v>
      </c>
    </row>
    <row r="125" spans="1:13" x14ac:dyDescent="0.25">
      <c r="A125" t="str">
        <f t="shared" si="21"/>
        <v>E111</v>
      </c>
      <c r="B125">
        <v>1</v>
      </c>
      <c r="C125" t="str">
        <f t="shared" si="24"/>
        <v>32040</v>
      </c>
      <c r="D125" t="str">
        <f t="shared" si="25"/>
        <v>5610</v>
      </c>
      <c r="E125" t="str">
        <f t="shared" si="26"/>
        <v>850LOS</v>
      </c>
      <c r="F125" t="str">
        <f>""</f>
        <v/>
      </c>
      <c r="G125" t="str">
        <f>""</f>
        <v/>
      </c>
      <c r="H125" s="1">
        <v>39262</v>
      </c>
      <c r="I125" t="str">
        <f>"62430501"</f>
        <v>62430501</v>
      </c>
      <c r="J125" t="str">
        <f t="shared" si="22"/>
        <v>BP52205K</v>
      </c>
      <c r="K125" t="str">
        <f t="shared" si="23"/>
        <v>INNI</v>
      </c>
      <c r="L125" t="s">
        <v>36</v>
      </c>
      <c r="M125">
        <v>414.3</v>
      </c>
    </row>
    <row r="126" spans="1:13" x14ac:dyDescent="0.25">
      <c r="A126" t="str">
        <f t="shared" si="21"/>
        <v>E111</v>
      </c>
      <c r="B126">
        <v>1</v>
      </c>
      <c r="C126" t="str">
        <f t="shared" si="24"/>
        <v>32040</v>
      </c>
      <c r="D126" t="str">
        <f t="shared" si="25"/>
        <v>5610</v>
      </c>
      <c r="E126" t="str">
        <f t="shared" si="26"/>
        <v>850LOS</v>
      </c>
      <c r="F126" t="str">
        <f>""</f>
        <v/>
      </c>
      <c r="G126" t="str">
        <f>""</f>
        <v/>
      </c>
      <c r="H126" s="1">
        <v>39262</v>
      </c>
      <c r="I126" t="str">
        <f>"62430502"</f>
        <v>62430502</v>
      </c>
      <c r="J126" t="str">
        <f t="shared" si="22"/>
        <v>BP52205K</v>
      </c>
      <c r="K126" t="str">
        <f t="shared" si="23"/>
        <v>INNI</v>
      </c>
      <c r="L126" t="s">
        <v>36</v>
      </c>
      <c r="M126">
        <v>106.49</v>
      </c>
    </row>
    <row r="127" spans="1:13" x14ac:dyDescent="0.25">
      <c r="A127" t="str">
        <f t="shared" ref="A127:A163" si="27">"E111"</f>
        <v>E111</v>
      </c>
      <c r="B127">
        <v>1</v>
      </c>
      <c r="C127" t="str">
        <f t="shared" si="24"/>
        <v>32040</v>
      </c>
      <c r="D127" t="str">
        <f t="shared" si="25"/>
        <v>5610</v>
      </c>
      <c r="E127" t="str">
        <f t="shared" si="26"/>
        <v>850LOS</v>
      </c>
      <c r="F127" t="str">
        <f>""</f>
        <v/>
      </c>
      <c r="G127" t="str">
        <f>""</f>
        <v/>
      </c>
      <c r="H127" s="1">
        <v>39262</v>
      </c>
      <c r="I127" t="str">
        <f>"62430504"</f>
        <v>62430504</v>
      </c>
      <c r="J127" t="str">
        <f t="shared" si="22"/>
        <v>BP52205K</v>
      </c>
      <c r="K127" t="str">
        <f t="shared" si="23"/>
        <v>INNI</v>
      </c>
      <c r="L127" t="s">
        <v>36</v>
      </c>
      <c r="M127">
        <v>110.9</v>
      </c>
    </row>
    <row r="128" spans="1:13" x14ac:dyDescent="0.25">
      <c r="A128" t="str">
        <f t="shared" si="27"/>
        <v>E111</v>
      </c>
      <c r="B128">
        <v>1</v>
      </c>
      <c r="C128" t="str">
        <f t="shared" si="24"/>
        <v>32040</v>
      </c>
      <c r="D128" t="str">
        <f t="shared" si="25"/>
        <v>5610</v>
      </c>
      <c r="E128" t="str">
        <f t="shared" si="26"/>
        <v>850LOS</v>
      </c>
      <c r="F128" t="str">
        <f>""</f>
        <v/>
      </c>
      <c r="G128" t="str">
        <f>""</f>
        <v/>
      </c>
      <c r="H128" s="1">
        <v>39262</v>
      </c>
      <c r="I128" t="str">
        <f>"62430505"</f>
        <v>62430505</v>
      </c>
      <c r="J128" t="str">
        <f t="shared" si="22"/>
        <v>BP52205K</v>
      </c>
      <c r="K128" t="str">
        <f t="shared" si="23"/>
        <v>INNI</v>
      </c>
      <c r="L128" t="s">
        <v>36</v>
      </c>
      <c r="M128">
        <v>723.55</v>
      </c>
    </row>
    <row r="129" spans="1:13" x14ac:dyDescent="0.25">
      <c r="A129" t="str">
        <f t="shared" si="27"/>
        <v>E111</v>
      </c>
      <c r="B129">
        <v>1</v>
      </c>
      <c r="C129" t="str">
        <f t="shared" ref="C129:C157" si="28">"43000"</f>
        <v>43000</v>
      </c>
      <c r="D129" t="str">
        <f t="shared" ref="D129:D163" si="29">"5740"</f>
        <v>5740</v>
      </c>
      <c r="E129" t="str">
        <f t="shared" si="26"/>
        <v>850LOS</v>
      </c>
      <c r="F129" t="str">
        <f>""</f>
        <v/>
      </c>
      <c r="G129" t="str">
        <f>""</f>
        <v/>
      </c>
      <c r="H129" s="1">
        <v>38929</v>
      </c>
      <c r="I129" t="str">
        <f>"CST00337"</f>
        <v>CST00337</v>
      </c>
      <c r="J129" t="str">
        <f>"42849479"</f>
        <v>42849479</v>
      </c>
      <c r="K129" t="str">
        <f>"AS96"</f>
        <v>AS96</v>
      </c>
      <c r="L129" t="s">
        <v>655</v>
      </c>
      <c r="M129">
        <v>167.92</v>
      </c>
    </row>
    <row r="130" spans="1:13" x14ac:dyDescent="0.25">
      <c r="A130" t="str">
        <f t="shared" si="27"/>
        <v>E111</v>
      </c>
      <c r="B130">
        <v>1</v>
      </c>
      <c r="C130" t="str">
        <f t="shared" si="28"/>
        <v>43000</v>
      </c>
      <c r="D130" t="str">
        <f t="shared" si="29"/>
        <v>5740</v>
      </c>
      <c r="E130" t="str">
        <f t="shared" si="26"/>
        <v>850LOS</v>
      </c>
      <c r="F130" t="str">
        <f>""</f>
        <v/>
      </c>
      <c r="G130" t="str">
        <f>""</f>
        <v/>
      </c>
      <c r="H130" s="1">
        <v>38929</v>
      </c>
      <c r="I130" t="str">
        <f>"CST00337"</f>
        <v>CST00337</v>
      </c>
      <c r="J130" t="str">
        <f>"43224189"</f>
        <v>43224189</v>
      </c>
      <c r="K130" t="str">
        <f>"AS96"</f>
        <v>AS96</v>
      </c>
      <c r="L130" t="s">
        <v>654</v>
      </c>
      <c r="M130">
        <v>101.03</v>
      </c>
    </row>
    <row r="131" spans="1:13" x14ac:dyDescent="0.25">
      <c r="A131" t="str">
        <f t="shared" si="27"/>
        <v>E111</v>
      </c>
      <c r="B131">
        <v>1</v>
      </c>
      <c r="C131" t="str">
        <f t="shared" si="28"/>
        <v>43000</v>
      </c>
      <c r="D131" t="str">
        <f t="shared" si="29"/>
        <v>5740</v>
      </c>
      <c r="E131" t="str">
        <f t="shared" si="26"/>
        <v>850LOS</v>
      </c>
      <c r="F131" t="str">
        <f>""</f>
        <v/>
      </c>
      <c r="G131" t="str">
        <f>""</f>
        <v/>
      </c>
      <c r="H131" s="1">
        <v>38940</v>
      </c>
      <c r="I131" t="str">
        <f>"PCD00239"</f>
        <v>PCD00239</v>
      </c>
      <c r="J131" t="str">
        <f>"44059"</f>
        <v>44059</v>
      </c>
      <c r="K131" t="str">
        <f>"AS89"</f>
        <v>AS89</v>
      </c>
      <c r="L131" t="s">
        <v>653</v>
      </c>
      <c r="M131">
        <v>342.6</v>
      </c>
    </row>
    <row r="132" spans="1:13" x14ac:dyDescent="0.25">
      <c r="A132" t="str">
        <f t="shared" si="27"/>
        <v>E111</v>
      </c>
      <c r="B132">
        <v>1</v>
      </c>
      <c r="C132" t="str">
        <f t="shared" si="28"/>
        <v>43000</v>
      </c>
      <c r="D132" t="str">
        <f t="shared" si="29"/>
        <v>5740</v>
      </c>
      <c r="E132" t="str">
        <f t="shared" si="26"/>
        <v>850LOS</v>
      </c>
      <c r="F132" t="str">
        <f>""</f>
        <v/>
      </c>
      <c r="G132" t="str">
        <f>""</f>
        <v/>
      </c>
      <c r="H132" s="1">
        <v>38940</v>
      </c>
      <c r="I132" t="str">
        <f>"PCD00239"</f>
        <v>PCD00239</v>
      </c>
      <c r="J132" t="str">
        <f>"44390"</f>
        <v>44390</v>
      </c>
      <c r="K132" t="str">
        <f>"AS89"</f>
        <v>AS89</v>
      </c>
      <c r="L132" t="s">
        <v>652</v>
      </c>
      <c r="M132">
        <v>571.09</v>
      </c>
    </row>
    <row r="133" spans="1:13" x14ac:dyDescent="0.25">
      <c r="A133" t="str">
        <f t="shared" si="27"/>
        <v>E111</v>
      </c>
      <c r="B133">
        <v>1</v>
      </c>
      <c r="C133" t="str">
        <f t="shared" si="28"/>
        <v>43000</v>
      </c>
      <c r="D133" t="str">
        <f t="shared" si="29"/>
        <v>5740</v>
      </c>
      <c r="E133" t="str">
        <f t="shared" si="26"/>
        <v>850LOS</v>
      </c>
      <c r="F133" t="str">
        <f>""</f>
        <v/>
      </c>
      <c r="G133" t="str">
        <f>""</f>
        <v/>
      </c>
      <c r="H133" s="1">
        <v>38960</v>
      </c>
      <c r="I133" t="str">
        <f>"CST00339"</f>
        <v>CST00339</v>
      </c>
      <c r="J133" t="str">
        <f>"43635679"</f>
        <v>43635679</v>
      </c>
      <c r="K133" t="str">
        <f>"AS96"</f>
        <v>AS96</v>
      </c>
      <c r="L133" t="s">
        <v>651</v>
      </c>
      <c r="M133">
        <v>169.93</v>
      </c>
    </row>
    <row r="134" spans="1:13" x14ac:dyDescent="0.25">
      <c r="A134" t="str">
        <f t="shared" si="27"/>
        <v>E111</v>
      </c>
      <c r="B134">
        <v>1</v>
      </c>
      <c r="C134" t="str">
        <f t="shared" si="28"/>
        <v>43000</v>
      </c>
      <c r="D134" t="str">
        <f t="shared" si="29"/>
        <v>5740</v>
      </c>
      <c r="E134" t="str">
        <f t="shared" si="26"/>
        <v>850LOS</v>
      </c>
      <c r="F134" t="str">
        <f>""</f>
        <v/>
      </c>
      <c r="G134" t="str">
        <f>""</f>
        <v/>
      </c>
      <c r="H134" s="1">
        <v>38990</v>
      </c>
      <c r="I134" t="str">
        <f>"CST00341"</f>
        <v>CST00341</v>
      </c>
      <c r="J134" t="str">
        <f>"46822979"</f>
        <v>46822979</v>
      </c>
      <c r="K134" t="str">
        <f>"AS96"</f>
        <v>AS96</v>
      </c>
      <c r="L134" t="s">
        <v>650</v>
      </c>
      <c r="M134">
        <v>106.08</v>
      </c>
    </row>
    <row r="135" spans="1:13" x14ac:dyDescent="0.25">
      <c r="A135" t="str">
        <f t="shared" si="27"/>
        <v>E111</v>
      </c>
      <c r="B135">
        <v>1</v>
      </c>
      <c r="C135" t="str">
        <f t="shared" si="28"/>
        <v>43000</v>
      </c>
      <c r="D135" t="str">
        <f t="shared" si="29"/>
        <v>5740</v>
      </c>
      <c r="E135" t="str">
        <f t="shared" si="26"/>
        <v>850LOS</v>
      </c>
      <c r="F135" t="str">
        <f>""</f>
        <v/>
      </c>
      <c r="G135" t="str">
        <f>""</f>
        <v/>
      </c>
      <c r="H135" s="1">
        <v>39003</v>
      </c>
      <c r="I135" t="str">
        <f>"PCD00246"</f>
        <v>PCD00246</v>
      </c>
      <c r="J135" t="str">
        <f>"45653"</f>
        <v>45653</v>
      </c>
      <c r="K135" t="str">
        <f t="shared" ref="K135:K151" si="30">"AS89"</f>
        <v>AS89</v>
      </c>
      <c r="L135" t="s">
        <v>649</v>
      </c>
      <c r="M135">
        <v>108.36</v>
      </c>
    </row>
    <row r="136" spans="1:13" x14ac:dyDescent="0.25">
      <c r="A136" t="str">
        <f t="shared" si="27"/>
        <v>E111</v>
      </c>
      <c r="B136">
        <v>1</v>
      </c>
      <c r="C136" t="str">
        <f t="shared" si="28"/>
        <v>43000</v>
      </c>
      <c r="D136" t="str">
        <f t="shared" si="29"/>
        <v>5740</v>
      </c>
      <c r="E136" t="str">
        <f t="shared" si="26"/>
        <v>850LOS</v>
      </c>
      <c r="F136" t="str">
        <f>""</f>
        <v/>
      </c>
      <c r="G136" t="str">
        <f>""</f>
        <v/>
      </c>
      <c r="H136" s="1">
        <v>39003</v>
      </c>
      <c r="I136" t="str">
        <f>"PCD00246"</f>
        <v>PCD00246</v>
      </c>
      <c r="J136" t="str">
        <f>"46797"</f>
        <v>46797</v>
      </c>
      <c r="K136" t="str">
        <f t="shared" si="30"/>
        <v>AS89</v>
      </c>
      <c r="L136" t="s">
        <v>633</v>
      </c>
      <c r="M136">
        <v>159.07</v>
      </c>
    </row>
    <row r="137" spans="1:13" x14ac:dyDescent="0.25">
      <c r="A137" t="str">
        <f t="shared" si="27"/>
        <v>E111</v>
      </c>
      <c r="B137">
        <v>1</v>
      </c>
      <c r="C137" t="str">
        <f t="shared" si="28"/>
        <v>43000</v>
      </c>
      <c r="D137" t="str">
        <f t="shared" si="29"/>
        <v>5740</v>
      </c>
      <c r="E137" t="str">
        <f t="shared" si="26"/>
        <v>850LOS</v>
      </c>
      <c r="F137" t="str">
        <f>""</f>
        <v/>
      </c>
      <c r="G137" t="str">
        <f>""</f>
        <v/>
      </c>
      <c r="H137" s="1">
        <v>39038</v>
      </c>
      <c r="I137" t="str">
        <f>"PCD00249"</f>
        <v>PCD00249</v>
      </c>
      <c r="J137" t="str">
        <f>"47988"</f>
        <v>47988</v>
      </c>
      <c r="K137" t="str">
        <f t="shared" si="30"/>
        <v>AS89</v>
      </c>
      <c r="L137" t="s">
        <v>648</v>
      </c>
      <c r="M137">
        <v>963.6</v>
      </c>
    </row>
    <row r="138" spans="1:13" x14ac:dyDescent="0.25">
      <c r="A138" t="str">
        <f t="shared" si="27"/>
        <v>E111</v>
      </c>
      <c r="B138">
        <v>1</v>
      </c>
      <c r="C138" t="str">
        <f t="shared" si="28"/>
        <v>43000</v>
      </c>
      <c r="D138" t="str">
        <f t="shared" si="29"/>
        <v>5740</v>
      </c>
      <c r="E138" t="str">
        <f t="shared" si="26"/>
        <v>850LOS</v>
      </c>
      <c r="F138" t="str">
        <f>""</f>
        <v/>
      </c>
      <c r="G138" t="str">
        <f>""</f>
        <v/>
      </c>
      <c r="H138" s="1">
        <v>39038</v>
      </c>
      <c r="I138" t="str">
        <f>"PCD00249"</f>
        <v>PCD00249</v>
      </c>
      <c r="J138" t="str">
        <f>"48152"</f>
        <v>48152</v>
      </c>
      <c r="K138" t="str">
        <f t="shared" si="30"/>
        <v>AS89</v>
      </c>
      <c r="L138" t="s">
        <v>647</v>
      </c>
      <c r="M138">
        <v>330.78</v>
      </c>
    </row>
    <row r="139" spans="1:13" x14ac:dyDescent="0.25">
      <c r="A139" t="str">
        <f t="shared" si="27"/>
        <v>E111</v>
      </c>
      <c r="B139">
        <v>1</v>
      </c>
      <c r="C139" t="str">
        <f t="shared" si="28"/>
        <v>43000</v>
      </c>
      <c r="D139" t="str">
        <f t="shared" si="29"/>
        <v>5740</v>
      </c>
      <c r="E139" t="str">
        <f t="shared" si="26"/>
        <v>850LOS</v>
      </c>
      <c r="F139" t="str">
        <f>""</f>
        <v/>
      </c>
      <c r="G139" t="str">
        <f>""</f>
        <v/>
      </c>
      <c r="H139" s="1">
        <v>39066</v>
      </c>
      <c r="I139" t="str">
        <f>"PCD00251"</f>
        <v>PCD00251</v>
      </c>
      <c r="J139" t="str">
        <f>"49869"</f>
        <v>49869</v>
      </c>
      <c r="K139" t="str">
        <f t="shared" si="30"/>
        <v>AS89</v>
      </c>
      <c r="L139" t="s">
        <v>617</v>
      </c>
      <c r="M139">
        <v>209.71</v>
      </c>
    </row>
    <row r="140" spans="1:13" x14ac:dyDescent="0.25">
      <c r="A140" t="str">
        <f t="shared" si="27"/>
        <v>E111</v>
      </c>
      <c r="B140">
        <v>1</v>
      </c>
      <c r="C140" t="str">
        <f t="shared" si="28"/>
        <v>43000</v>
      </c>
      <c r="D140" t="str">
        <f t="shared" si="29"/>
        <v>5740</v>
      </c>
      <c r="E140" t="str">
        <f t="shared" si="26"/>
        <v>850LOS</v>
      </c>
      <c r="F140" t="str">
        <f>""</f>
        <v/>
      </c>
      <c r="G140" t="str">
        <f>""</f>
        <v/>
      </c>
      <c r="H140" s="1">
        <v>39066</v>
      </c>
      <c r="I140" t="str">
        <f>"PCD00251"</f>
        <v>PCD00251</v>
      </c>
      <c r="J140" t="str">
        <f>"50066"</f>
        <v>50066</v>
      </c>
      <c r="K140" t="str">
        <f t="shared" si="30"/>
        <v>AS89</v>
      </c>
      <c r="L140" t="s">
        <v>646</v>
      </c>
      <c r="M140">
        <v>255.56</v>
      </c>
    </row>
    <row r="141" spans="1:13" x14ac:dyDescent="0.25">
      <c r="A141" t="str">
        <f t="shared" si="27"/>
        <v>E111</v>
      </c>
      <c r="B141">
        <v>1</v>
      </c>
      <c r="C141" t="str">
        <f t="shared" si="28"/>
        <v>43000</v>
      </c>
      <c r="D141" t="str">
        <f t="shared" si="29"/>
        <v>5740</v>
      </c>
      <c r="E141" t="str">
        <f t="shared" si="26"/>
        <v>850LOS</v>
      </c>
      <c r="F141" t="str">
        <f>""</f>
        <v/>
      </c>
      <c r="G141" t="str">
        <f>""</f>
        <v/>
      </c>
      <c r="H141" s="1">
        <v>39100</v>
      </c>
      <c r="I141" t="str">
        <f>"PCD00254"</f>
        <v>PCD00254</v>
      </c>
      <c r="J141" t="str">
        <f>"51396"</f>
        <v>51396</v>
      </c>
      <c r="K141" t="str">
        <f t="shared" si="30"/>
        <v>AS89</v>
      </c>
      <c r="L141" t="s">
        <v>477</v>
      </c>
      <c r="M141">
        <v>110.51</v>
      </c>
    </row>
    <row r="142" spans="1:13" x14ac:dyDescent="0.25">
      <c r="A142" t="str">
        <f t="shared" si="27"/>
        <v>E111</v>
      </c>
      <c r="B142">
        <v>1</v>
      </c>
      <c r="C142" t="str">
        <f t="shared" si="28"/>
        <v>43000</v>
      </c>
      <c r="D142" t="str">
        <f t="shared" si="29"/>
        <v>5740</v>
      </c>
      <c r="E142" t="str">
        <f t="shared" si="26"/>
        <v>850LOS</v>
      </c>
      <c r="F142" t="str">
        <f>""</f>
        <v/>
      </c>
      <c r="G142" t="str">
        <f>""</f>
        <v/>
      </c>
      <c r="H142" s="1">
        <v>39104</v>
      </c>
      <c r="I142" t="str">
        <f>"PCD00255"</f>
        <v>PCD00255</v>
      </c>
      <c r="J142" t="str">
        <f>"51594"</f>
        <v>51594</v>
      </c>
      <c r="K142" t="str">
        <f t="shared" si="30"/>
        <v>AS89</v>
      </c>
      <c r="L142" t="s">
        <v>631</v>
      </c>
      <c r="M142">
        <v>167.03</v>
      </c>
    </row>
    <row r="143" spans="1:13" x14ac:dyDescent="0.25">
      <c r="A143" t="str">
        <f t="shared" si="27"/>
        <v>E111</v>
      </c>
      <c r="B143">
        <v>1</v>
      </c>
      <c r="C143" t="str">
        <f t="shared" si="28"/>
        <v>43000</v>
      </c>
      <c r="D143" t="str">
        <f t="shared" si="29"/>
        <v>5740</v>
      </c>
      <c r="E143" t="str">
        <f t="shared" si="26"/>
        <v>850LOS</v>
      </c>
      <c r="F143" t="str">
        <f>""</f>
        <v/>
      </c>
      <c r="G143" t="str">
        <f>""</f>
        <v/>
      </c>
      <c r="H143" s="1">
        <v>39129</v>
      </c>
      <c r="I143" t="str">
        <f>"PCD00257"</f>
        <v>PCD00257</v>
      </c>
      <c r="J143" t="str">
        <f>"52720"</f>
        <v>52720</v>
      </c>
      <c r="K143" t="str">
        <f t="shared" si="30"/>
        <v>AS89</v>
      </c>
      <c r="L143" t="s">
        <v>630</v>
      </c>
      <c r="M143">
        <v>453.56</v>
      </c>
    </row>
    <row r="144" spans="1:13" x14ac:dyDescent="0.25">
      <c r="A144" t="str">
        <f t="shared" si="27"/>
        <v>E111</v>
      </c>
      <c r="B144">
        <v>1</v>
      </c>
      <c r="C144" t="str">
        <f t="shared" si="28"/>
        <v>43000</v>
      </c>
      <c r="D144" t="str">
        <f t="shared" si="29"/>
        <v>5740</v>
      </c>
      <c r="E144" t="str">
        <f t="shared" si="26"/>
        <v>850LOS</v>
      </c>
      <c r="F144" t="str">
        <f>""</f>
        <v/>
      </c>
      <c r="G144" t="str">
        <f>""</f>
        <v/>
      </c>
      <c r="H144" s="1">
        <v>39129</v>
      </c>
      <c r="I144" t="str">
        <f>"PCD00258"</f>
        <v>PCD00258</v>
      </c>
      <c r="J144" t="str">
        <f>"53460"</f>
        <v>53460</v>
      </c>
      <c r="K144" t="str">
        <f t="shared" si="30"/>
        <v>AS89</v>
      </c>
      <c r="L144" t="s">
        <v>615</v>
      </c>
      <c r="M144">
        <v>237.15</v>
      </c>
    </row>
    <row r="145" spans="1:13" x14ac:dyDescent="0.25">
      <c r="A145" t="str">
        <f t="shared" si="27"/>
        <v>E111</v>
      </c>
      <c r="B145">
        <v>1</v>
      </c>
      <c r="C145" t="str">
        <f t="shared" si="28"/>
        <v>43000</v>
      </c>
      <c r="D145" t="str">
        <f t="shared" si="29"/>
        <v>5740</v>
      </c>
      <c r="E145" t="str">
        <f t="shared" si="26"/>
        <v>850LOS</v>
      </c>
      <c r="F145" t="str">
        <f>""</f>
        <v/>
      </c>
      <c r="G145" t="str">
        <f>""</f>
        <v/>
      </c>
      <c r="H145" s="1">
        <v>39142</v>
      </c>
      <c r="I145" t="str">
        <f>"PCD00261"</f>
        <v>PCD00261</v>
      </c>
      <c r="J145" t="str">
        <f>"54347"</f>
        <v>54347</v>
      </c>
      <c r="K145" t="str">
        <f t="shared" si="30"/>
        <v>AS89</v>
      </c>
      <c r="L145" t="s">
        <v>645</v>
      </c>
      <c r="M145">
        <v>146.97</v>
      </c>
    </row>
    <row r="146" spans="1:13" x14ac:dyDescent="0.25">
      <c r="A146" t="str">
        <f t="shared" si="27"/>
        <v>E111</v>
      </c>
      <c r="B146">
        <v>1</v>
      </c>
      <c r="C146" t="str">
        <f t="shared" si="28"/>
        <v>43000</v>
      </c>
      <c r="D146" t="str">
        <f t="shared" si="29"/>
        <v>5740</v>
      </c>
      <c r="E146" t="str">
        <f t="shared" si="26"/>
        <v>850LOS</v>
      </c>
      <c r="F146" t="str">
        <f>""</f>
        <v/>
      </c>
      <c r="G146" t="str">
        <f>""</f>
        <v/>
      </c>
      <c r="H146" s="1">
        <v>39142</v>
      </c>
      <c r="I146" t="str">
        <f>"PCD00261"</f>
        <v>PCD00261</v>
      </c>
      <c r="J146" t="str">
        <f>"54347"</f>
        <v>54347</v>
      </c>
      <c r="K146" t="str">
        <f t="shared" si="30"/>
        <v>AS89</v>
      </c>
      <c r="L146" t="s">
        <v>644</v>
      </c>
      <c r="M146" s="2">
        <v>1749.6</v>
      </c>
    </row>
    <row r="147" spans="1:13" x14ac:dyDescent="0.25">
      <c r="A147" t="str">
        <f t="shared" si="27"/>
        <v>E111</v>
      </c>
      <c r="B147">
        <v>1</v>
      </c>
      <c r="C147" t="str">
        <f t="shared" si="28"/>
        <v>43000</v>
      </c>
      <c r="D147" t="str">
        <f t="shared" si="29"/>
        <v>5740</v>
      </c>
      <c r="E147" t="str">
        <f t="shared" si="26"/>
        <v>850LOS</v>
      </c>
      <c r="F147" t="str">
        <f>""</f>
        <v/>
      </c>
      <c r="G147" t="str">
        <f>""</f>
        <v/>
      </c>
      <c r="H147" s="1">
        <v>39203</v>
      </c>
      <c r="I147" t="str">
        <f>"PCD00269"</f>
        <v>PCD00269</v>
      </c>
      <c r="J147" t="str">
        <f>"58031"</f>
        <v>58031</v>
      </c>
      <c r="K147" t="str">
        <f t="shared" si="30"/>
        <v>AS89</v>
      </c>
      <c r="L147" t="s">
        <v>642</v>
      </c>
      <c r="M147">
        <v>109.8</v>
      </c>
    </row>
    <row r="148" spans="1:13" x14ac:dyDescent="0.25">
      <c r="A148" t="str">
        <f t="shared" si="27"/>
        <v>E111</v>
      </c>
      <c r="B148">
        <v>1</v>
      </c>
      <c r="C148" t="str">
        <f t="shared" si="28"/>
        <v>43000</v>
      </c>
      <c r="D148" t="str">
        <f t="shared" si="29"/>
        <v>5740</v>
      </c>
      <c r="E148" t="str">
        <f t="shared" si="26"/>
        <v>850LOS</v>
      </c>
      <c r="F148" t="str">
        <f>""</f>
        <v/>
      </c>
      <c r="G148" t="str">
        <f>""</f>
        <v/>
      </c>
      <c r="H148" s="1">
        <v>39203</v>
      </c>
      <c r="I148" t="str">
        <f>"PCD00269"</f>
        <v>PCD00269</v>
      </c>
      <c r="J148" t="str">
        <f>"58622"</f>
        <v>58622</v>
      </c>
      <c r="K148" t="str">
        <f t="shared" si="30"/>
        <v>AS89</v>
      </c>
      <c r="L148" t="s">
        <v>641</v>
      </c>
      <c r="M148">
        <v>117.57</v>
      </c>
    </row>
    <row r="149" spans="1:13" x14ac:dyDescent="0.25">
      <c r="A149" t="str">
        <f t="shared" si="27"/>
        <v>E111</v>
      </c>
      <c r="B149">
        <v>1</v>
      </c>
      <c r="C149" t="str">
        <f t="shared" si="28"/>
        <v>43000</v>
      </c>
      <c r="D149" t="str">
        <f t="shared" si="29"/>
        <v>5740</v>
      </c>
      <c r="E149" t="str">
        <f t="shared" si="26"/>
        <v>850LOS</v>
      </c>
      <c r="F149" t="str">
        <f>""</f>
        <v/>
      </c>
      <c r="G149" t="str">
        <f>""</f>
        <v/>
      </c>
      <c r="H149" s="1">
        <v>39263</v>
      </c>
      <c r="I149" t="str">
        <f>"PCD00275"</f>
        <v>PCD00275</v>
      </c>
      <c r="J149" t="str">
        <f>"61153"</f>
        <v>61153</v>
      </c>
      <c r="K149" t="str">
        <f t="shared" si="30"/>
        <v>AS89</v>
      </c>
      <c r="L149" t="s">
        <v>613</v>
      </c>
      <c r="M149">
        <v>178.36</v>
      </c>
    </row>
    <row r="150" spans="1:13" x14ac:dyDescent="0.25">
      <c r="A150" t="str">
        <f t="shared" si="27"/>
        <v>E111</v>
      </c>
      <c r="B150">
        <v>1</v>
      </c>
      <c r="C150" t="str">
        <f t="shared" si="28"/>
        <v>43000</v>
      </c>
      <c r="D150" t="str">
        <f t="shared" si="29"/>
        <v>5740</v>
      </c>
      <c r="E150" t="str">
        <f t="shared" si="26"/>
        <v>850LOS</v>
      </c>
      <c r="F150" t="str">
        <f>""</f>
        <v/>
      </c>
      <c r="G150" t="str">
        <f>""</f>
        <v/>
      </c>
      <c r="H150" s="1">
        <v>39263</v>
      </c>
      <c r="I150" t="str">
        <f>"PCD00275"</f>
        <v>PCD00275</v>
      </c>
      <c r="J150" t="str">
        <f>"62085"</f>
        <v>62085</v>
      </c>
      <c r="K150" t="str">
        <f t="shared" si="30"/>
        <v>AS89</v>
      </c>
      <c r="L150" t="s">
        <v>614</v>
      </c>
      <c r="M150">
        <v>129.18</v>
      </c>
    </row>
    <row r="151" spans="1:13" x14ac:dyDescent="0.25">
      <c r="A151" t="str">
        <f t="shared" si="27"/>
        <v>E111</v>
      </c>
      <c r="B151">
        <v>1</v>
      </c>
      <c r="C151" t="str">
        <f t="shared" si="28"/>
        <v>43000</v>
      </c>
      <c r="D151" t="str">
        <f t="shared" si="29"/>
        <v>5740</v>
      </c>
      <c r="E151" t="str">
        <f t="shared" si="26"/>
        <v>850LOS</v>
      </c>
      <c r="F151" t="str">
        <f>""</f>
        <v/>
      </c>
      <c r="G151" t="str">
        <f>""</f>
        <v/>
      </c>
      <c r="H151" s="1">
        <v>39263</v>
      </c>
      <c r="I151" t="str">
        <f>"PCD00278"</f>
        <v>PCD00278</v>
      </c>
      <c r="J151" t="str">
        <f>"62306"</f>
        <v>62306</v>
      </c>
      <c r="K151" t="str">
        <f t="shared" si="30"/>
        <v>AS89</v>
      </c>
      <c r="L151" t="s">
        <v>640</v>
      </c>
      <c r="M151">
        <v>105.2</v>
      </c>
    </row>
    <row r="152" spans="1:13" x14ac:dyDescent="0.25">
      <c r="A152" t="str">
        <f t="shared" si="27"/>
        <v>E111</v>
      </c>
      <c r="B152">
        <v>1</v>
      </c>
      <c r="C152" t="str">
        <f t="shared" si="28"/>
        <v>43000</v>
      </c>
      <c r="D152" t="str">
        <f t="shared" si="29"/>
        <v>5740</v>
      </c>
      <c r="E152" t="str">
        <f>"850PKC"</f>
        <v>850PKC</v>
      </c>
      <c r="F152" t="str">
        <f>""</f>
        <v/>
      </c>
      <c r="G152" t="str">
        <f>""</f>
        <v/>
      </c>
      <c r="H152" s="1">
        <v>39072</v>
      </c>
      <c r="I152" t="str">
        <f>"G0706138"</f>
        <v>G0706138</v>
      </c>
      <c r="J152" t="str">
        <f>"46796"</f>
        <v>46796</v>
      </c>
      <c r="K152" t="str">
        <f>"J079"</f>
        <v>J079</v>
      </c>
      <c r="L152" t="s">
        <v>447</v>
      </c>
      <c r="M152">
        <v>168.01</v>
      </c>
    </row>
    <row r="153" spans="1:13" x14ac:dyDescent="0.25">
      <c r="A153" t="str">
        <f t="shared" si="27"/>
        <v>E111</v>
      </c>
      <c r="B153">
        <v>1</v>
      </c>
      <c r="C153" t="str">
        <f t="shared" si="28"/>
        <v>43000</v>
      </c>
      <c r="D153" t="str">
        <f t="shared" si="29"/>
        <v>5740</v>
      </c>
      <c r="E153" t="str">
        <f>"850PKC"</f>
        <v>850PKC</v>
      </c>
      <c r="F153" t="str">
        <f>""</f>
        <v/>
      </c>
      <c r="G153" t="str">
        <f>""</f>
        <v/>
      </c>
      <c r="H153" s="1">
        <v>39129</v>
      </c>
      <c r="I153" t="str">
        <f>"PCD00257"</f>
        <v>PCD00257</v>
      </c>
      <c r="J153" t="str">
        <f>"51804"</f>
        <v>51804</v>
      </c>
      <c r="K153" t="str">
        <f t="shared" ref="K153:K173" si="31">"AS89"</f>
        <v>AS89</v>
      </c>
      <c r="L153" t="s">
        <v>639</v>
      </c>
      <c r="M153">
        <v>235.65</v>
      </c>
    </row>
    <row r="154" spans="1:13" x14ac:dyDescent="0.25">
      <c r="A154" t="str">
        <f t="shared" si="27"/>
        <v>E111</v>
      </c>
      <c r="B154">
        <v>1</v>
      </c>
      <c r="C154" t="str">
        <f t="shared" si="28"/>
        <v>43000</v>
      </c>
      <c r="D154" t="str">
        <f t="shared" si="29"/>
        <v>5740</v>
      </c>
      <c r="E154" t="str">
        <f>"850PKE"</f>
        <v>850PKE</v>
      </c>
      <c r="F154" t="str">
        <f>""</f>
        <v/>
      </c>
      <c r="G154" t="str">
        <f>""</f>
        <v/>
      </c>
      <c r="H154" s="1">
        <v>38940</v>
      </c>
      <c r="I154" t="str">
        <f>"PCD00239"</f>
        <v>PCD00239</v>
      </c>
      <c r="J154" t="str">
        <f>"44130"</f>
        <v>44130</v>
      </c>
      <c r="K154" t="str">
        <f t="shared" si="31"/>
        <v>AS89</v>
      </c>
      <c r="L154" t="s">
        <v>638</v>
      </c>
      <c r="M154">
        <v>216.58</v>
      </c>
    </row>
    <row r="155" spans="1:13" x14ac:dyDescent="0.25">
      <c r="A155" t="str">
        <f t="shared" si="27"/>
        <v>E111</v>
      </c>
      <c r="B155">
        <v>1</v>
      </c>
      <c r="C155" t="str">
        <f t="shared" si="28"/>
        <v>43000</v>
      </c>
      <c r="D155" t="str">
        <f t="shared" si="29"/>
        <v>5740</v>
      </c>
      <c r="E155" t="str">
        <f>"850PKE"</f>
        <v>850PKE</v>
      </c>
      <c r="F155" t="str">
        <f>""</f>
        <v/>
      </c>
      <c r="G155" t="str">
        <f>""</f>
        <v/>
      </c>
      <c r="H155" s="1">
        <v>39010</v>
      </c>
      <c r="I155" t="str">
        <f>"PCD00247"</f>
        <v>PCD00247</v>
      </c>
      <c r="J155" t="str">
        <f>"47641"</f>
        <v>47641</v>
      </c>
      <c r="K155" t="str">
        <f t="shared" si="31"/>
        <v>AS89</v>
      </c>
      <c r="L155" t="s">
        <v>637</v>
      </c>
      <c r="M155" s="2">
        <v>1000</v>
      </c>
    </row>
    <row r="156" spans="1:13" x14ac:dyDescent="0.25">
      <c r="A156" t="str">
        <f t="shared" si="27"/>
        <v>E111</v>
      </c>
      <c r="B156">
        <v>1</v>
      </c>
      <c r="C156" t="str">
        <f t="shared" si="28"/>
        <v>43000</v>
      </c>
      <c r="D156" t="str">
        <f t="shared" si="29"/>
        <v>5740</v>
      </c>
      <c r="E156" t="str">
        <f>"850PKE"</f>
        <v>850PKE</v>
      </c>
      <c r="F156" t="str">
        <f>""</f>
        <v/>
      </c>
      <c r="G156" t="str">
        <f>""</f>
        <v/>
      </c>
      <c r="H156" s="1">
        <v>39203</v>
      </c>
      <c r="I156" t="str">
        <f>"PCD00269"</f>
        <v>PCD00269</v>
      </c>
      <c r="J156" t="str">
        <f>"57404"</f>
        <v>57404</v>
      </c>
      <c r="K156" t="str">
        <f t="shared" si="31"/>
        <v>AS89</v>
      </c>
      <c r="L156" t="s">
        <v>636</v>
      </c>
      <c r="M156" s="2">
        <v>1000</v>
      </c>
    </row>
    <row r="157" spans="1:13" x14ac:dyDescent="0.25">
      <c r="A157" t="str">
        <f t="shared" si="27"/>
        <v>E111</v>
      </c>
      <c r="B157">
        <v>1</v>
      </c>
      <c r="C157" t="str">
        <f t="shared" si="28"/>
        <v>43000</v>
      </c>
      <c r="D157" t="str">
        <f t="shared" si="29"/>
        <v>5740</v>
      </c>
      <c r="E157" t="str">
        <f>"850PKE"</f>
        <v>850PKE</v>
      </c>
      <c r="F157" t="str">
        <f>""</f>
        <v/>
      </c>
      <c r="G157" t="str">
        <f>""</f>
        <v/>
      </c>
      <c r="H157" s="1">
        <v>39203</v>
      </c>
      <c r="I157" t="str">
        <f>"PCD00269"</f>
        <v>PCD00269</v>
      </c>
      <c r="J157" t="str">
        <f>"58120"</f>
        <v>58120</v>
      </c>
      <c r="K157" t="str">
        <f t="shared" si="31"/>
        <v>AS89</v>
      </c>
      <c r="L157" t="s">
        <v>635</v>
      </c>
      <c r="M157" s="2">
        <v>1000</v>
      </c>
    </row>
    <row r="158" spans="1:13" x14ac:dyDescent="0.25">
      <c r="A158" t="str">
        <f t="shared" si="27"/>
        <v>E111</v>
      </c>
      <c r="B158">
        <v>1</v>
      </c>
      <c r="C158" t="str">
        <f>"43001"</f>
        <v>43001</v>
      </c>
      <c r="D158" t="str">
        <f t="shared" si="29"/>
        <v>5740</v>
      </c>
      <c r="E158" t="str">
        <f t="shared" ref="E158:E163" si="32">"850LOS"</f>
        <v>850LOS</v>
      </c>
      <c r="F158" t="str">
        <f>""</f>
        <v/>
      </c>
      <c r="G158" t="str">
        <f>""</f>
        <v/>
      </c>
      <c r="H158" s="1">
        <v>38940</v>
      </c>
      <c r="I158" t="str">
        <f>"PCD00239"</f>
        <v>PCD00239</v>
      </c>
      <c r="J158" t="str">
        <f>"43952"</f>
        <v>43952</v>
      </c>
      <c r="K158" t="str">
        <f t="shared" si="31"/>
        <v>AS89</v>
      </c>
      <c r="L158" t="s">
        <v>634</v>
      </c>
      <c r="M158">
        <v>277.72000000000003</v>
      </c>
    </row>
    <row r="159" spans="1:13" x14ac:dyDescent="0.25">
      <c r="A159" t="str">
        <f t="shared" si="27"/>
        <v>E111</v>
      </c>
      <c r="B159">
        <v>1</v>
      </c>
      <c r="C159" t="str">
        <f>"43001"</f>
        <v>43001</v>
      </c>
      <c r="D159" t="str">
        <f t="shared" si="29"/>
        <v>5740</v>
      </c>
      <c r="E159" t="str">
        <f t="shared" si="32"/>
        <v>850LOS</v>
      </c>
      <c r="F159" t="str">
        <f>""</f>
        <v/>
      </c>
      <c r="G159" t="str">
        <f>""</f>
        <v/>
      </c>
      <c r="H159" s="1">
        <v>39003</v>
      </c>
      <c r="I159" t="str">
        <f>"PCD00246"</f>
        <v>PCD00246</v>
      </c>
      <c r="J159" t="str">
        <f>"46797"</f>
        <v>46797</v>
      </c>
      <c r="K159" t="str">
        <f t="shared" si="31"/>
        <v>AS89</v>
      </c>
      <c r="L159" t="s">
        <v>633</v>
      </c>
      <c r="M159">
        <v>159.06</v>
      </c>
    </row>
    <row r="160" spans="1:13" x14ac:dyDescent="0.25">
      <c r="A160" t="str">
        <f t="shared" si="27"/>
        <v>E111</v>
      </c>
      <c r="B160">
        <v>1</v>
      </c>
      <c r="C160" t="str">
        <f>"43001"</f>
        <v>43001</v>
      </c>
      <c r="D160" t="str">
        <f t="shared" si="29"/>
        <v>5740</v>
      </c>
      <c r="E160" t="str">
        <f t="shared" si="32"/>
        <v>850LOS</v>
      </c>
      <c r="F160" t="str">
        <f>""</f>
        <v/>
      </c>
      <c r="G160" t="str">
        <f>""</f>
        <v/>
      </c>
      <c r="H160" s="1">
        <v>39038</v>
      </c>
      <c r="I160" t="str">
        <f>"PCD00249"</f>
        <v>PCD00249</v>
      </c>
      <c r="J160" t="str">
        <f>"48644"</f>
        <v>48644</v>
      </c>
      <c r="K160" t="str">
        <f t="shared" si="31"/>
        <v>AS89</v>
      </c>
      <c r="L160" t="s">
        <v>632</v>
      </c>
      <c r="M160">
        <v>127.73</v>
      </c>
    </row>
    <row r="161" spans="1:13" x14ac:dyDescent="0.25">
      <c r="A161" t="str">
        <f t="shared" si="27"/>
        <v>E111</v>
      </c>
      <c r="B161">
        <v>1</v>
      </c>
      <c r="C161" t="str">
        <f>"43001"</f>
        <v>43001</v>
      </c>
      <c r="D161" t="str">
        <f t="shared" si="29"/>
        <v>5740</v>
      </c>
      <c r="E161" t="str">
        <f t="shared" si="32"/>
        <v>850LOS</v>
      </c>
      <c r="F161" t="str">
        <f>""</f>
        <v/>
      </c>
      <c r="G161" t="str">
        <f>""</f>
        <v/>
      </c>
      <c r="H161" s="1">
        <v>39129</v>
      </c>
      <c r="I161" t="str">
        <f>"PCD00257"</f>
        <v>PCD00257</v>
      </c>
      <c r="J161" t="str">
        <f>"52720"</f>
        <v>52720</v>
      </c>
      <c r="K161" t="str">
        <f t="shared" si="31"/>
        <v>AS89</v>
      </c>
      <c r="L161" t="s">
        <v>630</v>
      </c>
      <c r="M161">
        <v>151.18</v>
      </c>
    </row>
    <row r="162" spans="1:13" x14ac:dyDescent="0.25">
      <c r="A162" t="str">
        <f t="shared" si="27"/>
        <v>E111</v>
      </c>
      <c r="B162">
        <v>1</v>
      </c>
      <c r="C162" t="str">
        <f>"43001"</f>
        <v>43001</v>
      </c>
      <c r="D162" t="str">
        <f t="shared" si="29"/>
        <v>5740</v>
      </c>
      <c r="E162" t="str">
        <f t="shared" si="32"/>
        <v>850LOS</v>
      </c>
      <c r="F162" t="str">
        <f>""</f>
        <v/>
      </c>
      <c r="G162" t="str">
        <f>""</f>
        <v/>
      </c>
      <c r="H162" s="1">
        <v>39263</v>
      </c>
      <c r="I162" t="str">
        <f>"PCD00275"</f>
        <v>PCD00275</v>
      </c>
      <c r="J162" t="str">
        <f>"61613"</f>
        <v>61613</v>
      </c>
      <c r="K162" t="str">
        <f t="shared" si="31"/>
        <v>AS89</v>
      </c>
      <c r="L162" t="s">
        <v>629</v>
      </c>
      <c r="M162">
        <v>349.97</v>
      </c>
    </row>
    <row r="163" spans="1:13" x14ac:dyDescent="0.25">
      <c r="A163" t="str">
        <f t="shared" si="27"/>
        <v>E111</v>
      </c>
      <c r="B163">
        <v>1</v>
      </c>
      <c r="C163" t="str">
        <f>"43003"</f>
        <v>43003</v>
      </c>
      <c r="D163" t="str">
        <f t="shared" si="29"/>
        <v>5740</v>
      </c>
      <c r="E163" t="str">
        <f t="shared" si="32"/>
        <v>850LOS</v>
      </c>
      <c r="F163" t="str">
        <f>""</f>
        <v/>
      </c>
      <c r="G163" t="str">
        <f>""</f>
        <v/>
      </c>
      <c r="H163" s="1">
        <v>39129</v>
      </c>
      <c r="I163" t="str">
        <f>"PCD00257"</f>
        <v>PCD00257</v>
      </c>
      <c r="J163" t="str">
        <f>"52990"</f>
        <v>52990</v>
      </c>
      <c r="K163" t="str">
        <f t="shared" si="31"/>
        <v>AS89</v>
      </c>
      <c r="L163" t="s">
        <v>628</v>
      </c>
      <c r="M163">
        <v>127.93</v>
      </c>
    </row>
    <row r="164" spans="1:13" x14ac:dyDescent="0.25">
      <c r="A164" t="str">
        <f>"E112"</f>
        <v>E112</v>
      </c>
      <c r="B164">
        <v>1</v>
      </c>
      <c r="C164" t="str">
        <f>"14185"</f>
        <v>14185</v>
      </c>
      <c r="D164" t="str">
        <f>"5620"</f>
        <v>5620</v>
      </c>
      <c r="E164" t="str">
        <f>"094OMS"</f>
        <v>094OMS</v>
      </c>
      <c r="F164" t="str">
        <f>""</f>
        <v/>
      </c>
      <c r="G164" t="str">
        <f>""</f>
        <v/>
      </c>
      <c r="H164" s="1">
        <v>38970</v>
      </c>
      <c r="I164" t="str">
        <f>"PCD00243"</f>
        <v>PCD00243</v>
      </c>
      <c r="J164" t="str">
        <f>"44582"</f>
        <v>44582</v>
      </c>
      <c r="K164" t="str">
        <f t="shared" si="31"/>
        <v>AS89</v>
      </c>
      <c r="L164" t="s">
        <v>627</v>
      </c>
      <c r="M164">
        <v>244.7</v>
      </c>
    </row>
    <row r="165" spans="1:13" x14ac:dyDescent="0.25">
      <c r="A165" t="str">
        <f>"E112"</f>
        <v>E112</v>
      </c>
      <c r="B165">
        <v>1</v>
      </c>
      <c r="C165" t="str">
        <f>"43000"</f>
        <v>43000</v>
      </c>
      <c r="D165" t="str">
        <f>"5740"</f>
        <v>5740</v>
      </c>
      <c r="E165" t="str">
        <f>"850LOS"</f>
        <v>850LOS</v>
      </c>
      <c r="F165" t="str">
        <f>""</f>
        <v/>
      </c>
      <c r="G165" t="str">
        <f>""</f>
        <v/>
      </c>
      <c r="H165" s="1">
        <v>39150</v>
      </c>
      <c r="I165" t="str">
        <f>"PCD00262"</f>
        <v>PCD00262</v>
      </c>
      <c r="J165" t="str">
        <f>"54836"</f>
        <v>54836</v>
      </c>
      <c r="K165" t="str">
        <f t="shared" si="31"/>
        <v>AS89</v>
      </c>
      <c r="L165" t="s">
        <v>626</v>
      </c>
      <c r="M165">
        <v>173.13</v>
      </c>
    </row>
    <row r="166" spans="1:13" x14ac:dyDescent="0.25">
      <c r="A166" t="str">
        <f t="shared" ref="A166:A173" si="33">"E117"</f>
        <v>E117</v>
      </c>
      <c r="B166">
        <v>1</v>
      </c>
      <c r="C166" t="str">
        <f>"14185"</f>
        <v>14185</v>
      </c>
      <c r="D166" t="str">
        <f>"5620"</f>
        <v>5620</v>
      </c>
      <c r="E166" t="str">
        <f>"094OMS"</f>
        <v>094OMS</v>
      </c>
      <c r="F166" t="str">
        <f>""</f>
        <v/>
      </c>
      <c r="G166" t="str">
        <f>""</f>
        <v/>
      </c>
      <c r="H166" s="1">
        <v>39003</v>
      </c>
      <c r="I166" t="str">
        <f>"PCD00246"</f>
        <v>PCD00246</v>
      </c>
      <c r="J166" t="str">
        <f>"46841"</f>
        <v>46841</v>
      </c>
      <c r="K166" t="str">
        <f t="shared" si="31"/>
        <v>AS89</v>
      </c>
      <c r="L166" t="s">
        <v>625</v>
      </c>
      <c r="M166">
        <v>548.42999999999995</v>
      </c>
    </row>
    <row r="167" spans="1:13" x14ac:dyDescent="0.25">
      <c r="A167" t="str">
        <f t="shared" si="33"/>
        <v>E117</v>
      </c>
      <c r="B167">
        <v>1</v>
      </c>
      <c r="C167" t="str">
        <f>"14185"</f>
        <v>14185</v>
      </c>
      <c r="D167" t="str">
        <f>"5620"</f>
        <v>5620</v>
      </c>
      <c r="E167" t="str">
        <f>"094OMS"</f>
        <v>094OMS</v>
      </c>
      <c r="F167" t="str">
        <f>""</f>
        <v/>
      </c>
      <c r="G167" t="str">
        <f>""</f>
        <v/>
      </c>
      <c r="H167" s="1">
        <v>39066</v>
      </c>
      <c r="I167" t="str">
        <f>"PCD00251"</f>
        <v>PCD00251</v>
      </c>
      <c r="J167" t="str">
        <f>"49605"</f>
        <v>49605</v>
      </c>
      <c r="K167" t="str">
        <f t="shared" si="31"/>
        <v>AS89</v>
      </c>
      <c r="L167" t="s">
        <v>624</v>
      </c>
      <c r="M167">
        <v>458.2</v>
      </c>
    </row>
    <row r="168" spans="1:13" x14ac:dyDescent="0.25">
      <c r="A168" t="str">
        <f t="shared" si="33"/>
        <v>E117</v>
      </c>
      <c r="B168">
        <v>1</v>
      </c>
      <c r="C168" t="str">
        <f>"14185"</f>
        <v>14185</v>
      </c>
      <c r="D168" t="str">
        <f>"5620"</f>
        <v>5620</v>
      </c>
      <c r="E168" t="str">
        <f>"094OMS"</f>
        <v>094OMS</v>
      </c>
      <c r="F168" t="str">
        <f>""</f>
        <v/>
      </c>
      <c r="G168" t="str">
        <f>""</f>
        <v/>
      </c>
      <c r="H168" s="1">
        <v>39129</v>
      </c>
      <c r="I168" t="str">
        <f>"PCD00257"</f>
        <v>PCD00257</v>
      </c>
      <c r="J168" t="str">
        <f>"52256"</f>
        <v>52256</v>
      </c>
      <c r="K168" t="str">
        <f t="shared" si="31"/>
        <v>AS89</v>
      </c>
      <c r="L168" t="s">
        <v>623</v>
      </c>
      <c r="M168">
        <v>124.9</v>
      </c>
    </row>
    <row r="169" spans="1:13" x14ac:dyDescent="0.25">
      <c r="A169" t="str">
        <f t="shared" si="33"/>
        <v>E117</v>
      </c>
      <c r="B169">
        <v>1</v>
      </c>
      <c r="C169" t="str">
        <f>"14185"</f>
        <v>14185</v>
      </c>
      <c r="D169" t="str">
        <f>"5620"</f>
        <v>5620</v>
      </c>
      <c r="E169" t="str">
        <f>"094OMS"</f>
        <v>094OMS</v>
      </c>
      <c r="F169" t="str">
        <f>""</f>
        <v/>
      </c>
      <c r="G169" t="str">
        <f>""</f>
        <v/>
      </c>
      <c r="H169" s="1">
        <v>39203</v>
      </c>
      <c r="I169" t="str">
        <f>"PCD00269"</f>
        <v>PCD00269</v>
      </c>
      <c r="J169" t="str">
        <f>"57486"</f>
        <v>57486</v>
      </c>
      <c r="K169" t="str">
        <f t="shared" si="31"/>
        <v>AS89</v>
      </c>
      <c r="L169" t="s">
        <v>622</v>
      </c>
      <c r="M169">
        <v>385.84</v>
      </c>
    </row>
    <row r="170" spans="1:13" x14ac:dyDescent="0.25">
      <c r="A170" t="str">
        <f t="shared" si="33"/>
        <v>E117</v>
      </c>
      <c r="B170">
        <v>1</v>
      </c>
      <c r="C170" t="str">
        <f>"14185"</f>
        <v>14185</v>
      </c>
      <c r="D170" t="str">
        <f>"5620"</f>
        <v>5620</v>
      </c>
      <c r="E170" t="str">
        <f>"094OMS"</f>
        <v>094OMS</v>
      </c>
      <c r="F170" t="str">
        <f>""</f>
        <v/>
      </c>
      <c r="G170" t="str">
        <f>""</f>
        <v/>
      </c>
      <c r="H170" s="1">
        <v>39234</v>
      </c>
      <c r="I170" t="str">
        <f>"PCD00272"</f>
        <v>PCD00272</v>
      </c>
      <c r="J170" t="str">
        <f>"59835"</f>
        <v>59835</v>
      </c>
      <c r="K170" t="str">
        <f t="shared" si="31"/>
        <v>AS89</v>
      </c>
      <c r="L170" t="s">
        <v>621</v>
      </c>
      <c r="M170">
        <v>548.42999999999995</v>
      </c>
    </row>
    <row r="171" spans="1:13" x14ac:dyDescent="0.25">
      <c r="A171" t="str">
        <f t="shared" si="33"/>
        <v>E117</v>
      </c>
      <c r="B171">
        <v>1</v>
      </c>
      <c r="C171" t="str">
        <f>"32040"</f>
        <v>32040</v>
      </c>
      <c r="D171" t="str">
        <f>"5610"</f>
        <v>5610</v>
      </c>
      <c r="E171" t="str">
        <f t="shared" ref="E171:E184" si="34">"850LOS"</f>
        <v>850LOS</v>
      </c>
      <c r="F171" t="str">
        <f>""</f>
        <v/>
      </c>
      <c r="G171" t="str">
        <f>""</f>
        <v/>
      </c>
      <c r="H171" s="1">
        <v>39003</v>
      </c>
      <c r="I171" t="str">
        <f>"PCD00246"</f>
        <v>PCD00246</v>
      </c>
      <c r="J171" t="str">
        <f>"46653"</f>
        <v>46653</v>
      </c>
      <c r="K171" t="str">
        <f t="shared" si="31"/>
        <v>AS89</v>
      </c>
      <c r="L171" t="s">
        <v>619</v>
      </c>
      <c r="M171">
        <v>148.30000000000001</v>
      </c>
    </row>
    <row r="172" spans="1:13" x14ac:dyDescent="0.25">
      <c r="A172" t="str">
        <f t="shared" si="33"/>
        <v>E117</v>
      </c>
      <c r="B172">
        <v>1</v>
      </c>
      <c r="C172" t="str">
        <f>"32040"</f>
        <v>32040</v>
      </c>
      <c r="D172" t="str">
        <f>"5610"</f>
        <v>5610</v>
      </c>
      <c r="E172" t="str">
        <f t="shared" si="34"/>
        <v>850LOS</v>
      </c>
      <c r="F172" t="str">
        <f>""</f>
        <v/>
      </c>
      <c r="G172" t="str">
        <f>""</f>
        <v/>
      </c>
      <c r="H172" s="1">
        <v>39142</v>
      </c>
      <c r="I172" t="str">
        <f>"PCD00261"</f>
        <v>PCD00261</v>
      </c>
      <c r="J172" t="str">
        <f>"54049"</f>
        <v>54049</v>
      </c>
      <c r="K172" t="str">
        <f t="shared" si="31"/>
        <v>AS89</v>
      </c>
      <c r="L172" t="s">
        <v>620</v>
      </c>
      <c r="M172">
        <v>165.26</v>
      </c>
    </row>
    <row r="173" spans="1:13" x14ac:dyDescent="0.25">
      <c r="A173" t="str">
        <f t="shared" si="33"/>
        <v>E117</v>
      </c>
      <c r="B173">
        <v>1</v>
      </c>
      <c r="C173" t="str">
        <f t="shared" ref="C173:C184" si="35">"43000"</f>
        <v>43000</v>
      </c>
      <c r="D173" t="str">
        <f t="shared" ref="D173:D184" si="36">"5740"</f>
        <v>5740</v>
      </c>
      <c r="E173" t="str">
        <f t="shared" si="34"/>
        <v>850LOS</v>
      </c>
      <c r="F173" t="str">
        <f>""</f>
        <v/>
      </c>
      <c r="G173" t="str">
        <f>""</f>
        <v/>
      </c>
      <c r="H173" s="1">
        <v>39100</v>
      </c>
      <c r="I173" t="str">
        <f>"PCD00254"</f>
        <v>PCD00254</v>
      </c>
      <c r="J173" t="str">
        <f>"50942"</f>
        <v>50942</v>
      </c>
      <c r="K173" t="str">
        <f t="shared" si="31"/>
        <v>AS89</v>
      </c>
      <c r="L173" t="s">
        <v>616</v>
      </c>
      <c r="M173">
        <v>133.79</v>
      </c>
    </row>
    <row r="174" spans="1:13" x14ac:dyDescent="0.25">
      <c r="A174" t="str">
        <f>"E120"</f>
        <v>E120</v>
      </c>
      <c r="B174">
        <v>1</v>
      </c>
      <c r="C174" t="str">
        <f t="shared" si="35"/>
        <v>43000</v>
      </c>
      <c r="D174" t="str">
        <f t="shared" si="36"/>
        <v>5740</v>
      </c>
      <c r="E174" t="str">
        <f t="shared" si="34"/>
        <v>850LOS</v>
      </c>
      <c r="F174" t="str">
        <f>""</f>
        <v/>
      </c>
      <c r="G174" t="str">
        <f>""</f>
        <v/>
      </c>
      <c r="H174" s="1">
        <v>38922</v>
      </c>
      <c r="I174" t="str">
        <f>"19316A"</f>
        <v>19316A</v>
      </c>
      <c r="J174" t="str">
        <f>"F076388"</f>
        <v>F076388</v>
      </c>
      <c r="K174" t="str">
        <f>"INEI"</f>
        <v>INEI</v>
      </c>
      <c r="L174" t="s">
        <v>48</v>
      </c>
      <c r="M174" s="2">
        <v>3815.68</v>
      </c>
    </row>
    <row r="175" spans="1:13" x14ac:dyDescent="0.25">
      <c r="A175" t="str">
        <f>"E120"</f>
        <v>E120</v>
      </c>
      <c r="B175">
        <v>1</v>
      </c>
      <c r="C175" t="str">
        <f t="shared" si="35"/>
        <v>43000</v>
      </c>
      <c r="D175" t="str">
        <f t="shared" si="36"/>
        <v>5740</v>
      </c>
      <c r="E175" t="str">
        <f t="shared" si="34"/>
        <v>850LOS</v>
      </c>
      <c r="F175" t="str">
        <f>""</f>
        <v/>
      </c>
      <c r="G175" t="str">
        <f>""</f>
        <v/>
      </c>
      <c r="H175" s="1">
        <v>38922</v>
      </c>
      <c r="I175" t="str">
        <f>"19316A"</f>
        <v>19316A</v>
      </c>
      <c r="J175" t="str">
        <f>"F076388"</f>
        <v>F076388</v>
      </c>
      <c r="K175" t="str">
        <f>"INEI"</f>
        <v>INEI</v>
      </c>
      <c r="L175" t="s">
        <v>48</v>
      </c>
      <c r="M175" s="2">
        <v>2818.4</v>
      </c>
    </row>
    <row r="176" spans="1:13" x14ac:dyDescent="0.25">
      <c r="A176" t="str">
        <f>"E120"</f>
        <v>E120</v>
      </c>
      <c r="B176">
        <v>1</v>
      </c>
      <c r="C176" t="str">
        <f t="shared" si="35"/>
        <v>43000</v>
      </c>
      <c r="D176" t="str">
        <f t="shared" si="36"/>
        <v>5740</v>
      </c>
      <c r="E176" t="str">
        <f t="shared" si="34"/>
        <v>850LOS</v>
      </c>
      <c r="F176" t="str">
        <f>""</f>
        <v/>
      </c>
      <c r="G176" t="str">
        <f>""</f>
        <v/>
      </c>
      <c r="H176" s="1">
        <v>38922</v>
      </c>
      <c r="I176" t="str">
        <f>"19316A"</f>
        <v>19316A</v>
      </c>
      <c r="J176" t="str">
        <f>"F076388"</f>
        <v>F076388</v>
      </c>
      <c r="K176" t="str">
        <f>"INEI"</f>
        <v>INEI</v>
      </c>
      <c r="L176" t="s">
        <v>48</v>
      </c>
      <c r="M176" s="2">
        <v>1142.54</v>
      </c>
    </row>
    <row r="177" spans="1:13" x14ac:dyDescent="0.25">
      <c r="A177" t="str">
        <f t="shared" ref="A177:A184" si="37">"E121"</f>
        <v>E121</v>
      </c>
      <c r="B177">
        <v>1</v>
      </c>
      <c r="C177" t="str">
        <f t="shared" si="35"/>
        <v>43000</v>
      </c>
      <c r="D177" t="str">
        <f t="shared" si="36"/>
        <v>5740</v>
      </c>
      <c r="E177" t="str">
        <f t="shared" si="34"/>
        <v>850LOS</v>
      </c>
      <c r="F177" t="str">
        <f>""</f>
        <v/>
      </c>
      <c r="G177" t="str">
        <f>""</f>
        <v/>
      </c>
      <c r="H177" s="1">
        <v>39003</v>
      </c>
      <c r="I177" t="str">
        <f>"PCD00246"</f>
        <v>PCD00246</v>
      </c>
      <c r="J177" t="str">
        <f>"45952"</f>
        <v>45952</v>
      </c>
      <c r="K177" t="str">
        <f>"AS89"</f>
        <v>AS89</v>
      </c>
      <c r="L177" t="s">
        <v>612</v>
      </c>
      <c r="M177">
        <v>108.4</v>
      </c>
    </row>
    <row r="178" spans="1:13" x14ac:dyDescent="0.25">
      <c r="A178" t="str">
        <f t="shared" si="37"/>
        <v>E121</v>
      </c>
      <c r="B178">
        <v>1</v>
      </c>
      <c r="C178" t="str">
        <f t="shared" si="35"/>
        <v>43000</v>
      </c>
      <c r="D178" t="str">
        <f t="shared" si="36"/>
        <v>5740</v>
      </c>
      <c r="E178" t="str">
        <f t="shared" si="34"/>
        <v>850LOS</v>
      </c>
      <c r="F178" t="str">
        <f>""</f>
        <v/>
      </c>
      <c r="G178" t="str">
        <f>""</f>
        <v/>
      </c>
      <c r="H178" s="1">
        <v>39010</v>
      </c>
      <c r="I178" t="str">
        <f>"PCD00247"</f>
        <v>PCD00247</v>
      </c>
      <c r="J178" t="str">
        <f>"47280"</f>
        <v>47280</v>
      </c>
      <c r="K178" t="str">
        <f>"AS89"</f>
        <v>AS89</v>
      </c>
      <c r="L178" t="s">
        <v>611</v>
      </c>
      <c r="M178">
        <v>856.36</v>
      </c>
    </row>
    <row r="179" spans="1:13" x14ac:dyDescent="0.25">
      <c r="A179" t="str">
        <f t="shared" si="37"/>
        <v>E121</v>
      </c>
      <c r="B179">
        <v>1</v>
      </c>
      <c r="C179" t="str">
        <f t="shared" si="35"/>
        <v>43000</v>
      </c>
      <c r="D179" t="str">
        <f t="shared" si="36"/>
        <v>5740</v>
      </c>
      <c r="E179" t="str">
        <f t="shared" si="34"/>
        <v>850LOS</v>
      </c>
      <c r="F179" t="str">
        <f>""</f>
        <v/>
      </c>
      <c r="G179" t="str">
        <f>""</f>
        <v/>
      </c>
      <c r="H179" s="1">
        <v>39153</v>
      </c>
      <c r="I179" t="str">
        <f>"NV290783"</f>
        <v>NV290783</v>
      </c>
      <c r="J179" t="str">
        <f t="shared" ref="J179:J184" si="38">"B076226B"</f>
        <v>B076226B</v>
      </c>
      <c r="K179" t="str">
        <f t="shared" ref="K179:K184" si="39">"INNI"</f>
        <v>INNI</v>
      </c>
      <c r="L179" t="s">
        <v>76</v>
      </c>
      <c r="M179">
        <v>146.87</v>
      </c>
    </row>
    <row r="180" spans="1:13" x14ac:dyDescent="0.25">
      <c r="A180" t="str">
        <f t="shared" si="37"/>
        <v>E121</v>
      </c>
      <c r="B180">
        <v>1</v>
      </c>
      <c r="C180" t="str">
        <f t="shared" si="35"/>
        <v>43000</v>
      </c>
      <c r="D180" t="str">
        <f t="shared" si="36"/>
        <v>5740</v>
      </c>
      <c r="E180" t="str">
        <f t="shared" si="34"/>
        <v>850LOS</v>
      </c>
      <c r="F180" t="str">
        <f>""</f>
        <v/>
      </c>
      <c r="G180" t="str">
        <f>""</f>
        <v/>
      </c>
      <c r="H180" s="1">
        <v>39156</v>
      </c>
      <c r="I180" t="str">
        <f>"NV290892"</f>
        <v>NV290892</v>
      </c>
      <c r="J180" t="str">
        <f t="shared" si="38"/>
        <v>B076226B</v>
      </c>
      <c r="K180" t="str">
        <f t="shared" si="39"/>
        <v>INNI</v>
      </c>
      <c r="L180" t="s">
        <v>76</v>
      </c>
      <c r="M180">
        <v>335.71</v>
      </c>
    </row>
    <row r="181" spans="1:13" x14ac:dyDescent="0.25">
      <c r="A181" t="str">
        <f t="shared" si="37"/>
        <v>E121</v>
      </c>
      <c r="B181">
        <v>1</v>
      </c>
      <c r="C181" t="str">
        <f t="shared" si="35"/>
        <v>43000</v>
      </c>
      <c r="D181" t="str">
        <f t="shared" si="36"/>
        <v>5740</v>
      </c>
      <c r="E181" t="str">
        <f t="shared" si="34"/>
        <v>850LOS</v>
      </c>
      <c r="F181" t="str">
        <f>""</f>
        <v/>
      </c>
      <c r="G181" t="str">
        <f>""</f>
        <v/>
      </c>
      <c r="H181" s="1">
        <v>39247</v>
      </c>
      <c r="I181" t="str">
        <f>"290129"</f>
        <v>290129</v>
      </c>
      <c r="J181" t="str">
        <f t="shared" si="38"/>
        <v>B076226B</v>
      </c>
      <c r="K181" t="str">
        <f t="shared" si="39"/>
        <v>INNI</v>
      </c>
      <c r="L181" t="s">
        <v>76</v>
      </c>
      <c r="M181">
        <v>397.59</v>
      </c>
    </row>
    <row r="182" spans="1:13" x14ac:dyDescent="0.25">
      <c r="A182" t="str">
        <f t="shared" si="37"/>
        <v>E121</v>
      </c>
      <c r="B182">
        <v>1</v>
      </c>
      <c r="C182" t="str">
        <f t="shared" si="35"/>
        <v>43000</v>
      </c>
      <c r="D182" t="str">
        <f t="shared" si="36"/>
        <v>5740</v>
      </c>
      <c r="E182" t="str">
        <f t="shared" si="34"/>
        <v>850LOS</v>
      </c>
      <c r="F182" t="str">
        <f>""</f>
        <v/>
      </c>
      <c r="G182" t="str">
        <f>""</f>
        <v/>
      </c>
      <c r="H182" s="1">
        <v>39247</v>
      </c>
      <c r="I182" t="str">
        <f>"292200"</f>
        <v>292200</v>
      </c>
      <c r="J182" t="str">
        <f t="shared" si="38"/>
        <v>B076226B</v>
      </c>
      <c r="K182" t="str">
        <f t="shared" si="39"/>
        <v>INNI</v>
      </c>
      <c r="L182" t="s">
        <v>76</v>
      </c>
      <c r="M182">
        <v>101.69</v>
      </c>
    </row>
    <row r="183" spans="1:13" x14ac:dyDescent="0.25">
      <c r="A183" t="str">
        <f t="shared" si="37"/>
        <v>E121</v>
      </c>
      <c r="B183">
        <v>1</v>
      </c>
      <c r="C183" t="str">
        <f t="shared" si="35"/>
        <v>43000</v>
      </c>
      <c r="D183" t="str">
        <f t="shared" si="36"/>
        <v>5740</v>
      </c>
      <c r="E183" t="str">
        <f t="shared" si="34"/>
        <v>850LOS</v>
      </c>
      <c r="F183" t="str">
        <f>""</f>
        <v/>
      </c>
      <c r="G183" t="str">
        <f>""</f>
        <v/>
      </c>
      <c r="H183" s="1">
        <v>39262</v>
      </c>
      <c r="I183" t="str">
        <f>"NV292040"</f>
        <v>NV292040</v>
      </c>
      <c r="J183" t="str">
        <f t="shared" si="38"/>
        <v>B076226B</v>
      </c>
      <c r="K183" t="str">
        <f t="shared" si="39"/>
        <v>INNI</v>
      </c>
      <c r="L183" t="s">
        <v>76</v>
      </c>
      <c r="M183">
        <v>101.69</v>
      </c>
    </row>
    <row r="184" spans="1:13" x14ac:dyDescent="0.25">
      <c r="A184" t="str">
        <f t="shared" si="37"/>
        <v>E121</v>
      </c>
      <c r="B184">
        <v>1</v>
      </c>
      <c r="C184" t="str">
        <f t="shared" si="35"/>
        <v>43000</v>
      </c>
      <c r="D184" t="str">
        <f t="shared" si="36"/>
        <v>5740</v>
      </c>
      <c r="E184" t="str">
        <f t="shared" si="34"/>
        <v>850LOS</v>
      </c>
      <c r="F184" t="str">
        <f>""</f>
        <v/>
      </c>
      <c r="G184" t="str">
        <f>""</f>
        <v/>
      </c>
      <c r="H184" s="1">
        <v>39262</v>
      </c>
      <c r="I184" t="str">
        <f>"NV292200"</f>
        <v>NV292200</v>
      </c>
      <c r="J184" t="str">
        <f t="shared" si="38"/>
        <v>B076226B</v>
      </c>
      <c r="K184" t="str">
        <f t="shared" si="39"/>
        <v>INNI</v>
      </c>
      <c r="L184" t="s">
        <v>76</v>
      </c>
      <c r="M184">
        <v>101.69</v>
      </c>
    </row>
    <row r="185" spans="1:13" x14ac:dyDescent="0.25">
      <c r="A185" t="str">
        <f>"E130"</f>
        <v>E130</v>
      </c>
      <c r="B185">
        <v>1</v>
      </c>
      <c r="C185" t="str">
        <f t="shared" ref="C185:C192" si="40">"14185"</f>
        <v>14185</v>
      </c>
      <c r="D185" t="str">
        <f t="shared" ref="D185:D192" si="41">"5620"</f>
        <v>5620</v>
      </c>
      <c r="E185" t="str">
        <f t="shared" ref="E185:E192" si="42">"094OMS"</f>
        <v>094OMS</v>
      </c>
      <c r="F185" t="str">
        <f>""</f>
        <v/>
      </c>
      <c r="G185" t="str">
        <f>""</f>
        <v/>
      </c>
      <c r="H185" s="1">
        <v>38987</v>
      </c>
      <c r="I185" t="str">
        <f>"00029100"</f>
        <v>00029100</v>
      </c>
      <c r="J185" t="str">
        <f>"N171000M"</f>
        <v>N171000M</v>
      </c>
      <c r="K185" t="str">
        <f>"INEI"</f>
        <v>INEI</v>
      </c>
      <c r="L185" t="s">
        <v>78</v>
      </c>
      <c r="M185">
        <v>990</v>
      </c>
    </row>
    <row r="186" spans="1:13" x14ac:dyDescent="0.25">
      <c r="A186" t="str">
        <f>"E130"</f>
        <v>E130</v>
      </c>
      <c r="B186">
        <v>1</v>
      </c>
      <c r="C186" t="str">
        <f t="shared" si="40"/>
        <v>14185</v>
      </c>
      <c r="D186" t="str">
        <f t="shared" si="41"/>
        <v>5620</v>
      </c>
      <c r="E186" t="str">
        <f t="shared" si="42"/>
        <v>094OMS</v>
      </c>
      <c r="F186" t="str">
        <f>""</f>
        <v/>
      </c>
      <c r="G186" t="str">
        <f>""</f>
        <v/>
      </c>
      <c r="H186" s="1">
        <v>39094</v>
      </c>
      <c r="I186" t="str">
        <f>"00029715"</f>
        <v>00029715</v>
      </c>
      <c r="J186" t="str">
        <f>"N171000M"</f>
        <v>N171000M</v>
      </c>
      <c r="K186" t="str">
        <f>"INEI"</f>
        <v>INEI</v>
      </c>
      <c r="L186" t="s">
        <v>78</v>
      </c>
      <c r="M186">
        <v>990</v>
      </c>
    </row>
    <row r="187" spans="1:13" x14ac:dyDescent="0.25">
      <c r="A187" t="str">
        <f>"E130"</f>
        <v>E130</v>
      </c>
      <c r="B187">
        <v>1</v>
      </c>
      <c r="C187" t="str">
        <f t="shared" si="40"/>
        <v>14185</v>
      </c>
      <c r="D187" t="str">
        <f t="shared" si="41"/>
        <v>5620</v>
      </c>
      <c r="E187" t="str">
        <f t="shared" si="42"/>
        <v>094OMS</v>
      </c>
      <c r="F187" t="str">
        <f>""</f>
        <v/>
      </c>
      <c r="G187" t="str">
        <f>""</f>
        <v/>
      </c>
      <c r="H187" s="1">
        <v>39178</v>
      </c>
      <c r="I187" t="str">
        <f>"00030357"</f>
        <v>00030357</v>
      </c>
      <c r="J187" t="str">
        <f>"N171000M"</f>
        <v>N171000M</v>
      </c>
      <c r="K187" t="str">
        <f>"INEI"</f>
        <v>INEI</v>
      </c>
      <c r="L187" t="s">
        <v>78</v>
      </c>
      <c r="M187">
        <v>990</v>
      </c>
    </row>
    <row r="188" spans="1:13" x14ac:dyDescent="0.25">
      <c r="A188" t="str">
        <f>"E130"</f>
        <v>E130</v>
      </c>
      <c r="B188">
        <v>1</v>
      </c>
      <c r="C188" t="str">
        <f t="shared" si="40"/>
        <v>14185</v>
      </c>
      <c r="D188" t="str">
        <f t="shared" si="41"/>
        <v>5620</v>
      </c>
      <c r="E188" t="str">
        <f t="shared" si="42"/>
        <v>094OMS</v>
      </c>
      <c r="F188" t="str">
        <f>""</f>
        <v/>
      </c>
      <c r="G188" t="str">
        <f>""</f>
        <v/>
      </c>
      <c r="H188" s="1">
        <v>39260</v>
      </c>
      <c r="I188" t="str">
        <f>"00031223"</f>
        <v>00031223</v>
      </c>
      <c r="J188" t="str">
        <f>"N171000M"</f>
        <v>N171000M</v>
      </c>
      <c r="K188" t="str">
        <f>"INEI"</f>
        <v>INEI</v>
      </c>
      <c r="L188" t="s">
        <v>78</v>
      </c>
      <c r="M188">
        <v>990</v>
      </c>
    </row>
    <row r="189" spans="1:13" x14ac:dyDescent="0.25">
      <c r="A189" t="str">
        <f t="shared" ref="A189:A212" si="43">"E150"</f>
        <v>E150</v>
      </c>
      <c r="B189">
        <v>1</v>
      </c>
      <c r="C189" t="str">
        <f t="shared" si="40"/>
        <v>14185</v>
      </c>
      <c r="D189" t="str">
        <f t="shared" si="41"/>
        <v>5620</v>
      </c>
      <c r="E189" t="str">
        <f t="shared" si="42"/>
        <v>094OMS</v>
      </c>
      <c r="F189" t="str">
        <f>""</f>
        <v/>
      </c>
      <c r="G189" t="str">
        <f>""</f>
        <v/>
      </c>
      <c r="H189" s="1">
        <v>38990</v>
      </c>
      <c r="I189" t="str">
        <f>"MPG00314"</f>
        <v>MPG00314</v>
      </c>
      <c r="J189" t="str">
        <f>""</f>
        <v/>
      </c>
      <c r="K189" t="str">
        <f>"AS89"</f>
        <v>AS89</v>
      </c>
      <c r="L189" t="s">
        <v>610</v>
      </c>
      <c r="M189" s="2">
        <v>41000</v>
      </c>
    </row>
    <row r="190" spans="1:13" x14ac:dyDescent="0.25">
      <c r="A190" t="str">
        <f t="shared" si="43"/>
        <v>E150</v>
      </c>
      <c r="B190">
        <v>1</v>
      </c>
      <c r="C190" t="str">
        <f t="shared" si="40"/>
        <v>14185</v>
      </c>
      <c r="D190" t="str">
        <f t="shared" si="41"/>
        <v>5620</v>
      </c>
      <c r="E190" t="str">
        <f t="shared" si="42"/>
        <v>094OMS</v>
      </c>
      <c r="F190" t="str">
        <f>""</f>
        <v/>
      </c>
      <c r="G190" t="str">
        <f>""</f>
        <v/>
      </c>
      <c r="H190" s="1">
        <v>38990</v>
      </c>
      <c r="I190" t="str">
        <f>"MPG00314"</f>
        <v>MPG00314</v>
      </c>
      <c r="J190" t="str">
        <f>""</f>
        <v/>
      </c>
      <c r="K190" t="str">
        <f>"AS89"</f>
        <v>AS89</v>
      </c>
      <c r="L190" t="s">
        <v>610</v>
      </c>
      <c r="M190" s="2">
        <v>16400</v>
      </c>
    </row>
    <row r="191" spans="1:13" x14ac:dyDescent="0.25">
      <c r="A191" t="str">
        <f t="shared" si="43"/>
        <v>E150</v>
      </c>
      <c r="B191">
        <v>1</v>
      </c>
      <c r="C191" t="str">
        <f t="shared" si="40"/>
        <v>14185</v>
      </c>
      <c r="D191" t="str">
        <f t="shared" si="41"/>
        <v>5620</v>
      </c>
      <c r="E191" t="str">
        <f t="shared" si="42"/>
        <v>094OMS</v>
      </c>
      <c r="F191" t="str">
        <f>""</f>
        <v/>
      </c>
      <c r="G191" t="str">
        <f>""</f>
        <v/>
      </c>
      <c r="H191" s="1">
        <v>39118</v>
      </c>
      <c r="I191" t="str">
        <f>"110055"</f>
        <v>110055</v>
      </c>
      <c r="J191" t="str">
        <f>""</f>
        <v/>
      </c>
      <c r="K191" t="str">
        <f t="shared" ref="K191:K209" si="44">"INNI"</f>
        <v>INNI</v>
      </c>
      <c r="L191" t="s">
        <v>92</v>
      </c>
      <c r="M191" s="2">
        <v>1400</v>
      </c>
    </row>
    <row r="192" spans="1:13" x14ac:dyDescent="0.25">
      <c r="A192" t="str">
        <f t="shared" si="43"/>
        <v>E150</v>
      </c>
      <c r="B192">
        <v>1</v>
      </c>
      <c r="C192" t="str">
        <f t="shared" si="40"/>
        <v>14185</v>
      </c>
      <c r="D192" t="str">
        <f t="shared" si="41"/>
        <v>5620</v>
      </c>
      <c r="E192" t="str">
        <f t="shared" si="42"/>
        <v>094OMS</v>
      </c>
      <c r="F192" t="str">
        <f>""</f>
        <v/>
      </c>
      <c r="G192" t="str">
        <f>""</f>
        <v/>
      </c>
      <c r="H192" s="1">
        <v>39118</v>
      </c>
      <c r="I192" t="str">
        <f>"Q110055"</f>
        <v>Q110055</v>
      </c>
      <c r="J192" t="str">
        <f>""</f>
        <v/>
      </c>
      <c r="K192" t="str">
        <f t="shared" si="44"/>
        <v>INNI</v>
      </c>
      <c r="L192" t="s">
        <v>92</v>
      </c>
      <c r="M192" s="2">
        <v>1400</v>
      </c>
    </row>
    <row r="193" spans="1:13" x14ac:dyDescent="0.25">
      <c r="A193" t="str">
        <f t="shared" si="43"/>
        <v>E150</v>
      </c>
      <c r="B193">
        <v>1</v>
      </c>
      <c r="C193" t="str">
        <f t="shared" ref="C193:C209" si="45">"43000"</f>
        <v>43000</v>
      </c>
      <c r="D193" t="str">
        <f t="shared" ref="D193:D212" si="46">"5740"</f>
        <v>5740</v>
      </c>
      <c r="E193" t="str">
        <f t="shared" ref="E193:E207" si="47">"850LOS"</f>
        <v>850LOS</v>
      </c>
      <c r="F193" t="str">
        <f>""</f>
        <v/>
      </c>
      <c r="G193" t="str">
        <f>""</f>
        <v/>
      </c>
      <c r="H193" s="1">
        <v>38930</v>
      </c>
      <c r="I193" t="str">
        <f>"08623803"</f>
        <v>08623803</v>
      </c>
      <c r="J193" t="str">
        <f>"B076350"</f>
        <v>B076350</v>
      </c>
      <c r="K193" t="str">
        <f t="shared" si="44"/>
        <v>INNI</v>
      </c>
      <c r="L193" t="s">
        <v>94</v>
      </c>
      <c r="M193">
        <v>617.54999999999995</v>
      </c>
    </row>
    <row r="194" spans="1:13" x14ac:dyDescent="0.25">
      <c r="A194" t="str">
        <f t="shared" si="43"/>
        <v>E150</v>
      </c>
      <c r="B194">
        <v>1</v>
      </c>
      <c r="C194" t="str">
        <f t="shared" si="45"/>
        <v>43000</v>
      </c>
      <c r="D194" t="str">
        <f t="shared" si="46"/>
        <v>5740</v>
      </c>
      <c r="E194" t="str">
        <f t="shared" si="47"/>
        <v>850LOS</v>
      </c>
      <c r="F194" t="str">
        <f>""</f>
        <v/>
      </c>
      <c r="G194" t="str">
        <f>""</f>
        <v/>
      </c>
      <c r="H194" s="1">
        <v>38938</v>
      </c>
      <c r="I194" t="str">
        <f>"08544311"</f>
        <v>08544311</v>
      </c>
      <c r="J194" t="str">
        <f>"B076350"</f>
        <v>B076350</v>
      </c>
      <c r="K194" t="str">
        <f t="shared" si="44"/>
        <v>INNI</v>
      </c>
      <c r="L194" t="s">
        <v>94</v>
      </c>
      <c r="M194" s="2">
        <v>1626</v>
      </c>
    </row>
    <row r="195" spans="1:13" x14ac:dyDescent="0.25">
      <c r="A195" t="str">
        <f t="shared" si="43"/>
        <v>E150</v>
      </c>
      <c r="B195">
        <v>1</v>
      </c>
      <c r="C195" t="str">
        <f t="shared" si="45"/>
        <v>43000</v>
      </c>
      <c r="D195" t="str">
        <f t="shared" si="46"/>
        <v>5740</v>
      </c>
      <c r="E195" t="str">
        <f t="shared" si="47"/>
        <v>850LOS</v>
      </c>
      <c r="F195" t="str">
        <f>""</f>
        <v/>
      </c>
      <c r="G195" t="str">
        <f>""</f>
        <v/>
      </c>
      <c r="H195" s="1">
        <v>39029</v>
      </c>
      <c r="I195" t="str">
        <f>"08544314"</f>
        <v>08544314</v>
      </c>
      <c r="J195" t="str">
        <f t="shared" ref="J195:J207" si="48">"B076350C"</f>
        <v>B076350C</v>
      </c>
      <c r="K195" t="str">
        <f t="shared" si="44"/>
        <v>INNI</v>
      </c>
      <c r="L195" t="s">
        <v>94</v>
      </c>
      <c r="M195">
        <v>609.75</v>
      </c>
    </row>
    <row r="196" spans="1:13" x14ac:dyDescent="0.25">
      <c r="A196" t="str">
        <f t="shared" si="43"/>
        <v>E150</v>
      </c>
      <c r="B196">
        <v>1</v>
      </c>
      <c r="C196" t="str">
        <f t="shared" si="45"/>
        <v>43000</v>
      </c>
      <c r="D196" t="str">
        <f t="shared" si="46"/>
        <v>5740</v>
      </c>
      <c r="E196" t="str">
        <f t="shared" si="47"/>
        <v>850LOS</v>
      </c>
      <c r="F196" t="str">
        <f>""</f>
        <v/>
      </c>
      <c r="G196" t="str">
        <f>""</f>
        <v/>
      </c>
      <c r="H196" s="1">
        <v>39029</v>
      </c>
      <c r="I196" t="str">
        <f>"09032902"</f>
        <v>09032902</v>
      </c>
      <c r="J196" t="str">
        <f t="shared" si="48"/>
        <v>B076350C</v>
      </c>
      <c r="K196" t="str">
        <f t="shared" si="44"/>
        <v>INNI</v>
      </c>
      <c r="L196" t="s">
        <v>94</v>
      </c>
      <c r="M196" s="2">
        <v>1626</v>
      </c>
    </row>
    <row r="197" spans="1:13" x14ac:dyDescent="0.25">
      <c r="A197" t="str">
        <f t="shared" si="43"/>
        <v>E150</v>
      </c>
      <c r="B197">
        <v>1</v>
      </c>
      <c r="C197" t="str">
        <f t="shared" si="45"/>
        <v>43000</v>
      </c>
      <c r="D197" t="str">
        <f t="shared" si="46"/>
        <v>5740</v>
      </c>
      <c r="E197" t="str">
        <f t="shared" si="47"/>
        <v>850LOS</v>
      </c>
      <c r="F197" t="str">
        <f>""</f>
        <v/>
      </c>
      <c r="G197" t="str">
        <f>""</f>
        <v/>
      </c>
      <c r="H197" s="1">
        <v>39029</v>
      </c>
      <c r="I197" t="str">
        <f>"09032903"</f>
        <v>09032903</v>
      </c>
      <c r="J197" t="str">
        <f t="shared" si="48"/>
        <v>B076350C</v>
      </c>
      <c r="K197" t="str">
        <f t="shared" si="44"/>
        <v>INNI</v>
      </c>
      <c r="L197" t="s">
        <v>94</v>
      </c>
      <c r="M197" s="2">
        <v>1626</v>
      </c>
    </row>
    <row r="198" spans="1:13" x14ac:dyDescent="0.25">
      <c r="A198" t="str">
        <f t="shared" si="43"/>
        <v>E150</v>
      </c>
      <c r="B198">
        <v>1</v>
      </c>
      <c r="C198" t="str">
        <f t="shared" si="45"/>
        <v>43000</v>
      </c>
      <c r="D198" t="str">
        <f t="shared" si="46"/>
        <v>5740</v>
      </c>
      <c r="E198" t="str">
        <f t="shared" si="47"/>
        <v>850LOS</v>
      </c>
      <c r="F198" t="str">
        <f>""</f>
        <v/>
      </c>
      <c r="G198" t="str">
        <f>""</f>
        <v/>
      </c>
      <c r="H198" s="1">
        <v>39051</v>
      </c>
      <c r="I198" t="str">
        <f>"09032904"</f>
        <v>09032904</v>
      </c>
      <c r="J198" t="str">
        <f t="shared" si="48"/>
        <v>B076350C</v>
      </c>
      <c r="K198" t="str">
        <f t="shared" si="44"/>
        <v>INNI</v>
      </c>
      <c r="L198" t="s">
        <v>94</v>
      </c>
      <c r="M198" s="2">
        <v>1626</v>
      </c>
    </row>
    <row r="199" spans="1:13" x14ac:dyDescent="0.25">
      <c r="A199" t="str">
        <f t="shared" si="43"/>
        <v>E150</v>
      </c>
      <c r="B199">
        <v>1</v>
      </c>
      <c r="C199" t="str">
        <f t="shared" si="45"/>
        <v>43000</v>
      </c>
      <c r="D199" t="str">
        <f t="shared" si="46"/>
        <v>5740</v>
      </c>
      <c r="E199" t="str">
        <f t="shared" si="47"/>
        <v>850LOS</v>
      </c>
      <c r="F199" t="str">
        <f>""</f>
        <v/>
      </c>
      <c r="G199" t="str">
        <f>""</f>
        <v/>
      </c>
      <c r="H199" s="1">
        <v>39087</v>
      </c>
      <c r="I199" t="str">
        <f>"08544307"</f>
        <v>08544307</v>
      </c>
      <c r="J199" t="str">
        <f t="shared" si="48"/>
        <v>B076350C</v>
      </c>
      <c r="K199" t="str">
        <f t="shared" si="44"/>
        <v>INNI</v>
      </c>
      <c r="L199" t="s">
        <v>94</v>
      </c>
      <c r="M199" s="2">
        <v>2665.33</v>
      </c>
    </row>
    <row r="200" spans="1:13" x14ac:dyDescent="0.25">
      <c r="A200" t="str">
        <f t="shared" si="43"/>
        <v>E150</v>
      </c>
      <c r="B200">
        <v>1</v>
      </c>
      <c r="C200" t="str">
        <f t="shared" si="45"/>
        <v>43000</v>
      </c>
      <c r="D200" t="str">
        <f t="shared" si="46"/>
        <v>5740</v>
      </c>
      <c r="E200" t="str">
        <f t="shared" si="47"/>
        <v>850LOS</v>
      </c>
      <c r="F200" t="str">
        <f>""</f>
        <v/>
      </c>
      <c r="G200" t="str">
        <f>""</f>
        <v/>
      </c>
      <c r="H200" s="1">
        <v>39087</v>
      </c>
      <c r="I200" t="str">
        <f>"09368306"</f>
        <v>09368306</v>
      </c>
      <c r="J200" t="str">
        <f t="shared" si="48"/>
        <v>B076350C</v>
      </c>
      <c r="K200" t="str">
        <f t="shared" si="44"/>
        <v>INNI</v>
      </c>
      <c r="L200" t="s">
        <v>94</v>
      </c>
      <c r="M200" s="2">
        <v>1638.35</v>
      </c>
    </row>
    <row r="201" spans="1:13" x14ac:dyDescent="0.25">
      <c r="A201" t="str">
        <f t="shared" si="43"/>
        <v>E150</v>
      </c>
      <c r="B201">
        <v>1</v>
      </c>
      <c r="C201" t="str">
        <f t="shared" si="45"/>
        <v>43000</v>
      </c>
      <c r="D201" t="str">
        <f t="shared" si="46"/>
        <v>5740</v>
      </c>
      <c r="E201" t="str">
        <f t="shared" si="47"/>
        <v>850LOS</v>
      </c>
      <c r="F201" t="str">
        <f>""</f>
        <v/>
      </c>
      <c r="G201" t="str">
        <f>""</f>
        <v/>
      </c>
      <c r="H201" s="1">
        <v>39108</v>
      </c>
      <c r="I201" t="str">
        <f>"09368309"</f>
        <v>09368309</v>
      </c>
      <c r="J201" t="str">
        <f t="shared" si="48"/>
        <v>B076350C</v>
      </c>
      <c r="K201" t="str">
        <f t="shared" si="44"/>
        <v>INNI</v>
      </c>
      <c r="L201" t="s">
        <v>94</v>
      </c>
      <c r="M201" s="2">
        <v>1626</v>
      </c>
    </row>
    <row r="202" spans="1:13" x14ac:dyDescent="0.25">
      <c r="A202" t="str">
        <f t="shared" si="43"/>
        <v>E150</v>
      </c>
      <c r="B202">
        <v>1</v>
      </c>
      <c r="C202" t="str">
        <f t="shared" si="45"/>
        <v>43000</v>
      </c>
      <c r="D202" t="str">
        <f t="shared" si="46"/>
        <v>5740</v>
      </c>
      <c r="E202" t="str">
        <f t="shared" si="47"/>
        <v>850LOS</v>
      </c>
      <c r="F202" t="str">
        <f>""</f>
        <v/>
      </c>
      <c r="G202" t="str">
        <f>""</f>
        <v/>
      </c>
      <c r="H202" s="1">
        <v>39113</v>
      </c>
      <c r="I202" t="str">
        <f>"07858714"</f>
        <v>07858714</v>
      </c>
      <c r="J202" t="str">
        <f t="shared" si="48"/>
        <v>B076350C</v>
      </c>
      <c r="K202" t="str">
        <f t="shared" si="44"/>
        <v>INNI</v>
      </c>
      <c r="L202" t="s">
        <v>94</v>
      </c>
      <c r="M202" s="2">
        <v>1212.0999999999999</v>
      </c>
    </row>
    <row r="203" spans="1:13" x14ac:dyDescent="0.25">
      <c r="A203" t="str">
        <f t="shared" si="43"/>
        <v>E150</v>
      </c>
      <c r="B203">
        <v>1</v>
      </c>
      <c r="C203" t="str">
        <f t="shared" si="45"/>
        <v>43000</v>
      </c>
      <c r="D203" t="str">
        <f t="shared" si="46"/>
        <v>5740</v>
      </c>
      <c r="E203" t="str">
        <f t="shared" si="47"/>
        <v>850LOS</v>
      </c>
      <c r="F203" t="str">
        <f>""</f>
        <v/>
      </c>
      <c r="G203" t="str">
        <f>""</f>
        <v/>
      </c>
      <c r="H203" s="1">
        <v>39135</v>
      </c>
      <c r="I203" t="str">
        <f>"09368311"</f>
        <v>09368311</v>
      </c>
      <c r="J203" t="str">
        <f t="shared" si="48"/>
        <v>B076350C</v>
      </c>
      <c r="K203" t="str">
        <f t="shared" si="44"/>
        <v>INNI</v>
      </c>
      <c r="L203" t="s">
        <v>94</v>
      </c>
      <c r="M203" s="2">
        <v>1626</v>
      </c>
    </row>
    <row r="204" spans="1:13" x14ac:dyDescent="0.25">
      <c r="A204" t="str">
        <f t="shared" si="43"/>
        <v>E150</v>
      </c>
      <c r="B204">
        <v>1</v>
      </c>
      <c r="C204" t="str">
        <f t="shared" si="45"/>
        <v>43000</v>
      </c>
      <c r="D204" t="str">
        <f t="shared" si="46"/>
        <v>5740</v>
      </c>
      <c r="E204" t="str">
        <f t="shared" si="47"/>
        <v>850LOS</v>
      </c>
      <c r="F204" t="str">
        <f>""</f>
        <v/>
      </c>
      <c r="G204" t="str">
        <f>""</f>
        <v/>
      </c>
      <c r="H204" s="1">
        <v>39153</v>
      </c>
      <c r="I204" t="str">
        <f>"09368315"</f>
        <v>09368315</v>
      </c>
      <c r="J204" t="str">
        <f t="shared" si="48"/>
        <v>B076350C</v>
      </c>
      <c r="K204" t="str">
        <f t="shared" si="44"/>
        <v>INNI</v>
      </c>
      <c r="L204" t="s">
        <v>94</v>
      </c>
      <c r="M204" s="2">
        <v>1626</v>
      </c>
    </row>
    <row r="205" spans="1:13" x14ac:dyDescent="0.25">
      <c r="A205" t="str">
        <f t="shared" si="43"/>
        <v>E150</v>
      </c>
      <c r="B205">
        <v>1</v>
      </c>
      <c r="C205" t="str">
        <f t="shared" si="45"/>
        <v>43000</v>
      </c>
      <c r="D205" t="str">
        <f t="shared" si="46"/>
        <v>5740</v>
      </c>
      <c r="E205" t="str">
        <f t="shared" si="47"/>
        <v>850LOS</v>
      </c>
      <c r="F205" t="str">
        <f>""</f>
        <v/>
      </c>
      <c r="G205" t="str">
        <f>""</f>
        <v/>
      </c>
      <c r="H205" s="1">
        <v>39189</v>
      </c>
      <c r="I205" t="str">
        <f>"09368317"</f>
        <v>09368317</v>
      </c>
      <c r="J205" t="str">
        <f t="shared" si="48"/>
        <v>B076350C</v>
      </c>
      <c r="K205" t="str">
        <f t="shared" si="44"/>
        <v>INNI</v>
      </c>
      <c r="L205" t="s">
        <v>94</v>
      </c>
      <c r="M205" s="2">
        <v>1626</v>
      </c>
    </row>
    <row r="206" spans="1:13" x14ac:dyDescent="0.25">
      <c r="A206" t="str">
        <f t="shared" si="43"/>
        <v>E150</v>
      </c>
      <c r="B206">
        <v>1</v>
      </c>
      <c r="C206" t="str">
        <f t="shared" si="45"/>
        <v>43000</v>
      </c>
      <c r="D206" t="str">
        <f t="shared" si="46"/>
        <v>5740</v>
      </c>
      <c r="E206" t="str">
        <f t="shared" si="47"/>
        <v>850LOS</v>
      </c>
      <c r="F206" t="str">
        <f>""</f>
        <v/>
      </c>
      <c r="G206" t="str">
        <f>""</f>
        <v/>
      </c>
      <c r="H206" s="1">
        <v>39211</v>
      </c>
      <c r="I206" t="str">
        <f>"09368318"</f>
        <v>09368318</v>
      </c>
      <c r="J206" t="str">
        <f t="shared" si="48"/>
        <v>B076350C</v>
      </c>
      <c r="K206" t="str">
        <f t="shared" si="44"/>
        <v>INNI</v>
      </c>
      <c r="L206" t="s">
        <v>94</v>
      </c>
      <c r="M206" s="2">
        <v>1626</v>
      </c>
    </row>
    <row r="207" spans="1:13" x14ac:dyDescent="0.25">
      <c r="A207" t="str">
        <f t="shared" si="43"/>
        <v>E150</v>
      </c>
      <c r="B207">
        <v>1</v>
      </c>
      <c r="C207" t="str">
        <f t="shared" si="45"/>
        <v>43000</v>
      </c>
      <c r="D207" t="str">
        <f t="shared" si="46"/>
        <v>5740</v>
      </c>
      <c r="E207" t="str">
        <f t="shared" si="47"/>
        <v>850LOS</v>
      </c>
      <c r="F207" t="str">
        <f>""</f>
        <v/>
      </c>
      <c r="G207" t="str">
        <f>""</f>
        <v/>
      </c>
      <c r="H207" s="1">
        <v>39244</v>
      </c>
      <c r="I207" t="str">
        <f>"09368321"</f>
        <v>09368321</v>
      </c>
      <c r="J207" t="str">
        <f t="shared" si="48"/>
        <v>B076350C</v>
      </c>
      <c r="K207" t="str">
        <f t="shared" si="44"/>
        <v>INNI</v>
      </c>
      <c r="L207" t="s">
        <v>94</v>
      </c>
      <c r="M207" s="2">
        <v>1097.42</v>
      </c>
    </row>
    <row r="208" spans="1:13" x14ac:dyDescent="0.25">
      <c r="A208" t="str">
        <f t="shared" si="43"/>
        <v>E150</v>
      </c>
      <c r="B208">
        <v>1</v>
      </c>
      <c r="C208" t="str">
        <f t="shared" si="45"/>
        <v>43000</v>
      </c>
      <c r="D208" t="str">
        <f t="shared" si="46"/>
        <v>5740</v>
      </c>
      <c r="E208" t="str">
        <f>"850PKE"</f>
        <v>850PKE</v>
      </c>
      <c r="F208" t="str">
        <f>""</f>
        <v/>
      </c>
      <c r="G208" t="str">
        <f>""</f>
        <v/>
      </c>
      <c r="H208" s="1">
        <v>39118</v>
      </c>
      <c r="I208" t="str">
        <f>"110055"</f>
        <v>110055</v>
      </c>
      <c r="J208" t="str">
        <f>""</f>
        <v/>
      </c>
      <c r="K208" t="str">
        <f t="shared" si="44"/>
        <v>INNI</v>
      </c>
      <c r="L208" t="s">
        <v>92</v>
      </c>
      <c r="M208">
        <v>700</v>
      </c>
    </row>
    <row r="209" spans="1:13" x14ac:dyDescent="0.25">
      <c r="A209" t="str">
        <f t="shared" si="43"/>
        <v>E150</v>
      </c>
      <c r="B209">
        <v>1</v>
      </c>
      <c r="C209" t="str">
        <f t="shared" si="45"/>
        <v>43000</v>
      </c>
      <c r="D209" t="str">
        <f t="shared" si="46"/>
        <v>5740</v>
      </c>
      <c r="E209" t="str">
        <f>"850PKE"</f>
        <v>850PKE</v>
      </c>
      <c r="F209" t="str">
        <f>""</f>
        <v/>
      </c>
      <c r="G209" t="str">
        <f>""</f>
        <v/>
      </c>
      <c r="H209" s="1">
        <v>39118</v>
      </c>
      <c r="I209" t="str">
        <f>"Q110055"</f>
        <v>Q110055</v>
      </c>
      <c r="J209" t="str">
        <f>""</f>
        <v/>
      </c>
      <c r="K209" t="str">
        <f t="shared" si="44"/>
        <v>INNI</v>
      </c>
      <c r="L209" t="s">
        <v>92</v>
      </c>
      <c r="M209">
        <v>700</v>
      </c>
    </row>
    <row r="210" spans="1:13" x14ac:dyDescent="0.25">
      <c r="A210" t="str">
        <f t="shared" si="43"/>
        <v>E150</v>
      </c>
      <c r="B210">
        <v>1</v>
      </c>
      <c r="C210" t="str">
        <f>"43007"</f>
        <v>43007</v>
      </c>
      <c r="D210" t="str">
        <f t="shared" si="46"/>
        <v>5740</v>
      </c>
      <c r="E210" t="str">
        <f>"850GAR"</f>
        <v>850GAR</v>
      </c>
      <c r="F210" t="str">
        <f>""</f>
        <v/>
      </c>
      <c r="G210" t="str">
        <f>""</f>
        <v/>
      </c>
      <c r="H210" s="1">
        <v>38916</v>
      </c>
      <c r="I210" t="str">
        <f>"I0079942"</f>
        <v>I0079942</v>
      </c>
      <c r="J210" t="str">
        <f>"N088665B"</f>
        <v>N088665B</v>
      </c>
      <c r="K210" t="str">
        <f>"INEI"</f>
        <v>INEI</v>
      </c>
      <c r="L210" t="s">
        <v>95</v>
      </c>
      <c r="M210" s="2">
        <v>18000</v>
      </c>
    </row>
    <row r="211" spans="1:13" x14ac:dyDescent="0.25">
      <c r="A211" t="str">
        <f t="shared" si="43"/>
        <v>E150</v>
      </c>
      <c r="B211">
        <v>1</v>
      </c>
      <c r="C211" t="str">
        <f>"43007"</f>
        <v>43007</v>
      </c>
      <c r="D211" t="str">
        <f t="shared" si="46"/>
        <v>5740</v>
      </c>
      <c r="E211" t="str">
        <f>"850GAR"</f>
        <v>850GAR</v>
      </c>
      <c r="F211" t="str">
        <f>""</f>
        <v/>
      </c>
      <c r="G211" t="str">
        <f>""</f>
        <v/>
      </c>
      <c r="H211" s="1">
        <v>38930</v>
      </c>
      <c r="I211" t="str">
        <f>"I0080022"</f>
        <v>I0080022</v>
      </c>
      <c r="J211" t="str">
        <f>"N088665B"</f>
        <v>N088665B</v>
      </c>
      <c r="K211" t="str">
        <f>"INEI"</f>
        <v>INEI</v>
      </c>
      <c r="L211" t="s">
        <v>95</v>
      </c>
      <c r="M211" s="2">
        <v>18000</v>
      </c>
    </row>
    <row r="212" spans="1:13" x14ac:dyDescent="0.25">
      <c r="A212" t="str">
        <f t="shared" si="43"/>
        <v>E150</v>
      </c>
      <c r="B212">
        <v>1</v>
      </c>
      <c r="C212" t="str">
        <f>"43007"</f>
        <v>43007</v>
      </c>
      <c r="D212" t="str">
        <f t="shared" si="46"/>
        <v>5740</v>
      </c>
      <c r="E212" t="str">
        <f>"850GAR"</f>
        <v>850GAR</v>
      </c>
      <c r="F212" t="str">
        <f>""</f>
        <v/>
      </c>
      <c r="G212" t="str">
        <f>""</f>
        <v/>
      </c>
      <c r="H212" s="1">
        <v>38965</v>
      </c>
      <c r="I212" t="str">
        <f>"I0080387"</f>
        <v>I0080387</v>
      </c>
      <c r="J212" t="str">
        <f>"N088665B"</f>
        <v>N088665B</v>
      </c>
      <c r="K212" t="str">
        <f>"INEI"</f>
        <v>INEI</v>
      </c>
      <c r="L212" t="s">
        <v>95</v>
      </c>
      <c r="M212" s="2">
        <v>18000</v>
      </c>
    </row>
    <row r="213" spans="1:13" x14ac:dyDescent="0.25">
      <c r="A213" t="str">
        <f>"E162"</f>
        <v>E162</v>
      </c>
      <c r="B213">
        <v>1</v>
      </c>
      <c r="C213" t="str">
        <f>"14185"</f>
        <v>14185</v>
      </c>
      <c r="D213" t="str">
        <f>"5620"</f>
        <v>5620</v>
      </c>
      <c r="E213" t="str">
        <f>"094OMS"</f>
        <v>094OMS</v>
      </c>
      <c r="F213" t="str">
        <f>""</f>
        <v/>
      </c>
      <c r="G213" t="str">
        <f>""</f>
        <v/>
      </c>
      <c r="H213" s="1">
        <v>38940</v>
      </c>
      <c r="I213" t="str">
        <f>"PCD00239"</f>
        <v>PCD00239</v>
      </c>
      <c r="J213" t="str">
        <f>"43448"</f>
        <v>43448</v>
      </c>
      <c r="K213" t="str">
        <f t="shared" ref="K213:K218" si="49">"AS89"</f>
        <v>AS89</v>
      </c>
      <c r="L213" t="s">
        <v>609</v>
      </c>
      <c r="M213">
        <v>167.41</v>
      </c>
    </row>
    <row r="214" spans="1:13" x14ac:dyDescent="0.25">
      <c r="A214" t="str">
        <f>"E162"</f>
        <v>E162</v>
      </c>
      <c r="B214">
        <v>1</v>
      </c>
      <c r="C214" t="str">
        <f>"14185"</f>
        <v>14185</v>
      </c>
      <c r="D214" t="str">
        <f>"5620"</f>
        <v>5620</v>
      </c>
      <c r="E214" t="str">
        <f>"094OMS"</f>
        <v>094OMS</v>
      </c>
      <c r="F214" t="str">
        <f>""</f>
        <v/>
      </c>
      <c r="G214" t="str">
        <f>""</f>
        <v/>
      </c>
      <c r="H214" s="1">
        <v>39003</v>
      </c>
      <c r="I214" t="str">
        <f>"PCD00246"</f>
        <v>PCD00246</v>
      </c>
      <c r="J214" t="str">
        <f>"46437"</f>
        <v>46437</v>
      </c>
      <c r="K214" t="str">
        <f t="shared" si="49"/>
        <v>AS89</v>
      </c>
      <c r="L214" t="s">
        <v>605</v>
      </c>
      <c r="M214">
        <v>259.89999999999998</v>
      </c>
    </row>
    <row r="215" spans="1:13" x14ac:dyDescent="0.25">
      <c r="A215" t="str">
        <f>"E162"</f>
        <v>E162</v>
      </c>
      <c r="B215">
        <v>1</v>
      </c>
      <c r="C215" t="str">
        <f>"14185"</f>
        <v>14185</v>
      </c>
      <c r="D215" t="str">
        <f>"5620"</f>
        <v>5620</v>
      </c>
      <c r="E215" t="str">
        <f>"094OMS"</f>
        <v>094OMS</v>
      </c>
      <c r="F215" t="str">
        <f>""</f>
        <v/>
      </c>
      <c r="G215" t="str">
        <f>""</f>
        <v/>
      </c>
      <c r="H215" s="1">
        <v>39234</v>
      </c>
      <c r="I215" t="str">
        <f>"PCD00272"</f>
        <v>PCD00272</v>
      </c>
      <c r="J215" t="str">
        <f>"59891"</f>
        <v>59891</v>
      </c>
      <c r="K215" t="str">
        <f t="shared" si="49"/>
        <v>AS89</v>
      </c>
      <c r="L215" t="s">
        <v>608</v>
      </c>
      <c r="M215">
        <v>249.27</v>
      </c>
    </row>
    <row r="216" spans="1:13" x14ac:dyDescent="0.25">
      <c r="A216" t="str">
        <f>"E162"</f>
        <v>E162</v>
      </c>
      <c r="B216">
        <v>1</v>
      </c>
      <c r="C216" t="str">
        <f>"14185"</f>
        <v>14185</v>
      </c>
      <c r="D216" t="str">
        <f>"5620"</f>
        <v>5620</v>
      </c>
      <c r="E216" t="str">
        <f>"094OMS"</f>
        <v>094OMS</v>
      </c>
      <c r="F216" t="str">
        <f>""</f>
        <v/>
      </c>
      <c r="G216" t="str">
        <f>""</f>
        <v/>
      </c>
      <c r="H216" s="1">
        <v>39263</v>
      </c>
      <c r="I216" t="str">
        <f>"PCD00275"</f>
        <v>PCD00275</v>
      </c>
      <c r="J216" t="str">
        <f>"60864"</f>
        <v>60864</v>
      </c>
      <c r="K216" t="str">
        <f t="shared" si="49"/>
        <v>AS89</v>
      </c>
      <c r="L216" t="s">
        <v>607</v>
      </c>
      <c r="M216">
        <v>160.05000000000001</v>
      </c>
    </row>
    <row r="217" spans="1:13" x14ac:dyDescent="0.25">
      <c r="A217" t="str">
        <f>"E162"</f>
        <v>E162</v>
      </c>
      <c r="B217">
        <v>1</v>
      </c>
      <c r="C217" t="str">
        <f>"14185"</f>
        <v>14185</v>
      </c>
      <c r="D217" t="str">
        <f>"5620"</f>
        <v>5620</v>
      </c>
      <c r="E217" t="str">
        <f>"094OMS"</f>
        <v>094OMS</v>
      </c>
      <c r="F217" t="str">
        <f>""</f>
        <v/>
      </c>
      <c r="G217" t="str">
        <f>""</f>
        <v/>
      </c>
      <c r="H217" s="1">
        <v>39263</v>
      </c>
      <c r="I217" t="str">
        <f>"PCD00275"</f>
        <v>PCD00275</v>
      </c>
      <c r="J217" t="str">
        <f>"62103"</f>
        <v>62103</v>
      </c>
      <c r="K217" t="str">
        <f t="shared" si="49"/>
        <v>AS89</v>
      </c>
      <c r="L217" t="s">
        <v>606</v>
      </c>
      <c r="M217">
        <v>142.54</v>
      </c>
    </row>
    <row r="218" spans="1:13" x14ac:dyDescent="0.25">
      <c r="A218" t="str">
        <f t="shared" ref="A218:A235" si="50">"E163"</f>
        <v>E163</v>
      </c>
      <c r="B218">
        <v>1</v>
      </c>
      <c r="C218" t="str">
        <f>"43000"</f>
        <v>43000</v>
      </c>
      <c r="D218" t="str">
        <f t="shared" ref="D218:D235" si="51">"5740"</f>
        <v>5740</v>
      </c>
      <c r="E218" t="str">
        <f t="shared" ref="E218:E235" si="52">"850LOS"</f>
        <v>850LOS</v>
      </c>
      <c r="F218" t="str">
        <f>""</f>
        <v/>
      </c>
      <c r="G218" t="str">
        <f>""</f>
        <v/>
      </c>
      <c r="H218" s="1">
        <v>38947</v>
      </c>
      <c r="I218" t="str">
        <f>"PCD00240"</f>
        <v>PCD00240</v>
      </c>
      <c r="J218" t="str">
        <f>"44655"</f>
        <v>44655</v>
      </c>
      <c r="K218" t="str">
        <f t="shared" si="49"/>
        <v>AS89</v>
      </c>
      <c r="L218" t="s">
        <v>604</v>
      </c>
      <c r="M218">
        <v>957.64</v>
      </c>
    </row>
    <row r="219" spans="1:13" x14ac:dyDescent="0.25">
      <c r="A219" t="str">
        <f t="shared" si="50"/>
        <v>E163</v>
      </c>
      <c r="B219">
        <v>1</v>
      </c>
      <c r="C219" t="str">
        <f t="shared" ref="C219:C235" si="53">"43003"</f>
        <v>43003</v>
      </c>
      <c r="D219" t="str">
        <f t="shared" si="51"/>
        <v>5740</v>
      </c>
      <c r="E219" t="str">
        <f t="shared" si="52"/>
        <v>850LOS</v>
      </c>
      <c r="F219" t="str">
        <f>""</f>
        <v/>
      </c>
      <c r="G219" t="str">
        <f>""</f>
        <v/>
      </c>
      <c r="H219" s="1">
        <v>38972</v>
      </c>
      <c r="I219" t="str">
        <f>"00038306"</f>
        <v>00038306</v>
      </c>
      <c r="J219" t="str">
        <f t="shared" ref="J219:J229" si="54">"B110035"</f>
        <v>B110035</v>
      </c>
      <c r="K219" t="str">
        <f t="shared" ref="K219:K234" si="55">"INNI"</f>
        <v>INNI</v>
      </c>
      <c r="L219" t="s">
        <v>565</v>
      </c>
      <c r="M219" s="2">
        <v>5067.7</v>
      </c>
    </row>
    <row r="220" spans="1:13" x14ac:dyDescent="0.25">
      <c r="A220" t="str">
        <f t="shared" si="50"/>
        <v>E163</v>
      </c>
      <c r="B220">
        <v>1</v>
      </c>
      <c r="C220" t="str">
        <f t="shared" si="53"/>
        <v>43003</v>
      </c>
      <c r="D220" t="str">
        <f t="shared" si="51"/>
        <v>5740</v>
      </c>
      <c r="E220" t="str">
        <f t="shared" si="52"/>
        <v>850LOS</v>
      </c>
      <c r="F220" t="str">
        <f>""</f>
        <v/>
      </c>
      <c r="G220" t="str">
        <f>""</f>
        <v/>
      </c>
      <c r="H220" s="1">
        <v>38972</v>
      </c>
      <c r="I220" t="str">
        <f>"00038349"</f>
        <v>00038349</v>
      </c>
      <c r="J220" t="str">
        <f t="shared" si="54"/>
        <v>B110035</v>
      </c>
      <c r="K220" t="str">
        <f t="shared" si="55"/>
        <v>INNI</v>
      </c>
      <c r="L220" t="s">
        <v>565</v>
      </c>
      <c r="M220" s="2">
        <v>1192.4000000000001</v>
      </c>
    </row>
    <row r="221" spans="1:13" x14ac:dyDescent="0.25">
      <c r="A221" t="str">
        <f t="shared" si="50"/>
        <v>E163</v>
      </c>
      <c r="B221">
        <v>1</v>
      </c>
      <c r="C221" t="str">
        <f t="shared" si="53"/>
        <v>43003</v>
      </c>
      <c r="D221" t="str">
        <f t="shared" si="51"/>
        <v>5740</v>
      </c>
      <c r="E221" t="str">
        <f t="shared" si="52"/>
        <v>850LOS</v>
      </c>
      <c r="F221" t="str">
        <f>""</f>
        <v/>
      </c>
      <c r="G221" t="str">
        <f>""</f>
        <v/>
      </c>
      <c r="H221" s="1">
        <v>39010</v>
      </c>
      <c r="I221" t="str">
        <f>"00033582"</f>
        <v>00033582</v>
      </c>
      <c r="J221" t="str">
        <f t="shared" si="54"/>
        <v>B110035</v>
      </c>
      <c r="K221" t="str">
        <f t="shared" si="55"/>
        <v>INNI</v>
      </c>
      <c r="L221" t="s">
        <v>565</v>
      </c>
      <c r="M221">
        <v>148.47999999999999</v>
      </c>
    </row>
    <row r="222" spans="1:13" x14ac:dyDescent="0.25">
      <c r="A222" t="str">
        <f t="shared" si="50"/>
        <v>E163</v>
      </c>
      <c r="B222">
        <v>1</v>
      </c>
      <c r="C222" t="str">
        <f t="shared" si="53"/>
        <v>43003</v>
      </c>
      <c r="D222" t="str">
        <f t="shared" si="51"/>
        <v>5740</v>
      </c>
      <c r="E222" t="str">
        <f t="shared" si="52"/>
        <v>850LOS</v>
      </c>
      <c r="F222" t="str">
        <f>""</f>
        <v/>
      </c>
      <c r="G222" t="str">
        <f>""</f>
        <v/>
      </c>
      <c r="H222" s="1">
        <v>39010</v>
      </c>
      <c r="I222" t="str">
        <f>"00039192"</f>
        <v>00039192</v>
      </c>
      <c r="J222" t="str">
        <f t="shared" si="54"/>
        <v>B110035</v>
      </c>
      <c r="K222" t="str">
        <f t="shared" si="55"/>
        <v>INNI</v>
      </c>
      <c r="L222" t="s">
        <v>565</v>
      </c>
      <c r="M222" s="2">
        <v>1192.4000000000001</v>
      </c>
    </row>
    <row r="223" spans="1:13" x14ac:dyDescent="0.25">
      <c r="A223" t="str">
        <f t="shared" si="50"/>
        <v>E163</v>
      </c>
      <c r="B223">
        <v>1</v>
      </c>
      <c r="C223" t="str">
        <f t="shared" si="53"/>
        <v>43003</v>
      </c>
      <c r="D223" t="str">
        <f t="shared" si="51"/>
        <v>5740</v>
      </c>
      <c r="E223" t="str">
        <f t="shared" si="52"/>
        <v>850LOS</v>
      </c>
      <c r="F223" t="str">
        <f>""</f>
        <v/>
      </c>
      <c r="G223" t="str">
        <f>""</f>
        <v/>
      </c>
      <c r="H223" s="1">
        <v>39010</v>
      </c>
      <c r="I223" t="str">
        <f>"00040602"</f>
        <v>00040602</v>
      </c>
      <c r="J223" t="str">
        <f t="shared" si="54"/>
        <v>B110035</v>
      </c>
      <c r="K223" t="str">
        <f t="shared" si="55"/>
        <v>INNI</v>
      </c>
      <c r="L223" t="s">
        <v>565</v>
      </c>
      <c r="M223" s="2">
        <v>1100</v>
      </c>
    </row>
    <row r="224" spans="1:13" x14ac:dyDescent="0.25">
      <c r="A224" t="str">
        <f t="shared" si="50"/>
        <v>E163</v>
      </c>
      <c r="B224">
        <v>1</v>
      </c>
      <c r="C224" t="str">
        <f t="shared" si="53"/>
        <v>43003</v>
      </c>
      <c r="D224" t="str">
        <f t="shared" si="51"/>
        <v>5740</v>
      </c>
      <c r="E224" t="str">
        <f t="shared" si="52"/>
        <v>850LOS</v>
      </c>
      <c r="F224" t="str">
        <f>""</f>
        <v/>
      </c>
      <c r="G224" t="str">
        <f>""</f>
        <v/>
      </c>
      <c r="H224" s="1">
        <v>39010</v>
      </c>
      <c r="I224" t="str">
        <f>"0039889A"</f>
        <v>0039889A</v>
      </c>
      <c r="J224" t="str">
        <f t="shared" si="54"/>
        <v>B110035</v>
      </c>
      <c r="K224" t="str">
        <f t="shared" si="55"/>
        <v>INNI</v>
      </c>
      <c r="L224" t="s">
        <v>565</v>
      </c>
      <c r="M224" s="2">
        <v>1192.4000000000001</v>
      </c>
    </row>
    <row r="225" spans="1:13" x14ac:dyDescent="0.25">
      <c r="A225" t="str">
        <f t="shared" si="50"/>
        <v>E163</v>
      </c>
      <c r="B225">
        <v>1</v>
      </c>
      <c r="C225" t="str">
        <f t="shared" si="53"/>
        <v>43003</v>
      </c>
      <c r="D225" t="str">
        <f t="shared" si="51"/>
        <v>5740</v>
      </c>
      <c r="E225" t="str">
        <f t="shared" si="52"/>
        <v>850LOS</v>
      </c>
      <c r="F225" t="str">
        <f>""</f>
        <v/>
      </c>
      <c r="G225" t="str">
        <f>""</f>
        <v/>
      </c>
      <c r="H225" s="1">
        <v>39038</v>
      </c>
      <c r="I225" t="str">
        <f>"00041581"</f>
        <v>00041581</v>
      </c>
      <c r="J225" t="str">
        <f t="shared" si="54"/>
        <v>B110035</v>
      </c>
      <c r="K225" t="str">
        <f t="shared" si="55"/>
        <v>INNI</v>
      </c>
      <c r="L225" t="s">
        <v>565</v>
      </c>
      <c r="M225" s="2">
        <v>1100</v>
      </c>
    </row>
    <row r="226" spans="1:13" x14ac:dyDescent="0.25">
      <c r="A226" t="str">
        <f t="shared" si="50"/>
        <v>E163</v>
      </c>
      <c r="B226">
        <v>1</v>
      </c>
      <c r="C226" t="str">
        <f t="shared" si="53"/>
        <v>43003</v>
      </c>
      <c r="D226" t="str">
        <f t="shared" si="51"/>
        <v>5740</v>
      </c>
      <c r="E226" t="str">
        <f t="shared" si="52"/>
        <v>850LOS</v>
      </c>
      <c r="F226" t="str">
        <f>""</f>
        <v/>
      </c>
      <c r="G226" t="str">
        <f>""</f>
        <v/>
      </c>
      <c r="H226" s="1">
        <v>39064</v>
      </c>
      <c r="I226" t="str">
        <f>"0042188A"</f>
        <v>0042188A</v>
      </c>
      <c r="J226" t="str">
        <f t="shared" si="54"/>
        <v>B110035</v>
      </c>
      <c r="K226" t="str">
        <f t="shared" si="55"/>
        <v>INNI</v>
      </c>
      <c r="L226" t="s">
        <v>565</v>
      </c>
      <c r="M226" s="2">
        <v>1100</v>
      </c>
    </row>
    <row r="227" spans="1:13" x14ac:dyDescent="0.25">
      <c r="A227" t="str">
        <f t="shared" si="50"/>
        <v>E163</v>
      </c>
      <c r="B227">
        <v>1</v>
      </c>
      <c r="C227" t="str">
        <f t="shared" si="53"/>
        <v>43003</v>
      </c>
      <c r="D227" t="str">
        <f t="shared" si="51"/>
        <v>5740</v>
      </c>
      <c r="E227" t="str">
        <f t="shared" si="52"/>
        <v>850LOS</v>
      </c>
      <c r="F227" t="str">
        <f>""</f>
        <v/>
      </c>
      <c r="G227" t="str">
        <f>""</f>
        <v/>
      </c>
      <c r="H227" s="1">
        <v>39091</v>
      </c>
      <c r="I227" t="str">
        <f>"00041966"</f>
        <v>00041966</v>
      </c>
      <c r="J227" t="str">
        <f t="shared" si="54"/>
        <v>B110035</v>
      </c>
      <c r="K227" t="str">
        <f t="shared" si="55"/>
        <v>INNI</v>
      </c>
      <c r="L227" t="s">
        <v>565</v>
      </c>
      <c r="M227" s="2">
        <v>2248.06</v>
      </c>
    </row>
    <row r="228" spans="1:13" x14ac:dyDescent="0.25">
      <c r="A228" t="str">
        <f t="shared" si="50"/>
        <v>E163</v>
      </c>
      <c r="B228">
        <v>1</v>
      </c>
      <c r="C228" t="str">
        <f t="shared" si="53"/>
        <v>43003</v>
      </c>
      <c r="D228" t="str">
        <f t="shared" si="51"/>
        <v>5740</v>
      </c>
      <c r="E228" t="str">
        <f t="shared" si="52"/>
        <v>850LOS</v>
      </c>
      <c r="F228" t="str">
        <f>""</f>
        <v/>
      </c>
      <c r="G228" t="str">
        <f>""</f>
        <v/>
      </c>
      <c r="H228" s="1">
        <v>39128</v>
      </c>
      <c r="I228" t="str">
        <f>"00043878"</f>
        <v>00043878</v>
      </c>
      <c r="J228" t="str">
        <f t="shared" si="54"/>
        <v>B110035</v>
      </c>
      <c r="K228" t="str">
        <f t="shared" si="55"/>
        <v>INNI</v>
      </c>
      <c r="L228" t="s">
        <v>565</v>
      </c>
      <c r="M228">
        <v>293.32</v>
      </c>
    </row>
    <row r="229" spans="1:13" x14ac:dyDescent="0.25">
      <c r="A229" t="str">
        <f t="shared" si="50"/>
        <v>E163</v>
      </c>
      <c r="B229">
        <v>1</v>
      </c>
      <c r="C229" t="str">
        <f t="shared" si="53"/>
        <v>43003</v>
      </c>
      <c r="D229" t="str">
        <f t="shared" si="51"/>
        <v>5740</v>
      </c>
      <c r="E229" t="str">
        <f t="shared" si="52"/>
        <v>850LOS</v>
      </c>
      <c r="F229" t="str">
        <f>""</f>
        <v/>
      </c>
      <c r="G229" t="str">
        <f>""</f>
        <v/>
      </c>
      <c r="H229" s="1">
        <v>39129</v>
      </c>
      <c r="I229" t="str">
        <f>"00043999"</f>
        <v>00043999</v>
      </c>
      <c r="J229" t="str">
        <f t="shared" si="54"/>
        <v>B110035</v>
      </c>
      <c r="K229" t="str">
        <f t="shared" si="55"/>
        <v>INNI</v>
      </c>
      <c r="L229" t="s">
        <v>565</v>
      </c>
      <c r="M229">
        <v>271</v>
      </c>
    </row>
    <row r="230" spans="1:13" x14ac:dyDescent="0.25">
      <c r="A230" t="str">
        <f t="shared" si="50"/>
        <v>E163</v>
      </c>
      <c r="B230">
        <v>1</v>
      </c>
      <c r="C230" t="str">
        <f t="shared" si="53"/>
        <v>43003</v>
      </c>
      <c r="D230" t="str">
        <f t="shared" si="51"/>
        <v>5740</v>
      </c>
      <c r="E230" t="str">
        <f t="shared" si="52"/>
        <v>850LOS</v>
      </c>
      <c r="F230" t="str">
        <f>""</f>
        <v/>
      </c>
      <c r="G230" t="str">
        <f>""</f>
        <v/>
      </c>
      <c r="H230" s="1">
        <v>39196</v>
      </c>
      <c r="I230" t="str">
        <f>"113814"</f>
        <v>113814</v>
      </c>
      <c r="J230" t="str">
        <f>""</f>
        <v/>
      </c>
      <c r="K230" t="str">
        <f t="shared" si="55"/>
        <v>INNI</v>
      </c>
      <c r="L230" t="s">
        <v>565</v>
      </c>
      <c r="M230" s="2">
        <v>1000</v>
      </c>
    </row>
    <row r="231" spans="1:13" x14ac:dyDescent="0.25">
      <c r="A231" t="str">
        <f t="shared" si="50"/>
        <v>E163</v>
      </c>
      <c r="B231">
        <v>1</v>
      </c>
      <c r="C231" t="str">
        <f t="shared" si="53"/>
        <v>43003</v>
      </c>
      <c r="D231" t="str">
        <f t="shared" si="51"/>
        <v>5740</v>
      </c>
      <c r="E231" t="str">
        <f t="shared" si="52"/>
        <v>850LOS</v>
      </c>
      <c r="F231" t="str">
        <f>""</f>
        <v/>
      </c>
      <c r="G231" t="str">
        <f>""</f>
        <v/>
      </c>
      <c r="H231" s="1">
        <v>39196</v>
      </c>
      <c r="I231" t="str">
        <f>"113814A"</f>
        <v>113814A</v>
      </c>
      <c r="J231" t="str">
        <f>""</f>
        <v/>
      </c>
      <c r="K231" t="str">
        <f t="shared" si="55"/>
        <v>INNI</v>
      </c>
      <c r="L231" t="s">
        <v>565</v>
      </c>
      <c r="M231" s="2">
        <v>1100</v>
      </c>
    </row>
    <row r="232" spans="1:13" x14ac:dyDescent="0.25">
      <c r="A232" t="str">
        <f t="shared" si="50"/>
        <v>E163</v>
      </c>
      <c r="B232">
        <v>1</v>
      </c>
      <c r="C232" t="str">
        <f t="shared" si="53"/>
        <v>43003</v>
      </c>
      <c r="D232" t="str">
        <f t="shared" si="51"/>
        <v>5740</v>
      </c>
      <c r="E232" t="str">
        <f t="shared" si="52"/>
        <v>850LOS</v>
      </c>
      <c r="F232" t="str">
        <f>""</f>
        <v/>
      </c>
      <c r="G232" t="str">
        <f>""</f>
        <v/>
      </c>
      <c r="H232" s="1">
        <v>39196</v>
      </c>
      <c r="I232" t="str">
        <f>"113814B"</f>
        <v>113814B</v>
      </c>
      <c r="J232" t="str">
        <f>""</f>
        <v/>
      </c>
      <c r="K232" t="str">
        <f t="shared" si="55"/>
        <v>INNI</v>
      </c>
      <c r="L232" t="s">
        <v>565</v>
      </c>
      <c r="M232" s="2">
        <v>1100</v>
      </c>
    </row>
    <row r="233" spans="1:13" x14ac:dyDescent="0.25">
      <c r="A233" t="str">
        <f t="shared" si="50"/>
        <v>E163</v>
      </c>
      <c r="B233">
        <v>1</v>
      </c>
      <c r="C233" t="str">
        <f t="shared" si="53"/>
        <v>43003</v>
      </c>
      <c r="D233" t="str">
        <f t="shared" si="51"/>
        <v>5740</v>
      </c>
      <c r="E233" t="str">
        <f t="shared" si="52"/>
        <v>850LOS</v>
      </c>
      <c r="F233" t="str">
        <f>""</f>
        <v/>
      </c>
      <c r="G233" t="str">
        <f>""</f>
        <v/>
      </c>
      <c r="H233" s="1">
        <v>39212</v>
      </c>
      <c r="I233" t="str">
        <f>"113819"</f>
        <v>113819</v>
      </c>
      <c r="J233" t="str">
        <f>""</f>
        <v/>
      </c>
      <c r="K233" t="str">
        <f t="shared" si="55"/>
        <v>INNI</v>
      </c>
      <c r="L233" t="s">
        <v>565</v>
      </c>
      <c r="M233" s="2">
        <v>1100</v>
      </c>
    </row>
    <row r="234" spans="1:13" x14ac:dyDescent="0.25">
      <c r="A234" t="str">
        <f t="shared" si="50"/>
        <v>E163</v>
      </c>
      <c r="B234">
        <v>1</v>
      </c>
      <c r="C234" t="str">
        <f t="shared" si="53"/>
        <v>43003</v>
      </c>
      <c r="D234" t="str">
        <f t="shared" si="51"/>
        <v>5740</v>
      </c>
      <c r="E234" t="str">
        <f t="shared" si="52"/>
        <v>850LOS</v>
      </c>
      <c r="F234" t="str">
        <f>""</f>
        <v/>
      </c>
      <c r="G234" t="str">
        <f>""</f>
        <v/>
      </c>
      <c r="H234" s="1">
        <v>39259</v>
      </c>
      <c r="I234" t="str">
        <f>"00043593"</f>
        <v>00043593</v>
      </c>
      <c r="J234" t="str">
        <f>""</f>
        <v/>
      </c>
      <c r="K234" t="str">
        <f t="shared" si="55"/>
        <v>INNI</v>
      </c>
      <c r="L234" t="s">
        <v>565</v>
      </c>
      <c r="M234" s="2">
        <v>1100</v>
      </c>
    </row>
    <row r="235" spans="1:13" x14ac:dyDescent="0.25">
      <c r="A235" t="str">
        <f t="shared" si="50"/>
        <v>E163</v>
      </c>
      <c r="B235">
        <v>1</v>
      </c>
      <c r="C235" t="str">
        <f t="shared" si="53"/>
        <v>43003</v>
      </c>
      <c r="D235" t="str">
        <f t="shared" si="51"/>
        <v>5740</v>
      </c>
      <c r="E235" t="str">
        <f t="shared" si="52"/>
        <v>850LOS</v>
      </c>
      <c r="F235" t="str">
        <f>""</f>
        <v/>
      </c>
      <c r="G235" t="str">
        <f>""</f>
        <v/>
      </c>
      <c r="H235" s="1">
        <v>39263</v>
      </c>
      <c r="I235" t="str">
        <f>"ACG01582"</f>
        <v>ACG01582</v>
      </c>
      <c r="J235" t="str">
        <f>"113829"</f>
        <v>113829</v>
      </c>
      <c r="K235" t="str">
        <f t="shared" ref="K235:K246" si="56">"AS89"</f>
        <v>AS89</v>
      </c>
      <c r="L235" t="s">
        <v>603</v>
      </c>
      <c r="M235" s="2">
        <v>1200</v>
      </c>
    </row>
    <row r="236" spans="1:13" x14ac:dyDescent="0.25">
      <c r="A236" t="str">
        <f>"E164"</f>
        <v>E164</v>
      </c>
      <c r="B236">
        <v>1</v>
      </c>
      <c r="C236" t="str">
        <f>"14185"</f>
        <v>14185</v>
      </c>
      <c r="D236" t="str">
        <f>"5620"</f>
        <v>5620</v>
      </c>
      <c r="E236" t="str">
        <f>"094OMS"</f>
        <v>094OMS</v>
      </c>
      <c r="F236" t="str">
        <f>""</f>
        <v/>
      </c>
      <c r="G236" t="str">
        <f>""</f>
        <v/>
      </c>
      <c r="H236" s="1">
        <v>39157</v>
      </c>
      <c r="I236" t="str">
        <f>"PCD00263"</f>
        <v>PCD00263</v>
      </c>
      <c r="J236" t="str">
        <f>"55116"</f>
        <v>55116</v>
      </c>
      <c r="K236" t="str">
        <f t="shared" si="56"/>
        <v>AS89</v>
      </c>
      <c r="L236" t="s">
        <v>602</v>
      </c>
      <c r="M236">
        <v>194.2</v>
      </c>
    </row>
    <row r="237" spans="1:13" x14ac:dyDescent="0.25">
      <c r="A237" t="str">
        <f t="shared" ref="A237:A259" si="57">"E166"</f>
        <v>E166</v>
      </c>
      <c r="B237">
        <v>1</v>
      </c>
      <c r="C237" t="str">
        <f t="shared" ref="C237:C259" si="58">"43000"</f>
        <v>43000</v>
      </c>
      <c r="D237" t="str">
        <f t="shared" ref="D237:D259" si="59">"5740"</f>
        <v>5740</v>
      </c>
      <c r="E237" t="str">
        <f t="shared" ref="E237:E259" si="60">"850LOS"</f>
        <v>850LOS</v>
      </c>
      <c r="F237" t="str">
        <f>""</f>
        <v/>
      </c>
      <c r="G237" t="str">
        <f>""</f>
        <v/>
      </c>
      <c r="H237" s="1">
        <v>38940</v>
      </c>
      <c r="I237" t="str">
        <f>"PCD00239"</f>
        <v>PCD00239</v>
      </c>
      <c r="J237" t="str">
        <f>"44060"</f>
        <v>44060</v>
      </c>
      <c r="K237" t="str">
        <f t="shared" si="56"/>
        <v>AS89</v>
      </c>
      <c r="L237" t="s">
        <v>601</v>
      </c>
      <c r="M237">
        <v>176.44</v>
      </c>
    </row>
    <row r="238" spans="1:13" x14ac:dyDescent="0.25">
      <c r="A238" t="str">
        <f t="shared" si="57"/>
        <v>E166</v>
      </c>
      <c r="B238">
        <v>1</v>
      </c>
      <c r="C238" t="str">
        <f t="shared" si="58"/>
        <v>43000</v>
      </c>
      <c r="D238" t="str">
        <f t="shared" si="59"/>
        <v>5740</v>
      </c>
      <c r="E238" t="str">
        <f t="shared" si="60"/>
        <v>850LOS</v>
      </c>
      <c r="F238" t="str">
        <f>""</f>
        <v/>
      </c>
      <c r="G238" t="str">
        <f>""</f>
        <v/>
      </c>
      <c r="H238" s="1">
        <v>38989</v>
      </c>
      <c r="I238" t="str">
        <f>"PCD00244"</f>
        <v>PCD00244</v>
      </c>
      <c r="J238" t="str">
        <f>"45475"</f>
        <v>45475</v>
      </c>
      <c r="K238" t="str">
        <f t="shared" si="56"/>
        <v>AS89</v>
      </c>
      <c r="L238" t="s">
        <v>600</v>
      </c>
      <c r="M238">
        <v>198.29</v>
      </c>
    </row>
    <row r="239" spans="1:13" x14ac:dyDescent="0.25">
      <c r="A239" t="str">
        <f t="shared" si="57"/>
        <v>E166</v>
      </c>
      <c r="B239">
        <v>1</v>
      </c>
      <c r="C239" t="str">
        <f t="shared" si="58"/>
        <v>43000</v>
      </c>
      <c r="D239" t="str">
        <f t="shared" si="59"/>
        <v>5740</v>
      </c>
      <c r="E239" t="str">
        <f t="shared" si="60"/>
        <v>850LOS</v>
      </c>
      <c r="F239" t="str">
        <f>""</f>
        <v/>
      </c>
      <c r="G239" t="str">
        <f>""</f>
        <v/>
      </c>
      <c r="H239" s="1">
        <v>39003</v>
      </c>
      <c r="I239" t="str">
        <f>"PCD00246"</f>
        <v>PCD00246</v>
      </c>
      <c r="J239" t="str">
        <f>"45632"</f>
        <v>45632</v>
      </c>
      <c r="K239" t="str">
        <f t="shared" si="56"/>
        <v>AS89</v>
      </c>
      <c r="L239" t="s">
        <v>599</v>
      </c>
      <c r="M239">
        <v>102.16</v>
      </c>
    </row>
    <row r="240" spans="1:13" x14ac:dyDescent="0.25">
      <c r="A240" t="str">
        <f t="shared" si="57"/>
        <v>E166</v>
      </c>
      <c r="B240">
        <v>1</v>
      </c>
      <c r="C240" t="str">
        <f t="shared" si="58"/>
        <v>43000</v>
      </c>
      <c r="D240" t="str">
        <f t="shared" si="59"/>
        <v>5740</v>
      </c>
      <c r="E240" t="str">
        <f t="shared" si="60"/>
        <v>850LOS</v>
      </c>
      <c r="F240" t="str">
        <f>""</f>
        <v/>
      </c>
      <c r="G240" t="str">
        <f>""</f>
        <v/>
      </c>
      <c r="H240" s="1">
        <v>39003</v>
      </c>
      <c r="I240" t="str">
        <f>"PCD00246"</f>
        <v>PCD00246</v>
      </c>
      <c r="J240" t="str">
        <f>"45860"</f>
        <v>45860</v>
      </c>
      <c r="K240" t="str">
        <f t="shared" si="56"/>
        <v>AS89</v>
      </c>
      <c r="L240" t="s">
        <v>598</v>
      </c>
      <c r="M240">
        <v>105.6</v>
      </c>
    </row>
    <row r="241" spans="1:13" x14ac:dyDescent="0.25">
      <c r="A241" t="str">
        <f t="shared" si="57"/>
        <v>E166</v>
      </c>
      <c r="B241">
        <v>1</v>
      </c>
      <c r="C241" t="str">
        <f t="shared" si="58"/>
        <v>43000</v>
      </c>
      <c r="D241" t="str">
        <f t="shared" si="59"/>
        <v>5740</v>
      </c>
      <c r="E241" t="str">
        <f t="shared" si="60"/>
        <v>850LOS</v>
      </c>
      <c r="F241" t="str">
        <f>""</f>
        <v/>
      </c>
      <c r="G241" t="str">
        <f>""</f>
        <v/>
      </c>
      <c r="H241" s="1">
        <v>39003</v>
      </c>
      <c r="I241" t="str">
        <f>"PCD00246"</f>
        <v>PCD00246</v>
      </c>
      <c r="J241" t="str">
        <f>"46088"</f>
        <v>46088</v>
      </c>
      <c r="K241" t="str">
        <f t="shared" si="56"/>
        <v>AS89</v>
      </c>
      <c r="L241" t="s">
        <v>597</v>
      </c>
      <c r="M241">
        <v>111.24</v>
      </c>
    </row>
    <row r="242" spans="1:13" x14ac:dyDescent="0.25">
      <c r="A242" t="str">
        <f t="shared" si="57"/>
        <v>E166</v>
      </c>
      <c r="B242">
        <v>1</v>
      </c>
      <c r="C242" t="str">
        <f t="shared" si="58"/>
        <v>43000</v>
      </c>
      <c r="D242" t="str">
        <f t="shared" si="59"/>
        <v>5740</v>
      </c>
      <c r="E242" t="str">
        <f t="shared" si="60"/>
        <v>850LOS</v>
      </c>
      <c r="F242" t="str">
        <f>""</f>
        <v/>
      </c>
      <c r="G242" t="str">
        <f>""</f>
        <v/>
      </c>
      <c r="H242" s="1">
        <v>39003</v>
      </c>
      <c r="I242" t="str">
        <f>"PCD00246"</f>
        <v>PCD00246</v>
      </c>
      <c r="J242" t="str">
        <f>"46798"</f>
        <v>46798</v>
      </c>
      <c r="K242" t="str">
        <f t="shared" si="56"/>
        <v>AS89</v>
      </c>
      <c r="L242" t="s">
        <v>596</v>
      </c>
      <c r="M242">
        <v>125.86</v>
      </c>
    </row>
    <row r="243" spans="1:13" x14ac:dyDescent="0.25">
      <c r="A243" t="str">
        <f t="shared" si="57"/>
        <v>E166</v>
      </c>
      <c r="B243">
        <v>1</v>
      </c>
      <c r="C243" t="str">
        <f t="shared" si="58"/>
        <v>43000</v>
      </c>
      <c r="D243" t="str">
        <f t="shared" si="59"/>
        <v>5740</v>
      </c>
      <c r="E243" t="str">
        <f t="shared" si="60"/>
        <v>850LOS</v>
      </c>
      <c r="F243" t="str">
        <f>""</f>
        <v/>
      </c>
      <c r="G243" t="str">
        <f>""</f>
        <v/>
      </c>
      <c r="H243" s="1">
        <v>39010</v>
      </c>
      <c r="I243" t="str">
        <f>"PCD00247"</f>
        <v>PCD00247</v>
      </c>
      <c r="J243" t="str">
        <f>"47279"</f>
        <v>47279</v>
      </c>
      <c r="K243" t="str">
        <f t="shared" si="56"/>
        <v>AS89</v>
      </c>
      <c r="L243" t="s">
        <v>595</v>
      </c>
      <c r="M243">
        <v>109.95</v>
      </c>
    </row>
    <row r="244" spans="1:13" x14ac:dyDescent="0.25">
      <c r="A244" t="str">
        <f t="shared" si="57"/>
        <v>E166</v>
      </c>
      <c r="B244">
        <v>1</v>
      </c>
      <c r="C244" t="str">
        <f t="shared" si="58"/>
        <v>43000</v>
      </c>
      <c r="D244" t="str">
        <f t="shared" si="59"/>
        <v>5740</v>
      </c>
      <c r="E244" t="str">
        <f t="shared" si="60"/>
        <v>850LOS</v>
      </c>
      <c r="F244" t="str">
        <f>""</f>
        <v/>
      </c>
      <c r="G244" t="str">
        <f>""</f>
        <v/>
      </c>
      <c r="H244" s="1">
        <v>39010</v>
      </c>
      <c r="I244" t="str">
        <f>"PCD00247"</f>
        <v>PCD00247</v>
      </c>
      <c r="J244" t="str">
        <f>"47456"</f>
        <v>47456</v>
      </c>
      <c r="K244" t="str">
        <f t="shared" si="56"/>
        <v>AS89</v>
      </c>
      <c r="L244" t="s">
        <v>594</v>
      </c>
      <c r="M244">
        <v>147.21</v>
      </c>
    </row>
    <row r="245" spans="1:13" x14ac:dyDescent="0.25">
      <c r="A245" t="str">
        <f t="shared" si="57"/>
        <v>E166</v>
      </c>
      <c r="B245">
        <v>1</v>
      </c>
      <c r="C245" t="str">
        <f t="shared" si="58"/>
        <v>43000</v>
      </c>
      <c r="D245" t="str">
        <f t="shared" si="59"/>
        <v>5740</v>
      </c>
      <c r="E245" t="str">
        <f t="shared" si="60"/>
        <v>850LOS</v>
      </c>
      <c r="F245" t="str">
        <f>""</f>
        <v/>
      </c>
      <c r="G245" t="str">
        <f>""</f>
        <v/>
      </c>
      <c r="H245" s="1">
        <v>39038</v>
      </c>
      <c r="I245" t="str">
        <f>"PCD00249"</f>
        <v>PCD00249</v>
      </c>
      <c r="J245" t="str">
        <f>"48319"</f>
        <v>48319</v>
      </c>
      <c r="K245" t="str">
        <f t="shared" si="56"/>
        <v>AS89</v>
      </c>
      <c r="L245" t="s">
        <v>593</v>
      </c>
      <c r="M245">
        <v>131.01</v>
      </c>
    </row>
    <row r="246" spans="1:13" x14ac:dyDescent="0.25">
      <c r="A246" t="str">
        <f t="shared" si="57"/>
        <v>E166</v>
      </c>
      <c r="B246">
        <v>1</v>
      </c>
      <c r="C246" t="str">
        <f t="shared" si="58"/>
        <v>43000</v>
      </c>
      <c r="D246" t="str">
        <f t="shared" si="59"/>
        <v>5740</v>
      </c>
      <c r="E246" t="str">
        <f t="shared" si="60"/>
        <v>850LOS</v>
      </c>
      <c r="F246" t="str">
        <f>""</f>
        <v/>
      </c>
      <c r="G246" t="str">
        <f>""</f>
        <v/>
      </c>
      <c r="H246" s="1">
        <v>39038</v>
      </c>
      <c r="I246" t="str">
        <f>"PCD00249"</f>
        <v>PCD00249</v>
      </c>
      <c r="J246" t="str">
        <f>"48727"</f>
        <v>48727</v>
      </c>
      <c r="K246" t="str">
        <f t="shared" si="56"/>
        <v>AS89</v>
      </c>
      <c r="L246" t="s">
        <v>592</v>
      </c>
      <c r="M246">
        <v>116.64</v>
      </c>
    </row>
    <row r="247" spans="1:13" x14ac:dyDescent="0.25">
      <c r="A247" t="str">
        <f t="shared" si="57"/>
        <v>E166</v>
      </c>
      <c r="B247">
        <v>1</v>
      </c>
      <c r="C247" t="str">
        <f t="shared" si="58"/>
        <v>43000</v>
      </c>
      <c r="D247" t="str">
        <f t="shared" si="59"/>
        <v>5740</v>
      </c>
      <c r="E247" t="str">
        <f t="shared" si="60"/>
        <v>850LOS</v>
      </c>
      <c r="F247" t="str">
        <f>""</f>
        <v/>
      </c>
      <c r="G247" t="str">
        <f>""</f>
        <v/>
      </c>
      <c r="H247" s="1">
        <v>39056</v>
      </c>
      <c r="I247" t="str">
        <f>"68265"</f>
        <v>68265</v>
      </c>
      <c r="J247" t="str">
        <f t="shared" ref="J247:J255" si="61">"B076383A"</f>
        <v>B076383A</v>
      </c>
      <c r="K247" t="str">
        <f t="shared" ref="K247:K255" si="62">"INNI"</f>
        <v>INNI</v>
      </c>
      <c r="L247" t="s">
        <v>140</v>
      </c>
      <c r="M247">
        <v>666.66</v>
      </c>
    </row>
    <row r="248" spans="1:13" x14ac:dyDescent="0.25">
      <c r="A248" t="str">
        <f t="shared" si="57"/>
        <v>E166</v>
      </c>
      <c r="B248">
        <v>1</v>
      </c>
      <c r="C248" t="str">
        <f t="shared" si="58"/>
        <v>43000</v>
      </c>
      <c r="D248" t="str">
        <f t="shared" si="59"/>
        <v>5740</v>
      </c>
      <c r="E248" t="str">
        <f t="shared" si="60"/>
        <v>850LOS</v>
      </c>
      <c r="F248" t="str">
        <f>""</f>
        <v/>
      </c>
      <c r="G248" t="str">
        <f>""</f>
        <v/>
      </c>
      <c r="H248" s="1">
        <v>39056</v>
      </c>
      <c r="I248" t="str">
        <f>"68266"</f>
        <v>68266</v>
      </c>
      <c r="J248" t="str">
        <f t="shared" si="61"/>
        <v>B076383A</v>
      </c>
      <c r="K248" t="str">
        <f t="shared" si="62"/>
        <v>INNI</v>
      </c>
      <c r="L248" t="s">
        <v>140</v>
      </c>
      <c r="M248">
        <v>666.66</v>
      </c>
    </row>
    <row r="249" spans="1:13" x14ac:dyDescent="0.25">
      <c r="A249" t="str">
        <f t="shared" si="57"/>
        <v>E166</v>
      </c>
      <c r="B249">
        <v>1</v>
      </c>
      <c r="C249" t="str">
        <f t="shared" si="58"/>
        <v>43000</v>
      </c>
      <c r="D249" t="str">
        <f t="shared" si="59"/>
        <v>5740</v>
      </c>
      <c r="E249" t="str">
        <f t="shared" si="60"/>
        <v>850LOS</v>
      </c>
      <c r="F249" t="str">
        <f>""</f>
        <v/>
      </c>
      <c r="G249" t="str">
        <f>""</f>
        <v/>
      </c>
      <c r="H249" s="1">
        <v>39056</v>
      </c>
      <c r="I249" t="str">
        <f>"68465"</f>
        <v>68465</v>
      </c>
      <c r="J249" t="str">
        <f t="shared" si="61"/>
        <v>B076383A</v>
      </c>
      <c r="K249" t="str">
        <f t="shared" si="62"/>
        <v>INNI</v>
      </c>
      <c r="L249" t="s">
        <v>140</v>
      </c>
      <c r="M249">
        <v>421.68</v>
      </c>
    </row>
    <row r="250" spans="1:13" x14ac:dyDescent="0.25">
      <c r="A250" t="str">
        <f t="shared" si="57"/>
        <v>E166</v>
      </c>
      <c r="B250">
        <v>1</v>
      </c>
      <c r="C250" t="str">
        <f t="shared" si="58"/>
        <v>43000</v>
      </c>
      <c r="D250" t="str">
        <f t="shared" si="59"/>
        <v>5740</v>
      </c>
      <c r="E250" t="str">
        <f t="shared" si="60"/>
        <v>850LOS</v>
      </c>
      <c r="F250" t="str">
        <f>""</f>
        <v/>
      </c>
      <c r="G250" t="str">
        <f>""</f>
        <v/>
      </c>
      <c r="H250" s="1">
        <v>39091</v>
      </c>
      <c r="I250" t="str">
        <f>"68952A"</f>
        <v>68952A</v>
      </c>
      <c r="J250" t="str">
        <f t="shared" si="61"/>
        <v>B076383A</v>
      </c>
      <c r="K250" t="str">
        <f t="shared" si="62"/>
        <v>INNI</v>
      </c>
      <c r="L250" t="s">
        <v>140</v>
      </c>
      <c r="M250">
        <v>666.66</v>
      </c>
    </row>
    <row r="251" spans="1:13" x14ac:dyDescent="0.25">
      <c r="A251" t="str">
        <f t="shared" si="57"/>
        <v>E166</v>
      </c>
      <c r="B251">
        <v>1</v>
      </c>
      <c r="C251" t="str">
        <f t="shared" si="58"/>
        <v>43000</v>
      </c>
      <c r="D251" t="str">
        <f t="shared" si="59"/>
        <v>5740</v>
      </c>
      <c r="E251" t="str">
        <f t="shared" si="60"/>
        <v>850LOS</v>
      </c>
      <c r="F251" t="str">
        <f>""</f>
        <v/>
      </c>
      <c r="G251" t="str">
        <f>""</f>
        <v/>
      </c>
      <c r="H251" s="1">
        <v>39091</v>
      </c>
      <c r="I251" t="str">
        <f>"68953"</f>
        <v>68953</v>
      </c>
      <c r="J251" t="str">
        <f t="shared" si="61"/>
        <v>B076383A</v>
      </c>
      <c r="K251" t="str">
        <f t="shared" si="62"/>
        <v>INNI</v>
      </c>
      <c r="L251" t="s">
        <v>140</v>
      </c>
      <c r="M251">
        <v>666.66</v>
      </c>
    </row>
    <row r="252" spans="1:13" x14ac:dyDescent="0.25">
      <c r="A252" t="str">
        <f t="shared" si="57"/>
        <v>E166</v>
      </c>
      <c r="B252">
        <v>1</v>
      </c>
      <c r="C252" t="str">
        <f t="shared" si="58"/>
        <v>43000</v>
      </c>
      <c r="D252" t="str">
        <f t="shared" si="59"/>
        <v>5740</v>
      </c>
      <c r="E252" t="str">
        <f t="shared" si="60"/>
        <v>850LOS</v>
      </c>
      <c r="F252" t="str">
        <f>""</f>
        <v/>
      </c>
      <c r="G252" t="str">
        <f>""</f>
        <v/>
      </c>
      <c r="H252" s="1">
        <v>39108</v>
      </c>
      <c r="I252" t="str">
        <f>"69310"</f>
        <v>69310</v>
      </c>
      <c r="J252" t="str">
        <f t="shared" si="61"/>
        <v>B076383A</v>
      </c>
      <c r="K252" t="str">
        <f t="shared" si="62"/>
        <v>INNI</v>
      </c>
      <c r="L252" t="s">
        <v>140</v>
      </c>
      <c r="M252">
        <v>666.66</v>
      </c>
    </row>
    <row r="253" spans="1:13" x14ac:dyDescent="0.25">
      <c r="A253" t="str">
        <f t="shared" si="57"/>
        <v>E166</v>
      </c>
      <c r="B253">
        <v>1</v>
      </c>
      <c r="C253" t="str">
        <f t="shared" si="58"/>
        <v>43000</v>
      </c>
      <c r="D253" t="str">
        <f t="shared" si="59"/>
        <v>5740</v>
      </c>
      <c r="E253" t="str">
        <f t="shared" si="60"/>
        <v>850LOS</v>
      </c>
      <c r="F253" t="str">
        <f>""</f>
        <v/>
      </c>
      <c r="G253" t="str">
        <f>""</f>
        <v/>
      </c>
      <c r="H253" s="1">
        <v>39108</v>
      </c>
      <c r="I253" t="str">
        <f>"69428"</f>
        <v>69428</v>
      </c>
      <c r="J253" t="str">
        <f t="shared" si="61"/>
        <v>B076383A</v>
      </c>
      <c r="K253" t="str">
        <f t="shared" si="62"/>
        <v>INNI</v>
      </c>
      <c r="L253" t="s">
        <v>140</v>
      </c>
      <c r="M253">
        <v>276.79000000000002</v>
      </c>
    </row>
    <row r="254" spans="1:13" x14ac:dyDescent="0.25">
      <c r="A254" t="str">
        <f t="shared" si="57"/>
        <v>E166</v>
      </c>
      <c r="B254">
        <v>1</v>
      </c>
      <c r="C254" t="str">
        <f t="shared" si="58"/>
        <v>43000</v>
      </c>
      <c r="D254" t="str">
        <f t="shared" si="59"/>
        <v>5740</v>
      </c>
      <c r="E254" t="str">
        <f t="shared" si="60"/>
        <v>850LOS</v>
      </c>
      <c r="F254" t="str">
        <f>""</f>
        <v/>
      </c>
      <c r="G254" t="str">
        <f>""</f>
        <v/>
      </c>
      <c r="H254" s="1">
        <v>39149</v>
      </c>
      <c r="I254" t="str">
        <f>"70290"</f>
        <v>70290</v>
      </c>
      <c r="J254" t="str">
        <f t="shared" si="61"/>
        <v>B076383A</v>
      </c>
      <c r="K254" t="str">
        <f t="shared" si="62"/>
        <v>INNI</v>
      </c>
      <c r="L254" t="s">
        <v>140</v>
      </c>
      <c r="M254">
        <v>636.85</v>
      </c>
    </row>
    <row r="255" spans="1:13" x14ac:dyDescent="0.25">
      <c r="A255" t="str">
        <f t="shared" si="57"/>
        <v>E166</v>
      </c>
      <c r="B255">
        <v>1</v>
      </c>
      <c r="C255" t="str">
        <f t="shared" si="58"/>
        <v>43000</v>
      </c>
      <c r="D255" t="str">
        <f t="shared" si="59"/>
        <v>5740</v>
      </c>
      <c r="E255" t="str">
        <f t="shared" si="60"/>
        <v>850LOS</v>
      </c>
      <c r="F255" t="str">
        <f>""</f>
        <v/>
      </c>
      <c r="G255" t="str">
        <f>""</f>
        <v/>
      </c>
      <c r="H255" s="1">
        <v>39168</v>
      </c>
      <c r="I255" t="str">
        <f>"70930"</f>
        <v>70930</v>
      </c>
      <c r="J255" t="str">
        <f t="shared" si="61"/>
        <v>B076383A</v>
      </c>
      <c r="K255" t="str">
        <f t="shared" si="62"/>
        <v>INNI</v>
      </c>
      <c r="L255" t="s">
        <v>140</v>
      </c>
      <c r="M255">
        <v>636.85</v>
      </c>
    </row>
    <row r="256" spans="1:13" x14ac:dyDescent="0.25">
      <c r="A256" t="str">
        <f t="shared" si="57"/>
        <v>E166</v>
      </c>
      <c r="B256">
        <v>1</v>
      </c>
      <c r="C256" t="str">
        <f t="shared" si="58"/>
        <v>43000</v>
      </c>
      <c r="D256" t="str">
        <f t="shared" si="59"/>
        <v>5740</v>
      </c>
      <c r="E256" t="str">
        <f t="shared" si="60"/>
        <v>850LOS</v>
      </c>
      <c r="F256" t="str">
        <f>""</f>
        <v/>
      </c>
      <c r="G256" t="str">
        <f>""</f>
        <v/>
      </c>
      <c r="H256" s="1">
        <v>39173</v>
      </c>
      <c r="I256" t="str">
        <f>"PCD00266"</f>
        <v>PCD00266</v>
      </c>
      <c r="J256" t="str">
        <f>"56732"</f>
        <v>56732</v>
      </c>
      <c r="K256" t="str">
        <f>"AS89"</f>
        <v>AS89</v>
      </c>
      <c r="L256" t="s">
        <v>591</v>
      </c>
      <c r="M256">
        <v>362.01</v>
      </c>
    </row>
    <row r="257" spans="1:13" x14ac:dyDescent="0.25">
      <c r="A257" t="str">
        <f t="shared" si="57"/>
        <v>E166</v>
      </c>
      <c r="B257">
        <v>1</v>
      </c>
      <c r="C257" t="str">
        <f t="shared" si="58"/>
        <v>43000</v>
      </c>
      <c r="D257" t="str">
        <f t="shared" si="59"/>
        <v>5740</v>
      </c>
      <c r="E257" t="str">
        <f t="shared" si="60"/>
        <v>850LOS</v>
      </c>
      <c r="F257" t="str">
        <f>""</f>
        <v/>
      </c>
      <c r="G257" t="str">
        <f>""</f>
        <v/>
      </c>
      <c r="H257" s="1">
        <v>39177</v>
      </c>
      <c r="I257" t="str">
        <f>"71136"</f>
        <v>71136</v>
      </c>
      <c r="J257" t="str">
        <f>"B076383A"</f>
        <v>B076383A</v>
      </c>
      <c r="K257" t="str">
        <f>"INNI"</f>
        <v>INNI</v>
      </c>
      <c r="L257" t="s">
        <v>140</v>
      </c>
      <c r="M257">
        <v>636.85</v>
      </c>
    </row>
    <row r="258" spans="1:13" x14ac:dyDescent="0.25">
      <c r="A258" t="str">
        <f t="shared" si="57"/>
        <v>E166</v>
      </c>
      <c r="B258">
        <v>1</v>
      </c>
      <c r="C258" t="str">
        <f t="shared" si="58"/>
        <v>43000</v>
      </c>
      <c r="D258" t="str">
        <f t="shared" si="59"/>
        <v>5740</v>
      </c>
      <c r="E258" t="str">
        <f t="shared" si="60"/>
        <v>850LOS</v>
      </c>
      <c r="F258" t="str">
        <f>""</f>
        <v/>
      </c>
      <c r="G258" t="str">
        <f>""</f>
        <v/>
      </c>
      <c r="H258" s="1">
        <v>39203</v>
      </c>
      <c r="I258" t="str">
        <f>"PCD00269"</f>
        <v>PCD00269</v>
      </c>
      <c r="J258" t="str">
        <f>"57285"</f>
        <v>57285</v>
      </c>
      <c r="K258" t="str">
        <f>"AS89"</f>
        <v>AS89</v>
      </c>
      <c r="L258" t="s">
        <v>590</v>
      </c>
      <c r="M258">
        <v>183.2</v>
      </c>
    </row>
    <row r="259" spans="1:13" x14ac:dyDescent="0.25">
      <c r="A259" t="str">
        <f t="shared" si="57"/>
        <v>E166</v>
      </c>
      <c r="B259">
        <v>1</v>
      </c>
      <c r="C259" t="str">
        <f t="shared" si="58"/>
        <v>43000</v>
      </c>
      <c r="D259" t="str">
        <f t="shared" si="59"/>
        <v>5740</v>
      </c>
      <c r="E259" t="str">
        <f t="shared" si="60"/>
        <v>850LOS</v>
      </c>
      <c r="F259" t="str">
        <f>""</f>
        <v/>
      </c>
      <c r="G259" t="str">
        <f>""</f>
        <v/>
      </c>
      <c r="H259" s="1">
        <v>39263</v>
      </c>
      <c r="I259" t="str">
        <f>"PCD00275"</f>
        <v>PCD00275</v>
      </c>
      <c r="J259" t="str">
        <f>"62186"</f>
        <v>62186</v>
      </c>
      <c r="K259" t="str">
        <f>"AS89"</f>
        <v>AS89</v>
      </c>
      <c r="L259" t="s">
        <v>589</v>
      </c>
      <c r="M259">
        <v>111.61</v>
      </c>
    </row>
    <row r="260" spans="1:13" x14ac:dyDescent="0.25">
      <c r="A260" t="str">
        <f>"E190"</f>
        <v>E190</v>
      </c>
      <c r="B260">
        <v>1</v>
      </c>
      <c r="C260" t="str">
        <f>"14185"</f>
        <v>14185</v>
      </c>
      <c r="D260" t="str">
        <f>"5620"</f>
        <v>5620</v>
      </c>
      <c r="E260" t="str">
        <f>"094OMS"</f>
        <v>094OMS</v>
      </c>
      <c r="F260" t="str">
        <f>""</f>
        <v/>
      </c>
      <c r="G260" t="str">
        <f>""</f>
        <v/>
      </c>
      <c r="H260" s="1">
        <v>39129</v>
      </c>
      <c r="I260" t="str">
        <f>"PCD00257"</f>
        <v>PCD00257</v>
      </c>
      <c r="J260" t="str">
        <f>"52784"</f>
        <v>52784</v>
      </c>
      <c r="K260" t="str">
        <f>"AS89"</f>
        <v>AS89</v>
      </c>
      <c r="L260" t="s">
        <v>588</v>
      </c>
      <c r="M260">
        <v>131.9</v>
      </c>
    </row>
    <row r="261" spans="1:13" x14ac:dyDescent="0.25">
      <c r="A261" t="str">
        <f>"E190"</f>
        <v>E190</v>
      </c>
      <c r="B261">
        <v>1</v>
      </c>
      <c r="C261" t="str">
        <f>"43000"</f>
        <v>43000</v>
      </c>
      <c r="D261" t="str">
        <f>"5740"</f>
        <v>5740</v>
      </c>
      <c r="E261" t="str">
        <f>"850LOS"</f>
        <v>850LOS</v>
      </c>
      <c r="F261" t="str">
        <f>""</f>
        <v/>
      </c>
      <c r="G261" t="str">
        <f>""</f>
        <v/>
      </c>
      <c r="H261" s="1">
        <v>39129</v>
      </c>
      <c r="I261" t="str">
        <f>"PCD00257"</f>
        <v>PCD00257</v>
      </c>
      <c r="J261" t="str">
        <f>"51703"</f>
        <v>51703</v>
      </c>
      <c r="K261" t="str">
        <f>"AS89"</f>
        <v>AS89</v>
      </c>
      <c r="L261" t="s">
        <v>587</v>
      </c>
      <c r="M261">
        <v>154</v>
      </c>
    </row>
    <row r="262" spans="1:13" x14ac:dyDescent="0.25">
      <c r="A262" t="str">
        <f t="shared" ref="A262:A274" si="63">"E191"</f>
        <v>E191</v>
      </c>
      <c r="B262">
        <v>1</v>
      </c>
      <c r="C262" t="str">
        <f t="shared" ref="C262:C271" si="64">"14185"</f>
        <v>14185</v>
      </c>
      <c r="D262" t="str">
        <f t="shared" ref="D262:D272" si="65">"5620"</f>
        <v>5620</v>
      </c>
      <c r="E262" t="str">
        <f t="shared" ref="E262:E272" si="66">"094OMS"</f>
        <v>094OMS</v>
      </c>
      <c r="F262" t="str">
        <f>""</f>
        <v/>
      </c>
      <c r="G262" t="str">
        <f>""</f>
        <v/>
      </c>
      <c r="H262" s="1">
        <v>39003</v>
      </c>
      <c r="I262" t="str">
        <f>"PCD00246"</f>
        <v>PCD00246</v>
      </c>
      <c r="J262" t="str">
        <f>"46054"</f>
        <v>46054</v>
      </c>
      <c r="K262" t="str">
        <f>"AS89"</f>
        <v>AS89</v>
      </c>
      <c r="L262" t="s">
        <v>586</v>
      </c>
      <c r="M262">
        <v>325</v>
      </c>
    </row>
    <row r="263" spans="1:13" x14ac:dyDescent="0.25">
      <c r="A263" t="str">
        <f t="shared" si="63"/>
        <v>E191</v>
      </c>
      <c r="B263">
        <v>1</v>
      </c>
      <c r="C263" t="str">
        <f t="shared" si="64"/>
        <v>14185</v>
      </c>
      <c r="D263" t="str">
        <f t="shared" si="65"/>
        <v>5620</v>
      </c>
      <c r="E263" t="str">
        <f t="shared" si="66"/>
        <v>094OMS</v>
      </c>
      <c r="F263" t="str">
        <f>""</f>
        <v/>
      </c>
      <c r="G263" t="str">
        <f>""</f>
        <v/>
      </c>
      <c r="H263" s="1">
        <v>39100</v>
      </c>
      <c r="I263" t="str">
        <f>"110051"</f>
        <v>110051</v>
      </c>
      <c r="J263" t="str">
        <f>""</f>
        <v/>
      </c>
      <c r="K263" t="str">
        <f>"INNI"</f>
        <v>INNI</v>
      </c>
      <c r="L263" t="s">
        <v>179</v>
      </c>
      <c r="M263" s="2">
        <v>4486.25</v>
      </c>
    </row>
    <row r="264" spans="1:13" x14ac:dyDescent="0.25">
      <c r="A264" t="str">
        <f t="shared" si="63"/>
        <v>E191</v>
      </c>
      <c r="B264">
        <v>1</v>
      </c>
      <c r="C264" t="str">
        <f t="shared" si="64"/>
        <v>14185</v>
      </c>
      <c r="D264" t="str">
        <f t="shared" si="65"/>
        <v>5620</v>
      </c>
      <c r="E264" t="str">
        <f t="shared" si="66"/>
        <v>094OMS</v>
      </c>
      <c r="F264" t="str">
        <f>""</f>
        <v/>
      </c>
      <c r="G264" t="str">
        <f>""</f>
        <v/>
      </c>
      <c r="H264" s="1">
        <v>39157</v>
      </c>
      <c r="I264" t="str">
        <f>"PCD00263"</f>
        <v>PCD00263</v>
      </c>
      <c r="J264" t="str">
        <f>"55117"</f>
        <v>55117</v>
      </c>
      <c r="K264" t="str">
        <f>"AS89"</f>
        <v>AS89</v>
      </c>
      <c r="L264" t="s">
        <v>585</v>
      </c>
      <c r="M264">
        <v>400</v>
      </c>
    </row>
    <row r="265" spans="1:13" x14ac:dyDescent="0.25">
      <c r="A265" t="str">
        <f t="shared" si="63"/>
        <v>E191</v>
      </c>
      <c r="B265">
        <v>1</v>
      </c>
      <c r="C265" t="str">
        <f t="shared" si="64"/>
        <v>14185</v>
      </c>
      <c r="D265" t="str">
        <f t="shared" si="65"/>
        <v>5620</v>
      </c>
      <c r="E265" t="str">
        <f t="shared" si="66"/>
        <v>094OMS</v>
      </c>
      <c r="F265" t="str">
        <f>""</f>
        <v/>
      </c>
      <c r="G265" t="str">
        <f>""</f>
        <v/>
      </c>
      <c r="H265" s="1">
        <v>39173</v>
      </c>
      <c r="I265" t="str">
        <f>"PCD00266"</f>
        <v>PCD00266</v>
      </c>
      <c r="J265" t="str">
        <f>"56620"</f>
        <v>56620</v>
      </c>
      <c r="K265" t="str">
        <f>"AS89"</f>
        <v>AS89</v>
      </c>
      <c r="L265" t="s">
        <v>584</v>
      </c>
      <c r="M265">
        <v>139</v>
      </c>
    </row>
    <row r="266" spans="1:13" x14ac:dyDescent="0.25">
      <c r="A266" t="str">
        <f t="shared" si="63"/>
        <v>E191</v>
      </c>
      <c r="B266">
        <v>1</v>
      </c>
      <c r="C266" t="str">
        <f t="shared" si="64"/>
        <v>14185</v>
      </c>
      <c r="D266" t="str">
        <f t="shared" si="65"/>
        <v>5620</v>
      </c>
      <c r="E266" t="str">
        <f t="shared" si="66"/>
        <v>094OMS</v>
      </c>
      <c r="F266" t="str">
        <f>""</f>
        <v/>
      </c>
      <c r="G266" t="str">
        <f>""</f>
        <v/>
      </c>
      <c r="H266" s="1">
        <v>39175</v>
      </c>
      <c r="I266" t="str">
        <f>"113813A"</f>
        <v>113813A</v>
      </c>
      <c r="J266" t="str">
        <f>""</f>
        <v/>
      </c>
      <c r="K266" t="str">
        <f>"INNI"</f>
        <v>INNI</v>
      </c>
      <c r="L266" t="s">
        <v>188</v>
      </c>
      <c r="M266">
        <v>100</v>
      </c>
    </row>
    <row r="267" spans="1:13" x14ac:dyDescent="0.25">
      <c r="A267" t="str">
        <f t="shared" si="63"/>
        <v>E191</v>
      </c>
      <c r="B267">
        <v>1</v>
      </c>
      <c r="C267" t="str">
        <f t="shared" si="64"/>
        <v>14185</v>
      </c>
      <c r="D267" t="str">
        <f t="shared" si="65"/>
        <v>5620</v>
      </c>
      <c r="E267" t="str">
        <f t="shared" si="66"/>
        <v>094OMS</v>
      </c>
      <c r="F267" t="str">
        <f>""</f>
        <v/>
      </c>
      <c r="G267" t="str">
        <f>""</f>
        <v/>
      </c>
      <c r="H267" s="1">
        <v>39206</v>
      </c>
      <c r="I267" t="str">
        <f>"113817A"</f>
        <v>113817A</v>
      </c>
      <c r="J267" t="str">
        <f>""</f>
        <v/>
      </c>
      <c r="K267" t="str">
        <f>"INNI"</f>
        <v>INNI</v>
      </c>
      <c r="L267" t="s">
        <v>583</v>
      </c>
      <c r="M267">
        <v>500</v>
      </c>
    </row>
    <row r="268" spans="1:13" x14ac:dyDescent="0.25">
      <c r="A268" t="str">
        <f t="shared" si="63"/>
        <v>E191</v>
      </c>
      <c r="B268">
        <v>1</v>
      </c>
      <c r="C268" t="str">
        <f t="shared" si="64"/>
        <v>14185</v>
      </c>
      <c r="D268" t="str">
        <f t="shared" si="65"/>
        <v>5620</v>
      </c>
      <c r="E268" t="str">
        <f t="shared" si="66"/>
        <v>094OMS</v>
      </c>
      <c r="F268" t="str">
        <f>""</f>
        <v/>
      </c>
      <c r="G268" t="str">
        <f>""</f>
        <v/>
      </c>
      <c r="H268" s="1">
        <v>39234</v>
      </c>
      <c r="I268" t="str">
        <f>"PCD00272"</f>
        <v>PCD00272</v>
      </c>
      <c r="J268" t="str">
        <f>"60497"</f>
        <v>60497</v>
      </c>
      <c r="K268" t="str">
        <f>"AS89"</f>
        <v>AS89</v>
      </c>
      <c r="L268" t="s">
        <v>582</v>
      </c>
      <c r="M268">
        <v>295</v>
      </c>
    </row>
    <row r="269" spans="1:13" x14ac:dyDescent="0.25">
      <c r="A269" t="str">
        <f t="shared" si="63"/>
        <v>E191</v>
      </c>
      <c r="B269">
        <v>1</v>
      </c>
      <c r="C269" t="str">
        <f t="shared" si="64"/>
        <v>14185</v>
      </c>
      <c r="D269" t="str">
        <f t="shared" si="65"/>
        <v>5620</v>
      </c>
      <c r="E269" t="str">
        <f t="shared" si="66"/>
        <v>094OMS</v>
      </c>
      <c r="F269" t="str">
        <f>""</f>
        <v/>
      </c>
      <c r="G269" t="str">
        <f>""</f>
        <v/>
      </c>
      <c r="H269" s="1">
        <v>39234</v>
      </c>
      <c r="I269" t="str">
        <f>"PCD00272"</f>
        <v>PCD00272</v>
      </c>
      <c r="J269" t="str">
        <f>"60498"</f>
        <v>60498</v>
      </c>
      <c r="K269" t="str">
        <f>"AS89"</f>
        <v>AS89</v>
      </c>
      <c r="L269" t="s">
        <v>582</v>
      </c>
      <c r="M269">
        <v>295</v>
      </c>
    </row>
    <row r="270" spans="1:13" x14ac:dyDescent="0.25">
      <c r="A270" t="str">
        <f t="shared" si="63"/>
        <v>E191</v>
      </c>
      <c r="B270">
        <v>1</v>
      </c>
      <c r="C270" t="str">
        <f t="shared" si="64"/>
        <v>14185</v>
      </c>
      <c r="D270" t="str">
        <f t="shared" si="65"/>
        <v>5620</v>
      </c>
      <c r="E270" t="str">
        <f t="shared" si="66"/>
        <v>094OMS</v>
      </c>
      <c r="F270" t="str">
        <f>""</f>
        <v/>
      </c>
      <c r="G270" t="str">
        <f>""</f>
        <v/>
      </c>
      <c r="H270" s="1">
        <v>39234</v>
      </c>
      <c r="I270" t="str">
        <f>"PCD00272"</f>
        <v>PCD00272</v>
      </c>
      <c r="J270" t="str">
        <f>"60499"</f>
        <v>60499</v>
      </c>
      <c r="K270" t="str">
        <f>"AS89"</f>
        <v>AS89</v>
      </c>
      <c r="L270" t="s">
        <v>582</v>
      </c>
      <c r="M270">
        <v>295</v>
      </c>
    </row>
    <row r="271" spans="1:13" x14ac:dyDescent="0.25">
      <c r="A271" t="str">
        <f t="shared" si="63"/>
        <v>E191</v>
      </c>
      <c r="B271">
        <v>1</v>
      </c>
      <c r="C271" t="str">
        <f t="shared" si="64"/>
        <v>14185</v>
      </c>
      <c r="D271" t="str">
        <f t="shared" si="65"/>
        <v>5620</v>
      </c>
      <c r="E271" t="str">
        <f t="shared" si="66"/>
        <v>094OMS</v>
      </c>
      <c r="F271" t="str">
        <f>""</f>
        <v/>
      </c>
      <c r="G271" t="str">
        <f>""</f>
        <v/>
      </c>
      <c r="H271" s="1">
        <v>39263</v>
      </c>
      <c r="I271" t="str">
        <f>"113827"</f>
        <v>113827</v>
      </c>
      <c r="J271" t="str">
        <f>""</f>
        <v/>
      </c>
      <c r="K271" t="str">
        <f>"INNI"</f>
        <v>INNI</v>
      </c>
      <c r="L271" t="s">
        <v>181</v>
      </c>
      <c r="M271">
        <v>100</v>
      </c>
    </row>
    <row r="272" spans="1:13" x14ac:dyDescent="0.25">
      <c r="A272" t="str">
        <f t="shared" si="63"/>
        <v>E191</v>
      </c>
      <c r="B272">
        <v>1</v>
      </c>
      <c r="C272" t="str">
        <f>"31040"</f>
        <v>31040</v>
      </c>
      <c r="D272" t="str">
        <f t="shared" si="65"/>
        <v>5620</v>
      </c>
      <c r="E272" t="str">
        <f t="shared" si="66"/>
        <v>094OMS</v>
      </c>
      <c r="F272" t="str">
        <f>""</f>
        <v/>
      </c>
      <c r="G272" t="str">
        <f>""</f>
        <v/>
      </c>
      <c r="H272" s="1">
        <v>39129</v>
      </c>
      <c r="I272" t="str">
        <f>"PCD00258"</f>
        <v>PCD00258</v>
      </c>
      <c r="J272" t="str">
        <f>"53146"</f>
        <v>53146</v>
      </c>
      <c r="K272" t="str">
        <f>"AS89"</f>
        <v>AS89</v>
      </c>
      <c r="L272" t="s">
        <v>581</v>
      </c>
      <c r="M272">
        <v>139</v>
      </c>
    </row>
    <row r="273" spans="1:13" x14ac:dyDescent="0.25">
      <c r="A273" t="str">
        <f t="shared" si="63"/>
        <v>E191</v>
      </c>
      <c r="B273">
        <v>1</v>
      </c>
      <c r="C273" t="str">
        <f>"43000"</f>
        <v>43000</v>
      </c>
      <c r="D273" t="str">
        <f>"5740"</f>
        <v>5740</v>
      </c>
      <c r="E273" t="str">
        <f>"850LOS"</f>
        <v>850LOS</v>
      </c>
      <c r="F273" t="str">
        <f>""</f>
        <v/>
      </c>
      <c r="G273" t="str">
        <f>""</f>
        <v/>
      </c>
      <c r="H273" s="1">
        <v>39066</v>
      </c>
      <c r="I273" t="str">
        <f>"PCD00251"</f>
        <v>PCD00251</v>
      </c>
      <c r="J273" t="str">
        <f>"49171"</f>
        <v>49171</v>
      </c>
      <c r="K273" t="str">
        <f>"AS89"</f>
        <v>AS89</v>
      </c>
      <c r="L273" t="s">
        <v>580</v>
      </c>
      <c r="M273">
        <v>507</v>
      </c>
    </row>
    <row r="274" spans="1:13" x14ac:dyDescent="0.25">
      <c r="A274" t="str">
        <f t="shared" si="63"/>
        <v>E191</v>
      </c>
      <c r="B274">
        <v>1</v>
      </c>
      <c r="C274" t="str">
        <f>"43000"</f>
        <v>43000</v>
      </c>
      <c r="D274" t="str">
        <f>"5740"</f>
        <v>5740</v>
      </c>
      <c r="E274" t="str">
        <f>"850LOS"</f>
        <v>850LOS</v>
      </c>
      <c r="F274" t="str">
        <f>""</f>
        <v/>
      </c>
      <c r="G274" t="str">
        <f>""</f>
        <v/>
      </c>
      <c r="H274" s="1">
        <v>39129</v>
      </c>
      <c r="I274" t="str">
        <f>"PCD00258"</f>
        <v>PCD00258</v>
      </c>
      <c r="J274" t="str">
        <f>"53188"</f>
        <v>53188</v>
      </c>
      <c r="K274" t="str">
        <f>"AS89"</f>
        <v>AS89</v>
      </c>
      <c r="L274" t="s">
        <v>579</v>
      </c>
      <c r="M274">
        <v>199</v>
      </c>
    </row>
    <row r="275" spans="1:13" x14ac:dyDescent="0.25">
      <c r="A275" t="str">
        <f>"E192"</f>
        <v>E192</v>
      </c>
      <c r="B275">
        <v>1</v>
      </c>
      <c r="C275" t="str">
        <f t="shared" ref="C275:C284" si="67">"14185"</f>
        <v>14185</v>
      </c>
      <c r="D275" t="str">
        <f t="shared" ref="D275:D284" si="68">"5620"</f>
        <v>5620</v>
      </c>
      <c r="E275" t="str">
        <f t="shared" ref="E275:E284" si="69">"094OMS"</f>
        <v>094OMS</v>
      </c>
      <c r="F275" t="str">
        <f>""</f>
        <v/>
      </c>
      <c r="G275" t="str">
        <f>""</f>
        <v/>
      </c>
      <c r="H275" s="1">
        <v>39066</v>
      </c>
      <c r="I275" t="str">
        <f>"PCD00251"</f>
        <v>PCD00251</v>
      </c>
      <c r="J275" t="str">
        <f>"49522"</f>
        <v>49522</v>
      </c>
      <c r="K275" t="str">
        <f>"AS89"</f>
        <v>AS89</v>
      </c>
      <c r="L275" t="s">
        <v>578</v>
      </c>
      <c r="M275">
        <v>185</v>
      </c>
    </row>
    <row r="276" spans="1:13" x14ac:dyDescent="0.25">
      <c r="A276" t="str">
        <f>"E192"</f>
        <v>E192</v>
      </c>
      <c r="B276">
        <v>1</v>
      </c>
      <c r="C276" t="str">
        <f t="shared" si="67"/>
        <v>14185</v>
      </c>
      <c r="D276" t="str">
        <f t="shared" si="68"/>
        <v>5620</v>
      </c>
      <c r="E276" t="str">
        <f t="shared" si="69"/>
        <v>094OMS</v>
      </c>
      <c r="F276" t="str">
        <f>""</f>
        <v/>
      </c>
      <c r="G276" t="str">
        <f>""</f>
        <v/>
      </c>
      <c r="H276" s="1">
        <v>39066</v>
      </c>
      <c r="I276" t="str">
        <f>"PCD00252"</f>
        <v>PCD00252</v>
      </c>
      <c r="J276" t="str">
        <f>"50273"</f>
        <v>50273</v>
      </c>
      <c r="K276" t="str">
        <f>"AS89"</f>
        <v>AS89</v>
      </c>
      <c r="L276" t="s">
        <v>577</v>
      </c>
      <c r="M276">
        <v>100</v>
      </c>
    </row>
    <row r="277" spans="1:13" x14ac:dyDescent="0.25">
      <c r="A277" t="str">
        <f>"E192"</f>
        <v>E192</v>
      </c>
      <c r="B277">
        <v>1</v>
      </c>
      <c r="C277" t="str">
        <f t="shared" si="67"/>
        <v>14185</v>
      </c>
      <c r="D277" t="str">
        <f t="shared" si="68"/>
        <v>5620</v>
      </c>
      <c r="E277" t="str">
        <f t="shared" si="69"/>
        <v>094OMS</v>
      </c>
      <c r="F277" t="str">
        <f>""</f>
        <v/>
      </c>
      <c r="G277" t="str">
        <f>""</f>
        <v/>
      </c>
      <c r="H277" s="1">
        <v>39113</v>
      </c>
      <c r="I277" t="str">
        <f>"110053"</f>
        <v>110053</v>
      </c>
      <c r="J277" t="str">
        <f>""</f>
        <v/>
      </c>
      <c r="K277" t="str">
        <f>"INNI"</f>
        <v>INNI</v>
      </c>
      <c r="L277" t="s">
        <v>192</v>
      </c>
      <c r="M277">
        <v>180</v>
      </c>
    </row>
    <row r="278" spans="1:13" x14ac:dyDescent="0.25">
      <c r="A278" t="str">
        <f>"E192"</f>
        <v>E192</v>
      </c>
      <c r="B278">
        <v>1</v>
      </c>
      <c r="C278" t="str">
        <f t="shared" si="67"/>
        <v>14185</v>
      </c>
      <c r="D278" t="str">
        <f t="shared" si="68"/>
        <v>5620</v>
      </c>
      <c r="E278" t="str">
        <f t="shared" si="69"/>
        <v>094OMS</v>
      </c>
      <c r="F278" t="str">
        <f>""</f>
        <v/>
      </c>
      <c r="G278" t="str">
        <f>""</f>
        <v/>
      </c>
      <c r="H278" s="1">
        <v>39136</v>
      </c>
      <c r="I278" t="str">
        <f>"113804A"</f>
        <v>113804A</v>
      </c>
      <c r="J278" t="str">
        <f>""</f>
        <v/>
      </c>
      <c r="K278" t="str">
        <f>"INNI"</f>
        <v>INNI</v>
      </c>
      <c r="L278" t="s">
        <v>188</v>
      </c>
      <c r="M278">
        <v>180</v>
      </c>
    </row>
    <row r="279" spans="1:13" x14ac:dyDescent="0.25">
      <c r="A279" t="str">
        <f>"E192"</f>
        <v>E192</v>
      </c>
      <c r="B279">
        <v>1</v>
      </c>
      <c r="C279" t="str">
        <f t="shared" si="67"/>
        <v>14185</v>
      </c>
      <c r="D279" t="str">
        <f t="shared" si="68"/>
        <v>5620</v>
      </c>
      <c r="E279" t="str">
        <f t="shared" si="69"/>
        <v>094OMS</v>
      </c>
      <c r="F279" t="str">
        <f>""</f>
        <v/>
      </c>
      <c r="G279" t="str">
        <f>""</f>
        <v/>
      </c>
      <c r="H279" s="1">
        <v>39234</v>
      </c>
      <c r="I279" t="str">
        <f>"PCD00272"</f>
        <v>PCD00272</v>
      </c>
      <c r="J279" t="str">
        <f>"59284"</f>
        <v>59284</v>
      </c>
      <c r="K279" t="str">
        <f>"AS89"</f>
        <v>AS89</v>
      </c>
      <c r="L279" t="s">
        <v>576</v>
      </c>
      <c r="M279">
        <v>350</v>
      </c>
    </row>
    <row r="280" spans="1:13" x14ac:dyDescent="0.25">
      <c r="A280" t="str">
        <f t="shared" ref="A280:A287" si="70">"E193"</f>
        <v>E193</v>
      </c>
      <c r="B280">
        <v>1</v>
      </c>
      <c r="C280" t="str">
        <f t="shared" si="67"/>
        <v>14185</v>
      </c>
      <c r="D280" t="str">
        <f t="shared" si="68"/>
        <v>5620</v>
      </c>
      <c r="E280" t="str">
        <f t="shared" si="69"/>
        <v>094OMS</v>
      </c>
      <c r="F280" t="str">
        <f>""</f>
        <v/>
      </c>
      <c r="G280" t="str">
        <f>""</f>
        <v/>
      </c>
      <c r="H280" s="1">
        <v>38940</v>
      </c>
      <c r="I280" t="str">
        <f>"PCD00239"</f>
        <v>PCD00239</v>
      </c>
      <c r="J280" t="str">
        <f>"43935"</f>
        <v>43935</v>
      </c>
      <c r="K280" t="str">
        <f>"AS89"</f>
        <v>AS89</v>
      </c>
      <c r="L280" t="s">
        <v>575</v>
      </c>
      <c r="M280">
        <v>275</v>
      </c>
    </row>
    <row r="281" spans="1:13" x14ac:dyDescent="0.25">
      <c r="A281" t="str">
        <f t="shared" si="70"/>
        <v>E193</v>
      </c>
      <c r="B281">
        <v>1</v>
      </c>
      <c r="C281" t="str">
        <f t="shared" si="67"/>
        <v>14185</v>
      </c>
      <c r="D281" t="str">
        <f t="shared" si="68"/>
        <v>5620</v>
      </c>
      <c r="E281" t="str">
        <f t="shared" si="69"/>
        <v>094OMS</v>
      </c>
      <c r="F281" t="str">
        <f>""</f>
        <v/>
      </c>
      <c r="G281" t="str">
        <f>""</f>
        <v/>
      </c>
      <c r="H281" s="1">
        <v>39002</v>
      </c>
      <c r="I281" t="str">
        <f>"1100040"</f>
        <v>1100040</v>
      </c>
      <c r="J281" t="str">
        <f>""</f>
        <v/>
      </c>
      <c r="K281" t="str">
        <f>"INNI"</f>
        <v>INNI</v>
      </c>
      <c r="L281" t="s">
        <v>188</v>
      </c>
      <c r="M281">
        <v>100</v>
      </c>
    </row>
    <row r="282" spans="1:13" x14ac:dyDescent="0.25">
      <c r="A282" t="str">
        <f t="shared" si="70"/>
        <v>E193</v>
      </c>
      <c r="B282">
        <v>1</v>
      </c>
      <c r="C282" t="str">
        <f t="shared" si="67"/>
        <v>14185</v>
      </c>
      <c r="D282" t="str">
        <f t="shared" si="68"/>
        <v>5620</v>
      </c>
      <c r="E282" t="str">
        <f t="shared" si="69"/>
        <v>094OMS</v>
      </c>
      <c r="F282" t="str">
        <f>""</f>
        <v/>
      </c>
      <c r="G282" t="str">
        <f>""</f>
        <v/>
      </c>
      <c r="H282" s="1">
        <v>39129</v>
      </c>
      <c r="I282" t="str">
        <f>"PCD00257"</f>
        <v>PCD00257</v>
      </c>
      <c r="J282" t="str">
        <f>"52005"</f>
        <v>52005</v>
      </c>
      <c r="K282" t="str">
        <f>"AS89"</f>
        <v>AS89</v>
      </c>
      <c r="L282" t="s">
        <v>574</v>
      </c>
      <c r="M282">
        <v>590</v>
      </c>
    </row>
    <row r="283" spans="1:13" x14ac:dyDescent="0.25">
      <c r="A283" t="str">
        <f t="shared" si="70"/>
        <v>E193</v>
      </c>
      <c r="B283">
        <v>1</v>
      </c>
      <c r="C283" t="str">
        <f t="shared" si="67"/>
        <v>14185</v>
      </c>
      <c r="D283" t="str">
        <f t="shared" si="68"/>
        <v>5620</v>
      </c>
      <c r="E283" t="str">
        <f t="shared" si="69"/>
        <v>094OMS</v>
      </c>
      <c r="F283" t="str">
        <f>""</f>
        <v/>
      </c>
      <c r="G283" t="str">
        <f>""</f>
        <v/>
      </c>
      <c r="H283" s="1">
        <v>39203</v>
      </c>
      <c r="I283" t="str">
        <f>"PCD00269"</f>
        <v>PCD00269</v>
      </c>
      <c r="J283" t="str">
        <f>"57574"</f>
        <v>57574</v>
      </c>
      <c r="K283" t="str">
        <f>"AS89"</f>
        <v>AS89</v>
      </c>
      <c r="L283" t="s">
        <v>573</v>
      </c>
      <c r="M283">
        <v>200</v>
      </c>
    </row>
    <row r="284" spans="1:13" x14ac:dyDescent="0.25">
      <c r="A284" t="str">
        <f t="shared" si="70"/>
        <v>E193</v>
      </c>
      <c r="B284">
        <v>1</v>
      </c>
      <c r="C284" t="str">
        <f t="shared" si="67"/>
        <v>14185</v>
      </c>
      <c r="D284" t="str">
        <f t="shared" si="68"/>
        <v>5620</v>
      </c>
      <c r="E284" t="str">
        <f t="shared" si="69"/>
        <v>094OMS</v>
      </c>
      <c r="F284" t="str">
        <f>""</f>
        <v/>
      </c>
      <c r="G284" t="str">
        <f>""</f>
        <v/>
      </c>
      <c r="H284" s="1">
        <v>39206</v>
      </c>
      <c r="I284" t="str">
        <f>"113818"</f>
        <v>113818</v>
      </c>
      <c r="J284" t="str">
        <f>""</f>
        <v/>
      </c>
      <c r="K284" t="str">
        <f>"INNI"</f>
        <v>INNI</v>
      </c>
      <c r="L284" t="s">
        <v>181</v>
      </c>
      <c r="M284">
        <v>150</v>
      </c>
    </row>
    <row r="285" spans="1:13" x14ac:dyDescent="0.25">
      <c r="A285" t="str">
        <f t="shared" si="70"/>
        <v>E193</v>
      </c>
      <c r="B285">
        <v>1</v>
      </c>
      <c r="C285" t="str">
        <f>"43000"</f>
        <v>43000</v>
      </c>
      <c r="D285" t="str">
        <f>"5740"</f>
        <v>5740</v>
      </c>
      <c r="E285" t="str">
        <f>"850LOS"</f>
        <v>850LOS</v>
      </c>
      <c r="F285" t="str">
        <f>""</f>
        <v/>
      </c>
      <c r="G285" t="str">
        <f>""</f>
        <v/>
      </c>
      <c r="H285" s="1">
        <v>39100</v>
      </c>
      <c r="I285" t="str">
        <f>"PCD00254"</f>
        <v>PCD00254</v>
      </c>
      <c r="J285" t="str">
        <f>"50668"</f>
        <v>50668</v>
      </c>
      <c r="K285" t="str">
        <f>"AS89"</f>
        <v>AS89</v>
      </c>
      <c r="L285" t="s">
        <v>572</v>
      </c>
      <c r="M285">
        <v>695</v>
      </c>
    </row>
    <row r="286" spans="1:13" x14ac:dyDescent="0.25">
      <c r="A286" t="str">
        <f t="shared" si="70"/>
        <v>E193</v>
      </c>
      <c r="B286">
        <v>1</v>
      </c>
      <c r="C286" t="str">
        <f>"43000"</f>
        <v>43000</v>
      </c>
      <c r="D286" t="str">
        <f>"5740"</f>
        <v>5740</v>
      </c>
      <c r="E286" t="str">
        <f>"850LOS"</f>
        <v>850LOS</v>
      </c>
      <c r="F286" t="str">
        <f>""</f>
        <v/>
      </c>
      <c r="G286" t="str">
        <f>""</f>
        <v/>
      </c>
      <c r="H286" s="1">
        <v>39263</v>
      </c>
      <c r="I286" t="str">
        <f>"PCD00275"</f>
        <v>PCD00275</v>
      </c>
      <c r="J286" t="str">
        <f>"61525"</f>
        <v>61525</v>
      </c>
      <c r="K286" t="str">
        <f>"AS89"</f>
        <v>AS89</v>
      </c>
      <c r="L286" t="s">
        <v>571</v>
      </c>
      <c r="M286">
        <v>245</v>
      </c>
    </row>
    <row r="287" spans="1:13" x14ac:dyDescent="0.25">
      <c r="A287" t="str">
        <f t="shared" si="70"/>
        <v>E193</v>
      </c>
      <c r="B287">
        <v>1</v>
      </c>
      <c r="C287" t="str">
        <f>"43001"</f>
        <v>43001</v>
      </c>
      <c r="D287" t="str">
        <f>"5740"</f>
        <v>5740</v>
      </c>
      <c r="E287" t="str">
        <f>"850LOS"</f>
        <v>850LOS</v>
      </c>
      <c r="F287" t="str">
        <f>""</f>
        <v/>
      </c>
      <c r="G287" t="str">
        <f>""</f>
        <v/>
      </c>
      <c r="H287" s="1">
        <v>39196</v>
      </c>
      <c r="I287" t="str">
        <f>"Q24465"</f>
        <v>Q24465</v>
      </c>
      <c r="J287" t="str">
        <f>""</f>
        <v/>
      </c>
      <c r="K287" t="str">
        <f>"INNI"</f>
        <v>INNI</v>
      </c>
      <c r="L287" t="s">
        <v>345</v>
      </c>
      <c r="M287">
        <v>139</v>
      </c>
    </row>
    <row r="288" spans="1:13" x14ac:dyDescent="0.25">
      <c r="A288" t="str">
        <f>"E195"</f>
        <v>E195</v>
      </c>
      <c r="B288">
        <v>1</v>
      </c>
      <c r="C288" t="str">
        <f>"43000"</f>
        <v>43000</v>
      </c>
      <c r="D288" t="str">
        <f>"5740"</f>
        <v>5740</v>
      </c>
      <c r="E288" t="str">
        <f>"850LOS"</f>
        <v>850LOS</v>
      </c>
      <c r="F288" t="str">
        <f>""</f>
        <v/>
      </c>
      <c r="G288" t="str">
        <f>""</f>
        <v/>
      </c>
      <c r="H288" s="1">
        <v>39003</v>
      </c>
      <c r="I288" t="str">
        <f>"PCD00246"</f>
        <v>PCD00246</v>
      </c>
      <c r="J288" t="str">
        <f>"46763"</f>
        <v>46763</v>
      </c>
      <c r="K288" t="str">
        <f>"AS89"</f>
        <v>AS89</v>
      </c>
      <c r="L288" t="s">
        <v>570</v>
      </c>
      <c r="M288">
        <v>167.43</v>
      </c>
    </row>
    <row r="289" spans="1:13" x14ac:dyDescent="0.25">
      <c r="A289" t="str">
        <f>"E208"</f>
        <v>E208</v>
      </c>
      <c r="B289">
        <v>1</v>
      </c>
      <c r="C289" t="str">
        <f>"43000"</f>
        <v>43000</v>
      </c>
      <c r="D289" t="str">
        <f>"5740"</f>
        <v>5740</v>
      </c>
      <c r="E289" t="str">
        <f>"850LOS"</f>
        <v>850LOS</v>
      </c>
      <c r="F289" t="str">
        <f>""</f>
        <v/>
      </c>
      <c r="G289" t="str">
        <f>""</f>
        <v/>
      </c>
      <c r="H289" s="1">
        <v>39084</v>
      </c>
      <c r="I289" t="str">
        <f>"49980"</f>
        <v>49980</v>
      </c>
      <c r="J289" t="str">
        <f>"B170412J"</f>
        <v>B170412J</v>
      </c>
      <c r="K289" t="str">
        <f>"INNI"</f>
        <v>INNI</v>
      </c>
      <c r="L289" t="s">
        <v>569</v>
      </c>
      <c r="M289">
        <v>160</v>
      </c>
    </row>
    <row r="290" spans="1:13" x14ac:dyDescent="0.25">
      <c r="A290" t="str">
        <f>"E210"</f>
        <v>E210</v>
      </c>
      <c r="B290">
        <v>1</v>
      </c>
      <c r="C290" t="str">
        <f>"14185"</f>
        <v>14185</v>
      </c>
      <c r="D290" t="str">
        <f>"5620"</f>
        <v>5620</v>
      </c>
      <c r="E290" t="str">
        <f>"094OMS"</f>
        <v>094OMS</v>
      </c>
      <c r="F290" t="str">
        <f>""</f>
        <v/>
      </c>
      <c r="G290" t="str">
        <f>""</f>
        <v/>
      </c>
      <c r="H290" s="1">
        <v>38981</v>
      </c>
      <c r="I290" t="str">
        <f>"W31536A"</f>
        <v>W31536A</v>
      </c>
      <c r="J290" t="str">
        <f>""</f>
        <v/>
      </c>
      <c r="K290" t="str">
        <f>"INNI"</f>
        <v>INNI</v>
      </c>
      <c r="L290" t="s">
        <v>568</v>
      </c>
      <c r="M290">
        <v>325.52999999999997</v>
      </c>
    </row>
    <row r="291" spans="1:13" x14ac:dyDescent="0.25">
      <c r="A291" t="str">
        <f>"E210"</f>
        <v>E210</v>
      </c>
      <c r="B291">
        <v>1</v>
      </c>
      <c r="C291" t="str">
        <f>"43000"</f>
        <v>43000</v>
      </c>
      <c r="D291" t="str">
        <f>"5740"</f>
        <v>5740</v>
      </c>
      <c r="E291" t="str">
        <f>"850LOS"</f>
        <v>850LOS</v>
      </c>
      <c r="F291" t="str">
        <f>""</f>
        <v/>
      </c>
      <c r="G291" t="str">
        <f>""</f>
        <v/>
      </c>
      <c r="H291" s="1">
        <v>39022</v>
      </c>
      <c r="I291" t="str">
        <f>"110044"</f>
        <v>110044</v>
      </c>
      <c r="J291" t="str">
        <f>""</f>
        <v/>
      </c>
      <c r="K291" t="str">
        <f>"INNI"</f>
        <v>INNI</v>
      </c>
      <c r="L291" t="s">
        <v>92</v>
      </c>
      <c r="M291" s="2">
        <v>22500</v>
      </c>
    </row>
    <row r="292" spans="1:13" x14ac:dyDescent="0.25">
      <c r="A292" t="str">
        <f>"E210"</f>
        <v>E210</v>
      </c>
      <c r="B292">
        <v>1</v>
      </c>
      <c r="C292" t="str">
        <f>"43002"</f>
        <v>43002</v>
      </c>
      <c r="D292" t="str">
        <f>"5740"</f>
        <v>5740</v>
      </c>
      <c r="E292" t="str">
        <f>"850LOS"</f>
        <v>850LOS</v>
      </c>
      <c r="F292" t="str">
        <f>""</f>
        <v/>
      </c>
      <c r="G292" t="str">
        <f>""</f>
        <v/>
      </c>
      <c r="H292" s="1">
        <v>39155</v>
      </c>
      <c r="I292" t="str">
        <f>"G0709101"</f>
        <v>G0709101</v>
      </c>
      <c r="J292" t="str">
        <f>"G0614372"</f>
        <v>G0614372</v>
      </c>
      <c r="K292" t="str">
        <f>"J096"</f>
        <v>J096</v>
      </c>
      <c r="L292" t="s">
        <v>567</v>
      </c>
      <c r="M292" s="2">
        <v>5412</v>
      </c>
    </row>
    <row r="293" spans="1:13" x14ac:dyDescent="0.25">
      <c r="A293" t="str">
        <f>"E210"</f>
        <v>E210</v>
      </c>
      <c r="B293">
        <v>1</v>
      </c>
      <c r="C293" t="str">
        <f>"54551"</f>
        <v>54551</v>
      </c>
      <c r="D293" t="str">
        <f>"5740"</f>
        <v>5740</v>
      </c>
      <c r="E293" t="str">
        <f>"111ZAA"</f>
        <v>111ZAA</v>
      </c>
      <c r="F293" t="str">
        <f>"GRADES"</f>
        <v>GRADES</v>
      </c>
      <c r="G293" t="str">
        <f>""</f>
        <v/>
      </c>
      <c r="H293" s="1">
        <v>38953</v>
      </c>
      <c r="I293" t="str">
        <f>"201830"</f>
        <v>201830</v>
      </c>
      <c r="J293" t="str">
        <f>"F102798"</f>
        <v>F102798</v>
      </c>
      <c r="K293" t="str">
        <f>"INEI"</f>
        <v>INEI</v>
      </c>
      <c r="L293" t="s">
        <v>222</v>
      </c>
      <c r="M293" s="2">
        <v>37806.03</v>
      </c>
    </row>
    <row r="294" spans="1:13" x14ac:dyDescent="0.25">
      <c r="A294" t="str">
        <f>"E213"</f>
        <v>E213</v>
      </c>
      <c r="B294">
        <v>1</v>
      </c>
      <c r="C294" t="str">
        <f>"14185"</f>
        <v>14185</v>
      </c>
      <c r="D294" t="str">
        <f>"5620"</f>
        <v>5620</v>
      </c>
      <c r="E294" t="str">
        <f>"094OMS"</f>
        <v>094OMS</v>
      </c>
      <c r="F294" t="str">
        <f>""</f>
        <v/>
      </c>
      <c r="G294" t="str">
        <f>""</f>
        <v/>
      </c>
      <c r="H294" s="1">
        <v>39066</v>
      </c>
      <c r="I294" t="str">
        <f>"PCD00251"</f>
        <v>PCD00251</v>
      </c>
      <c r="J294" t="str">
        <f>"49292"</f>
        <v>49292</v>
      </c>
      <c r="K294" t="str">
        <f>"AS89"</f>
        <v>AS89</v>
      </c>
      <c r="L294" t="s">
        <v>566</v>
      </c>
      <c r="M294">
        <v>260.16000000000003</v>
      </c>
    </row>
    <row r="295" spans="1:13" x14ac:dyDescent="0.25">
      <c r="A295" t="str">
        <f>"E216"</f>
        <v>E216</v>
      </c>
      <c r="B295">
        <v>1</v>
      </c>
      <c r="C295" t="str">
        <f>"14185"</f>
        <v>14185</v>
      </c>
      <c r="D295" t="str">
        <f>"5620"</f>
        <v>5620</v>
      </c>
      <c r="E295" t="str">
        <f>"094OMS"</f>
        <v>094OMS</v>
      </c>
      <c r="F295" t="str">
        <f>""</f>
        <v/>
      </c>
      <c r="G295" t="str">
        <f>""</f>
        <v/>
      </c>
      <c r="H295" s="1">
        <v>38905</v>
      </c>
      <c r="I295" t="str">
        <f>"17588A"</f>
        <v>17588A</v>
      </c>
      <c r="J295" t="str">
        <f>"N076270B"</f>
        <v>N076270B</v>
      </c>
      <c r="K295" t="str">
        <f>"INEI"</f>
        <v>INEI</v>
      </c>
      <c r="L295" t="s">
        <v>226</v>
      </c>
      <c r="M295" s="2">
        <v>6504</v>
      </c>
    </row>
    <row r="296" spans="1:13" x14ac:dyDescent="0.25">
      <c r="A296" t="str">
        <f>"E216"</f>
        <v>E216</v>
      </c>
      <c r="B296">
        <v>1</v>
      </c>
      <c r="C296" t="str">
        <f>"43000"</f>
        <v>43000</v>
      </c>
      <c r="D296" t="str">
        <f t="shared" ref="D296:D320" si="71">"5740"</f>
        <v>5740</v>
      </c>
      <c r="E296" t="str">
        <f t="shared" ref="E296:E320" si="72">"850LOS"</f>
        <v>850LOS</v>
      </c>
      <c r="F296" t="str">
        <f>""</f>
        <v/>
      </c>
      <c r="G296" t="str">
        <f>""</f>
        <v/>
      </c>
      <c r="H296" s="1">
        <v>39121</v>
      </c>
      <c r="I296" t="str">
        <f>"112227M"</f>
        <v>112227M</v>
      </c>
      <c r="J296" t="str">
        <f>"B064718C"</f>
        <v>B064718C</v>
      </c>
      <c r="K296" t="str">
        <f>"INNI"</f>
        <v>INNI</v>
      </c>
      <c r="L296" t="s">
        <v>229</v>
      </c>
      <c r="M296" s="2">
        <v>16698.21</v>
      </c>
    </row>
    <row r="297" spans="1:13" x14ac:dyDescent="0.25">
      <c r="A297" t="str">
        <f>"E216"</f>
        <v>E216</v>
      </c>
      <c r="B297">
        <v>1</v>
      </c>
      <c r="C297" t="str">
        <f>"43003"</f>
        <v>43003</v>
      </c>
      <c r="D297" t="str">
        <f t="shared" si="71"/>
        <v>5740</v>
      </c>
      <c r="E297" t="str">
        <f t="shared" si="72"/>
        <v>850LOS</v>
      </c>
      <c r="F297" t="str">
        <f>""</f>
        <v/>
      </c>
      <c r="G297" t="str">
        <f>""</f>
        <v/>
      </c>
      <c r="H297" s="1">
        <v>39237</v>
      </c>
      <c r="I297" t="str">
        <f>"113820"</f>
        <v>113820</v>
      </c>
      <c r="J297" t="str">
        <f>""</f>
        <v/>
      </c>
      <c r="K297" t="str">
        <f>"INNI"</f>
        <v>INNI</v>
      </c>
      <c r="L297" t="s">
        <v>565</v>
      </c>
      <c r="M297" s="2">
        <v>1100</v>
      </c>
    </row>
    <row r="298" spans="1:13" x14ac:dyDescent="0.25">
      <c r="A298" t="str">
        <f t="shared" ref="A298:A320" si="73">"E217"</f>
        <v>E217</v>
      </c>
      <c r="B298">
        <v>1</v>
      </c>
      <c r="C298" t="str">
        <f t="shared" ref="C298:C309" si="74">"43000"</f>
        <v>43000</v>
      </c>
      <c r="D298" t="str">
        <f t="shared" si="71"/>
        <v>5740</v>
      </c>
      <c r="E298" t="str">
        <f t="shared" si="72"/>
        <v>850LOS</v>
      </c>
      <c r="F298" t="str">
        <f>""</f>
        <v/>
      </c>
      <c r="G298" t="str">
        <f>""</f>
        <v/>
      </c>
      <c r="H298" s="1">
        <v>38950</v>
      </c>
      <c r="I298" t="str">
        <f>"CMG00519"</f>
        <v>CMG00519</v>
      </c>
      <c r="J298" t="str">
        <f>""</f>
        <v/>
      </c>
      <c r="K298" t="str">
        <f t="shared" ref="K298:K320" si="75">"J089"</f>
        <v>J089</v>
      </c>
      <c r="L298" t="s">
        <v>564</v>
      </c>
      <c r="M298">
        <v>308.05</v>
      </c>
    </row>
    <row r="299" spans="1:13" x14ac:dyDescent="0.25">
      <c r="A299" t="str">
        <f t="shared" si="73"/>
        <v>E217</v>
      </c>
      <c r="B299">
        <v>1</v>
      </c>
      <c r="C299" t="str">
        <f t="shared" si="74"/>
        <v>43000</v>
      </c>
      <c r="D299" t="str">
        <f t="shared" si="71"/>
        <v>5740</v>
      </c>
      <c r="E299" t="str">
        <f t="shared" si="72"/>
        <v>850LOS</v>
      </c>
      <c r="F299" t="str">
        <f>""</f>
        <v/>
      </c>
      <c r="G299" t="str">
        <f>""</f>
        <v/>
      </c>
      <c r="H299" s="1">
        <v>38990</v>
      </c>
      <c r="I299" t="str">
        <f>"CMG00522"</f>
        <v>CMG00522</v>
      </c>
      <c r="J299" t="str">
        <f>""</f>
        <v/>
      </c>
      <c r="K299" t="str">
        <f t="shared" si="75"/>
        <v>J089</v>
      </c>
      <c r="L299" t="s">
        <v>563</v>
      </c>
      <c r="M299">
        <v>324.11</v>
      </c>
    </row>
    <row r="300" spans="1:13" x14ac:dyDescent="0.25">
      <c r="A300" t="str">
        <f t="shared" si="73"/>
        <v>E217</v>
      </c>
      <c r="B300">
        <v>1</v>
      </c>
      <c r="C300" t="str">
        <f t="shared" si="74"/>
        <v>43000</v>
      </c>
      <c r="D300" t="str">
        <f t="shared" si="71"/>
        <v>5740</v>
      </c>
      <c r="E300" t="str">
        <f t="shared" si="72"/>
        <v>850LOS</v>
      </c>
      <c r="F300" t="str">
        <f>""</f>
        <v/>
      </c>
      <c r="G300" t="str">
        <f>""</f>
        <v/>
      </c>
      <c r="H300" s="1">
        <v>39015</v>
      </c>
      <c r="I300" t="str">
        <f>"CMG00524"</f>
        <v>CMG00524</v>
      </c>
      <c r="J300" t="str">
        <f>""</f>
        <v/>
      </c>
      <c r="K300" t="str">
        <f t="shared" si="75"/>
        <v>J089</v>
      </c>
      <c r="L300" t="s">
        <v>562</v>
      </c>
      <c r="M300" s="2">
        <v>4366.62</v>
      </c>
    </row>
    <row r="301" spans="1:13" x14ac:dyDescent="0.25">
      <c r="A301" t="str">
        <f t="shared" si="73"/>
        <v>E217</v>
      </c>
      <c r="B301">
        <v>1</v>
      </c>
      <c r="C301" t="str">
        <f t="shared" si="74"/>
        <v>43000</v>
      </c>
      <c r="D301" t="str">
        <f t="shared" si="71"/>
        <v>5740</v>
      </c>
      <c r="E301" t="str">
        <f t="shared" si="72"/>
        <v>850LOS</v>
      </c>
      <c r="F301" t="str">
        <f>""</f>
        <v/>
      </c>
      <c r="G301" t="str">
        <f>""</f>
        <v/>
      </c>
      <c r="H301" s="1">
        <v>39052</v>
      </c>
      <c r="I301" t="str">
        <f>"CMG00528"</f>
        <v>CMG00528</v>
      </c>
      <c r="J301" t="str">
        <f>""</f>
        <v/>
      </c>
      <c r="K301" t="str">
        <f t="shared" si="75"/>
        <v>J089</v>
      </c>
      <c r="L301" t="s">
        <v>561</v>
      </c>
      <c r="M301">
        <v>717.26</v>
      </c>
    </row>
    <row r="302" spans="1:13" x14ac:dyDescent="0.25">
      <c r="A302" t="str">
        <f t="shared" si="73"/>
        <v>E217</v>
      </c>
      <c r="B302">
        <v>1</v>
      </c>
      <c r="C302" t="str">
        <f t="shared" si="74"/>
        <v>43000</v>
      </c>
      <c r="D302" t="str">
        <f t="shared" si="71"/>
        <v>5740</v>
      </c>
      <c r="E302" t="str">
        <f t="shared" si="72"/>
        <v>850LOS</v>
      </c>
      <c r="F302" t="str">
        <f>""</f>
        <v/>
      </c>
      <c r="G302" t="str">
        <f>""</f>
        <v/>
      </c>
      <c r="H302" s="1">
        <v>39079</v>
      </c>
      <c r="I302" t="str">
        <f>"CMG00531"</f>
        <v>CMG00531</v>
      </c>
      <c r="J302" t="str">
        <f>""</f>
        <v/>
      </c>
      <c r="K302" t="str">
        <f t="shared" si="75"/>
        <v>J089</v>
      </c>
      <c r="L302" t="s">
        <v>560</v>
      </c>
      <c r="M302">
        <v>429.99</v>
      </c>
    </row>
    <row r="303" spans="1:13" x14ac:dyDescent="0.25">
      <c r="A303" t="str">
        <f t="shared" si="73"/>
        <v>E217</v>
      </c>
      <c r="B303">
        <v>1</v>
      </c>
      <c r="C303" t="str">
        <f t="shared" si="74"/>
        <v>43000</v>
      </c>
      <c r="D303" t="str">
        <f t="shared" si="71"/>
        <v>5740</v>
      </c>
      <c r="E303" t="str">
        <f t="shared" si="72"/>
        <v>850LOS</v>
      </c>
      <c r="F303" t="str">
        <f>""</f>
        <v/>
      </c>
      <c r="G303" t="str">
        <f>""</f>
        <v/>
      </c>
      <c r="H303" s="1">
        <v>39113</v>
      </c>
      <c r="I303" t="str">
        <f>"CMG00532"</f>
        <v>CMG00532</v>
      </c>
      <c r="J303" t="str">
        <f>""</f>
        <v/>
      </c>
      <c r="K303" t="str">
        <f t="shared" si="75"/>
        <v>J089</v>
      </c>
      <c r="L303" t="s">
        <v>559</v>
      </c>
      <c r="M303">
        <v>555.63</v>
      </c>
    </row>
    <row r="304" spans="1:13" x14ac:dyDescent="0.25">
      <c r="A304" t="str">
        <f t="shared" si="73"/>
        <v>E217</v>
      </c>
      <c r="B304">
        <v>1</v>
      </c>
      <c r="C304" t="str">
        <f t="shared" si="74"/>
        <v>43000</v>
      </c>
      <c r="D304" t="str">
        <f t="shared" si="71"/>
        <v>5740</v>
      </c>
      <c r="E304" t="str">
        <f t="shared" si="72"/>
        <v>850LOS</v>
      </c>
      <c r="F304" t="str">
        <f>""</f>
        <v/>
      </c>
      <c r="G304" t="str">
        <f>""</f>
        <v/>
      </c>
      <c r="H304" s="1">
        <v>39136</v>
      </c>
      <c r="I304" t="str">
        <f>"CMG00534"</f>
        <v>CMG00534</v>
      </c>
      <c r="J304" t="str">
        <f>""</f>
        <v/>
      </c>
      <c r="K304" t="str">
        <f t="shared" si="75"/>
        <v>J089</v>
      </c>
      <c r="L304" t="s">
        <v>558</v>
      </c>
      <c r="M304" s="2">
        <v>1044.72</v>
      </c>
    </row>
    <row r="305" spans="1:13" x14ac:dyDescent="0.25">
      <c r="A305" t="str">
        <f t="shared" si="73"/>
        <v>E217</v>
      </c>
      <c r="B305">
        <v>1</v>
      </c>
      <c r="C305" t="str">
        <f t="shared" si="74"/>
        <v>43000</v>
      </c>
      <c r="D305" t="str">
        <f t="shared" si="71"/>
        <v>5740</v>
      </c>
      <c r="E305" t="str">
        <f t="shared" si="72"/>
        <v>850LOS</v>
      </c>
      <c r="F305" t="str">
        <f>""</f>
        <v/>
      </c>
      <c r="G305" t="str">
        <f>""</f>
        <v/>
      </c>
      <c r="H305" s="1">
        <v>39157</v>
      </c>
      <c r="I305" t="str">
        <f>"CMG00537"</f>
        <v>CMG00537</v>
      </c>
      <c r="J305" t="str">
        <f>""</f>
        <v/>
      </c>
      <c r="K305" t="str">
        <f t="shared" si="75"/>
        <v>J089</v>
      </c>
      <c r="L305" t="s">
        <v>557</v>
      </c>
      <c r="M305">
        <v>323.52</v>
      </c>
    </row>
    <row r="306" spans="1:13" x14ac:dyDescent="0.25">
      <c r="A306" t="str">
        <f t="shared" si="73"/>
        <v>E217</v>
      </c>
      <c r="B306">
        <v>1</v>
      </c>
      <c r="C306" t="str">
        <f t="shared" si="74"/>
        <v>43000</v>
      </c>
      <c r="D306" t="str">
        <f t="shared" si="71"/>
        <v>5740</v>
      </c>
      <c r="E306" t="str">
        <f t="shared" si="72"/>
        <v>850LOS</v>
      </c>
      <c r="F306" t="str">
        <f>""</f>
        <v/>
      </c>
      <c r="G306" t="str">
        <f>""</f>
        <v/>
      </c>
      <c r="H306" s="1">
        <v>39191</v>
      </c>
      <c r="I306" t="str">
        <f>"CMG00539"</f>
        <v>CMG00539</v>
      </c>
      <c r="J306" t="str">
        <f>""</f>
        <v/>
      </c>
      <c r="K306" t="str">
        <f t="shared" si="75"/>
        <v>J089</v>
      </c>
      <c r="L306" t="s">
        <v>556</v>
      </c>
      <c r="M306">
        <v>688.12</v>
      </c>
    </row>
    <row r="307" spans="1:13" x14ac:dyDescent="0.25">
      <c r="A307" t="str">
        <f t="shared" si="73"/>
        <v>E217</v>
      </c>
      <c r="B307">
        <v>1</v>
      </c>
      <c r="C307" t="str">
        <f t="shared" si="74"/>
        <v>43000</v>
      </c>
      <c r="D307" t="str">
        <f t="shared" si="71"/>
        <v>5740</v>
      </c>
      <c r="E307" t="str">
        <f t="shared" si="72"/>
        <v>850LOS</v>
      </c>
      <c r="F307" t="str">
        <f>""</f>
        <v/>
      </c>
      <c r="G307" t="str">
        <f>""</f>
        <v/>
      </c>
      <c r="H307" s="1">
        <v>39223</v>
      </c>
      <c r="I307" t="str">
        <f>"CMG00540"</f>
        <v>CMG00540</v>
      </c>
      <c r="J307" t="str">
        <f>""</f>
        <v/>
      </c>
      <c r="K307" t="str">
        <f t="shared" si="75"/>
        <v>J089</v>
      </c>
      <c r="L307" t="s">
        <v>555</v>
      </c>
      <c r="M307" s="2">
        <v>1072.8800000000001</v>
      </c>
    </row>
    <row r="308" spans="1:13" x14ac:dyDescent="0.25">
      <c r="A308" t="str">
        <f t="shared" si="73"/>
        <v>E217</v>
      </c>
      <c r="B308">
        <v>1</v>
      </c>
      <c r="C308" t="str">
        <f t="shared" si="74"/>
        <v>43000</v>
      </c>
      <c r="D308" t="str">
        <f t="shared" si="71"/>
        <v>5740</v>
      </c>
      <c r="E308" t="str">
        <f t="shared" si="72"/>
        <v>850LOS</v>
      </c>
      <c r="F308" t="str">
        <f>""</f>
        <v/>
      </c>
      <c r="G308" t="str">
        <f>""</f>
        <v/>
      </c>
      <c r="H308" s="1">
        <v>39251</v>
      </c>
      <c r="I308" t="str">
        <f>"CMG00542"</f>
        <v>CMG00542</v>
      </c>
      <c r="J308" t="str">
        <f>""</f>
        <v/>
      </c>
      <c r="K308" t="str">
        <f t="shared" si="75"/>
        <v>J089</v>
      </c>
      <c r="L308" t="s">
        <v>554</v>
      </c>
      <c r="M308">
        <v>607.46</v>
      </c>
    </row>
    <row r="309" spans="1:13" x14ac:dyDescent="0.25">
      <c r="A309" t="str">
        <f t="shared" si="73"/>
        <v>E217</v>
      </c>
      <c r="B309">
        <v>1</v>
      </c>
      <c r="C309" t="str">
        <f t="shared" si="74"/>
        <v>43000</v>
      </c>
      <c r="D309" t="str">
        <f t="shared" si="71"/>
        <v>5740</v>
      </c>
      <c r="E309" t="str">
        <f t="shared" si="72"/>
        <v>850LOS</v>
      </c>
      <c r="F309" t="str">
        <f>""</f>
        <v/>
      </c>
      <c r="G309" t="str">
        <f>""</f>
        <v/>
      </c>
      <c r="H309" s="1">
        <v>39263</v>
      </c>
      <c r="I309" t="str">
        <f>"CMG00545"</f>
        <v>CMG00545</v>
      </c>
      <c r="J309" t="str">
        <f>""</f>
        <v/>
      </c>
      <c r="K309" t="str">
        <f t="shared" si="75"/>
        <v>J089</v>
      </c>
      <c r="L309" t="s">
        <v>553</v>
      </c>
      <c r="M309">
        <v>885.38</v>
      </c>
    </row>
    <row r="310" spans="1:13" x14ac:dyDescent="0.25">
      <c r="A310" t="str">
        <f t="shared" si="73"/>
        <v>E217</v>
      </c>
      <c r="B310">
        <v>1</v>
      </c>
      <c r="C310" t="str">
        <f t="shared" ref="C310:C320" si="76">"43003"</f>
        <v>43003</v>
      </c>
      <c r="D310" t="str">
        <f t="shared" si="71"/>
        <v>5740</v>
      </c>
      <c r="E310" t="str">
        <f t="shared" si="72"/>
        <v>850LOS</v>
      </c>
      <c r="F310" t="str">
        <f t="shared" ref="F310:F320" si="77">"PKGPAY"</f>
        <v>PKGPAY</v>
      </c>
      <c r="G310" t="str">
        <f>""</f>
        <v/>
      </c>
      <c r="H310" s="1">
        <v>38950</v>
      </c>
      <c r="I310" t="str">
        <f>"CMG00519"</f>
        <v>CMG00519</v>
      </c>
      <c r="J310" t="str">
        <f>""</f>
        <v/>
      </c>
      <c r="K310" t="str">
        <f t="shared" si="75"/>
        <v>J089</v>
      </c>
      <c r="L310" t="s">
        <v>564</v>
      </c>
      <c r="M310">
        <v>216.98</v>
      </c>
    </row>
    <row r="311" spans="1:13" x14ac:dyDescent="0.25">
      <c r="A311" t="str">
        <f t="shared" si="73"/>
        <v>E217</v>
      </c>
      <c r="B311">
        <v>1</v>
      </c>
      <c r="C311" t="str">
        <f t="shared" si="76"/>
        <v>43003</v>
      </c>
      <c r="D311" t="str">
        <f t="shared" si="71"/>
        <v>5740</v>
      </c>
      <c r="E311" t="str">
        <f t="shared" si="72"/>
        <v>850LOS</v>
      </c>
      <c r="F311" t="str">
        <f t="shared" si="77"/>
        <v>PKGPAY</v>
      </c>
      <c r="G311" t="str">
        <f>""</f>
        <v/>
      </c>
      <c r="H311" s="1">
        <v>38990</v>
      </c>
      <c r="I311" t="str">
        <f>"CMG00522"</f>
        <v>CMG00522</v>
      </c>
      <c r="J311" t="str">
        <f>""</f>
        <v/>
      </c>
      <c r="K311" t="str">
        <f t="shared" si="75"/>
        <v>J089</v>
      </c>
      <c r="L311" t="s">
        <v>563</v>
      </c>
      <c r="M311">
        <v>211.97</v>
      </c>
    </row>
    <row r="312" spans="1:13" x14ac:dyDescent="0.25">
      <c r="A312" t="str">
        <f t="shared" si="73"/>
        <v>E217</v>
      </c>
      <c r="B312">
        <v>1</v>
      </c>
      <c r="C312" t="str">
        <f t="shared" si="76"/>
        <v>43003</v>
      </c>
      <c r="D312" t="str">
        <f t="shared" si="71"/>
        <v>5740</v>
      </c>
      <c r="E312" t="str">
        <f t="shared" si="72"/>
        <v>850LOS</v>
      </c>
      <c r="F312" t="str">
        <f t="shared" si="77"/>
        <v>PKGPAY</v>
      </c>
      <c r="G312" t="str">
        <f>""</f>
        <v/>
      </c>
      <c r="H312" s="1">
        <v>39052</v>
      </c>
      <c r="I312" t="str">
        <f>"CMG00528"</f>
        <v>CMG00528</v>
      </c>
      <c r="J312" t="str">
        <f>""</f>
        <v/>
      </c>
      <c r="K312" t="str">
        <f t="shared" si="75"/>
        <v>J089</v>
      </c>
      <c r="L312" t="s">
        <v>561</v>
      </c>
      <c r="M312">
        <v>443.16</v>
      </c>
    </row>
    <row r="313" spans="1:13" x14ac:dyDescent="0.25">
      <c r="A313" t="str">
        <f t="shared" si="73"/>
        <v>E217</v>
      </c>
      <c r="B313">
        <v>1</v>
      </c>
      <c r="C313" t="str">
        <f t="shared" si="76"/>
        <v>43003</v>
      </c>
      <c r="D313" t="str">
        <f t="shared" si="71"/>
        <v>5740</v>
      </c>
      <c r="E313" t="str">
        <f t="shared" si="72"/>
        <v>850LOS</v>
      </c>
      <c r="F313" t="str">
        <f t="shared" si="77"/>
        <v>PKGPAY</v>
      </c>
      <c r="G313" t="str">
        <f>""</f>
        <v/>
      </c>
      <c r="H313" s="1">
        <v>39079</v>
      </c>
      <c r="I313" t="str">
        <f>"CMG00531"</f>
        <v>CMG00531</v>
      </c>
      <c r="J313" t="str">
        <f>""</f>
        <v/>
      </c>
      <c r="K313" t="str">
        <f t="shared" si="75"/>
        <v>J089</v>
      </c>
      <c r="L313" t="s">
        <v>560</v>
      </c>
      <c r="M313">
        <v>782.87</v>
      </c>
    </row>
    <row r="314" spans="1:13" x14ac:dyDescent="0.25">
      <c r="A314" t="str">
        <f t="shared" si="73"/>
        <v>E217</v>
      </c>
      <c r="B314">
        <v>1</v>
      </c>
      <c r="C314" t="str">
        <f t="shared" si="76"/>
        <v>43003</v>
      </c>
      <c r="D314" t="str">
        <f t="shared" si="71"/>
        <v>5740</v>
      </c>
      <c r="E314" t="str">
        <f t="shared" si="72"/>
        <v>850LOS</v>
      </c>
      <c r="F314" t="str">
        <f t="shared" si="77"/>
        <v>PKGPAY</v>
      </c>
      <c r="G314" t="str">
        <f>""</f>
        <v/>
      </c>
      <c r="H314" s="1">
        <v>39113</v>
      </c>
      <c r="I314" t="str">
        <f>"CMG00532"</f>
        <v>CMG00532</v>
      </c>
      <c r="J314" t="str">
        <f>""</f>
        <v/>
      </c>
      <c r="K314" t="str">
        <f t="shared" si="75"/>
        <v>J089</v>
      </c>
      <c r="L314" t="s">
        <v>559</v>
      </c>
      <c r="M314">
        <v>368.92</v>
      </c>
    </row>
    <row r="315" spans="1:13" x14ac:dyDescent="0.25">
      <c r="A315" t="str">
        <f t="shared" si="73"/>
        <v>E217</v>
      </c>
      <c r="B315">
        <v>1</v>
      </c>
      <c r="C315" t="str">
        <f t="shared" si="76"/>
        <v>43003</v>
      </c>
      <c r="D315" t="str">
        <f t="shared" si="71"/>
        <v>5740</v>
      </c>
      <c r="E315" t="str">
        <f t="shared" si="72"/>
        <v>850LOS</v>
      </c>
      <c r="F315" t="str">
        <f t="shared" si="77"/>
        <v>PKGPAY</v>
      </c>
      <c r="G315" t="str">
        <f>""</f>
        <v/>
      </c>
      <c r="H315" s="1">
        <v>39136</v>
      </c>
      <c r="I315" t="str">
        <f>"CMG00534"</f>
        <v>CMG00534</v>
      </c>
      <c r="J315" t="str">
        <f>""</f>
        <v/>
      </c>
      <c r="K315" t="str">
        <f t="shared" si="75"/>
        <v>J089</v>
      </c>
      <c r="L315" t="s">
        <v>558</v>
      </c>
      <c r="M315">
        <v>309.82</v>
      </c>
    </row>
    <row r="316" spans="1:13" x14ac:dyDescent="0.25">
      <c r="A316" t="str">
        <f t="shared" si="73"/>
        <v>E217</v>
      </c>
      <c r="B316">
        <v>1</v>
      </c>
      <c r="C316" t="str">
        <f t="shared" si="76"/>
        <v>43003</v>
      </c>
      <c r="D316" t="str">
        <f t="shared" si="71"/>
        <v>5740</v>
      </c>
      <c r="E316" t="str">
        <f t="shared" si="72"/>
        <v>850LOS</v>
      </c>
      <c r="F316" t="str">
        <f t="shared" si="77"/>
        <v>PKGPAY</v>
      </c>
      <c r="G316" t="str">
        <f>""</f>
        <v/>
      </c>
      <c r="H316" s="1">
        <v>39157</v>
      </c>
      <c r="I316" t="str">
        <f>"CMG00537"</f>
        <v>CMG00537</v>
      </c>
      <c r="J316" t="str">
        <f>""</f>
        <v/>
      </c>
      <c r="K316" t="str">
        <f t="shared" si="75"/>
        <v>J089</v>
      </c>
      <c r="L316" t="s">
        <v>557</v>
      </c>
      <c r="M316">
        <v>614.82000000000005</v>
      </c>
    </row>
    <row r="317" spans="1:13" x14ac:dyDescent="0.25">
      <c r="A317" t="str">
        <f t="shared" si="73"/>
        <v>E217</v>
      </c>
      <c r="B317">
        <v>1</v>
      </c>
      <c r="C317" t="str">
        <f t="shared" si="76"/>
        <v>43003</v>
      </c>
      <c r="D317" t="str">
        <f t="shared" si="71"/>
        <v>5740</v>
      </c>
      <c r="E317" t="str">
        <f t="shared" si="72"/>
        <v>850LOS</v>
      </c>
      <c r="F317" t="str">
        <f t="shared" si="77"/>
        <v>PKGPAY</v>
      </c>
      <c r="G317" t="str">
        <f>""</f>
        <v/>
      </c>
      <c r="H317" s="1">
        <v>39191</v>
      </c>
      <c r="I317" t="str">
        <f>"CMG00539"</f>
        <v>CMG00539</v>
      </c>
      <c r="J317" t="str">
        <f>""</f>
        <v/>
      </c>
      <c r="K317" t="str">
        <f t="shared" si="75"/>
        <v>J089</v>
      </c>
      <c r="L317" t="s">
        <v>556</v>
      </c>
      <c r="M317">
        <v>791.7</v>
      </c>
    </row>
    <row r="318" spans="1:13" x14ac:dyDescent="0.25">
      <c r="A318" t="str">
        <f t="shared" si="73"/>
        <v>E217</v>
      </c>
      <c r="B318">
        <v>1</v>
      </c>
      <c r="C318" t="str">
        <f t="shared" si="76"/>
        <v>43003</v>
      </c>
      <c r="D318" t="str">
        <f t="shared" si="71"/>
        <v>5740</v>
      </c>
      <c r="E318" t="str">
        <f t="shared" si="72"/>
        <v>850LOS</v>
      </c>
      <c r="F318" t="str">
        <f t="shared" si="77"/>
        <v>PKGPAY</v>
      </c>
      <c r="G318" t="str">
        <f>""</f>
        <v/>
      </c>
      <c r="H318" s="1">
        <v>39223</v>
      </c>
      <c r="I318" t="str">
        <f>"CMG00540"</f>
        <v>CMG00540</v>
      </c>
      <c r="J318" t="str">
        <f>""</f>
        <v/>
      </c>
      <c r="K318" t="str">
        <f t="shared" si="75"/>
        <v>J089</v>
      </c>
      <c r="L318" t="s">
        <v>555</v>
      </c>
      <c r="M318">
        <v>572.61</v>
      </c>
    </row>
    <row r="319" spans="1:13" x14ac:dyDescent="0.25">
      <c r="A319" t="str">
        <f t="shared" si="73"/>
        <v>E217</v>
      </c>
      <c r="B319">
        <v>1</v>
      </c>
      <c r="C319" t="str">
        <f t="shared" si="76"/>
        <v>43003</v>
      </c>
      <c r="D319" t="str">
        <f t="shared" si="71"/>
        <v>5740</v>
      </c>
      <c r="E319" t="str">
        <f t="shared" si="72"/>
        <v>850LOS</v>
      </c>
      <c r="F319" t="str">
        <f t="shared" si="77"/>
        <v>PKGPAY</v>
      </c>
      <c r="G319" t="str">
        <f>""</f>
        <v/>
      </c>
      <c r="H319" s="1">
        <v>39251</v>
      </c>
      <c r="I319" t="str">
        <f>"CMG00542"</f>
        <v>CMG00542</v>
      </c>
      <c r="J319" t="str">
        <f>""</f>
        <v/>
      </c>
      <c r="K319" t="str">
        <f t="shared" si="75"/>
        <v>J089</v>
      </c>
      <c r="L319" t="s">
        <v>554</v>
      </c>
      <c r="M319">
        <v>625.65</v>
      </c>
    </row>
    <row r="320" spans="1:13" x14ac:dyDescent="0.25">
      <c r="A320" t="str">
        <f t="shared" si="73"/>
        <v>E217</v>
      </c>
      <c r="B320">
        <v>1</v>
      </c>
      <c r="C320" t="str">
        <f t="shared" si="76"/>
        <v>43003</v>
      </c>
      <c r="D320" t="str">
        <f t="shared" si="71"/>
        <v>5740</v>
      </c>
      <c r="E320" t="str">
        <f t="shared" si="72"/>
        <v>850LOS</v>
      </c>
      <c r="F320" t="str">
        <f t="shared" si="77"/>
        <v>PKGPAY</v>
      </c>
      <c r="G320" t="str">
        <f>""</f>
        <v/>
      </c>
      <c r="H320" s="1">
        <v>39263</v>
      </c>
      <c r="I320" t="str">
        <f>"CMG00545"</f>
        <v>CMG00545</v>
      </c>
      <c r="J320" t="str">
        <f>""</f>
        <v/>
      </c>
      <c r="K320" t="str">
        <f t="shared" si="75"/>
        <v>J089</v>
      </c>
      <c r="L320" t="s">
        <v>553</v>
      </c>
      <c r="M320">
        <v>549.05999999999995</v>
      </c>
    </row>
    <row r="321" spans="1:13" x14ac:dyDescent="0.25">
      <c r="A321" t="str">
        <f>"E233"</f>
        <v>E233</v>
      </c>
      <c r="B321">
        <v>1</v>
      </c>
      <c r="C321" t="str">
        <f>"14185"</f>
        <v>14185</v>
      </c>
      <c r="D321" t="str">
        <f>"5620"</f>
        <v>5620</v>
      </c>
      <c r="E321" t="str">
        <f>"094OMS"</f>
        <v>094OMS</v>
      </c>
      <c r="F321" t="str">
        <f>""</f>
        <v/>
      </c>
      <c r="G321" t="str">
        <f>""</f>
        <v/>
      </c>
      <c r="H321" s="1">
        <v>39093</v>
      </c>
      <c r="I321" t="str">
        <f>"110050"</f>
        <v>110050</v>
      </c>
      <c r="J321" t="str">
        <f>""</f>
        <v/>
      </c>
      <c r="K321" t="str">
        <f>"INNI"</f>
        <v>INNI</v>
      </c>
      <c r="L321" t="s">
        <v>552</v>
      </c>
      <c r="M321">
        <v>135.5</v>
      </c>
    </row>
    <row r="322" spans="1:13" x14ac:dyDescent="0.25">
      <c r="A322" t="str">
        <f>"E240"</f>
        <v>E240</v>
      </c>
      <c r="B322">
        <v>1</v>
      </c>
      <c r="C322" t="str">
        <f>"14185"</f>
        <v>14185</v>
      </c>
      <c r="D322" t="str">
        <f>"5620"</f>
        <v>5620</v>
      </c>
      <c r="E322" t="str">
        <f>"094OMS"</f>
        <v>094OMS</v>
      </c>
      <c r="F322" t="str">
        <f>""</f>
        <v/>
      </c>
      <c r="G322" t="str">
        <f>""</f>
        <v/>
      </c>
      <c r="H322" s="1">
        <v>38940</v>
      </c>
      <c r="I322" t="str">
        <f>"PCD00239"</f>
        <v>PCD00239</v>
      </c>
      <c r="J322" t="str">
        <f>"43916"</f>
        <v>43916</v>
      </c>
      <c r="K322" t="str">
        <f t="shared" ref="K322:K331" si="78">"AS89"</f>
        <v>AS89</v>
      </c>
      <c r="L322" t="s">
        <v>551</v>
      </c>
      <c r="M322">
        <v>179.82</v>
      </c>
    </row>
    <row r="323" spans="1:13" x14ac:dyDescent="0.25">
      <c r="A323" t="str">
        <f>"E240"</f>
        <v>E240</v>
      </c>
      <c r="B323">
        <v>1</v>
      </c>
      <c r="C323" t="str">
        <f>"14185"</f>
        <v>14185</v>
      </c>
      <c r="D323" t="str">
        <f>"5620"</f>
        <v>5620</v>
      </c>
      <c r="E323" t="str">
        <f>"094OMS"</f>
        <v>094OMS</v>
      </c>
      <c r="F323" t="str">
        <f>""</f>
        <v/>
      </c>
      <c r="G323" t="str">
        <f>""</f>
        <v/>
      </c>
      <c r="H323" s="1">
        <v>38970</v>
      </c>
      <c r="I323" t="str">
        <f>"PCD00243"</f>
        <v>PCD00243</v>
      </c>
      <c r="J323" t="str">
        <f>"44806"</f>
        <v>44806</v>
      </c>
      <c r="K323" t="str">
        <f t="shared" si="78"/>
        <v>AS89</v>
      </c>
      <c r="L323" t="s">
        <v>550</v>
      </c>
      <c r="M323">
        <v>227.64</v>
      </c>
    </row>
    <row r="324" spans="1:13" x14ac:dyDescent="0.25">
      <c r="A324" t="str">
        <f>"E240"</f>
        <v>E240</v>
      </c>
      <c r="B324">
        <v>1</v>
      </c>
      <c r="C324" t="str">
        <f>"14185"</f>
        <v>14185</v>
      </c>
      <c r="D324" t="str">
        <f>"5620"</f>
        <v>5620</v>
      </c>
      <c r="E324" t="str">
        <f>"094OMS"</f>
        <v>094OMS</v>
      </c>
      <c r="F324" t="str">
        <f>""</f>
        <v/>
      </c>
      <c r="G324" t="str">
        <f>""</f>
        <v/>
      </c>
      <c r="H324" s="1">
        <v>39100</v>
      </c>
      <c r="I324" t="str">
        <f>"PCD00254"</f>
        <v>PCD00254</v>
      </c>
      <c r="J324" t="str">
        <f>"50730"</f>
        <v>50730</v>
      </c>
      <c r="K324" t="str">
        <f t="shared" si="78"/>
        <v>AS89</v>
      </c>
      <c r="L324" t="s">
        <v>549</v>
      </c>
      <c r="M324">
        <v>409.9</v>
      </c>
    </row>
    <row r="325" spans="1:13" x14ac:dyDescent="0.25">
      <c r="A325" t="str">
        <f>"E240"</f>
        <v>E240</v>
      </c>
      <c r="B325">
        <v>1</v>
      </c>
      <c r="C325" t="str">
        <f>"43001"</f>
        <v>43001</v>
      </c>
      <c r="D325" t="str">
        <f>"5740"</f>
        <v>5740</v>
      </c>
      <c r="E325" t="str">
        <f>"850LOS"</f>
        <v>850LOS</v>
      </c>
      <c r="F325" t="str">
        <f>""</f>
        <v/>
      </c>
      <c r="G325" t="str">
        <f>""</f>
        <v/>
      </c>
      <c r="H325" s="1">
        <v>39066</v>
      </c>
      <c r="I325" t="str">
        <f>"PCD00251"</f>
        <v>PCD00251</v>
      </c>
      <c r="J325" t="str">
        <f>"49582"</f>
        <v>49582</v>
      </c>
      <c r="K325" t="str">
        <f t="shared" si="78"/>
        <v>AS89</v>
      </c>
      <c r="L325" t="s">
        <v>522</v>
      </c>
      <c r="M325">
        <v>772.65</v>
      </c>
    </row>
    <row r="326" spans="1:13" x14ac:dyDescent="0.25">
      <c r="A326" t="str">
        <f>"E240"</f>
        <v>E240</v>
      </c>
      <c r="B326">
        <v>1</v>
      </c>
      <c r="C326" t="str">
        <f>"43001"</f>
        <v>43001</v>
      </c>
      <c r="D326" t="str">
        <f>"5740"</f>
        <v>5740</v>
      </c>
      <c r="E326" t="str">
        <f>"850LOS"</f>
        <v>850LOS</v>
      </c>
      <c r="F326" t="str">
        <f>""</f>
        <v/>
      </c>
      <c r="G326" t="str">
        <f>""</f>
        <v/>
      </c>
      <c r="H326" s="1">
        <v>39142</v>
      </c>
      <c r="I326" t="str">
        <f>"PCD00261"</f>
        <v>PCD00261</v>
      </c>
      <c r="J326" t="str">
        <f>"53823"</f>
        <v>53823</v>
      </c>
      <c r="K326" t="str">
        <f t="shared" si="78"/>
        <v>AS89</v>
      </c>
      <c r="L326" t="s">
        <v>548</v>
      </c>
      <c r="M326">
        <v>342.67</v>
      </c>
    </row>
    <row r="327" spans="1:13" x14ac:dyDescent="0.25">
      <c r="A327" t="str">
        <f>"E241"</f>
        <v>E241</v>
      </c>
      <c r="B327">
        <v>1</v>
      </c>
      <c r="C327" t="str">
        <f>"14185"</f>
        <v>14185</v>
      </c>
      <c r="D327" t="str">
        <f>"5620"</f>
        <v>5620</v>
      </c>
      <c r="E327" t="str">
        <f>"094OMS"</f>
        <v>094OMS</v>
      </c>
      <c r="F327" t="str">
        <f>""</f>
        <v/>
      </c>
      <c r="G327" t="str">
        <f>""</f>
        <v/>
      </c>
      <c r="H327" s="1">
        <v>39234</v>
      </c>
      <c r="I327" t="str">
        <f>"PCD00272"</f>
        <v>PCD00272</v>
      </c>
      <c r="J327" t="str">
        <f>"59512"</f>
        <v>59512</v>
      </c>
      <c r="K327" t="str">
        <f t="shared" si="78"/>
        <v>AS89</v>
      </c>
      <c r="L327" t="s">
        <v>547</v>
      </c>
      <c r="M327">
        <v>240.72</v>
      </c>
    </row>
    <row r="328" spans="1:13" x14ac:dyDescent="0.25">
      <c r="A328" t="str">
        <f>"E241"</f>
        <v>E241</v>
      </c>
      <c r="B328">
        <v>1</v>
      </c>
      <c r="C328" t="str">
        <f>"14185"</f>
        <v>14185</v>
      </c>
      <c r="D328" t="str">
        <f>"5620"</f>
        <v>5620</v>
      </c>
      <c r="E328" t="str">
        <f>"094OMS"</f>
        <v>094OMS</v>
      </c>
      <c r="F328" t="str">
        <f>""</f>
        <v/>
      </c>
      <c r="G328" t="str">
        <f>""</f>
        <v/>
      </c>
      <c r="H328" s="1">
        <v>39234</v>
      </c>
      <c r="I328" t="str">
        <f>"PCD00272"</f>
        <v>PCD00272</v>
      </c>
      <c r="J328" t="str">
        <f>"59519"</f>
        <v>59519</v>
      </c>
      <c r="K328" t="str">
        <f t="shared" si="78"/>
        <v>AS89</v>
      </c>
      <c r="L328" t="s">
        <v>546</v>
      </c>
      <c r="M328">
        <v>165.24</v>
      </c>
    </row>
    <row r="329" spans="1:13" x14ac:dyDescent="0.25">
      <c r="A329" t="str">
        <f>"E241"</f>
        <v>E241</v>
      </c>
      <c r="B329">
        <v>1</v>
      </c>
      <c r="C329" t="str">
        <f>"43001"</f>
        <v>43001</v>
      </c>
      <c r="D329" t="str">
        <f>"5740"</f>
        <v>5740</v>
      </c>
      <c r="E329" t="str">
        <f>"850LOS"</f>
        <v>850LOS</v>
      </c>
      <c r="F329" t="str">
        <f>""</f>
        <v/>
      </c>
      <c r="G329" t="str">
        <f>""</f>
        <v/>
      </c>
      <c r="H329" s="1">
        <v>39234</v>
      </c>
      <c r="I329" t="str">
        <f>"PCD00272"</f>
        <v>PCD00272</v>
      </c>
      <c r="J329" t="str">
        <f>"58978"</f>
        <v>58978</v>
      </c>
      <c r="K329" t="str">
        <f t="shared" si="78"/>
        <v>AS89</v>
      </c>
      <c r="L329" t="s">
        <v>545</v>
      </c>
      <c r="M329">
        <v>286.18</v>
      </c>
    </row>
    <row r="330" spans="1:13" x14ac:dyDescent="0.25">
      <c r="A330" t="str">
        <f>"E243"</f>
        <v>E243</v>
      </c>
      <c r="B330">
        <v>1</v>
      </c>
      <c r="C330" t="str">
        <f>"54551"</f>
        <v>54551</v>
      </c>
      <c r="D330" t="str">
        <f>"5740"</f>
        <v>5740</v>
      </c>
      <c r="E330" t="str">
        <f>"111ZAA"</f>
        <v>111ZAA</v>
      </c>
      <c r="F330" t="str">
        <f>""</f>
        <v/>
      </c>
      <c r="G330" t="str">
        <f>""</f>
        <v/>
      </c>
      <c r="H330" s="1">
        <v>39263</v>
      </c>
      <c r="I330" t="str">
        <f>"PCD00275"</f>
        <v>PCD00275</v>
      </c>
      <c r="J330" t="str">
        <f>"61191"</f>
        <v>61191</v>
      </c>
      <c r="K330" t="str">
        <f t="shared" si="78"/>
        <v>AS89</v>
      </c>
      <c r="L330" t="s">
        <v>544</v>
      </c>
      <c r="M330">
        <v>144</v>
      </c>
    </row>
    <row r="331" spans="1:13" x14ac:dyDescent="0.25">
      <c r="A331" t="str">
        <f>"E243"</f>
        <v>E243</v>
      </c>
      <c r="B331">
        <v>1</v>
      </c>
      <c r="C331" t="str">
        <f>"54551"</f>
        <v>54551</v>
      </c>
      <c r="D331" t="str">
        <f>"5740"</f>
        <v>5740</v>
      </c>
      <c r="E331" t="str">
        <f>"111ZAA"</f>
        <v>111ZAA</v>
      </c>
      <c r="F331" t="str">
        <f>""</f>
        <v/>
      </c>
      <c r="G331" t="str">
        <f>""</f>
        <v/>
      </c>
      <c r="H331" s="1">
        <v>39263</v>
      </c>
      <c r="I331" t="str">
        <f>"PCD00275"</f>
        <v>PCD00275</v>
      </c>
      <c r="J331" t="str">
        <f>"61343"</f>
        <v>61343</v>
      </c>
      <c r="K331" t="str">
        <f t="shared" si="78"/>
        <v>AS89</v>
      </c>
      <c r="L331" t="s">
        <v>543</v>
      </c>
      <c r="M331">
        <v>144.4</v>
      </c>
    </row>
    <row r="332" spans="1:13" x14ac:dyDescent="0.25">
      <c r="A332" t="str">
        <f t="shared" ref="A332:A338" si="79">"E247"</f>
        <v>E247</v>
      </c>
      <c r="B332">
        <v>1</v>
      </c>
      <c r="C332" t="str">
        <f t="shared" ref="C332:C338" si="80">"14185"</f>
        <v>14185</v>
      </c>
      <c r="D332" t="str">
        <f t="shared" ref="D332:D338" si="81">"5620"</f>
        <v>5620</v>
      </c>
      <c r="E332" t="str">
        <f t="shared" ref="E332:E338" si="82">"094OMS"</f>
        <v>094OMS</v>
      </c>
      <c r="F332" t="str">
        <f>""</f>
        <v/>
      </c>
      <c r="G332" t="str">
        <f>""</f>
        <v/>
      </c>
      <c r="H332" s="1">
        <v>38947</v>
      </c>
      <c r="I332" t="str">
        <f>"430B"</f>
        <v>430B</v>
      </c>
      <c r="J332" t="str">
        <f t="shared" ref="J332:J337" si="83">"B068486B"</f>
        <v>B068486B</v>
      </c>
      <c r="K332" t="str">
        <f t="shared" ref="K332:K339" si="84">"INNI"</f>
        <v>INNI</v>
      </c>
      <c r="L332" t="s">
        <v>283</v>
      </c>
      <c r="M332">
        <v>857.56</v>
      </c>
    </row>
    <row r="333" spans="1:13" x14ac:dyDescent="0.25">
      <c r="A333" t="str">
        <f t="shared" si="79"/>
        <v>E247</v>
      </c>
      <c r="B333">
        <v>1</v>
      </c>
      <c r="C333" t="str">
        <f t="shared" si="80"/>
        <v>14185</v>
      </c>
      <c r="D333" t="str">
        <f t="shared" si="81"/>
        <v>5620</v>
      </c>
      <c r="E333" t="str">
        <f t="shared" si="82"/>
        <v>094OMS</v>
      </c>
      <c r="F333" t="str">
        <f>""</f>
        <v/>
      </c>
      <c r="G333" t="str">
        <f>""</f>
        <v/>
      </c>
      <c r="H333" s="1">
        <v>38980</v>
      </c>
      <c r="I333" t="str">
        <f>"505B"</f>
        <v>505B</v>
      </c>
      <c r="J333" t="str">
        <f t="shared" si="83"/>
        <v>B068486B</v>
      </c>
      <c r="K333" t="str">
        <f t="shared" si="84"/>
        <v>INNI</v>
      </c>
      <c r="L333" t="s">
        <v>283</v>
      </c>
      <c r="M333">
        <v>345.33</v>
      </c>
    </row>
    <row r="334" spans="1:13" x14ac:dyDescent="0.25">
      <c r="A334" t="str">
        <f t="shared" si="79"/>
        <v>E247</v>
      </c>
      <c r="B334">
        <v>1</v>
      </c>
      <c r="C334" t="str">
        <f t="shared" si="80"/>
        <v>14185</v>
      </c>
      <c r="D334" t="str">
        <f t="shared" si="81"/>
        <v>5620</v>
      </c>
      <c r="E334" t="str">
        <f t="shared" si="82"/>
        <v>094OMS</v>
      </c>
      <c r="F334" t="str">
        <f>""</f>
        <v/>
      </c>
      <c r="G334" t="str">
        <f>""</f>
        <v/>
      </c>
      <c r="H334" s="1">
        <v>39006</v>
      </c>
      <c r="I334" t="str">
        <f>"517A"</f>
        <v>517A</v>
      </c>
      <c r="J334" t="str">
        <f t="shared" si="83"/>
        <v>B068486B</v>
      </c>
      <c r="K334" t="str">
        <f t="shared" si="84"/>
        <v>INNI</v>
      </c>
      <c r="L334" t="s">
        <v>283</v>
      </c>
      <c r="M334">
        <v>241.82</v>
      </c>
    </row>
    <row r="335" spans="1:13" x14ac:dyDescent="0.25">
      <c r="A335" t="str">
        <f t="shared" si="79"/>
        <v>E247</v>
      </c>
      <c r="B335">
        <v>1</v>
      </c>
      <c r="C335" t="str">
        <f t="shared" si="80"/>
        <v>14185</v>
      </c>
      <c r="D335" t="str">
        <f t="shared" si="81"/>
        <v>5620</v>
      </c>
      <c r="E335" t="str">
        <f t="shared" si="82"/>
        <v>094OMS</v>
      </c>
      <c r="F335" t="str">
        <f>""</f>
        <v/>
      </c>
      <c r="G335" t="str">
        <f>""</f>
        <v/>
      </c>
      <c r="H335" s="1">
        <v>39030</v>
      </c>
      <c r="I335" t="str">
        <f>"532C"</f>
        <v>532C</v>
      </c>
      <c r="J335" t="str">
        <f t="shared" si="83"/>
        <v>B068486B</v>
      </c>
      <c r="K335" t="str">
        <f t="shared" si="84"/>
        <v>INNI</v>
      </c>
      <c r="L335" t="s">
        <v>283</v>
      </c>
      <c r="M335">
        <v>385.37</v>
      </c>
    </row>
    <row r="336" spans="1:13" x14ac:dyDescent="0.25">
      <c r="A336" t="str">
        <f t="shared" si="79"/>
        <v>E247</v>
      </c>
      <c r="B336">
        <v>1</v>
      </c>
      <c r="C336" t="str">
        <f t="shared" si="80"/>
        <v>14185</v>
      </c>
      <c r="D336" t="str">
        <f t="shared" si="81"/>
        <v>5620</v>
      </c>
      <c r="E336" t="str">
        <f t="shared" si="82"/>
        <v>094OMS</v>
      </c>
      <c r="F336" t="str">
        <f>""</f>
        <v/>
      </c>
      <c r="G336" t="str">
        <f>""</f>
        <v/>
      </c>
      <c r="H336" s="1">
        <v>39072</v>
      </c>
      <c r="I336" t="str">
        <f>"552B"</f>
        <v>552B</v>
      </c>
      <c r="J336" t="str">
        <f t="shared" si="83"/>
        <v>B068486B</v>
      </c>
      <c r="K336" t="str">
        <f t="shared" si="84"/>
        <v>INNI</v>
      </c>
      <c r="L336" t="s">
        <v>283</v>
      </c>
      <c r="M336">
        <v>217.31</v>
      </c>
    </row>
    <row r="337" spans="1:13" x14ac:dyDescent="0.25">
      <c r="A337" t="str">
        <f t="shared" si="79"/>
        <v>E247</v>
      </c>
      <c r="B337">
        <v>1</v>
      </c>
      <c r="C337" t="str">
        <f t="shared" si="80"/>
        <v>14185</v>
      </c>
      <c r="D337" t="str">
        <f t="shared" si="81"/>
        <v>5620</v>
      </c>
      <c r="E337" t="str">
        <f t="shared" si="82"/>
        <v>094OMS</v>
      </c>
      <c r="F337" t="str">
        <f>""</f>
        <v/>
      </c>
      <c r="G337" t="str">
        <f>""</f>
        <v/>
      </c>
      <c r="H337" s="1">
        <v>39099</v>
      </c>
      <c r="I337" t="str">
        <f>"557E"</f>
        <v>557E</v>
      </c>
      <c r="J337" t="str">
        <f t="shared" si="83"/>
        <v>B068486B</v>
      </c>
      <c r="K337" t="str">
        <f t="shared" si="84"/>
        <v>INNI</v>
      </c>
      <c r="L337" t="s">
        <v>283</v>
      </c>
      <c r="M337">
        <v>273.12</v>
      </c>
    </row>
    <row r="338" spans="1:13" x14ac:dyDescent="0.25">
      <c r="A338" t="str">
        <f t="shared" si="79"/>
        <v>E247</v>
      </c>
      <c r="B338">
        <v>1</v>
      </c>
      <c r="C338" t="str">
        <f t="shared" si="80"/>
        <v>14185</v>
      </c>
      <c r="D338" t="str">
        <f t="shared" si="81"/>
        <v>5620</v>
      </c>
      <c r="E338" t="str">
        <f t="shared" si="82"/>
        <v>094OMS</v>
      </c>
      <c r="F338" t="str">
        <f>""</f>
        <v/>
      </c>
      <c r="G338" t="str">
        <f>""</f>
        <v/>
      </c>
      <c r="H338" s="1">
        <v>39246</v>
      </c>
      <c r="I338" t="str">
        <f>"113826"</f>
        <v>113826</v>
      </c>
      <c r="J338" t="str">
        <f>""</f>
        <v/>
      </c>
      <c r="K338" t="str">
        <f t="shared" si="84"/>
        <v>INNI</v>
      </c>
      <c r="L338" t="s">
        <v>542</v>
      </c>
      <c r="M338">
        <v>120.32</v>
      </c>
    </row>
    <row r="339" spans="1:13" x14ac:dyDescent="0.25">
      <c r="A339" t="str">
        <f>"E249"</f>
        <v>E249</v>
      </c>
      <c r="B339">
        <v>1</v>
      </c>
      <c r="C339" t="str">
        <f>"43004"</f>
        <v>43004</v>
      </c>
      <c r="D339" t="str">
        <f>"5740"</f>
        <v>5740</v>
      </c>
      <c r="E339" t="str">
        <f>"850LOS"</f>
        <v>850LOS</v>
      </c>
      <c r="F339" t="str">
        <f>""</f>
        <v/>
      </c>
      <c r="G339" t="str">
        <f>""</f>
        <v/>
      </c>
      <c r="H339" s="1">
        <v>39189</v>
      </c>
      <c r="I339" t="str">
        <f>"2750182"</f>
        <v>2750182</v>
      </c>
      <c r="J339" t="str">
        <f>"B113803"</f>
        <v>B113803</v>
      </c>
      <c r="K339" t="str">
        <f t="shared" si="84"/>
        <v>INNI</v>
      </c>
      <c r="L339" t="s">
        <v>330</v>
      </c>
      <c r="M339" s="2">
        <v>84660</v>
      </c>
    </row>
    <row r="340" spans="1:13" x14ac:dyDescent="0.25">
      <c r="A340" t="str">
        <f>"E255"</f>
        <v>E255</v>
      </c>
      <c r="B340">
        <v>1</v>
      </c>
      <c r="C340" t="str">
        <f>"43000"</f>
        <v>43000</v>
      </c>
      <c r="D340" t="str">
        <f>"5740"</f>
        <v>5740</v>
      </c>
      <c r="E340" t="str">
        <f>"850LOS"</f>
        <v>850LOS</v>
      </c>
      <c r="F340" t="str">
        <f>""</f>
        <v/>
      </c>
      <c r="G340" t="str">
        <f>""</f>
        <v/>
      </c>
      <c r="H340" s="1">
        <v>38940</v>
      </c>
      <c r="I340" t="str">
        <f>"PCD00239"</f>
        <v>PCD00239</v>
      </c>
      <c r="J340" t="str">
        <f>"43693"</f>
        <v>43693</v>
      </c>
      <c r="K340" t="str">
        <f t="shared" ref="K340:K371" si="85">"AS89"</f>
        <v>AS89</v>
      </c>
      <c r="L340" t="s">
        <v>541</v>
      </c>
      <c r="M340">
        <v>108.5</v>
      </c>
    </row>
    <row r="341" spans="1:13" x14ac:dyDescent="0.25">
      <c r="A341" t="str">
        <f t="shared" ref="A341:A372" si="86">"E257"</f>
        <v>E257</v>
      </c>
      <c r="B341">
        <v>1</v>
      </c>
      <c r="C341" t="str">
        <f t="shared" ref="C341:C376" si="87">"14185"</f>
        <v>14185</v>
      </c>
      <c r="D341" t="str">
        <f t="shared" ref="D341:D376" si="88">"5620"</f>
        <v>5620</v>
      </c>
      <c r="E341" t="str">
        <f t="shared" ref="E341:E376" si="89">"094OMS"</f>
        <v>094OMS</v>
      </c>
      <c r="F341" t="str">
        <f>""</f>
        <v/>
      </c>
      <c r="G341" t="str">
        <f>""</f>
        <v/>
      </c>
      <c r="H341" s="1">
        <v>38940</v>
      </c>
      <c r="I341" t="str">
        <f>"PCD00239"</f>
        <v>PCD00239</v>
      </c>
      <c r="J341" t="str">
        <f>"44259"</f>
        <v>44259</v>
      </c>
      <c r="K341" t="str">
        <f t="shared" si="85"/>
        <v>AS89</v>
      </c>
      <c r="L341" t="s">
        <v>540</v>
      </c>
      <c r="M341">
        <v>326.87</v>
      </c>
    </row>
    <row r="342" spans="1:13" x14ac:dyDescent="0.25">
      <c r="A342" t="str">
        <f t="shared" si="86"/>
        <v>E257</v>
      </c>
      <c r="B342">
        <v>1</v>
      </c>
      <c r="C342" t="str">
        <f t="shared" si="87"/>
        <v>14185</v>
      </c>
      <c r="D342" t="str">
        <f t="shared" si="88"/>
        <v>5620</v>
      </c>
      <c r="E342" t="str">
        <f t="shared" si="89"/>
        <v>094OMS</v>
      </c>
      <c r="F342" t="str">
        <f>""</f>
        <v/>
      </c>
      <c r="G342" t="str">
        <f>""</f>
        <v/>
      </c>
      <c r="H342" s="1">
        <v>38970</v>
      </c>
      <c r="I342" t="str">
        <f>"PCD00243"</f>
        <v>PCD00243</v>
      </c>
      <c r="J342" t="str">
        <f>"44634"</f>
        <v>44634</v>
      </c>
      <c r="K342" t="str">
        <f t="shared" si="85"/>
        <v>AS89</v>
      </c>
      <c r="L342" t="s">
        <v>539</v>
      </c>
      <c r="M342">
        <v>125.71</v>
      </c>
    </row>
    <row r="343" spans="1:13" x14ac:dyDescent="0.25">
      <c r="A343" t="str">
        <f t="shared" si="86"/>
        <v>E257</v>
      </c>
      <c r="B343">
        <v>1</v>
      </c>
      <c r="C343" t="str">
        <f t="shared" si="87"/>
        <v>14185</v>
      </c>
      <c r="D343" t="str">
        <f t="shared" si="88"/>
        <v>5620</v>
      </c>
      <c r="E343" t="str">
        <f t="shared" si="89"/>
        <v>094OMS</v>
      </c>
      <c r="F343" t="str">
        <f>""</f>
        <v/>
      </c>
      <c r="G343" t="str">
        <f>""</f>
        <v/>
      </c>
      <c r="H343" s="1">
        <v>38970</v>
      </c>
      <c r="I343" t="str">
        <f>"PCD00243"</f>
        <v>PCD00243</v>
      </c>
      <c r="J343" t="str">
        <f>"44635"</f>
        <v>44635</v>
      </c>
      <c r="K343" t="str">
        <f t="shared" si="85"/>
        <v>AS89</v>
      </c>
      <c r="L343" t="s">
        <v>539</v>
      </c>
      <c r="M343">
        <v>258.89</v>
      </c>
    </row>
    <row r="344" spans="1:13" x14ac:dyDescent="0.25">
      <c r="A344" t="str">
        <f t="shared" si="86"/>
        <v>E257</v>
      </c>
      <c r="B344">
        <v>1</v>
      </c>
      <c r="C344" t="str">
        <f t="shared" si="87"/>
        <v>14185</v>
      </c>
      <c r="D344" t="str">
        <f t="shared" si="88"/>
        <v>5620</v>
      </c>
      <c r="E344" t="str">
        <f t="shared" si="89"/>
        <v>094OMS</v>
      </c>
      <c r="F344" t="str">
        <f>""</f>
        <v/>
      </c>
      <c r="G344" t="str">
        <f>""</f>
        <v/>
      </c>
      <c r="H344" s="1">
        <v>38970</v>
      </c>
      <c r="I344" t="str">
        <f>"PCD00243"</f>
        <v>PCD00243</v>
      </c>
      <c r="J344" t="str">
        <f>"44636"</f>
        <v>44636</v>
      </c>
      <c r="K344" t="str">
        <f t="shared" si="85"/>
        <v>AS89</v>
      </c>
      <c r="L344" t="s">
        <v>539</v>
      </c>
      <c r="M344">
        <v>210.96</v>
      </c>
    </row>
    <row r="345" spans="1:13" x14ac:dyDescent="0.25">
      <c r="A345" t="str">
        <f t="shared" si="86"/>
        <v>E257</v>
      </c>
      <c r="B345">
        <v>1</v>
      </c>
      <c r="C345" t="str">
        <f t="shared" si="87"/>
        <v>14185</v>
      </c>
      <c r="D345" t="str">
        <f t="shared" si="88"/>
        <v>5620</v>
      </c>
      <c r="E345" t="str">
        <f t="shared" si="89"/>
        <v>094OMS</v>
      </c>
      <c r="F345" t="str">
        <f>""</f>
        <v/>
      </c>
      <c r="G345" t="str">
        <f>""</f>
        <v/>
      </c>
      <c r="H345" s="1">
        <v>38970</v>
      </c>
      <c r="I345" t="str">
        <f>"PCD00243"</f>
        <v>PCD00243</v>
      </c>
      <c r="J345" t="str">
        <f>"45424"</f>
        <v>45424</v>
      </c>
      <c r="K345" t="str">
        <f t="shared" si="85"/>
        <v>AS89</v>
      </c>
      <c r="L345" t="s">
        <v>538</v>
      </c>
      <c r="M345">
        <v>277.04000000000002</v>
      </c>
    </row>
    <row r="346" spans="1:13" x14ac:dyDescent="0.25">
      <c r="A346" t="str">
        <f t="shared" si="86"/>
        <v>E257</v>
      </c>
      <c r="B346">
        <v>1</v>
      </c>
      <c r="C346" t="str">
        <f t="shared" si="87"/>
        <v>14185</v>
      </c>
      <c r="D346" t="str">
        <f t="shared" si="88"/>
        <v>5620</v>
      </c>
      <c r="E346" t="str">
        <f t="shared" si="89"/>
        <v>094OMS</v>
      </c>
      <c r="F346" t="str">
        <f>""</f>
        <v/>
      </c>
      <c r="G346" t="str">
        <f>""</f>
        <v/>
      </c>
      <c r="H346" s="1">
        <v>39003</v>
      </c>
      <c r="I346" t="str">
        <f>"PCD00246"</f>
        <v>PCD00246</v>
      </c>
      <c r="J346" t="str">
        <f>"46573"</f>
        <v>46573</v>
      </c>
      <c r="K346" t="str">
        <f t="shared" si="85"/>
        <v>AS89</v>
      </c>
      <c r="L346" t="s">
        <v>537</v>
      </c>
      <c r="M346">
        <v>238.11</v>
      </c>
    </row>
    <row r="347" spans="1:13" x14ac:dyDescent="0.25">
      <c r="A347" t="str">
        <f t="shared" si="86"/>
        <v>E257</v>
      </c>
      <c r="B347">
        <v>1</v>
      </c>
      <c r="C347" t="str">
        <f t="shared" si="87"/>
        <v>14185</v>
      </c>
      <c r="D347" t="str">
        <f t="shared" si="88"/>
        <v>5620</v>
      </c>
      <c r="E347" t="str">
        <f t="shared" si="89"/>
        <v>094OMS</v>
      </c>
      <c r="F347" t="str">
        <f>""</f>
        <v/>
      </c>
      <c r="G347" t="str">
        <f>""</f>
        <v/>
      </c>
      <c r="H347" s="1">
        <v>39003</v>
      </c>
      <c r="I347" t="str">
        <f>"PCD00246"</f>
        <v>PCD00246</v>
      </c>
      <c r="J347" t="str">
        <f>"46574"</f>
        <v>46574</v>
      </c>
      <c r="K347" t="str">
        <f t="shared" si="85"/>
        <v>AS89</v>
      </c>
      <c r="L347" t="s">
        <v>537</v>
      </c>
      <c r="M347">
        <v>462.67</v>
      </c>
    </row>
    <row r="348" spans="1:13" x14ac:dyDescent="0.25">
      <c r="A348" t="str">
        <f t="shared" si="86"/>
        <v>E257</v>
      </c>
      <c r="B348">
        <v>1</v>
      </c>
      <c r="C348" t="str">
        <f t="shared" si="87"/>
        <v>14185</v>
      </c>
      <c r="D348" t="str">
        <f t="shared" si="88"/>
        <v>5620</v>
      </c>
      <c r="E348" t="str">
        <f t="shared" si="89"/>
        <v>094OMS</v>
      </c>
      <c r="F348" t="str">
        <f>""</f>
        <v/>
      </c>
      <c r="G348" t="str">
        <f>""</f>
        <v/>
      </c>
      <c r="H348" s="1">
        <v>39003</v>
      </c>
      <c r="I348" t="str">
        <f>"PCD00246"</f>
        <v>PCD00246</v>
      </c>
      <c r="J348" t="str">
        <f>"46575"</f>
        <v>46575</v>
      </c>
      <c r="K348" t="str">
        <f t="shared" si="85"/>
        <v>AS89</v>
      </c>
      <c r="L348" t="s">
        <v>537</v>
      </c>
      <c r="M348">
        <v>203.35</v>
      </c>
    </row>
    <row r="349" spans="1:13" x14ac:dyDescent="0.25">
      <c r="A349" t="str">
        <f t="shared" si="86"/>
        <v>E257</v>
      </c>
      <c r="B349">
        <v>1</v>
      </c>
      <c r="C349" t="str">
        <f t="shared" si="87"/>
        <v>14185</v>
      </c>
      <c r="D349" t="str">
        <f t="shared" si="88"/>
        <v>5620</v>
      </c>
      <c r="E349" t="str">
        <f t="shared" si="89"/>
        <v>094OMS</v>
      </c>
      <c r="F349" t="str">
        <f>""</f>
        <v/>
      </c>
      <c r="G349" t="str">
        <f>""</f>
        <v/>
      </c>
      <c r="H349" s="1">
        <v>39038</v>
      </c>
      <c r="I349" t="str">
        <f>"PCD00249"</f>
        <v>PCD00249</v>
      </c>
      <c r="J349" t="str">
        <f>"48189"</f>
        <v>48189</v>
      </c>
      <c r="K349" t="str">
        <f t="shared" si="85"/>
        <v>AS89</v>
      </c>
      <c r="L349" t="s">
        <v>463</v>
      </c>
      <c r="M349">
        <v>269.82</v>
      </c>
    </row>
    <row r="350" spans="1:13" x14ac:dyDescent="0.25">
      <c r="A350" t="str">
        <f t="shared" si="86"/>
        <v>E257</v>
      </c>
      <c r="B350">
        <v>1</v>
      </c>
      <c r="C350" t="str">
        <f t="shared" si="87"/>
        <v>14185</v>
      </c>
      <c r="D350" t="str">
        <f t="shared" si="88"/>
        <v>5620</v>
      </c>
      <c r="E350" t="str">
        <f t="shared" si="89"/>
        <v>094OMS</v>
      </c>
      <c r="F350" t="str">
        <f>""</f>
        <v/>
      </c>
      <c r="G350" t="str">
        <f>""</f>
        <v/>
      </c>
      <c r="H350" s="1">
        <v>39066</v>
      </c>
      <c r="I350" t="str">
        <f>"PCD00251"</f>
        <v>PCD00251</v>
      </c>
      <c r="J350" t="str">
        <f>"50092"</f>
        <v>50092</v>
      </c>
      <c r="K350" t="str">
        <f t="shared" si="85"/>
        <v>AS89</v>
      </c>
      <c r="L350" t="s">
        <v>536</v>
      </c>
      <c r="M350">
        <v>181.48</v>
      </c>
    </row>
    <row r="351" spans="1:13" x14ac:dyDescent="0.25">
      <c r="A351" t="str">
        <f t="shared" si="86"/>
        <v>E257</v>
      </c>
      <c r="B351">
        <v>1</v>
      </c>
      <c r="C351" t="str">
        <f t="shared" si="87"/>
        <v>14185</v>
      </c>
      <c r="D351" t="str">
        <f t="shared" si="88"/>
        <v>5620</v>
      </c>
      <c r="E351" t="str">
        <f t="shared" si="89"/>
        <v>094OMS</v>
      </c>
      <c r="F351" t="str">
        <f>""</f>
        <v/>
      </c>
      <c r="G351" t="str">
        <f>""</f>
        <v/>
      </c>
      <c r="H351" s="1">
        <v>39100</v>
      </c>
      <c r="I351" t="str">
        <f>"PCD00254"</f>
        <v>PCD00254</v>
      </c>
      <c r="J351" t="str">
        <f>"50518"</f>
        <v>50518</v>
      </c>
      <c r="K351" t="str">
        <f t="shared" si="85"/>
        <v>AS89</v>
      </c>
      <c r="L351" t="s">
        <v>535</v>
      </c>
      <c r="M351">
        <v>122.5</v>
      </c>
    </row>
    <row r="352" spans="1:13" x14ac:dyDescent="0.25">
      <c r="A352" t="str">
        <f t="shared" si="86"/>
        <v>E257</v>
      </c>
      <c r="B352">
        <v>1</v>
      </c>
      <c r="C352" t="str">
        <f t="shared" si="87"/>
        <v>14185</v>
      </c>
      <c r="D352" t="str">
        <f t="shared" si="88"/>
        <v>5620</v>
      </c>
      <c r="E352" t="str">
        <f t="shared" si="89"/>
        <v>094OMS</v>
      </c>
      <c r="F352" t="str">
        <f>""</f>
        <v/>
      </c>
      <c r="G352" t="str">
        <f>""</f>
        <v/>
      </c>
      <c r="H352" s="1">
        <v>39100</v>
      </c>
      <c r="I352" t="str">
        <f>"PCD00254"</f>
        <v>PCD00254</v>
      </c>
      <c r="J352" t="str">
        <f>"51256"</f>
        <v>51256</v>
      </c>
      <c r="K352" t="str">
        <f t="shared" si="85"/>
        <v>AS89</v>
      </c>
      <c r="L352" t="s">
        <v>534</v>
      </c>
      <c r="M352">
        <v>269</v>
      </c>
    </row>
    <row r="353" spans="1:13" x14ac:dyDescent="0.25">
      <c r="A353" t="str">
        <f t="shared" si="86"/>
        <v>E257</v>
      </c>
      <c r="B353">
        <v>1</v>
      </c>
      <c r="C353" t="str">
        <f t="shared" si="87"/>
        <v>14185</v>
      </c>
      <c r="D353" t="str">
        <f t="shared" si="88"/>
        <v>5620</v>
      </c>
      <c r="E353" t="str">
        <f t="shared" si="89"/>
        <v>094OMS</v>
      </c>
      <c r="F353" t="str">
        <f>""</f>
        <v/>
      </c>
      <c r="G353" t="str">
        <f>""</f>
        <v/>
      </c>
      <c r="H353" s="1">
        <v>39129</v>
      </c>
      <c r="I353" t="str">
        <f t="shared" ref="I353:I359" si="90">"PCD00257"</f>
        <v>PCD00257</v>
      </c>
      <c r="J353" t="str">
        <f>"51791"</f>
        <v>51791</v>
      </c>
      <c r="K353" t="str">
        <f t="shared" si="85"/>
        <v>AS89</v>
      </c>
      <c r="L353" t="s">
        <v>533</v>
      </c>
      <c r="M353">
        <v>137.07</v>
      </c>
    </row>
    <row r="354" spans="1:13" x14ac:dyDescent="0.25">
      <c r="A354" t="str">
        <f t="shared" si="86"/>
        <v>E257</v>
      </c>
      <c r="B354">
        <v>1</v>
      </c>
      <c r="C354" t="str">
        <f t="shared" si="87"/>
        <v>14185</v>
      </c>
      <c r="D354" t="str">
        <f t="shared" si="88"/>
        <v>5620</v>
      </c>
      <c r="E354" t="str">
        <f t="shared" si="89"/>
        <v>094OMS</v>
      </c>
      <c r="F354" t="str">
        <f>""</f>
        <v/>
      </c>
      <c r="G354" t="str">
        <f>""</f>
        <v/>
      </c>
      <c r="H354" s="1">
        <v>39129</v>
      </c>
      <c r="I354" t="str">
        <f t="shared" si="90"/>
        <v>PCD00257</v>
      </c>
      <c r="J354" t="str">
        <f>"51792"</f>
        <v>51792</v>
      </c>
      <c r="K354" t="str">
        <f t="shared" si="85"/>
        <v>AS89</v>
      </c>
      <c r="L354" t="s">
        <v>533</v>
      </c>
      <c r="M354">
        <v>142.51</v>
      </c>
    </row>
    <row r="355" spans="1:13" x14ac:dyDescent="0.25">
      <c r="A355" t="str">
        <f t="shared" si="86"/>
        <v>E257</v>
      </c>
      <c r="B355">
        <v>1</v>
      </c>
      <c r="C355" t="str">
        <f t="shared" si="87"/>
        <v>14185</v>
      </c>
      <c r="D355" t="str">
        <f t="shared" si="88"/>
        <v>5620</v>
      </c>
      <c r="E355" t="str">
        <f t="shared" si="89"/>
        <v>094OMS</v>
      </c>
      <c r="F355" t="str">
        <f>""</f>
        <v/>
      </c>
      <c r="G355" t="str">
        <f>""</f>
        <v/>
      </c>
      <c r="H355" s="1">
        <v>39129</v>
      </c>
      <c r="I355" t="str">
        <f t="shared" si="90"/>
        <v>PCD00257</v>
      </c>
      <c r="J355" t="str">
        <f>"51793"</f>
        <v>51793</v>
      </c>
      <c r="K355" t="str">
        <f t="shared" si="85"/>
        <v>AS89</v>
      </c>
      <c r="L355" t="s">
        <v>533</v>
      </c>
      <c r="M355">
        <v>107.66</v>
      </c>
    </row>
    <row r="356" spans="1:13" x14ac:dyDescent="0.25">
      <c r="A356" t="str">
        <f t="shared" si="86"/>
        <v>E257</v>
      </c>
      <c r="B356">
        <v>1</v>
      </c>
      <c r="C356" t="str">
        <f t="shared" si="87"/>
        <v>14185</v>
      </c>
      <c r="D356" t="str">
        <f t="shared" si="88"/>
        <v>5620</v>
      </c>
      <c r="E356" t="str">
        <f t="shared" si="89"/>
        <v>094OMS</v>
      </c>
      <c r="F356" t="str">
        <f>""</f>
        <v/>
      </c>
      <c r="G356" t="str">
        <f>""</f>
        <v/>
      </c>
      <c r="H356" s="1">
        <v>39129</v>
      </c>
      <c r="I356" t="str">
        <f t="shared" si="90"/>
        <v>PCD00257</v>
      </c>
      <c r="J356" t="str">
        <f>"51794"</f>
        <v>51794</v>
      </c>
      <c r="K356" t="str">
        <f t="shared" si="85"/>
        <v>AS89</v>
      </c>
      <c r="L356" t="s">
        <v>533</v>
      </c>
      <c r="M356">
        <v>139.79</v>
      </c>
    </row>
    <row r="357" spans="1:13" x14ac:dyDescent="0.25">
      <c r="A357" t="str">
        <f t="shared" si="86"/>
        <v>E257</v>
      </c>
      <c r="B357">
        <v>1</v>
      </c>
      <c r="C357" t="str">
        <f t="shared" si="87"/>
        <v>14185</v>
      </c>
      <c r="D357" t="str">
        <f t="shared" si="88"/>
        <v>5620</v>
      </c>
      <c r="E357" t="str">
        <f t="shared" si="89"/>
        <v>094OMS</v>
      </c>
      <c r="F357" t="str">
        <f>""</f>
        <v/>
      </c>
      <c r="G357" t="str">
        <f>""</f>
        <v/>
      </c>
      <c r="H357" s="1">
        <v>39129</v>
      </c>
      <c r="I357" t="str">
        <f t="shared" si="90"/>
        <v>PCD00257</v>
      </c>
      <c r="J357" t="str">
        <f>"51796"</f>
        <v>51796</v>
      </c>
      <c r="K357" t="str">
        <f t="shared" si="85"/>
        <v>AS89</v>
      </c>
      <c r="L357" t="s">
        <v>533</v>
      </c>
      <c r="M357">
        <v>640.07000000000005</v>
      </c>
    </row>
    <row r="358" spans="1:13" x14ac:dyDescent="0.25">
      <c r="A358" t="str">
        <f t="shared" si="86"/>
        <v>E257</v>
      </c>
      <c r="B358">
        <v>1</v>
      </c>
      <c r="C358" t="str">
        <f t="shared" si="87"/>
        <v>14185</v>
      </c>
      <c r="D358" t="str">
        <f t="shared" si="88"/>
        <v>5620</v>
      </c>
      <c r="E358" t="str">
        <f t="shared" si="89"/>
        <v>094OMS</v>
      </c>
      <c r="F358" t="str">
        <f>""</f>
        <v/>
      </c>
      <c r="G358" t="str">
        <f>""</f>
        <v/>
      </c>
      <c r="H358" s="1">
        <v>39129</v>
      </c>
      <c r="I358" t="str">
        <f t="shared" si="90"/>
        <v>PCD00257</v>
      </c>
      <c r="J358" t="str">
        <f>"52883"</f>
        <v>52883</v>
      </c>
      <c r="K358" t="str">
        <f t="shared" si="85"/>
        <v>AS89</v>
      </c>
      <c r="L358" t="s">
        <v>532</v>
      </c>
      <c r="M358">
        <v>462.04</v>
      </c>
    </row>
    <row r="359" spans="1:13" x14ac:dyDescent="0.25">
      <c r="A359" t="str">
        <f t="shared" si="86"/>
        <v>E257</v>
      </c>
      <c r="B359">
        <v>1</v>
      </c>
      <c r="C359" t="str">
        <f t="shared" si="87"/>
        <v>14185</v>
      </c>
      <c r="D359" t="str">
        <f t="shared" si="88"/>
        <v>5620</v>
      </c>
      <c r="E359" t="str">
        <f t="shared" si="89"/>
        <v>094OMS</v>
      </c>
      <c r="F359" t="str">
        <f>""</f>
        <v/>
      </c>
      <c r="G359" t="str">
        <f>""</f>
        <v/>
      </c>
      <c r="H359" s="1">
        <v>39129</v>
      </c>
      <c r="I359" t="str">
        <f t="shared" si="90"/>
        <v>PCD00257</v>
      </c>
      <c r="J359" t="str">
        <f>"52889"</f>
        <v>52889</v>
      </c>
      <c r="K359" t="str">
        <f t="shared" si="85"/>
        <v>AS89</v>
      </c>
      <c r="L359" t="s">
        <v>532</v>
      </c>
      <c r="M359">
        <v>210.5</v>
      </c>
    </row>
    <row r="360" spans="1:13" x14ac:dyDescent="0.25">
      <c r="A360" t="str">
        <f t="shared" si="86"/>
        <v>E257</v>
      </c>
      <c r="B360">
        <v>1</v>
      </c>
      <c r="C360" t="str">
        <f t="shared" si="87"/>
        <v>14185</v>
      </c>
      <c r="D360" t="str">
        <f t="shared" si="88"/>
        <v>5620</v>
      </c>
      <c r="E360" t="str">
        <f t="shared" si="89"/>
        <v>094OMS</v>
      </c>
      <c r="F360" t="str">
        <f>""</f>
        <v/>
      </c>
      <c r="G360" t="str">
        <f>""</f>
        <v/>
      </c>
      <c r="H360" s="1">
        <v>39157</v>
      </c>
      <c r="I360" t="str">
        <f>"PCD00263"</f>
        <v>PCD00263</v>
      </c>
      <c r="J360" t="str">
        <f>"55290"</f>
        <v>55290</v>
      </c>
      <c r="K360" t="str">
        <f t="shared" si="85"/>
        <v>AS89</v>
      </c>
      <c r="L360" t="s">
        <v>515</v>
      </c>
      <c r="M360">
        <v>176.2</v>
      </c>
    </row>
    <row r="361" spans="1:13" x14ac:dyDescent="0.25">
      <c r="A361" t="str">
        <f t="shared" si="86"/>
        <v>E257</v>
      </c>
      <c r="B361">
        <v>1</v>
      </c>
      <c r="C361" t="str">
        <f t="shared" si="87"/>
        <v>14185</v>
      </c>
      <c r="D361" t="str">
        <f t="shared" si="88"/>
        <v>5620</v>
      </c>
      <c r="E361" t="str">
        <f t="shared" si="89"/>
        <v>094OMS</v>
      </c>
      <c r="F361" t="str">
        <f>""</f>
        <v/>
      </c>
      <c r="G361" t="str">
        <f>""</f>
        <v/>
      </c>
      <c r="H361" s="1">
        <v>39173</v>
      </c>
      <c r="I361" t="str">
        <f>"PCD00266"</f>
        <v>PCD00266</v>
      </c>
      <c r="J361" t="str">
        <f>"56248"</f>
        <v>56248</v>
      </c>
      <c r="K361" t="str">
        <f t="shared" si="85"/>
        <v>AS89</v>
      </c>
      <c r="L361" t="s">
        <v>514</v>
      </c>
      <c r="M361">
        <v>149.58000000000001</v>
      </c>
    </row>
    <row r="362" spans="1:13" x14ac:dyDescent="0.25">
      <c r="A362" t="str">
        <f t="shared" si="86"/>
        <v>E257</v>
      </c>
      <c r="B362">
        <v>1</v>
      </c>
      <c r="C362" t="str">
        <f t="shared" si="87"/>
        <v>14185</v>
      </c>
      <c r="D362" t="str">
        <f t="shared" si="88"/>
        <v>5620</v>
      </c>
      <c r="E362" t="str">
        <f t="shared" si="89"/>
        <v>094OMS</v>
      </c>
      <c r="F362" t="str">
        <f>""</f>
        <v/>
      </c>
      <c r="G362" t="str">
        <f>""</f>
        <v/>
      </c>
      <c r="H362" s="1">
        <v>39173</v>
      </c>
      <c r="I362" t="str">
        <f>"PCD00266"</f>
        <v>PCD00266</v>
      </c>
      <c r="J362" t="str">
        <f>"56249"</f>
        <v>56249</v>
      </c>
      <c r="K362" t="str">
        <f t="shared" si="85"/>
        <v>AS89</v>
      </c>
      <c r="L362" t="s">
        <v>514</v>
      </c>
      <c r="M362">
        <v>140.33000000000001</v>
      </c>
    </row>
    <row r="363" spans="1:13" x14ac:dyDescent="0.25">
      <c r="A363" t="str">
        <f t="shared" si="86"/>
        <v>E257</v>
      </c>
      <c r="B363">
        <v>1</v>
      </c>
      <c r="C363" t="str">
        <f t="shared" si="87"/>
        <v>14185</v>
      </c>
      <c r="D363" t="str">
        <f t="shared" si="88"/>
        <v>5620</v>
      </c>
      <c r="E363" t="str">
        <f t="shared" si="89"/>
        <v>094OMS</v>
      </c>
      <c r="F363" t="str">
        <f>""</f>
        <v/>
      </c>
      <c r="G363" t="str">
        <f>""</f>
        <v/>
      </c>
      <c r="H363" s="1">
        <v>39173</v>
      </c>
      <c r="I363" t="str">
        <f>"PCD00266"</f>
        <v>PCD00266</v>
      </c>
      <c r="J363" t="str">
        <f>"56532"</f>
        <v>56532</v>
      </c>
      <c r="K363" t="str">
        <f t="shared" si="85"/>
        <v>AS89</v>
      </c>
      <c r="L363" t="s">
        <v>531</v>
      </c>
      <c r="M363">
        <v>276.5</v>
      </c>
    </row>
    <row r="364" spans="1:13" x14ac:dyDescent="0.25">
      <c r="A364" t="str">
        <f t="shared" si="86"/>
        <v>E257</v>
      </c>
      <c r="B364">
        <v>1</v>
      </c>
      <c r="C364" t="str">
        <f t="shared" si="87"/>
        <v>14185</v>
      </c>
      <c r="D364" t="str">
        <f t="shared" si="88"/>
        <v>5620</v>
      </c>
      <c r="E364" t="str">
        <f t="shared" si="89"/>
        <v>094OMS</v>
      </c>
      <c r="F364" t="str">
        <f>""</f>
        <v/>
      </c>
      <c r="G364" t="str">
        <f>""</f>
        <v/>
      </c>
      <c r="H364" s="1">
        <v>39173</v>
      </c>
      <c r="I364" t="str">
        <f>"PCD00266"</f>
        <v>PCD00266</v>
      </c>
      <c r="J364" t="str">
        <f>"56691"</f>
        <v>56691</v>
      </c>
      <c r="K364" t="str">
        <f t="shared" si="85"/>
        <v>AS89</v>
      </c>
      <c r="L364" t="s">
        <v>530</v>
      </c>
      <c r="M364">
        <v>104.02</v>
      </c>
    </row>
    <row r="365" spans="1:13" x14ac:dyDescent="0.25">
      <c r="A365" t="str">
        <f t="shared" si="86"/>
        <v>E257</v>
      </c>
      <c r="B365">
        <v>1</v>
      </c>
      <c r="C365" t="str">
        <f t="shared" si="87"/>
        <v>14185</v>
      </c>
      <c r="D365" t="str">
        <f t="shared" si="88"/>
        <v>5620</v>
      </c>
      <c r="E365" t="str">
        <f t="shared" si="89"/>
        <v>094OMS</v>
      </c>
      <c r="F365" t="str">
        <f>""</f>
        <v/>
      </c>
      <c r="G365" t="str">
        <f>""</f>
        <v/>
      </c>
      <c r="H365" s="1">
        <v>39203</v>
      </c>
      <c r="I365" t="str">
        <f>"PCD00269"</f>
        <v>PCD00269</v>
      </c>
      <c r="J365" t="str">
        <f>"57484"</f>
        <v>57484</v>
      </c>
      <c r="K365" t="str">
        <f t="shared" si="85"/>
        <v>AS89</v>
      </c>
      <c r="L365" t="s">
        <v>529</v>
      </c>
      <c r="M365">
        <v>541.70000000000005</v>
      </c>
    </row>
    <row r="366" spans="1:13" x14ac:dyDescent="0.25">
      <c r="A366" t="str">
        <f t="shared" si="86"/>
        <v>E257</v>
      </c>
      <c r="B366">
        <v>1</v>
      </c>
      <c r="C366" t="str">
        <f t="shared" si="87"/>
        <v>14185</v>
      </c>
      <c r="D366" t="str">
        <f t="shared" si="88"/>
        <v>5620</v>
      </c>
      <c r="E366" t="str">
        <f t="shared" si="89"/>
        <v>094OMS</v>
      </c>
      <c r="F366" t="str">
        <f>""</f>
        <v/>
      </c>
      <c r="G366" t="str">
        <f>""</f>
        <v/>
      </c>
      <c r="H366" s="1">
        <v>39203</v>
      </c>
      <c r="I366" t="str">
        <f>"PCD00269"</f>
        <v>PCD00269</v>
      </c>
      <c r="J366" t="str">
        <f>"57485"</f>
        <v>57485</v>
      </c>
      <c r="K366" t="str">
        <f t="shared" si="85"/>
        <v>AS89</v>
      </c>
      <c r="L366" t="s">
        <v>529</v>
      </c>
      <c r="M366">
        <v>225.71</v>
      </c>
    </row>
    <row r="367" spans="1:13" x14ac:dyDescent="0.25">
      <c r="A367" t="str">
        <f t="shared" si="86"/>
        <v>E257</v>
      </c>
      <c r="B367">
        <v>1</v>
      </c>
      <c r="C367" t="str">
        <f t="shared" si="87"/>
        <v>14185</v>
      </c>
      <c r="D367" t="str">
        <f t="shared" si="88"/>
        <v>5620</v>
      </c>
      <c r="E367" t="str">
        <f t="shared" si="89"/>
        <v>094OMS</v>
      </c>
      <c r="F367" t="str">
        <f>""</f>
        <v/>
      </c>
      <c r="G367" t="str">
        <f>""</f>
        <v/>
      </c>
      <c r="H367" s="1">
        <v>39203</v>
      </c>
      <c r="I367" t="str">
        <f>"PCD00269"</f>
        <v>PCD00269</v>
      </c>
      <c r="J367" t="str">
        <f>"57667"</f>
        <v>57667</v>
      </c>
      <c r="K367" t="str">
        <f t="shared" si="85"/>
        <v>AS89</v>
      </c>
      <c r="L367" t="s">
        <v>528</v>
      </c>
      <c r="M367">
        <v>194.21</v>
      </c>
    </row>
    <row r="368" spans="1:13" x14ac:dyDescent="0.25">
      <c r="A368" t="str">
        <f t="shared" si="86"/>
        <v>E257</v>
      </c>
      <c r="B368">
        <v>1</v>
      </c>
      <c r="C368" t="str">
        <f t="shared" si="87"/>
        <v>14185</v>
      </c>
      <c r="D368" t="str">
        <f t="shared" si="88"/>
        <v>5620</v>
      </c>
      <c r="E368" t="str">
        <f t="shared" si="89"/>
        <v>094OMS</v>
      </c>
      <c r="F368" t="str">
        <f>""</f>
        <v/>
      </c>
      <c r="G368" t="str">
        <f>""</f>
        <v/>
      </c>
      <c r="H368" s="1">
        <v>39203</v>
      </c>
      <c r="I368" t="str">
        <f>"PCD00269"</f>
        <v>PCD00269</v>
      </c>
      <c r="J368" t="str">
        <f>"58400"</f>
        <v>58400</v>
      </c>
      <c r="K368" t="str">
        <f t="shared" si="85"/>
        <v>AS89</v>
      </c>
      <c r="L368" t="s">
        <v>527</v>
      </c>
      <c r="M368">
        <v>150.12</v>
      </c>
    </row>
    <row r="369" spans="1:13" x14ac:dyDescent="0.25">
      <c r="A369" t="str">
        <f t="shared" si="86"/>
        <v>E257</v>
      </c>
      <c r="B369">
        <v>1</v>
      </c>
      <c r="C369" t="str">
        <f t="shared" si="87"/>
        <v>14185</v>
      </c>
      <c r="D369" t="str">
        <f t="shared" si="88"/>
        <v>5620</v>
      </c>
      <c r="E369" t="str">
        <f t="shared" si="89"/>
        <v>094OMS</v>
      </c>
      <c r="F369" t="str">
        <f>""</f>
        <v/>
      </c>
      <c r="G369" t="str">
        <f>""</f>
        <v/>
      </c>
      <c r="H369" s="1">
        <v>39234</v>
      </c>
      <c r="I369" t="str">
        <f>"PCD00272"</f>
        <v>PCD00272</v>
      </c>
      <c r="J369" t="str">
        <f>"60328"</f>
        <v>60328</v>
      </c>
      <c r="K369" t="str">
        <f t="shared" si="85"/>
        <v>AS89</v>
      </c>
      <c r="L369" t="s">
        <v>526</v>
      </c>
      <c r="M369">
        <v>276.56</v>
      </c>
    </row>
    <row r="370" spans="1:13" x14ac:dyDescent="0.25">
      <c r="A370" t="str">
        <f t="shared" si="86"/>
        <v>E257</v>
      </c>
      <c r="B370">
        <v>1</v>
      </c>
      <c r="C370" t="str">
        <f t="shared" si="87"/>
        <v>14185</v>
      </c>
      <c r="D370" t="str">
        <f t="shared" si="88"/>
        <v>5620</v>
      </c>
      <c r="E370" t="str">
        <f t="shared" si="89"/>
        <v>094OMS</v>
      </c>
      <c r="F370" t="str">
        <f>""</f>
        <v/>
      </c>
      <c r="G370" t="str">
        <f>""</f>
        <v/>
      </c>
      <c r="H370" s="1">
        <v>39234</v>
      </c>
      <c r="I370" t="str">
        <f>"PCD00272"</f>
        <v>PCD00272</v>
      </c>
      <c r="J370" t="str">
        <f>"60329"</f>
        <v>60329</v>
      </c>
      <c r="K370" t="str">
        <f t="shared" si="85"/>
        <v>AS89</v>
      </c>
      <c r="L370" t="s">
        <v>526</v>
      </c>
      <c r="M370">
        <v>295.62</v>
      </c>
    </row>
    <row r="371" spans="1:13" x14ac:dyDescent="0.25">
      <c r="A371" t="str">
        <f t="shared" si="86"/>
        <v>E257</v>
      </c>
      <c r="B371">
        <v>1</v>
      </c>
      <c r="C371" t="str">
        <f t="shared" si="87"/>
        <v>14185</v>
      </c>
      <c r="D371" t="str">
        <f t="shared" si="88"/>
        <v>5620</v>
      </c>
      <c r="E371" t="str">
        <f t="shared" si="89"/>
        <v>094OMS</v>
      </c>
      <c r="F371" t="str">
        <f>""</f>
        <v/>
      </c>
      <c r="G371" t="str">
        <f>""</f>
        <v/>
      </c>
      <c r="H371" s="1">
        <v>39263</v>
      </c>
      <c r="I371" t="str">
        <f t="shared" ref="I371:I376" si="91">"PCD00275"</f>
        <v>PCD00275</v>
      </c>
      <c r="J371" t="str">
        <f>"60935"</f>
        <v>60935</v>
      </c>
      <c r="K371" t="str">
        <f t="shared" si="85"/>
        <v>AS89</v>
      </c>
      <c r="L371" t="s">
        <v>525</v>
      </c>
      <c r="M371">
        <v>277.47000000000003</v>
      </c>
    </row>
    <row r="372" spans="1:13" x14ac:dyDescent="0.25">
      <c r="A372" t="str">
        <f t="shared" si="86"/>
        <v>E257</v>
      </c>
      <c r="B372">
        <v>1</v>
      </c>
      <c r="C372" t="str">
        <f t="shared" si="87"/>
        <v>14185</v>
      </c>
      <c r="D372" t="str">
        <f t="shared" si="88"/>
        <v>5620</v>
      </c>
      <c r="E372" t="str">
        <f t="shared" si="89"/>
        <v>094OMS</v>
      </c>
      <c r="F372" t="str">
        <f>""</f>
        <v/>
      </c>
      <c r="G372" t="str">
        <f>""</f>
        <v/>
      </c>
      <c r="H372" s="1">
        <v>39263</v>
      </c>
      <c r="I372" t="str">
        <f t="shared" si="91"/>
        <v>PCD00275</v>
      </c>
      <c r="J372" t="str">
        <f>"61587"</f>
        <v>61587</v>
      </c>
      <c r="K372" t="str">
        <f t="shared" ref="K372:K403" si="92">"AS89"</f>
        <v>AS89</v>
      </c>
      <c r="L372" t="s">
        <v>524</v>
      </c>
      <c r="M372">
        <v>298.60000000000002</v>
      </c>
    </row>
    <row r="373" spans="1:13" x14ac:dyDescent="0.25">
      <c r="A373" t="str">
        <f t="shared" ref="A373:A393" si="93">"E257"</f>
        <v>E257</v>
      </c>
      <c r="B373">
        <v>1</v>
      </c>
      <c r="C373" t="str">
        <f t="shared" si="87"/>
        <v>14185</v>
      </c>
      <c r="D373" t="str">
        <f t="shared" si="88"/>
        <v>5620</v>
      </c>
      <c r="E373" t="str">
        <f t="shared" si="89"/>
        <v>094OMS</v>
      </c>
      <c r="F373" t="str">
        <f>""</f>
        <v/>
      </c>
      <c r="G373" t="str">
        <f>""</f>
        <v/>
      </c>
      <c r="H373" s="1">
        <v>39263</v>
      </c>
      <c r="I373" t="str">
        <f t="shared" si="91"/>
        <v>PCD00275</v>
      </c>
      <c r="J373" t="str">
        <f>"61588"</f>
        <v>61588</v>
      </c>
      <c r="K373" t="str">
        <f t="shared" si="92"/>
        <v>AS89</v>
      </c>
      <c r="L373" t="s">
        <v>524</v>
      </c>
      <c r="M373">
        <v>403.33</v>
      </c>
    </row>
    <row r="374" spans="1:13" x14ac:dyDescent="0.25">
      <c r="A374" t="str">
        <f t="shared" si="93"/>
        <v>E257</v>
      </c>
      <c r="B374">
        <v>1</v>
      </c>
      <c r="C374" t="str">
        <f t="shared" si="87"/>
        <v>14185</v>
      </c>
      <c r="D374" t="str">
        <f t="shared" si="88"/>
        <v>5620</v>
      </c>
      <c r="E374" t="str">
        <f t="shared" si="89"/>
        <v>094OMS</v>
      </c>
      <c r="F374" t="str">
        <f>""</f>
        <v/>
      </c>
      <c r="G374" t="str">
        <f>""</f>
        <v/>
      </c>
      <c r="H374" s="1">
        <v>39263</v>
      </c>
      <c r="I374" t="str">
        <f t="shared" si="91"/>
        <v>PCD00275</v>
      </c>
      <c r="J374" t="str">
        <f>"62102"</f>
        <v>62102</v>
      </c>
      <c r="K374" t="str">
        <f t="shared" si="92"/>
        <v>AS89</v>
      </c>
      <c r="L374" t="s">
        <v>510</v>
      </c>
      <c r="M374">
        <v>475.5</v>
      </c>
    </row>
    <row r="375" spans="1:13" x14ac:dyDescent="0.25">
      <c r="A375" t="str">
        <f t="shared" si="93"/>
        <v>E257</v>
      </c>
      <c r="B375">
        <v>1</v>
      </c>
      <c r="C375" t="str">
        <f t="shared" si="87"/>
        <v>14185</v>
      </c>
      <c r="D375" t="str">
        <f t="shared" si="88"/>
        <v>5620</v>
      </c>
      <c r="E375" t="str">
        <f t="shared" si="89"/>
        <v>094OMS</v>
      </c>
      <c r="F375" t="str">
        <f>""</f>
        <v/>
      </c>
      <c r="G375" t="str">
        <f>""</f>
        <v/>
      </c>
      <c r="H375" s="1">
        <v>39263</v>
      </c>
      <c r="I375" t="str">
        <f t="shared" si="91"/>
        <v>PCD00275</v>
      </c>
      <c r="J375" t="str">
        <f>"62142"</f>
        <v>62142</v>
      </c>
      <c r="K375" t="str">
        <f t="shared" si="92"/>
        <v>AS89</v>
      </c>
      <c r="L375" t="s">
        <v>509</v>
      </c>
      <c r="M375">
        <v>159.37</v>
      </c>
    </row>
    <row r="376" spans="1:13" x14ac:dyDescent="0.25">
      <c r="A376" t="str">
        <f t="shared" si="93"/>
        <v>E257</v>
      </c>
      <c r="B376">
        <v>1</v>
      </c>
      <c r="C376" t="str">
        <f t="shared" si="87"/>
        <v>14185</v>
      </c>
      <c r="D376" t="str">
        <f t="shared" si="88"/>
        <v>5620</v>
      </c>
      <c r="E376" t="str">
        <f t="shared" si="89"/>
        <v>094OMS</v>
      </c>
      <c r="F376" t="str">
        <f>""</f>
        <v/>
      </c>
      <c r="G376" t="str">
        <f>""</f>
        <v/>
      </c>
      <c r="H376" s="1">
        <v>39263</v>
      </c>
      <c r="I376" t="str">
        <f t="shared" si="91"/>
        <v>PCD00275</v>
      </c>
      <c r="J376" t="str">
        <f>"62143"</f>
        <v>62143</v>
      </c>
      <c r="K376" t="str">
        <f t="shared" si="92"/>
        <v>AS89</v>
      </c>
      <c r="L376" t="s">
        <v>509</v>
      </c>
      <c r="M376">
        <v>150.80000000000001</v>
      </c>
    </row>
    <row r="377" spans="1:13" x14ac:dyDescent="0.25">
      <c r="A377" t="str">
        <f t="shared" si="93"/>
        <v>E257</v>
      </c>
      <c r="B377">
        <v>1</v>
      </c>
      <c r="C377" t="str">
        <f>"32040"</f>
        <v>32040</v>
      </c>
      <c r="D377" t="str">
        <f>"5610"</f>
        <v>5610</v>
      </c>
      <c r="E377" t="str">
        <f>"850LOS"</f>
        <v>850LOS</v>
      </c>
      <c r="F377" t="str">
        <f>""</f>
        <v/>
      </c>
      <c r="G377" t="str">
        <f>""</f>
        <v/>
      </c>
      <c r="H377" s="1">
        <v>39038</v>
      </c>
      <c r="I377" t="str">
        <f>"PCD00250"</f>
        <v>PCD00250</v>
      </c>
      <c r="J377" t="str">
        <f>"48880"</f>
        <v>48880</v>
      </c>
      <c r="K377" t="str">
        <f t="shared" si="92"/>
        <v>AS89</v>
      </c>
      <c r="L377" t="s">
        <v>523</v>
      </c>
      <c r="M377">
        <v>321.17</v>
      </c>
    </row>
    <row r="378" spans="1:13" x14ac:dyDescent="0.25">
      <c r="A378" t="str">
        <f t="shared" si="93"/>
        <v>E257</v>
      </c>
      <c r="B378">
        <v>1</v>
      </c>
      <c r="C378" t="str">
        <f t="shared" ref="C378:C400" si="94">"43000"</f>
        <v>43000</v>
      </c>
      <c r="D378" t="str">
        <f t="shared" ref="D378:D400" si="95">"5740"</f>
        <v>5740</v>
      </c>
      <c r="E378" t="str">
        <f>"850LOS"</f>
        <v>850LOS</v>
      </c>
      <c r="F378" t="str">
        <f>""</f>
        <v/>
      </c>
      <c r="G378" t="str">
        <f>""</f>
        <v/>
      </c>
      <c r="H378" s="1">
        <v>39003</v>
      </c>
      <c r="I378" t="str">
        <f>"PCD00246"</f>
        <v>PCD00246</v>
      </c>
      <c r="J378" t="str">
        <f>"45631"</f>
        <v>45631</v>
      </c>
      <c r="K378" t="str">
        <f t="shared" si="92"/>
        <v>AS89</v>
      </c>
      <c r="L378" t="s">
        <v>521</v>
      </c>
      <c r="M378">
        <v>114.9</v>
      </c>
    </row>
    <row r="379" spans="1:13" x14ac:dyDescent="0.25">
      <c r="A379" t="str">
        <f t="shared" si="93"/>
        <v>E257</v>
      </c>
      <c r="B379">
        <v>1</v>
      </c>
      <c r="C379" t="str">
        <f t="shared" si="94"/>
        <v>43000</v>
      </c>
      <c r="D379" t="str">
        <f t="shared" si="95"/>
        <v>5740</v>
      </c>
      <c r="E379" t="str">
        <f>"850LOS"</f>
        <v>850LOS</v>
      </c>
      <c r="F379" t="str">
        <f>""</f>
        <v/>
      </c>
      <c r="G379" t="str">
        <f>""</f>
        <v/>
      </c>
      <c r="H379" s="1">
        <v>39066</v>
      </c>
      <c r="I379" t="str">
        <f>"PCD00251"</f>
        <v>PCD00251</v>
      </c>
      <c r="J379" t="str">
        <f>"48916"</f>
        <v>48916</v>
      </c>
      <c r="K379" t="str">
        <f t="shared" si="92"/>
        <v>AS89</v>
      </c>
      <c r="L379" t="s">
        <v>520</v>
      </c>
      <c r="M379">
        <v>139.09</v>
      </c>
    </row>
    <row r="380" spans="1:13" x14ac:dyDescent="0.25">
      <c r="A380" t="str">
        <f t="shared" si="93"/>
        <v>E257</v>
      </c>
      <c r="B380">
        <v>1</v>
      </c>
      <c r="C380" t="str">
        <f t="shared" si="94"/>
        <v>43000</v>
      </c>
      <c r="D380" t="str">
        <f t="shared" si="95"/>
        <v>5740</v>
      </c>
      <c r="E380" t="str">
        <f>"850LOS"</f>
        <v>850LOS</v>
      </c>
      <c r="F380" t="str">
        <f>""</f>
        <v/>
      </c>
      <c r="G380" t="str">
        <f>""</f>
        <v/>
      </c>
      <c r="H380" s="1">
        <v>39203</v>
      </c>
      <c r="I380" t="str">
        <f>"PCD00269"</f>
        <v>PCD00269</v>
      </c>
      <c r="J380" t="str">
        <f>"57549"</f>
        <v>57549</v>
      </c>
      <c r="K380" t="str">
        <f t="shared" si="92"/>
        <v>AS89</v>
      </c>
      <c r="L380" t="s">
        <v>519</v>
      </c>
      <c r="M380">
        <v>130.08000000000001</v>
      </c>
    </row>
    <row r="381" spans="1:13" x14ac:dyDescent="0.25">
      <c r="A381" t="str">
        <f t="shared" si="93"/>
        <v>E257</v>
      </c>
      <c r="B381">
        <v>1</v>
      </c>
      <c r="C381" t="str">
        <f t="shared" si="94"/>
        <v>43000</v>
      </c>
      <c r="D381" t="str">
        <f t="shared" si="95"/>
        <v>5740</v>
      </c>
      <c r="E381" t="str">
        <f t="shared" ref="E381:E393" si="96">"850PKE"</f>
        <v>850PKE</v>
      </c>
      <c r="F381" t="str">
        <f>""</f>
        <v/>
      </c>
      <c r="G381" t="str">
        <f>""</f>
        <v/>
      </c>
      <c r="H381" s="1">
        <v>39038</v>
      </c>
      <c r="I381" t="str">
        <f>"PCD00249"</f>
        <v>PCD00249</v>
      </c>
      <c r="J381" t="str">
        <f>"48339"</f>
        <v>48339</v>
      </c>
      <c r="K381" t="str">
        <f t="shared" si="92"/>
        <v>AS89</v>
      </c>
      <c r="L381" t="s">
        <v>518</v>
      </c>
      <c r="M381">
        <v>156.07</v>
      </c>
    </row>
    <row r="382" spans="1:13" x14ac:dyDescent="0.25">
      <c r="A382" t="str">
        <f t="shared" si="93"/>
        <v>E257</v>
      </c>
      <c r="B382">
        <v>1</v>
      </c>
      <c r="C382" t="str">
        <f t="shared" si="94"/>
        <v>43000</v>
      </c>
      <c r="D382" t="str">
        <f t="shared" si="95"/>
        <v>5740</v>
      </c>
      <c r="E382" t="str">
        <f t="shared" si="96"/>
        <v>850PKE</v>
      </c>
      <c r="F382" t="str">
        <f>""</f>
        <v/>
      </c>
      <c r="G382" t="str">
        <f>""</f>
        <v/>
      </c>
      <c r="H382" s="1">
        <v>39129</v>
      </c>
      <c r="I382" t="str">
        <f>"PCD00257"</f>
        <v>PCD00257</v>
      </c>
      <c r="J382" t="str">
        <f>"52054"</f>
        <v>52054</v>
      </c>
      <c r="K382" t="str">
        <f t="shared" si="92"/>
        <v>AS89</v>
      </c>
      <c r="L382" t="s">
        <v>517</v>
      </c>
      <c r="M382">
        <v>509.46</v>
      </c>
    </row>
    <row r="383" spans="1:13" x14ac:dyDescent="0.25">
      <c r="A383" t="str">
        <f t="shared" si="93"/>
        <v>E257</v>
      </c>
      <c r="B383">
        <v>1</v>
      </c>
      <c r="C383" t="str">
        <f t="shared" si="94"/>
        <v>43000</v>
      </c>
      <c r="D383" t="str">
        <f t="shared" si="95"/>
        <v>5740</v>
      </c>
      <c r="E383" t="str">
        <f t="shared" si="96"/>
        <v>850PKE</v>
      </c>
      <c r="F383" t="str">
        <f>""</f>
        <v/>
      </c>
      <c r="G383" t="str">
        <f>""</f>
        <v/>
      </c>
      <c r="H383" s="1">
        <v>39142</v>
      </c>
      <c r="I383" t="str">
        <f>"PCD00261"</f>
        <v>PCD00261</v>
      </c>
      <c r="J383" t="str">
        <f>"54391"</f>
        <v>54391</v>
      </c>
      <c r="K383" t="str">
        <f t="shared" si="92"/>
        <v>AS89</v>
      </c>
      <c r="L383" t="s">
        <v>516</v>
      </c>
      <c r="M383">
        <v>112.77</v>
      </c>
    </row>
    <row r="384" spans="1:13" x14ac:dyDescent="0.25">
      <c r="A384" t="str">
        <f t="shared" si="93"/>
        <v>E257</v>
      </c>
      <c r="B384">
        <v>1</v>
      </c>
      <c r="C384" t="str">
        <f t="shared" si="94"/>
        <v>43000</v>
      </c>
      <c r="D384" t="str">
        <f t="shared" si="95"/>
        <v>5740</v>
      </c>
      <c r="E384" t="str">
        <f t="shared" si="96"/>
        <v>850PKE</v>
      </c>
      <c r="F384" t="str">
        <f>""</f>
        <v/>
      </c>
      <c r="G384" t="str">
        <f>""</f>
        <v/>
      </c>
      <c r="H384" s="1">
        <v>39178</v>
      </c>
      <c r="I384" t="str">
        <f t="shared" ref="I384:I389" si="97">"PCD00267"</f>
        <v>PCD00267</v>
      </c>
      <c r="J384" t="str">
        <f>"56861"</f>
        <v>56861</v>
      </c>
      <c r="K384" t="str">
        <f t="shared" si="92"/>
        <v>AS89</v>
      </c>
      <c r="L384" t="s">
        <v>513</v>
      </c>
      <c r="M384">
        <v>123.92</v>
      </c>
    </row>
    <row r="385" spans="1:13" x14ac:dyDescent="0.25">
      <c r="A385" t="str">
        <f t="shared" si="93"/>
        <v>E257</v>
      </c>
      <c r="B385">
        <v>1</v>
      </c>
      <c r="C385" t="str">
        <f t="shared" si="94"/>
        <v>43000</v>
      </c>
      <c r="D385" t="str">
        <f t="shared" si="95"/>
        <v>5740</v>
      </c>
      <c r="E385" t="str">
        <f t="shared" si="96"/>
        <v>850PKE</v>
      </c>
      <c r="F385" t="str">
        <f>""</f>
        <v/>
      </c>
      <c r="G385" t="str">
        <f>""</f>
        <v/>
      </c>
      <c r="H385" s="1">
        <v>39178</v>
      </c>
      <c r="I385" t="str">
        <f t="shared" si="97"/>
        <v>PCD00267</v>
      </c>
      <c r="J385" t="str">
        <f>"56862"</f>
        <v>56862</v>
      </c>
      <c r="K385" t="str">
        <f t="shared" si="92"/>
        <v>AS89</v>
      </c>
      <c r="L385" t="s">
        <v>513</v>
      </c>
      <c r="M385">
        <v>107.71</v>
      </c>
    </row>
    <row r="386" spans="1:13" x14ac:dyDescent="0.25">
      <c r="A386" t="str">
        <f t="shared" si="93"/>
        <v>E257</v>
      </c>
      <c r="B386">
        <v>1</v>
      </c>
      <c r="C386" t="str">
        <f t="shared" si="94"/>
        <v>43000</v>
      </c>
      <c r="D386" t="str">
        <f t="shared" si="95"/>
        <v>5740</v>
      </c>
      <c r="E386" t="str">
        <f t="shared" si="96"/>
        <v>850PKE</v>
      </c>
      <c r="F386" t="str">
        <f>""</f>
        <v/>
      </c>
      <c r="G386" t="str">
        <f>""</f>
        <v/>
      </c>
      <c r="H386" s="1">
        <v>39178</v>
      </c>
      <c r="I386" t="str">
        <f t="shared" si="97"/>
        <v>PCD00267</v>
      </c>
      <c r="J386" t="str">
        <f>"56863"</f>
        <v>56863</v>
      </c>
      <c r="K386" t="str">
        <f t="shared" si="92"/>
        <v>AS89</v>
      </c>
      <c r="L386" t="s">
        <v>513</v>
      </c>
      <c r="M386">
        <v>159.83000000000001</v>
      </c>
    </row>
    <row r="387" spans="1:13" x14ac:dyDescent="0.25">
      <c r="A387" t="str">
        <f t="shared" si="93"/>
        <v>E257</v>
      </c>
      <c r="B387">
        <v>1</v>
      </c>
      <c r="C387" t="str">
        <f t="shared" si="94"/>
        <v>43000</v>
      </c>
      <c r="D387" t="str">
        <f t="shared" si="95"/>
        <v>5740</v>
      </c>
      <c r="E387" t="str">
        <f t="shared" si="96"/>
        <v>850PKE</v>
      </c>
      <c r="F387" t="str">
        <f>""</f>
        <v/>
      </c>
      <c r="G387" t="str">
        <f>""</f>
        <v/>
      </c>
      <c r="H387" s="1">
        <v>39178</v>
      </c>
      <c r="I387" t="str">
        <f t="shared" si="97"/>
        <v>PCD00267</v>
      </c>
      <c r="J387" t="str">
        <f>"56864"</f>
        <v>56864</v>
      </c>
      <c r="K387" t="str">
        <f t="shared" si="92"/>
        <v>AS89</v>
      </c>
      <c r="L387" t="s">
        <v>513</v>
      </c>
      <c r="M387">
        <v>107.71</v>
      </c>
    </row>
    <row r="388" spans="1:13" x14ac:dyDescent="0.25">
      <c r="A388" t="str">
        <f t="shared" si="93"/>
        <v>E257</v>
      </c>
      <c r="B388">
        <v>1</v>
      </c>
      <c r="C388" t="str">
        <f t="shared" si="94"/>
        <v>43000</v>
      </c>
      <c r="D388" t="str">
        <f t="shared" si="95"/>
        <v>5740</v>
      </c>
      <c r="E388" t="str">
        <f t="shared" si="96"/>
        <v>850PKE</v>
      </c>
      <c r="F388" t="str">
        <f>""</f>
        <v/>
      </c>
      <c r="G388" t="str">
        <f>""</f>
        <v/>
      </c>
      <c r="H388" s="1">
        <v>39178</v>
      </c>
      <c r="I388" t="str">
        <f t="shared" si="97"/>
        <v>PCD00267</v>
      </c>
      <c r="J388" t="str">
        <f>"56865"</f>
        <v>56865</v>
      </c>
      <c r="K388" t="str">
        <f t="shared" si="92"/>
        <v>AS89</v>
      </c>
      <c r="L388" t="s">
        <v>513</v>
      </c>
      <c r="M388">
        <v>374.21</v>
      </c>
    </row>
    <row r="389" spans="1:13" x14ac:dyDescent="0.25">
      <c r="A389" t="str">
        <f t="shared" si="93"/>
        <v>E257</v>
      </c>
      <c r="B389">
        <v>1</v>
      </c>
      <c r="C389" t="str">
        <f t="shared" si="94"/>
        <v>43000</v>
      </c>
      <c r="D389" t="str">
        <f t="shared" si="95"/>
        <v>5740</v>
      </c>
      <c r="E389" t="str">
        <f t="shared" si="96"/>
        <v>850PKE</v>
      </c>
      <c r="F389" t="str">
        <f>""</f>
        <v/>
      </c>
      <c r="G389" t="str">
        <f>""</f>
        <v/>
      </c>
      <c r="H389" s="1">
        <v>39178</v>
      </c>
      <c r="I389" t="str">
        <f t="shared" si="97"/>
        <v>PCD00267</v>
      </c>
      <c r="J389" t="str">
        <f>"56866"</f>
        <v>56866</v>
      </c>
      <c r="K389" t="str">
        <f t="shared" si="92"/>
        <v>AS89</v>
      </c>
      <c r="L389" t="s">
        <v>513</v>
      </c>
      <c r="M389">
        <v>374.21</v>
      </c>
    </row>
    <row r="390" spans="1:13" x14ac:dyDescent="0.25">
      <c r="A390" t="str">
        <f t="shared" si="93"/>
        <v>E257</v>
      </c>
      <c r="B390">
        <v>1</v>
      </c>
      <c r="C390" t="str">
        <f t="shared" si="94"/>
        <v>43000</v>
      </c>
      <c r="D390" t="str">
        <f t="shared" si="95"/>
        <v>5740</v>
      </c>
      <c r="E390" t="str">
        <f t="shared" si="96"/>
        <v>850PKE</v>
      </c>
      <c r="F390" t="str">
        <f>""</f>
        <v/>
      </c>
      <c r="G390" t="str">
        <f>""</f>
        <v/>
      </c>
      <c r="H390" s="1">
        <v>39203</v>
      </c>
      <c r="I390" t="str">
        <f>"PCD00269"</f>
        <v>PCD00269</v>
      </c>
      <c r="J390" t="str">
        <f>"58177"</f>
        <v>58177</v>
      </c>
      <c r="K390" t="str">
        <f t="shared" si="92"/>
        <v>AS89</v>
      </c>
      <c r="L390" t="s">
        <v>512</v>
      </c>
      <c r="M390">
        <v>616.27</v>
      </c>
    </row>
    <row r="391" spans="1:13" x14ac:dyDescent="0.25">
      <c r="A391" t="str">
        <f t="shared" si="93"/>
        <v>E257</v>
      </c>
      <c r="B391">
        <v>1</v>
      </c>
      <c r="C391" t="str">
        <f t="shared" si="94"/>
        <v>43000</v>
      </c>
      <c r="D391" t="str">
        <f t="shared" si="95"/>
        <v>5740</v>
      </c>
      <c r="E391" t="str">
        <f t="shared" si="96"/>
        <v>850PKE</v>
      </c>
      <c r="F391" t="str">
        <f>""</f>
        <v/>
      </c>
      <c r="G391" t="str">
        <f>""</f>
        <v/>
      </c>
      <c r="H391" s="1">
        <v>39234</v>
      </c>
      <c r="I391" t="str">
        <f>"PCD00272"</f>
        <v>PCD00272</v>
      </c>
      <c r="J391" t="str">
        <f>"60326"</f>
        <v>60326</v>
      </c>
      <c r="K391" t="str">
        <f t="shared" si="92"/>
        <v>AS89</v>
      </c>
      <c r="L391" t="s">
        <v>511</v>
      </c>
      <c r="M391">
        <v>257.31</v>
      </c>
    </row>
    <row r="392" spans="1:13" x14ac:dyDescent="0.25">
      <c r="A392" t="str">
        <f t="shared" si="93"/>
        <v>E257</v>
      </c>
      <c r="B392">
        <v>1</v>
      </c>
      <c r="C392" t="str">
        <f t="shared" si="94"/>
        <v>43000</v>
      </c>
      <c r="D392" t="str">
        <f t="shared" si="95"/>
        <v>5740</v>
      </c>
      <c r="E392" t="str">
        <f t="shared" si="96"/>
        <v>850PKE</v>
      </c>
      <c r="F392" t="str">
        <f>""</f>
        <v/>
      </c>
      <c r="G392" t="str">
        <f>""</f>
        <v/>
      </c>
      <c r="H392" s="1">
        <v>39263</v>
      </c>
      <c r="I392" t="str">
        <f>"PCD00275"</f>
        <v>PCD00275</v>
      </c>
      <c r="J392" t="str">
        <f>"62183"</f>
        <v>62183</v>
      </c>
      <c r="K392" t="str">
        <f t="shared" si="92"/>
        <v>AS89</v>
      </c>
      <c r="L392" t="s">
        <v>509</v>
      </c>
      <c r="M392">
        <v>271.10000000000002</v>
      </c>
    </row>
    <row r="393" spans="1:13" x14ac:dyDescent="0.25">
      <c r="A393" t="str">
        <f t="shared" si="93"/>
        <v>E257</v>
      </c>
      <c r="B393">
        <v>1</v>
      </c>
      <c r="C393" t="str">
        <f t="shared" si="94"/>
        <v>43000</v>
      </c>
      <c r="D393" t="str">
        <f t="shared" si="95"/>
        <v>5740</v>
      </c>
      <c r="E393" t="str">
        <f t="shared" si="96"/>
        <v>850PKE</v>
      </c>
      <c r="F393" t="str">
        <f>""</f>
        <v/>
      </c>
      <c r="G393" t="str">
        <f>""</f>
        <v/>
      </c>
      <c r="H393" s="1">
        <v>39263</v>
      </c>
      <c r="I393" t="str">
        <f>"PCD00275"</f>
        <v>PCD00275</v>
      </c>
      <c r="J393" t="str">
        <f>"62184"</f>
        <v>62184</v>
      </c>
      <c r="K393" t="str">
        <f t="shared" si="92"/>
        <v>AS89</v>
      </c>
      <c r="L393" t="s">
        <v>509</v>
      </c>
      <c r="M393">
        <v>196.43</v>
      </c>
    </row>
    <row r="394" spans="1:13" x14ac:dyDescent="0.25">
      <c r="A394" t="str">
        <f t="shared" ref="A394:A400" si="98">"E260"</f>
        <v>E260</v>
      </c>
      <c r="B394">
        <v>1</v>
      </c>
      <c r="C394" t="str">
        <f t="shared" si="94"/>
        <v>43000</v>
      </c>
      <c r="D394" t="str">
        <f t="shared" si="95"/>
        <v>5740</v>
      </c>
      <c r="E394" t="str">
        <f t="shared" ref="E394:E400" si="99">"850LOS"</f>
        <v>850LOS</v>
      </c>
      <c r="F394" t="str">
        <f>""</f>
        <v/>
      </c>
      <c r="G394" t="str">
        <f>""</f>
        <v/>
      </c>
      <c r="H394" s="1">
        <v>38924</v>
      </c>
      <c r="I394" t="str">
        <f>"ACG01443"</f>
        <v>ACG01443</v>
      </c>
      <c r="J394" t="str">
        <f>""</f>
        <v/>
      </c>
      <c r="K394" t="str">
        <f t="shared" si="92"/>
        <v>AS89</v>
      </c>
      <c r="L394" t="s">
        <v>508</v>
      </c>
      <c r="M394">
        <v>463.07</v>
      </c>
    </row>
    <row r="395" spans="1:13" x14ac:dyDescent="0.25">
      <c r="A395" t="str">
        <f t="shared" si="98"/>
        <v>E260</v>
      </c>
      <c r="B395">
        <v>1</v>
      </c>
      <c r="C395" t="str">
        <f t="shared" si="94"/>
        <v>43000</v>
      </c>
      <c r="D395" t="str">
        <f t="shared" si="95"/>
        <v>5740</v>
      </c>
      <c r="E395" t="str">
        <f t="shared" si="99"/>
        <v>850LOS</v>
      </c>
      <c r="F395" t="str">
        <f>""</f>
        <v/>
      </c>
      <c r="G395" t="str">
        <f>""</f>
        <v/>
      </c>
      <c r="H395" s="1">
        <v>38924</v>
      </c>
      <c r="I395" t="str">
        <f>"ACG01443"</f>
        <v>ACG01443</v>
      </c>
      <c r="J395" t="str">
        <f>""</f>
        <v/>
      </c>
      <c r="K395" t="str">
        <f t="shared" si="92"/>
        <v>AS89</v>
      </c>
      <c r="L395" t="s">
        <v>508</v>
      </c>
      <c r="M395">
        <v>172.57</v>
      </c>
    </row>
    <row r="396" spans="1:13" x14ac:dyDescent="0.25">
      <c r="A396" t="str">
        <f t="shared" si="98"/>
        <v>E260</v>
      </c>
      <c r="B396">
        <v>1</v>
      </c>
      <c r="C396" t="str">
        <f t="shared" si="94"/>
        <v>43000</v>
      </c>
      <c r="D396" t="str">
        <f t="shared" si="95"/>
        <v>5740</v>
      </c>
      <c r="E396" t="str">
        <f t="shared" si="99"/>
        <v>850LOS</v>
      </c>
      <c r="F396" t="str">
        <f>""</f>
        <v/>
      </c>
      <c r="G396" t="str">
        <f>""</f>
        <v/>
      </c>
      <c r="H396" s="1">
        <v>38924</v>
      </c>
      <c r="I396" t="str">
        <f>"ACG01443"</f>
        <v>ACG01443</v>
      </c>
      <c r="J396" t="str">
        <f>""</f>
        <v/>
      </c>
      <c r="K396" t="str">
        <f t="shared" si="92"/>
        <v>AS89</v>
      </c>
      <c r="L396" t="s">
        <v>508</v>
      </c>
      <c r="M396" s="2">
        <v>1034.67</v>
      </c>
    </row>
    <row r="397" spans="1:13" x14ac:dyDescent="0.25">
      <c r="A397" t="str">
        <f t="shared" si="98"/>
        <v>E260</v>
      </c>
      <c r="B397">
        <v>1</v>
      </c>
      <c r="C397" t="str">
        <f t="shared" si="94"/>
        <v>43000</v>
      </c>
      <c r="D397" t="str">
        <f t="shared" si="95"/>
        <v>5740</v>
      </c>
      <c r="E397" t="str">
        <f t="shared" si="99"/>
        <v>850LOS</v>
      </c>
      <c r="F397" t="str">
        <f>""</f>
        <v/>
      </c>
      <c r="G397" t="str">
        <f>""</f>
        <v/>
      </c>
      <c r="H397" s="1">
        <v>38939</v>
      </c>
      <c r="I397" t="str">
        <f>"ACG01469"</f>
        <v>ACG01469</v>
      </c>
      <c r="J397" t="str">
        <f>""</f>
        <v/>
      </c>
      <c r="K397" t="str">
        <f t="shared" si="92"/>
        <v>AS89</v>
      </c>
      <c r="L397" t="s">
        <v>505</v>
      </c>
      <c r="M397">
        <v>244.84</v>
      </c>
    </row>
    <row r="398" spans="1:13" x14ac:dyDescent="0.25">
      <c r="A398" t="str">
        <f t="shared" si="98"/>
        <v>E260</v>
      </c>
      <c r="B398">
        <v>1</v>
      </c>
      <c r="C398" t="str">
        <f t="shared" si="94"/>
        <v>43000</v>
      </c>
      <c r="D398" t="str">
        <f t="shared" si="95"/>
        <v>5740</v>
      </c>
      <c r="E398" t="str">
        <f t="shared" si="99"/>
        <v>850LOS</v>
      </c>
      <c r="F398" t="str">
        <f>""</f>
        <v/>
      </c>
      <c r="G398" t="str">
        <f>""</f>
        <v/>
      </c>
      <c r="H398" s="1">
        <v>39009</v>
      </c>
      <c r="I398" t="str">
        <f>"ACG01499"</f>
        <v>ACG01499</v>
      </c>
      <c r="J398" t="str">
        <f>""</f>
        <v/>
      </c>
      <c r="K398" t="str">
        <f t="shared" si="92"/>
        <v>AS89</v>
      </c>
      <c r="L398" t="s">
        <v>504</v>
      </c>
      <c r="M398" s="2">
        <v>1326.18</v>
      </c>
    </row>
    <row r="399" spans="1:13" x14ac:dyDescent="0.25">
      <c r="A399" t="str">
        <f t="shared" si="98"/>
        <v>E260</v>
      </c>
      <c r="B399">
        <v>1</v>
      </c>
      <c r="C399" t="str">
        <f t="shared" si="94"/>
        <v>43000</v>
      </c>
      <c r="D399" t="str">
        <f t="shared" si="95"/>
        <v>5740</v>
      </c>
      <c r="E399" t="str">
        <f t="shared" si="99"/>
        <v>850LOS</v>
      </c>
      <c r="F399" t="str">
        <f>""</f>
        <v/>
      </c>
      <c r="G399" t="str">
        <f>""</f>
        <v/>
      </c>
      <c r="H399" s="1">
        <v>39042</v>
      </c>
      <c r="I399" t="str">
        <f>"ACG01504"</f>
        <v>ACG01504</v>
      </c>
      <c r="J399" t="str">
        <f>""</f>
        <v/>
      </c>
      <c r="K399" t="str">
        <f t="shared" si="92"/>
        <v>AS89</v>
      </c>
      <c r="L399" t="s">
        <v>507</v>
      </c>
      <c r="M399" s="2">
        <v>2469.9</v>
      </c>
    </row>
    <row r="400" spans="1:13" x14ac:dyDescent="0.25">
      <c r="A400" t="str">
        <f t="shared" si="98"/>
        <v>E260</v>
      </c>
      <c r="B400">
        <v>1</v>
      </c>
      <c r="C400" t="str">
        <f t="shared" si="94"/>
        <v>43000</v>
      </c>
      <c r="D400" t="str">
        <f t="shared" si="95"/>
        <v>5740</v>
      </c>
      <c r="E400" t="str">
        <f t="shared" si="99"/>
        <v>850LOS</v>
      </c>
      <c r="F400" t="str">
        <f>""</f>
        <v/>
      </c>
      <c r="G400" t="str">
        <f>""</f>
        <v/>
      </c>
      <c r="H400" s="1">
        <v>39064</v>
      </c>
      <c r="I400" t="str">
        <f>"ACG01510"</f>
        <v>ACG01510</v>
      </c>
      <c r="J400" t="str">
        <f>""</f>
        <v/>
      </c>
      <c r="K400" t="str">
        <f t="shared" si="92"/>
        <v>AS89</v>
      </c>
      <c r="L400" t="s">
        <v>506</v>
      </c>
      <c r="M400" s="2">
        <v>2443.7600000000002</v>
      </c>
    </row>
    <row r="401" spans="1:13" x14ac:dyDescent="0.25">
      <c r="A401" t="str">
        <f t="shared" ref="A401:A413" si="100">"E261"</f>
        <v>E261</v>
      </c>
      <c r="B401">
        <v>1</v>
      </c>
      <c r="C401" t="str">
        <f>"14185"</f>
        <v>14185</v>
      </c>
      <c r="D401" t="str">
        <f>"5620"</f>
        <v>5620</v>
      </c>
      <c r="E401" t="str">
        <f>"094OMS"</f>
        <v>094OMS</v>
      </c>
      <c r="F401" t="str">
        <f>""</f>
        <v/>
      </c>
      <c r="G401" t="str">
        <f>""</f>
        <v/>
      </c>
      <c r="H401" s="1">
        <v>39003</v>
      </c>
      <c r="I401" t="str">
        <f>"PCD00246"</f>
        <v>PCD00246</v>
      </c>
      <c r="J401" t="str">
        <f>"46360"</f>
        <v>46360</v>
      </c>
      <c r="K401" t="str">
        <f t="shared" si="92"/>
        <v>AS89</v>
      </c>
      <c r="L401" t="s">
        <v>503</v>
      </c>
      <c r="M401">
        <v>399.87</v>
      </c>
    </row>
    <row r="402" spans="1:13" x14ac:dyDescent="0.25">
      <c r="A402" t="str">
        <f t="shared" si="100"/>
        <v>E261</v>
      </c>
      <c r="B402">
        <v>1</v>
      </c>
      <c r="C402" t="str">
        <f>"14185"</f>
        <v>14185</v>
      </c>
      <c r="D402" t="str">
        <f>"5620"</f>
        <v>5620</v>
      </c>
      <c r="E402" t="str">
        <f>"094OMS"</f>
        <v>094OMS</v>
      </c>
      <c r="F402" t="str">
        <f>""</f>
        <v/>
      </c>
      <c r="G402" t="str">
        <f>""</f>
        <v/>
      </c>
      <c r="H402" s="1">
        <v>39003</v>
      </c>
      <c r="I402" t="str">
        <f>"PCD00246"</f>
        <v>PCD00246</v>
      </c>
      <c r="J402" t="str">
        <f>"46361"</f>
        <v>46361</v>
      </c>
      <c r="K402" t="str">
        <f t="shared" si="92"/>
        <v>AS89</v>
      </c>
      <c r="L402" t="s">
        <v>502</v>
      </c>
      <c r="M402">
        <v>169.11</v>
      </c>
    </row>
    <row r="403" spans="1:13" x14ac:dyDescent="0.25">
      <c r="A403" t="str">
        <f t="shared" si="100"/>
        <v>E261</v>
      </c>
      <c r="B403">
        <v>1</v>
      </c>
      <c r="C403" t="str">
        <f>"14185"</f>
        <v>14185</v>
      </c>
      <c r="D403" t="str">
        <f>"5620"</f>
        <v>5620</v>
      </c>
      <c r="E403" t="str">
        <f>"094OMS"</f>
        <v>094OMS</v>
      </c>
      <c r="F403" t="str">
        <f>""</f>
        <v/>
      </c>
      <c r="G403" t="str">
        <f>""</f>
        <v/>
      </c>
      <c r="H403" s="1">
        <v>39003</v>
      </c>
      <c r="I403" t="str">
        <f>"PCD00246"</f>
        <v>PCD00246</v>
      </c>
      <c r="J403" t="str">
        <f>"46572"</f>
        <v>46572</v>
      </c>
      <c r="K403" t="str">
        <f t="shared" si="92"/>
        <v>AS89</v>
      </c>
      <c r="L403" t="s">
        <v>501</v>
      </c>
      <c r="M403">
        <v>104.46</v>
      </c>
    </row>
    <row r="404" spans="1:13" x14ac:dyDescent="0.25">
      <c r="A404" t="str">
        <f t="shared" si="100"/>
        <v>E261</v>
      </c>
      <c r="B404">
        <v>1</v>
      </c>
      <c r="C404" t="str">
        <f t="shared" ref="C404:C413" si="101">"43000"</f>
        <v>43000</v>
      </c>
      <c r="D404" t="str">
        <f t="shared" ref="D404:D413" si="102">"5740"</f>
        <v>5740</v>
      </c>
      <c r="E404" t="str">
        <f>"850LOS"</f>
        <v>850LOS</v>
      </c>
      <c r="F404" t="str">
        <f>""</f>
        <v/>
      </c>
      <c r="G404" t="str">
        <f>""</f>
        <v/>
      </c>
      <c r="H404" s="1">
        <v>38940</v>
      </c>
      <c r="I404" t="str">
        <f>"PCD00239"</f>
        <v>PCD00239</v>
      </c>
      <c r="J404" t="str">
        <f>"43657"</f>
        <v>43657</v>
      </c>
      <c r="K404" t="str">
        <f t="shared" ref="K404:K413" si="103">"AS89"</f>
        <v>AS89</v>
      </c>
      <c r="L404" t="s">
        <v>500</v>
      </c>
      <c r="M404">
        <v>217.22</v>
      </c>
    </row>
    <row r="405" spans="1:13" x14ac:dyDescent="0.25">
      <c r="A405" t="str">
        <f t="shared" si="100"/>
        <v>E261</v>
      </c>
      <c r="B405">
        <v>1</v>
      </c>
      <c r="C405" t="str">
        <f t="shared" si="101"/>
        <v>43000</v>
      </c>
      <c r="D405" t="str">
        <f t="shared" si="102"/>
        <v>5740</v>
      </c>
      <c r="E405" t="str">
        <f>"850LOS"</f>
        <v>850LOS</v>
      </c>
      <c r="F405" t="str">
        <f>""</f>
        <v/>
      </c>
      <c r="G405" t="str">
        <f>""</f>
        <v/>
      </c>
      <c r="H405" s="1">
        <v>38940</v>
      </c>
      <c r="I405" t="str">
        <f>"PCD00239"</f>
        <v>PCD00239</v>
      </c>
      <c r="J405" t="str">
        <f>"43692"</f>
        <v>43692</v>
      </c>
      <c r="K405" t="str">
        <f t="shared" si="103"/>
        <v>AS89</v>
      </c>
      <c r="L405" t="s">
        <v>499</v>
      </c>
      <c r="M405">
        <v>124.46</v>
      </c>
    </row>
    <row r="406" spans="1:13" x14ac:dyDescent="0.25">
      <c r="A406" t="str">
        <f t="shared" si="100"/>
        <v>E261</v>
      </c>
      <c r="B406">
        <v>1</v>
      </c>
      <c r="C406" t="str">
        <f t="shared" si="101"/>
        <v>43000</v>
      </c>
      <c r="D406" t="str">
        <f t="shared" si="102"/>
        <v>5740</v>
      </c>
      <c r="E406" t="str">
        <f>"850LOS"</f>
        <v>850LOS</v>
      </c>
      <c r="F406" t="str">
        <f>""</f>
        <v/>
      </c>
      <c r="G406" t="str">
        <f>""</f>
        <v/>
      </c>
      <c r="H406" s="1">
        <v>38989</v>
      </c>
      <c r="I406" t="str">
        <f>"PCD00244"</f>
        <v>PCD00244</v>
      </c>
      <c r="J406" t="str">
        <f>"45248"</f>
        <v>45248</v>
      </c>
      <c r="K406" t="str">
        <f t="shared" si="103"/>
        <v>AS89</v>
      </c>
      <c r="L406" t="s">
        <v>498</v>
      </c>
      <c r="M406">
        <v>120.46</v>
      </c>
    </row>
    <row r="407" spans="1:13" x14ac:dyDescent="0.25">
      <c r="A407" t="str">
        <f t="shared" si="100"/>
        <v>E261</v>
      </c>
      <c r="B407">
        <v>1</v>
      </c>
      <c r="C407" t="str">
        <f t="shared" si="101"/>
        <v>43000</v>
      </c>
      <c r="D407" t="str">
        <f t="shared" si="102"/>
        <v>5740</v>
      </c>
      <c r="E407" t="str">
        <f>"850LOS"</f>
        <v>850LOS</v>
      </c>
      <c r="F407" t="str">
        <f>""</f>
        <v/>
      </c>
      <c r="G407" t="str">
        <f>""</f>
        <v/>
      </c>
      <c r="H407" s="1">
        <v>39104</v>
      </c>
      <c r="I407" t="str">
        <f>"PCD00255"</f>
        <v>PCD00255</v>
      </c>
      <c r="J407" t="str">
        <f>"51702"</f>
        <v>51702</v>
      </c>
      <c r="K407" t="str">
        <f t="shared" si="103"/>
        <v>AS89</v>
      </c>
      <c r="L407" t="s">
        <v>449</v>
      </c>
      <c r="M407">
        <v>128.54</v>
      </c>
    </row>
    <row r="408" spans="1:13" x14ac:dyDescent="0.25">
      <c r="A408" t="str">
        <f t="shared" si="100"/>
        <v>E261</v>
      </c>
      <c r="B408">
        <v>1</v>
      </c>
      <c r="C408" t="str">
        <f t="shared" si="101"/>
        <v>43000</v>
      </c>
      <c r="D408" t="str">
        <f t="shared" si="102"/>
        <v>5740</v>
      </c>
      <c r="E408" t="str">
        <f>"850LOS"</f>
        <v>850LOS</v>
      </c>
      <c r="F408" t="str">
        <f>""</f>
        <v/>
      </c>
      <c r="G408" t="str">
        <f>""</f>
        <v/>
      </c>
      <c r="H408" s="1">
        <v>39104</v>
      </c>
      <c r="I408" t="str">
        <f>"PCD00255"</f>
        <v>PCD00255</v>
      </c>
      <c r="J408" t="str">
        <f>"51704"</f>
        <v>51704</v>
      </c>
      <c r="K408" t="str">
        <f t="shared" si="103"/>
        <v>AS89</v>
      </c>
      <c r="L408" t="s">
        <v>495</v>
      </c>
      <c r="M408">
        <v>110.62</v>
      </c>
    </row>
    <row r="409" spans="1:13" x14ac:dyDescent="0.25">
      <c r="A409" t="str">
        <f t="shared" si="100"/>
        <v>E261</v>
      </c>
      <c r="B409">
        <v>1</v>
      </c>
      <c r="C409" t="str">
        <f t="shared" si="101"/>
        <v>43000</v>
      </c>
      <c r="D409" t="str">
        <f t="shared" si="102"/>
        <v>5740</v>
      </c>
      <c r="E409" t="str">
        <f>"850PKE"</f>
        <v>850PKE</v>
      </c>
      <c r="F409" t="str">
        <f>""</f>
        <v/>
      </c>
      <c r="G409" t="str">
        <f>""</f>
        <v/>
      </c>
      <c r="H409" s="1">
        <v>38989</v>
      </c>
      <c r="I409" t="str">
        <f>"PCD00244"</f>
        <v>PCD00244</v>
      </c>
      <c r="J409" t="str">
        <f>"45179"</f>
        <v>45179</v>
      </c>
      <c r="K409" t="str">
        <f t="shared" si="103"/>
        <v>AS89</v>
      </c>
      <c r="L409" t="s">
        <v>497</v>
      </c>
      <c r="M409">
        <v>169.11</v>
      </c>
    </row>
    <row r="410" spans="1:13" x14ac:dyDescent="0.25">
      <c r="A410" t="str">
        <f t="shared" si="100"/>
        <v>E261</v>
      </c>
      <c r="B410">
        <v>1</v>
      </c>
      <c r="C410" t="str">
        <f t="shared" si="101"/>
        <v>43000</v>
      </c>
      <c r="D410" t="str">
        <f t="shared" si="102"/>
        <v>5740</v>
      </c>
      <c r="E410" t="str">
        <f>"850PKE"</f>
        <v>850PKE</v>
      </c>
      <c r="F410" t="str">
        <f>""</f>
        <v/>
      </c>
      <c r="G410" t="str">
        <f>""</f>
        <v/>
      </c>
      <c r="H410" s="1">
        <v>39104</v>
      </c>
      <c r="I410" t="str">
        <f>"PCD00255"</f>
        <v>PCD00255</v>
      </c>
      <c r="J410" t="str">
        <f>"51701"</f>
        <v>51701</v>
      </c>
      <c r="K410" t="str">
        <f t="shared" si="103"/>
        <v>AS89</v>
      </c>
      <c r="L410" t="s">
        <v>496</v>
      </c>
      <c r="M410">
        <v>380.88</v>
      </c>
    </row>
    <row r="411" spans="1:13" x14ac:dyDescent="0.25">
      <c r="A411" t="str">
        <f t="shared" si="100"/>
        <v>E261</v>
      </c>
      <c r="B411">
        <v>1</v>
      </c>
      <c r="C411" t="str">
        <f t="shared" si="101"/>
        <v>43000</v>
      </c>
      <c r="D411" t="str">
        <f t="shared" si="102"/>
        <v>5740</v>
      </c>
      <c r="E411" t="str">
        <f>"850PKE"</f>
        <v>850PKE</v>
      </c>
      <c r="F411" t="str">
        <f>""</f>
        <v/>
      </c>
      <c r="G411" t="str">
        <f>""</f>
        <v/>
      </c>
      <c r="H411" s="1">
        <v>39104</v>
      </c>
      <c r="I411" t="str">
        <f>"PCD00255"</f>
        <v>PCD00255</v>
      </c>
      <c r="J411" t="str">
        <f>"51704"</f>
        <v>51704</v>
      </c>
      <c r="K411" t="str">
        <f t="shared" si="103"/>
        <v>AS89</v>
      </c>
      <c r="L411" t="s">
        <v>495</v>
      </c>
      <c r="M411">
        <v>110.62</v>
      </c>
    </row>
    <row r="412" spans="1:13" x14ac:dyDescent="0.25">
      <c r="A412" t="str">
        <f t="shared" si="100"/>
        <v>E261</v>
      </c>
      <c r="B412">
        <v>1</v>
      </c>
      <c r="C412" t="str">
        <f t="shared" si="101"/>
        <v>43000</v>
      </c>
      <c r="D412" t="str">
        <f t="shared" si="102"/>
        <v>5740</v>
      </c>
      <c r="E412" t="str">
        <f>"850PKE"</f>
        <v>850PKE</v>
      </c>
      <c r="F412" t="str">
        <f>""</f>
        <v/>
      </c>
      <c r="G412" t="str">
        <f>""</f>
        <v/>
      </c>
      <c r="H412" s="1">
        <v>39129</v>
      </c>
      <c r="I412" t="str">
        <f>"PCD00257"</f>
        <v>PCD00257</v>
      </c>
      <c r="J412" t="str">
        <f>"52111"</f>
        <v>52111</v>
      </c>
      <c r="K412" t="str">
        <f t="shared" si="103"/>
        <v>AS89</v>
      </c>
      <c r="L412" t="s">
        <v>494</v>
      </c>
      <c r="M412">
        <v>173.12</v>
      </c>
    </row>
    <row r="413" spans="1:13" x14ac:dyDescent="0.25">
      <c r="A413" t="str">
        <f t="shared" si="100"/>
        <v>E261</v>
      </c>
      <c r="B413">
        <v>1</v>
      </c>
      <c r="C413" t="str">
        <f t="shared" si="101"/>
        <v>43000</v>
      </c>
      <c r="D413" t="str">
        <f t="shared" si="102"/>
        <v>5740</v>
      </c>
      <c r="E413" t="str">
        <f>"850PKE"</f>
        <v>850PKE</v>
      </c>
      <c r="F413" t="str">
        <f>""</f>
        <v/>
      </c>
      <c r="G413" t="str">
        <f>""</f>
        <v/>
      </c>
      <c r="H413" s="1">
        <v>39129</v>
      </c>
      <c r="I413" t="str">
        <f>"PCD00257"</f>
        <v>PCD00257</v>
      </c>
      <c r="J413" t="str">
        <f>"52231"</f>
        <v>52231</v>
      </c>
      <c r="K413" t="str">
        <f t="shared" si="103"/>
        <v>AS89</v>
      </c>
      <c r="L413" t="s">
        <v>493</v>
      </c>
      <c r="M413">
        <v>193.34</v>
      </c>
    </row>
    <row r="414" spans="1:13" x14ac:dyDescent="0.25">
      <c r="A414" t="str">
        <f>"E263"</f>
        <v>E263</v>
      </c>
      <c r="B414">
        <v>1</v>
      </c>
      <c r="C414" t="str">
        <f>"14185"</f>
        <v>14185</v>
      </c>
      <c r="D414" t="str">
        <f>"5620"</f>
        <v>5620</v>
      </c>
      <c r="E414" t="str">
        <f>"094OMS"</f>
        <v>094OMS</v>
      </c>
      <c r="F414" t="str">
        <f>""</f>
        <v/>
      </c>
      <c r="G414" t="str">
        <f>""</f>
        <v/>
      </c>
      <c r="H414" s="1">
        <v>39010</v>
      </c>
      <c r="I414" t="str">
        <f>"110036"</f>
        <v>110036</v>
      </c>
      <c r="J414" t="str">
        <f>""</f>
        <v/>
      </c>
      <c r="K414" t="str">
        <f>"INNI"</f>
        <v>INNI</v>
      </c>
      <c r="L414" t="s">
        <v>446</v>
      </c>
      <c r="M414">
        <v>276.02999999999997</v>
      </c>
    </row>
    <row r="415" spans="1:13" x14ac:dyDescent="0.25">
      <c r="A415" t="str">
        <f>"E263"</f>
        <v>E263</v>
      </c>
      <c r="B415">
        <v>1</v>
      </c>
      <c r="C415" t="str">
        <f>"43000"</f>
        <v>43000</v>
      </c>
      <c r="D415" t="str">
        <f>"5740"</f>
        <v>5740</v>
      </c>
      <c r="E415" t="str">
        <f t="shared" ref="E415:E432" si="104">"850LOS"</f>
        <v>850LOS</v>
      </c>
      <c r="F415" t="str">
        <f>""</f>
        <v/>
      </c>
      <c r="G415" t="str">
        <f>""</f>
        <v/>
      </c>
      <c r="H415" s="1">
        <v>39010</v>
      </c>
      <c r="I415" t="str">
        <f>"110036"</f>
        <v>110036</v>
      </c>
      <c r="J415" t="str">
        <f>""</f>
        <v/>
      </c>
      <c r="K415" t="str">
        <f>"INNI"</f>
        <v>INNI</v>
      </c>
      <c r="L415" t="s">
        <v>446</v>
      </c>
      <c r="M415">
        <v>276.04000000000002</v>
      </c>
    </row>
    <row r="416" spans="1:13" x14ac:dyDescent="0.25">
      <c r="A416" t="str">
        <f t="shared" ref="A416:A423" si="105">"E267"</f>
        <v>E267</v>
      </c>
      <c r="B416">
        <v>1</v>
      </c>
      <c r="C416" t="str">
        <f>"32040"</f>
        <v>32040</v>
      </c>
      <c r="D416" t="str">
        <f>"5610"</f>
        <v>5610</v>
      </c>
      <c r="E416" t="str">
        <f t="shared" si="104"/>
        <v>850LOS</v>
      </c>
      <c r="F416" t="str">
        <f>""</f>
        <v/>
      </c>
      <c r="G416" t="str">
        <f>""</f>
        <v/>
      </c>
      <c r="H416" s="1">
        <v>39020</v>
      </c>
      <c r="I416" t="str">
        <f>"G0704164"</f>
        <v>G0704164</v>
      </c>
      <c r="J416" t="str">
        <f>""</f>
        <v/>
      </c>
      <c r="K416" t="str">
        <f t="shared" ref="K416:K423" si="106">"J096"</f>
        <v>J096</v>
      </c>
      <c r="L416" t="s">
        <v>492</v>
      </c>
      <c r="M416">
        <v>742.78</v>
      </c>
    </row>
    <row r="417" spans="1:13" x14ac:dyDescent="0.25">
      <c r="A417" t="str">
        <f t="shared" si="105"/>
        <v>E267</v>
      </c>
      <c r="B417">
        <v>1</v>
      </c>
      <c r="C417" t="str">
        <f>"32040"</f>
        <v>32040</v>
      </c>
      <c r="D417" t="str">
        <f>"5610"</f>
        <v>5610</v>
      </c>
      <c r="E417" t="str">
        <f t="shared" si="104"/>
        <v>850LOS</v>
      </c>
      <c r="F417" t="str">
        <f>""</f>
        <v/>
      </c>
      <c r="G417" t="str">
        <f>""</f>
        <v/>
      </c>
      <c r="H417" s="1">
        <v>39099</v>
      </c>
      <c r="I417" t="str">
        <f>"G0707054"</f>
        <v>G0707054</v>
      </c>
      <c r="J417" t="str">
        <f>""</f>
        <v/>
      </c>
      <c r="K417" t="str">
        <f t="shared" si="106"/>
        <v>J096</v>
      </c>
      <c r="L417" t="s">
        <v>491</v>
      </c>
      <c r="M417">
        <v>742.78</v>
      </c>
    </row>
    <row r="418" spans="1:13" x14ac:dyDescent="0.25">
      <c r="A418" t="str">
        <f t="shared" si="105"/>
        <v>E267</v>
      </c>
      <c r="B418">
        <v>1</v>
      </c>
      <c r="C418" t="str">
        <f>"32040"</f>
        <v>32040</v>
      </c>
      <c r="D418" t="str">
        <f>"5610"</f>
        <v>5610</v>
      </c>
      <c r="E418" t="str">
        <f t="shared" si="104"/>
        <v>850LOS</v>
      </c>
      <c r="F418" t="str">
        <f>""</f>
        <v/>
      </c>
      <c r="G418" t="str">
        <f>""</f>
        <v/>
      </c>
      <c r="H418" s="1">
        <v>39171</v>
      </c>
      <c r="I418" t="str">
        <f>"G0709194"</f>
        <v>G0709194</v>
      </c>
      <c r="J418" t="str">
        <f>""</f>
        <v/>
      </c>
      <c r="K418" t="str">
        <f t="shared" si="106"/>
        <v>J096</v>
      </c>
      <c r="L418" t="s">
        <v>490</v>
      </c>
      <c r="M418">
        <v>742.78</v>
      </c>
    </row>
    <row r="419" spans="1:13" x14ac:dyDescent="0.25">
      <c r="A419" t="str">
        <f t="shared" si="105"/>
        <v>E267</v>
      </c>
      <c r="B419">
        <v>1</v>
      </c>
      <c r="C419" t="str">
        <f>"32040"</f>
        <v>32040</v>
      </c>
      <c r="D419" t="str">
        <f>"5610"</f>
        <v>5610</v>
      </c>
      <c r="E419" t="str">
        <f t="shared" si="104"/>
        <v>850LOS</v>
      </c>
      <c r="F419" t="str">
        <f>""</f>
        <v/>
      </c>
      <c r="G419" t="str">
        <f>""</f>
        <v/>
      </c>
      <c r="H419" s="1">
        <v>39247</v>
      </c>
      <c r="I419" t="str">
        <f>"G0712069"</f>
        <v>G0712069</v>
      </c>
      <c r="J419" t="str">
        <f>""</f>
        <v/>
      </c>
      <c r="K419" t="str">
        <f t="shared" si="106"/>
        <v>J096</v>
      </c>
      <c r="L419" t="s">
        <v>489</v>
      </c>
      <c r="M419">
        <v>742.78</v>
      </c>
    </row>
    <row r="420" spans="1:13" x14ac:dyDescent="0.25">
      <c r="A420" t="str">
        <f t="shared" si="105"/>
        <v>E267</v>
      </c>
      <c r="B420">
        <v>1</v>
      </c>
      <c r="C420" t="str">
        <f>"43000"</f>
        <v>43000</v>
      </c>
      <c r="D420" t="str">
        <f t="shared" ref="D420:D427" si="107">"5740"</f>
        <v>5740</v>
      </c>
      <c r="E420" t="str">
        <f t="shared" si="104"/>
        <v>850LOS</v>
      </c>
      <c r="F420" t="str">
        <f>""</f>
        <v/>
      </c>
      <c r="G420" t="str">
        <f>""</f>
        <v/>
      </c>
      <c r="H420" s="1">
        <v>39020</v>
      </c>
      <c r="I420" t="str">
        <f>"G0704164"</f>
        <v>G0704164</v>
      </c>
      <c r="J420" t="str">
        <f>""</f>
        <v/>
      </c>
      <c r="K420" t="str">
        <f t="shared" si="106"/>
        <v>J096</v>
      </c>
      <c r="L420" t="s">
        <v>492</v>
      </c>
      <c r="M420" s="2">
        <v>2460.96</v>
      </c>
    </row>
    <row r="421" spans="1:13" x14ac:dyDescent="0.25">
      <c r="A421" t="str">
        <f t="shared" si="105"/>
        <v>E267</v>
      </c>
      <c r="B421">
        <v>1</v>
      </c>
      <c r="C421" t="str">
        <f>"43000"</f>
        <v>43000</v>
      </c>
      <c r="D421" t="str">
        <f t="shared" si="107"/>
        <v>5740</v>
      </c>
      <c r="E421" t="str">
        <f t="shared" si="104"/>
        <v>850LOS</v>
      </c>
      <c r="F421" t="str">
        <f>""</f>
        <v/>
      </c>
      <c r="G421" t="str">
        <f>""</f>
        <v/>
      </c>
      <c r="H421" s="1">
        <v>39099</v>
      </c>
      <c r="I421" t="str">
        <f>"G0707054"</f>
        <v>G0707054</v>
      </c>
      <c r="J421" t="str">
        <f>""</f>
        <v/>
      </c>
      <c r="K421" t="str">
        <f t="shared" si="106"/>
        <v>J096</v>
      </c>
      <c r="L421" t="s">
        <v>491</v>
      </c>
      <c r="M421" s="2">
        <v>2460.96</v>
      </c>
    </row>
    <row r="422" spans="1:13" x14ac:dyDescent="0.25">
      <c r="A422" t="str">
        <f t="shared" si="105"/>
        <v>E267</v>
      </c>
      <c r="B422">
        <v>1</v>
      </c>
      <c r="C422" t="str">
        <f>"43000"</f>
        <v>43000</v>
      </c>
      <c r="D422" t="str">
        <f t="shared" si="107"/>
        <v>5740</v>
      </c>
      <c r="E422" t="str">
        <f t="shared" si="104"/>
        <v>850LOS</v>
      </c>
      <c r="F422" t="str">
        <f>""</f>
        <v/>
      </c>
      <c r="G422" t="str">
        <f>""</f>
        <v/>
      </c>
      <c r="H422" s="1">
        <v>39171</v>
      </c>
      <c r="I422" t="str">
        <f>"G0709194"</f>
        <v>G0709194</v>
      </c>
      <c r="J422" t="str">
        <f>""</f>
        <v/>
      </c>
      <c r="K422" t="str">
        <f t="shared" si="106"/>
        <v>J096</v>
      </c>
      <c r="L422" t="s">
        <v>490</v>
      </c>
      <c r="M422" s="2">
        <v>2460.96</v>
      </c>
    </row>
    <row r="423" spans="1:13" x14ac:dyDescent="0.25">
      <c r="A423" t="str">
        <f t="shared" si="105"/>
        <v>E267</v>
      </c>
      <c r="B423">
        <v>1</v>
      </c>
      <c r="C423" t="str">
        <f>"43000"</f>
        <v>43000</v>
      </c>
      <c r="D423" t="str">
        <f t="shared" si="107"/>
        <v>5740</v>
      </c>
      <c r="E423" t="str">
        <f t="shared" si="104"/>
        <v>850LOS</v>
      </c>
      <c r="F423" t="str">
        <f>""</f>
        <v/>
      </c>
      <c r="G423" t="str">
        <f>""</f>
        <v/>
      </c>
      <c r="H423" s="1">
        <v>39247</v>
      </c>
      <c r="I423" t="str">
        <f>"G0712069"</f>
        <v>G0712069</v>
      </c>
      <c r="J423" t="str">
        <f>""</f>
        <v/>
      </c>
      <c r="K423" t="str">
        <f t="shared" si="106"/>
        <v>J096</v>
      </c>
      <c r="L423" t="s">
        <v>489</v>
      </c>
      <c r="M423" s="2">
        <v>2460.96</v>
      </c>
    </row>
    <row r="424" spans="1:13" x14ac:dyDescent="0.25">
      <c r="A424" t="str">
        <f>"E279"</f>
        <v>E279</v>
      </c>
      <c r="B424">
        <v>1</v>
      </c>
      <c r="C424" t="str">
        <f>"43004"</f>
        <v>43004</v>
      </c>
      <c r="D424" t="str">
        <f t="shared" si="107"/>
        <v>5740</v>
      </c>
      <c r="E424" t="str">
        <f t="shared" si="104"/>
        <v>850LOS</v>
      </c>
      <c r="F424" t="str">
        <f>""</f>
        <v/>
      </c>
      <c r="G424" t="str">
        <f>""</f>
        <v/>
      </c>
      <c r="H424" s="1">
        <v>39006</v>
      </c>
      <c r="I424" t="str">
        <f>"2650433"</f>
        <v>2650433</v>
      </c>
      <c r="J424" t="str">
        <f>"B076209B"</f>
        <v>B076209B</v>
      </c>
      <c r="K424" t="str">
        <f>"INNI"</f>
        <v>INNI</v>
      </c>
      <c r="L424" t="s">
        <v>330</v>
      </c>
      <c r="M424" s="2">
        <v>1680</v>
      </c>
    </row>
    <row r="425" spans="1:13" x14ac:dyDescent="0.25">
      <c r="A425" t="str">
        <f>"E279"</f>
        <v>E279</v>
      </c>
      <c r="B425">
        <v>1</v>
      </c>
      <c r="C425" t="str">
        <f>"43004"</f>
        <v>43004</v>
      </c>
      <c r="D425" t="str">
        <f t="shared" si="107"/>
        <v>5740</v>
      </c>
      <c r="E425" t="str">
        <f t="shared" si="104"/>
        <v>850LOS</v>
      </c>
      <c r="F425" t="str">
        <f>""</f>
        <v/>
      </c>
      <c r="G425" t="str">
        <f>""</f>
        <v/>
      </c>
      <c r="H425" s="1">
        <v>39121</v>
      </c>
      <c r="I425" t="str">
        <f>"2650582"</f>
        <v>2650582</v>
      </c>
      <c r="J425" t="str">
        <f>"B113803"</f>
        <v>B113803</v>
      </c>
      <c r="K425" t="str">
        <f>"INNI"</f>
        <v>INNI</v>
      </c>
      <c r="L425" t="s">
        <v>330</v>
      </c>
      <c r="M425" s="2">
        <v>270510</v>
      </c>
    </row>
    <row r="426" spans="1:13" x14ac:dyDescent="0.25">
      <c r="A426" t="str">
        <f>"E279"</f>
        <v>E279</v>
      </c>
      <c r="B426">
        <v>1</v>
      </c>
      <c r="C426" t="str">
        <f>"43004"</f>
        <v>43004</v>
      </c>
      <c r="D426" t="str">
        <f t="shared" si="107"/>
        <v>5740</v>
      </c>
      <c r="E426" t="str">
        <f t="shared" si="104"/>
        <v>850LOS</v>
      </c>
      <c r="F426" t="str">
        <f>""</f>
        <v/>
      </c>
      <c r="G426" t="str">
        <f>""</f>
        <v/>
      </c>
      <c r="H426" s="1">
        <v>39258</v>
      </c>
      <c r="I426" t="str">
        <f>"G0712204"</f>
        <v>G0712204</v>
      </c>
      <c r="J426" t="str">
        <f>"2750182"</f>
        <v>2750182</v>
      </c>
      <c r="K426" t="str">
        <f>"J079"</f>
        <v>J079</v>
      </c>
      <c r="L426" t="s">
        <v>488</v>
      </c>
      <c r="M426" s="2">
        <v>84660</v>
      </c>
    </row>
    <row r="427" spans="1:13" x14ac:dyDescent="0.25">
      <c r="A427" t="str">
        <f>"E279"</f>
        <v>E279</v>
      </c>
      <c r="B427">
        <v>1</v>
      </c>
      <c r="C427" t="str">
        <f>"43004"</f>
        <v>43004</v>
      </c>
      <c r="D427" t="str">
        <f t="shared" si="107"/>
        <v>5740</v>
      </c>
      <c r="E427" t="str">
        <f t="shared" si="104"/>
        <v>850LOS</v>
      </c>
      <c r="F427" t="str">
        <f>""</f>
        <v/>
      </c>
      <c r="G427" t="str">
        <f>""</f>
        <v/>
      </c>
      <c r="H427" s="1">
        <v>39263</v>
      </c>
      <c r="I427" t="str">
        <f>"750301IN"</f>
        <v>750301IN</v>
      </c>
      <c r="J427" t="str">
        <f>"B113803"</f>
        <v>B113803</v>
      </c>
      <c r="K427" t="str">
        <f>"INNI"</f>
        <v>INNI</v>
      </c>
      <c r="L427" t="s">
        <v>330</v>
      </c>
      <c r="M427" s="2">
        <v>67380</v>
      </c>
    </row>
    <row r="428" spans="1:13" x14ac:dyDescent="0.25">
      <c r="A428" t="str">
        <f>"E303"</f>
        <v>E303</v>
      </c>
      <c r="B428">
        <v>1</v>
      </c>
      <c r="C428" t="str">
        <f>"32040"</f>
        <v>32040</v>
      </c>
      <c r="D428" t="str">
        <f>"5610"</f>
        <v>5610</v>
      </c>
      <c r="E428" t="str">
        <f t="shared" si="104"/>
        <v>850LOS</v>
      </c>
      <c r="F428" t="str">
        <f>""</f>
        <v/>
      </c>
      <c r="G428" t="str">
        <f>""</f>
        <v/>
      </c>
      <c r="H428" s="1">
        <v>39227</v>
      </c>
      <c r="I428" t="str">
        <f>"5139250"</f>
        <v>5139250</v>
      </c>
      <c r="J428" t="str">
        <f>"B171038M"</f>
        <v>B171038M</v>
      </c>
      <c r="K428" t="str">
        <f>"INNI"</f>
        <v>INNI</v>
      </c>
      <c r="L428" t="s">
        <v>487</v>
      </c>
      <c r="M428">
        <v>295.36</v>
      </c>
    </row>
    <row r="429" spans="1:13" x14ac:dyDescent="0.25">
      <c r="A429" t="str">
        <f>"E303"</f>
        <v>E303</v>
      </c>
      <c r="B429">
        <v>1</v>
      </c>
      <c r="C429" t="str">
        <f>"32040"</f>
        <v>32040</v>
      </c>
      <c r="D429" t="str">
        <f>"5610"</f>
        <v>5610</v>
      </c>
      <c r="E429" t="str">
        <f t="shared" si="104"/>
        <v>850LOS</v>
      </c>
      <c r="F429" t="str">
        <f>""</f>
        <v/>
      </c>
      <c r="G429" t="str">
        <f>""</f>
        <v/>
      </c>
      <c r="H429" s="1">
        <v>39263</v>
      </c>
      <c r="I429" t="str">
        <f>"5174189"</f>
        <v>5174189</v>
      </c>
      <c r="J429" t="str">
        <f>"B170188N"</f>
        <v>B170188N</v>
      </c>
      <c r="K429" t="str">
        <f>"INNI"</f>
        <v>INNI</v>
      </c>
      <c r="L429" t="s">
        <v>487</v>
      </c>
      <c r="M429">
        <v>161.19</v>
      </c>
    </row>
    <row r="430" spans="1:13" x14ac:dyDescent="0.25">
      <c r="A430" t="str">
        <f>"E303"</f>
        <v>E303</v>
      </c>
      <c r="B430">
        <v>1</v>
      </c>
      <c r="C430" t="str">
        <f>"32040"</f>
        <v>32040</v>
      </c>
      <c r="D430" t="str">
        <f>"5610"</f>
        <v>5610</v>
      </c>
      <c r="E430" t="str">
        <f t="shared" si="104"/>
        <v>850LOS</v>
      </c>
      <c r="F430" t="str">
        <f>""</f>
        <v/>
      </c>
      <c r="G430" t="str">
        <f>""</f>
        <v/>
      </c>
      <c r="H430" s="1">
        <v>39263</v>
      </c>
      <c r="I430" t="str">
        <f>"5178090"</f>
        <v>5178090</v>
      </c>
      <c r="J430" t="str">
        <f>"B170188N"</f>
        <v>B170188N</v>
      </c>
      <c r="K430" t="str">
        <f>"INNI"</f>
        <v>INNI</v>
      </c>
      <c r="L430" t="s">
        <v>487</v>
      </c>
      <c r="M430">
        <v>134.01</v>
      </c>
    </row>
    <row r="431" spans="1:13" x14ac:dyDescent="0.25">
      <c r="A431" t="str">
        <f>"E303"</f>
        <v>E303</v>
      </c>
      <c r="B431">
        <v>1</v>
      </c>
      <c r="C431" t="str">
        <f>"32040"</f>
        <v>32040</v>
      </c>
      <c r="D431" t="str">
        <f>"5610"</f>
        <v>5610</v>
      </c>
      <c r="E431" t="str">
        <f t="shared" si="104"/>
        <v>850LOS</v>
      </c>
      <c r="F431" t="str">
        <f>""</f>
        <v/>
      </c>
      <c r="G431" t="str">
        <f>""</f>
        <v/>
      </c>
      <c r="H431" s="1">
        <v>39263</v>
      </c>
      <c r="I431" t="str">
        <f>"G0714174"</f>
        <v>G0714174</v>
      </c>
      <c r="J431" t="str">
        <f>"5174189"</f>
        <v>5174189</v>
      </c>
      <c r="K431" t="str">
        <f>"J096"</f>
        <v>J096</v>
      </c>
      <c r="L431" t="s">
        <v>486</v>
      </c>
      <c r="M431">
        <v>161.19</v>
      </c>
    </row>
    <row r="432" spans="1:13" x14ac:dyDescent="0.25">
      <c r="A432" t="str">
        <f>"E303"</f>
        <v>E303</v>
      </c>
      <c r="B432">
        <v>1</v>
      </c>
      <c r="C432" t="str">
        <f>"32040"</f>
        <v>32040</v>
      </c>
      <c r="D432" t="str">
        <f>"5610"</f>
        <v>5610</v>
      </c>
      <c r="E432" t="str">
        <f t="shared" si="104"/>
        <v>850LOS</v>
      </c>
      <c r="F432" t="str">
        <f>""</f>
        <v/>
      </c>
      <c r="G432" t="str">
        <f>""</f>
        <v/>
      </c>
      <c r="H432" s="1">
        <v>39263</v>
      </c>
      <c r="I432" t="str">
        <f>"G0714174"</f>
        <v>G0714174</v>
      </c>
      <c r="J432" t="str">
        <f>"5178090"</f>
        <v>5178090</v>
      </c>
      <c r="K432" t="str">
        <f>"J096"</f>
        <v>J096</v>
      </c>
      <c r="L432" t="s">
        <v>486</v>
      </c>
      <c r="M432">
        <v>134.01</v>
      </c>
    </row>
    <row r="433" spans="1:13" x14ac:dyDescent="0.25">
      <c r="A433" t="str">
        <f t="shared" ref="A433:A453" si="108">"E351"</f>
        <v>E351</v>
      </c>
      <c r="B433">
        <v>1</v>
      </c>
      <c r="C433" t="str">
        <f t="shared" ref="C433:C450" si="109">"14185"</f>
        <v>14185</v>
      </c>
      <c r="D433" t="str">
        <f t="shared" ref="D433:D451" si="110">"5620"</f>
        <v>5620</v>
      </c>
      <c r="E433" t="str">
        <f t="shared" ref="E433:E451" si="111">"094OMS"</f>
        <v>094OMS</v>
      </c>
      <c r="F433" t="str">
        <f>""</f>
        <v/>
      </c>
      <c r="G433" t="str">
        <f>""</f>
        <v/>
      </c>
      <c r="H433" s="1">
        <v>38960</v>
      </c>
      <c r="I433" t="str">
        <f>"V96910"</f>
        <v>V96910</v>
      </c>
      <c r="J433" t="str">
        <f>""</f>
        <v/>
      </c>
      <c r="K433" t="str">
        <f t="shared" ref="K433:K444" si="112">"INNI"</f>
        <v>INNI</v>
      </c>
      <c r="L433" t="s">
        <v>336</v>
      </c>
      <c r="M433">
        <v>582.24</v>
      </c>
    </row>
    <row r="434" spans="1:13" x14ac:dyDescent="0.25">
      <c r="A434" t="str">
        <f t="shared" si="108"/>
        <v>E351</v>
      </c>
      <c r="B434">
        <v>1</v>
      </c>
      <c r="C434" t="str">
        <f t="shared" si="109"/>
        <v>14185</v>
      </c>
      <c r="D434" t="str">
        <f t="shared" si="110"/>
        <v>5620</v>
      </c>
      <c r="E434" t="str">
        <f t="shared" si="111"/>
        <v>094OMS</v>
      </c>
      <c r="F434" t="str">
        <f>""</f>
        <v/>
      </c>
      <c r="G434" t="str">
        <f>""</f>
        <v/>
      </c>
      <c r="H434" s="1">
        <v>38978</v>
      </c>
      <c r="I434" t="str">
        <f>"V96911"</f>
        <v>V96911</v>
      </c>
      <c r="J434" t="str">
        <f>""</f>
        <v/>
      </c>
      <c r="K434" t="str">
        <f t="shared" si="112"/>
        <v>INNI</v>
      </c>
      <c r="L434" t="s">
        <v>197</v>
      </c>
      <c r="M434">
        <v>137.13</v>
      </c>
    </row>
    <row r="435" spans="1:13" x14ac:dyDescent="0.25">
      <c r="A435" t="str">
        <f t="shared" si="108"/>
        <v>E351</v>
      </c>
      <c r="B435">
        <v>1</v>
      </c>
      <c r="C435" t="str">
        <f t="shared" si="109"/>
        <v>14185</v>
      </c>
      <c r="D435" t="str">
        <f t="shared" si="110"/>
        <v>5620</v>
      </c>
      <c r="E435" t="str">
        <f t="shared" si="111"/>
        <v>094OMS</v>
      </c>
      <c r="F435" t="str">
        <f>""</f>
        <v/>
      </c>
      <c r="G435" t="str">
        <f>""</f>
        <v/>
      </c>
      <c r="H435" s="1">
        <v>39030</v>
      </c>
      <c r="I435" t="str">
        <f>"V90256"</f>
        <v>V90256</v>
      </c>
      <c r="J435" t="str">
        <f>""</f>
        <v/>
      </c>
      <c r="K435" t="str">
        <f t="shared" si="112"/>
        <v>INNI</v>
      </c>
      <c r="L435" t="s">
        <v>337</v>
      </c>
      <c r="M435">
        <v>186.36</v>
      </c>
    </row>
    <row r="436" spans="1:13" x14ac:dyDescent="0.25">
      <c r="A436" t="str">
        <f t="shared" si="108"/>
        <v>E351</v>
      </c>
      <c r="B436">
        <v>1</v>
      </c>
      <c r="C436" t="str">
        <f t="shared" si="109"/>
        <v>14185</v>
      </c>
      <c r="D436" t="str">
        <f t="shared" si="110"/>
        <v>5620</v>
      </c>
      <c r="E436" t="str">
        <f t="shared" si="111"/>
        <v>094OMS</v>
      </c>
      <c r="F436" t="str">
        <f>""</f>
        <v/>
      </c>
      <c r="G436" t="str">
        <f>""</f>
        <v/>
      </c>
      <c r="H436" s="1">
        <v>39041</v>
      </c>
      <c r="I436" t="str">
        <f>"V96914"</f>
        <v>V96914</v>
      </c>
      <c r="J436" t="str">
        <f>""</f>
        <v/>
      </c>
      <c r="K436" t="str">
        <f t="shared" si="112"/>
        <v>INNI</v>
      </c>
      <c r="L436" t="s">
        <v>336</v>
      </c>
      <c r="M436">
        <v>610.14</v>
      </c>
    </row>
    <row r="437" spans="1:13" x14ac:dyDescent="0.25">
      <c r="A437" t="str">
        <f t="shared" si="108"/>
        <v>E351</v>
      </c>
      <c r="B437">
        <v>1</v>
      </c>
      <c r="C437" t="str">
        <f t="shared" si="109"/>
        <v>14185</v>
      </c>
      <c r="D437" t="str">
        <f t="shared" si="110"/>
        <v>5620</v>
      </c>
      <c r="E437" t="str">
        <f t="shared" si="111"/>
        <v>094OMS</v>
      </c>
      <c r="F437" t="str">
        <f>""</f>
        <v/>
      </c>
      <c r="G437" t="str">
        <f>""</f>
        <v/>
      </c>
      <c r="H437" s="1">
        <v>39041</v>
      </c>
      <c r="I437" t="str">
        <f>"V96915"</f>
        <v>V96915</v>
      </c>
      <c r="J437" t="str">
        <f>""</f>
        <v/>
      </c>
      <c r="K437" t="str">
        <f t="shared" si="112"/>
        <v>INNI</v>
      </c>
      <c r="L437" t="s">
        <v>334</v>
      </c>
      <c r="M437">
        <v>876.85</v>
      </c>
    </row>
    <row r="438" spans="1:13" x14ac:dyDescent="0.25">
      <c r="A438" t="str">
        <f t="shared" si="108"/>
        <v>E351</v>
      </c>
      <c r="B438">
        <v>1</v>
      </c>
      <c r="C438" t="str">
        <f t="shared" si="109"/>
        <v>14185</v>
      </c>
      <c r="D438" t="str">
        <f t="shared" si="110"/>
        <v>5620</v>
      </c>
      <c r="E438" t="str">
        <f t="shared" si="111"/>
        <v>094OMS</v>
      </c>
      <c r="F438" t="str">
        <f>""</f>
        <v/>
      </c>
      <c r="G438" t="str">
        <f>""</f>
        <v/>
      </c>
      <c r="H438" s="1">
        <v>39065</v>
      </c>
      <c r="I438" t="str">
        <f>"V96913"</f>
        <v>V96913</v>
      </c>
      <c r="J438" t="str">
        <f>""</f>
        <v/>
      </c>
      <c r="K438" t="str">
        <f t="shared" si="112"/>
        <v>INNI</v>
      </c>
      <c r="L438" t="s">
        <v>334</v>
      </c>
      <c r="M438">
        <v>741.5</v>
      </c>
    </row>
    <row r="439" spans="1:13" x14ac:dyDescent="0.25">
      <c r="A439" t="str">
        <f t="shared" si="108"/>
        <v>E351</v>
      </c>
      <c r="B439">
        <v>1</v>
      </c>
      <c r="C439" t="str">
        <f t="shared" si="109"/>
        <v>14185</v>
      </c>
      <c r="D439" t="str">
        <f t="shared" si="110"/>
        <v>5620</v>
      </c>
      <c r="E439" t="str">
        <f t="shared" si="111"/>
        <v>094OMS</v>
      </c>
      <c r="F439" t="str">
        <f>""</f>
        <v/>
      </c>
      <c r="G439" t="str">
        <f>""</f>
        <v/>
      </c>
      <c r="H439" s="1">
        <v>39072</v>
      </c>
      <c r="I439" t="str">
        <f>"V96917"</f>
        <v>V96917</v>
      </c>
      <c r="J439" t="str">
        <f>""</f>
        <v/>
      </c>
      <c r="K439" t="str">
        <f t="shared" si="112"/>
        <v>INNI</v>
      </c>
      <c r="L439" t="s">
        <v>340</v>
      </c>
      <c r="M439">
        <v>287.18</v>
      </c>
    </row>
    <row r="440" spans="1:13" x14ac:dyDescent="0.25">
      <c r="A440" t="str">
        <f t="shared" si="108"/>
        <v>E351</v>
      </c>
      <c r="B440">
        <v>1</v>
      </c>
      <c r="C440" t="str">
        <f t="shared" si="109"/>
        <v>14185</v>
      </c>
      <c r="D440" t="str">
        <f t="shared" si="110"/>
        <v>5620</v>
      </c>
      <c r="E440" t="str">
        <f t="shared" si="111"/>
        <v>094OMS</v>
      </c>
      <c r="F440" t="str">
        <f>""</f>
        <v/>
      </c>
      <c r="G440" t="str">
        <f>""</f>
        <v/>
      </c>
      <c r="H440" s="1">
        <v>39107</v>
      </c>
      <c r="I440" t="str">
        <f>"V96921"</f>
        <v>V96921</v>
      </c>
      <c r="J440" t="str">
        <f>""</f>
        <v/>
      </c>
      <c r="K440" t="str">
        <f t="shared" si="112"/>
        <v>INNI</v>
      </c>
      <c r="L440" t="s">
        <v>483</v>
      </c>
      <c r="M440">
        <v>882.9</v>
      </c>
    </row>
    <row r="441" spans="1:13" x14ac:dyDescent="0.25">
      <c r="A441" t="str">
        <f t="shared" si="108"/>
        <v>E351</v>
      </c>
      <c r="B441">
        <v>1</v>
      </c>
      <c r="C441" t="str">
        <f t="shared" si="109"/>
        <v>14185</v>
      </c>
      <c r="D441" t="str">
        <f t="shared" si="110"/>
        <v>5620</v>
      </c>
      <c r="E441" t="str">
        <f t="shared" si="111"/>
        <v>094OMS</v>
      </c>
      <c r="F441" t="str">
        <f>""</f>
        <v/>
      </c>
      <c r="G441" t="str">
        <f>""</f>
        <v/>
      </c>
      <c r="H441" s="1">
        <v>39121</v>
      </c>
      <c r="I441" t="str">
        <f>"V96923"</f>
        <v>V96923</v>
      </c>
      <c r="J441" t="str">
        <f>""</f>
        <v/>
      </c>
      <c r="K441" t="str">
        <f t="shared" si="112"/>
        <v>INNI</v>
      </c>
      <c r="L441" t="s">
        <v>338</v>
      </c>
      <c r="M441">
        <v>685.9</v>
      </c>
    </row>
    <row r="442" spans="1:13" x14ac:dyDescent="0.25">
      <c r="A442" t="str">
        <f t="shared" si="108"/>
        <v>E351</v>
      </c>
      <c r="B442">
        <v>1</v>
      </c>
      <c r="C442" t="str">
        <f t="shared" si="109"/>
        <v>14185</v>
      </c>
      <c r="D442" t="str">
        <f t="shared" si="110"/>
        <v>5620</v>
      </c>
      <c r="E442" t="str">
        <f t="shared" si="111"/>
        <v>094OMS</v>
      </c>
      <c r="F442" t="str">
        <f>""</f>
        <v/>
      </c>
      <c r="G442" t="str">
        <f>""</f>
        <v/>
      </c>
      <c r="H442" s="1">
        <v>39136</v>
      </c>
      <c r="I442" t="str">
        <f>"V96925"</f>
        <v>V96925</v>
      </c>
      <c r="J442" t="str">
        <f>""</f>
        <v/>
      </c>
      <c r="K442" t="str">
        <f t="shared" si="112"/>
        <v>INNI</v>
      </c>
      <c r="L442" t="s">
        <v>336</v>
      </c>
      <c r="M442">
        <v>826.04</v>
      </c>
    </row>
    <row r="443" spans="1:13" x14ac:dyDescent="0.25">
      <c r="A443" t="str">
        <f t="shared" si="108"/>
        <v>E351</v>
      </c>
      <c r="B443">
        <v>1</v>
      </c>
      <c r="C443" t="str">
        <f t="shared" si="109"/>
        <v>14185</v>
      </c>
      <c r="D443" t="str">
        <f t="shared" si="110"/>
        <v>5620</v>
      </c>
      <c r="E443" t="str">
        <f t="shared" si="111"/>
        <v>094OMS</v>
      </c>
      <c r="F443" t="str">
        <f>""</f>
        <v/>
      </c>
      <c r="G443" t="str">
        <f>""</f>
        <v/>
      </c>
      <c r="H443" s="1">
        <v>39141</v>
      </c>
      <c r="I443" t="str">
        <f>"V96926"</f>
        <v>V96926</v>
      </c>
      <c r="J443" t="str">
        <f>""</f>
        <v/>
      </c>
      <c r="K443" t="str">
        <f t="shared" si="112"/>
        <v>INNI</v>
      </c>
      <c r="L443" t="s">
        <v>334</v>
      </c>
      <c r="M443">
        <v>935.8</v>
      </c>
    </row>
    <row r="444" spans="1:13" x14ac:dyDescent="0.25">
      <c r="A444" t="str">
        <f t="shared" si="108"/>
        <v>E351</v>
      </c>
      <c r="B444">
        <v>1</v>
      </c>
      <c r="C444" t="str">
        <f t="shared" si="109"/>
        <v>14185</v>
      </c>
      <c r="D444" t="str">
        <f t="shared" si="110"/>
        <v>5620</v>
      </c>
      <c r="E444" t="str">
        <f t="shared" si="111"/>
        <v>094OMS</v>
      </c>
      <c r="F444" t="str">
        <f>""</f>
        <v/>
      </c>
      <c r="G444" t="str">
        <f>""</f>
        <v/>
      </c>
      <c r="H444" s="1">
        <v>39164</v>
      </c>
      <c r="I444" t="str">
        <f>"V96924"</f>
        <v>V96924</v>
      </c>
      <c r="J444" t="str">
        <f>""</f>
        <v/>
      </c>
      <c r="K444" t="str">
        <f t="shared" si="112"/>
        <v>INNI</v>
      </c>
      <c r="L444" t="s">
        <v>338</v>
      </c>
      <c r="M444">
        <v>747.1</v>
      </c>
    </row>
    <row r="445" spans="1:13" x14ac:dyDescent="0.25">
      <c r="A445" t="str">
        <f t="shared" si="108"/>
        <v>E351</v>
      </c>
      <c r="B445">
        <v>1</v>
      </c>
      <c r="C445" t="str">
        <f t="shared" si="109"/>
        <v>14185</v>
      </c>
      <c r="D445" t="str">
        <f t="shared" si="110"/>
        <v>5620</v>
      </c>
      <c r="E445" t="str">
        <f t="shared" si="111"/>
        <v>094OMS</v>
      </c>
      <c r="F445" t="str">
        <f>""</f>
        <v/>
      </c>
      <c r="G445" t="str">
        <f>""</f>
        <v/>
      </c>
      <c r="H445" s="1">
        <v>39220</v>
      </c>
      <c r="I445" t="str">
        <f>"G0711128"</f>
        <v>G0711128</v>
      </c>
      <c r="J445" t="str">
        <f>"V96932"</f>
        <v>V96932</v>
      </c>
      <c r="K445" t="str">
        <f>"J096"</f>
        <v>J096</v>
      </c>
      <c r="L445" t="s">
        <v>485</v>
      </c>
      <c r="M445">
        <v>307.60000000000002</v>
      </c>
    </row>
    <row r="446" spans="1:13" x14ac:dyDescent="0.25">
      <c r="A446" t="str">
        <f t="shared" si="108"/>
        <v>E351</v>
      </c>
      <c r="B446">
        <v>1</v>
      </c>
      <c r="C446" t="str">
        <f t="shared" si="109"/>
        <v>14185</v>
      </c>
      <c r="D446" t="str">
        <f t="shared" si="110"/>
        <v>5620</v>
      </c>
      <c r="E446" t="str">
        <f t="shared" si="111"/>
        <v>094OMS</v>
      </c>
      <c r="F446" t="str">
        <f>""</f>
        <v/>
      </c>
      <c r="G446" t="str">
        <f>""</f>
        <v/>
      </c>
      <c r="H446" s="1">
        <v>39231</v>
      </c>
      <c r="I446" t="str">
        <f>"V96937"</f>
        <v>V96937</v>
      </c>
      <c r="J446" t="str">
        <f>""</f>
        <v/>
      </c>
      <c r="K446" t="str">
        <f t="shared" ref="K446:K456" si="113">"INNI"</f>
        <v>INNI</v>
      </c>
      <c r="L446" t="s">
        <v>478</v>
      </c>
      <c r="M446">
        <v>349.46</v>
      </c>
    </row>
    <row r="447" spans="1:13" x14ac:dyDescent="0.25">
      <c r="A447" t="str">
        <f t="shared" si="108"/>
        <v>E351</v>
      </c>
      <c r="B447">
        <v>1</v>
      </c>
      <c r="C447" t="str">
        <f t="shared" si="109"/>
        <v>14185</v>
      </c>
      <c r="D447" t="str">
        <f t="shared" si="110"/>
        <v>5620</v>
      </c>
      <c r="E447" t="str">
        <f t="shared" si="111"/>
        <v>094OMS</v>
      </c>
      <c r="F447" t="str">
        <f>""</f>
        <v/>
      </c>
      <c r="G447" t="str">
        <f>""</f>
        <v/>
      </c>
      <c r="H447" s="1">
        <v>39231</v>
      </c>
      <c r="I447" t="str">
        <f>"V96937"</f>
        <v>V96937</v>
      </c>
      <c r="J447" t="str">
        <f>""</f>
        <v/>
      </c>
      <c r="K447" t="str">
        <f t="shared" si="113"/>
        <v>INNI</v>
      </c>
      <c r="L447" t="s">
        <v>478</v>
      </c>
      <c r="M447">
        <v>349.46</v>
      </c>
    </row>
    <row r="448" spans="1:13" x14ac:dyDescent="0.25">
      <c r="A448" t="str">
        <f t="shared" si="108"/>
        <v>E351</v>
      </c>
      <c r="B448">
        <v>1</v>
      </c>
      <c r="C448" t="str">
        <f t="shared" si="109"/>
        <v>14185</v>
      </c>
      <c r="D448" t="str">
        <f t="shared" si="110"/>
        <v>5620</v>
      </c>
      <c r="E448" t="str">
        <f t="shared" si="111"/>
        <v>094OMS</v>
      </c>
      <c r="F448" t="str">
        <f>""</f>
        <v/>
      </c>
      <c r="G448" t="str">
        <f>""</f>
        <v/>
      </c>
      <c r="H448" s="1">
        <v>39261</v>
      </c>
      <c r="I448" t="str">
        <f>"V96939"</f>
        <v>V96939</v>
      </c>
      <c r="J448" t="str">
        <f>""</f>
        <v/>
      </c>
      <c r="K448" t="str">
        <f t="shared" si="113"/>
        <v>INNI</v>
      </c>
      <c r="L448" t="s">
        <v>197</v>
      </c>
      <c r="M448">
        <v>962.6</v>
      </c>
    </row>
    <row r="449" spans="1:13" x14ac:dyDescent="0.25">
      <c r="A449" t="str">
        <f t="shared" si="108"/>
        <v>E351</v>
      </c>
      <c r="B449">
        <v>1</v>
      </c>
      <c r="C449" t="str">
        <f t="shared" si="109"/>
        <v>14185</v>
      </c>
      <c r="D449" t="str">
        <f t="shared" si="110"/>
        <v>5620</v>
      </c>
      <c r="E449" t="str">
        <f t="shared" si="111"/>
        <v>094OMS</v>
      </c>
      <c r="F449" t="str">
        <f>""</f>
        <v/>
      </c>
      <c r="G449" t="str">
        <f>""</f>
        <v/>
      </c>
      <c r="H449" s="1">
        <v>39261</v>
      </c>
      <c r="I449" t="str">
        <f>"V96940"</f>
        <v>V96940</v>
      </c>
      <c r="J449" t="str">
        <f>""</f>
        <v/>
      </c>
      <c r="K449" t="str">
        <f t="shared" si="113"/>
        <v>INNI</v>
      </c>
      <c r="L449" t="s">
        <v>340</v>
      </c>
      <c r="M449">
        <v>962.6</v>
      </c>
    </row>
    <row r="450" spans="1:13" x14ac:dyDescent="0.25">
      <c r="A450" t="str">
        <f t="shared" si="108"/>
        <v>E351</v>
      </c>
      <c r="B450">
        <v>1</v>
      </c>
      <c r="C450" t="str">
        <f t="shared" si="109"/>
        <v>14185</v>
      </c>
      <c r="D450" t="str">
        <f t="shared" si="110"/>
        <v>5620</v>
      </c>
      <c r="E450" t="str">
        <f t="shared" si="111"/>
        <v>094OMS</v>
      </c>
      <c r="F450" t="str">
        <f>""</f>
        <v/>
      </c>
      <c r="G450" t="str">
        <f>""</f>
        <v/>
      </c>
      <c r="H450" s="1">
        <v>39263</v>
      </c>
      <c r="I450" t="str">
        <f>"V96941"</f>
        <v>V96941</v>
      </c>
      <c r="J450" t="str">
        <f>""</f>
        <v/>
      </c>
      <c r="K450" t="str">
        <f t="shared" si="113"/>
        <v>INNI</v>
      </c>
      <c r="L450" t="s">
        <v>482</v>
      </c>
      <c r="M450">
        <v>321.66000000000003</v>
      </c>
    </row>
    <row r="451" spans="1:13" x14ac:dyDescent="0.25">
      <c r="A451" t="str">
        <f t="shared" si="108"/>
        <v>E351</v>
      </c>
      <c r="B451">
        <v>1</v>
      </c>
      <c r="C451" t="str">
        <f>"31040"</f>
        <v>31040</v>
      </c>
      <c r="D451" t="str">
        <f t="shared" si="110"/>
        <v>5620</v>
      </c>
      <c r="E451" t="str">
        <f t="shared" si="111"/>
        <v>094OMS</v>
      </c>
      <c r="F451" t="str">
        <f>""</f>
        <v/>
      </c>
      <c r="G451" t="str">
        <f>""</f>
        <v/>
      </c>
      <c r="H451" s="1">
        <v>39231</v>
      </c>
      <c r="I451" t="str">
        <f>"V90258"</f>
        <v>V90258</v>
      </c>
      <c r="J451" t="str">
        <f>""</f>
        <v/>
      </c>
      <c r="K451" t="str">
        <f t="shared" si="113"/>
        <v>INNI</v>
      </c>
      <c r="L451" t="s">
        <v>481</v>
      </c>
      <c r="M451">
        <v>819.85</v>
      </c>
    </row>
    <row r="452" spans="1:13" x14ac:dyDescent="0.25">
      <c r="A452" t="str">
        <f t="shared" si="108"/>
        <v>E351</v>
      </c>
      <c r="B452">
        <v>1</v>
      </c>
      <c r="C452" t="str">
        <f>"43000"</f>
        <v>43000</v>
      </c>
      <c r="D452" t="str">
        <f>"5740"</f>
        <v>5740</v>
      </c>
      <c r="E452" t="str">
        <f>"850LOS"</f>
        <v>850LOS</v>
      </c>
      <c r="F452" t="str">
        <f>""</f>
        <v/>
      </c>
      <c r="G452" t="str">
        <f>""</f>
        <v/>
      </c>
      <c r="H452" s="1">
        <v>39073</v>
      </c>
      <c r="I452" t="str">
        <f>"V96918"</f>
        <v>V96918</v>
      </c>
      <c r="J452" t="str">
        <f>""</f>
        <v/>
      </c>
      <c r="K452" t="str">
        <f t="shared" si="113"/>
        <v>INNI</v>
      </c>
      <c r="L452" t="s">
        <v>341</v>
      </c>
      <c r="M452">
        <v>143.59</v>
      </c>
    </row>
    <row r="453" spans="1:13" x14ac:dyDescent="0.25">
      <c r="A453" t="str">
        <f t="shared" si="108"/>
        <v>E351</v>
      </c>
      <c r="B453">
        <v>1</v>
      </c>
      <c r="C453" t="str">
        <f>"43000"</f>
        <v>43000</v>
      </c>
      <c r="D453" t="str">
        <f>"5740"</f>
        <v>5740</v>
      </c>
      <c r="E453" t="str">
        <f>"850LOS"</f>
        <v>850LOS</v>
      </c>
      <c r="F453" t="str">
        <f>""</f>
        <v/>
      </c>
      <c r="G453" t="str">
        <f>""</f>
        <v/>
      </c>
      <c r="H453" s="1">
        <v>39073</v>
      </c>
      <c r="I453" t="str">
        <f>"V96919"</f>
        <v>V96919</v>
      </c>
      <c r="J453" t="str">
        <f>""</f>
        <v/>
      </c>
      <c r="K453" t="str">
        <f t="shared" si="113"/>
        <v>INNI</v>
      </c>
      <c r="L453" t="s">
        <v>484</v>
      </c>
      <c r="M453">
        <v>143.59</v>
      </c>
    </row>
    <row r="454" spans="1:13" x14ac:dyDescent="0.25">
      <c r="A454" t="str">
        <f>"E353"</f>
        <v>E353</v>
      </c>
      <c r="B454">
        <v>1</v>
      </c>
      <c r="C454" t="str">
        <f>"14185"</f>
        <v>14185</v>
      </c>
      <c r="D454" t="str">
        <f>"5620"</f>
        <v>5620</v>
      </c>
      <c r="E454" t="str">
        <f>"094OMS"</f>
        <v>094OMS</v>
      </c>
      <c r="F454" t="str">
        <f>""</f>
        <v/>
      </c>
      <c r="G454" t="str">
        <f>""</f>
        <v/>
      </c>
      <c r="H454" s="1">
        <v>39041</v>
      </c>
      <c r="I454" t="str">
        <f>"V96915"</f>
        <v>V96915</v>
      </c>
      <c r="J454" t="str">
        <f>""</f>
        <v/>
      </c>
      <c r="K454" t="str">
        <f t="shared" si="113"/>
        <v>INNI</v>
      </c>
      <c r="L454" t="s">
        <v>334</v>
      </c>
      <c r="M454">
        <v>110.36</v>
      </c>
    </row>
    <row r="455" spans="1:13" x14ac:dyDescent="0.25">
      <c r="A455" t="str">
        <f>"E353"</f>
        <v>E353</v>
      </c>
      <c r="B455">
        <v>1</v>
      </c>
      <c r="C455" t="str">
        <f>"14185"</f>
        <v>14185</v>
      </c>
      <c r="D455" t="str">
        <f>"5620"</f>
        <v>5620</v>
      </c>
      <c r="E455" t="str">
        <f>"094OMS"</f>
        <v>094OMS</v>
      </c>
      <c r="F455" t="str">
        <f>""</f>
        <v/>
      </c>
      <c r="G455" t="str">
        <f>""</f>
        <v/>
      </c>
      <c r="H455" s="1">
        <v>39107</v>
      </c>
      <c r="I455" t="str">
        <f>"V96921"</f>
        <v>V96921</v>
      </c>
      <c r="J455" t="str">
        <f>""</f>
        <v/>
      </c>
      <c r="K455" t="str">
        <f t="shared" si="113"/>
        <v>INNI</v>
      </c>
      <c r="L455" t="s">
        <v>483</v>
      </c>
      <c r="M455">
        <v>111.55</v>
      </c>
    </row>
    <row r="456" spans="1:13" x14ac:dyDescent="0.25">
      <c r="A456" t="str">
        <f>"E353"</f>
        <v>E353</v>
      </c>
      <c r="B456">
        <v>1</v>
      </c>
      <c r="C456" t="str">
        <f>"14185"</f>
        <v>14185</v>
      </c>
      <c r="D456" t="str">
        <f>"5620"</f>
        <v>5620</v>
      </c>
      <c r="E456" t="str">
        <f>"094OMS"</f>
        <v>094OMS</v>
      </c>
      <c r="F456" t="str">
        <f>""</f>
        <v/>
      </c>
      <c r="G456" t="str">
        <f>""</f>
        <v/>
      </c>
      <c r="H456" s="1">
        <v>39141</v>
      </c>
      <c r="I456" t="str">
        <f>"V96926"</f>
        <v>V96926</v>
      </c>
      <c r="J456" t="str">
        <f>""</f>
        <v/>
      </c>
      <c r="K456" t="str">
        <f t="shared" si="113"/>
        <v>INNI</v>
      </c>
      <c r="L456" t="s">
        <v>334</v>
      </c>
      <c r="M456">
        <v>123.19</v>
      </c>
    </row>
    <row r="457" spans="1:13" x14ac:dyDescent="0.25">
      <c r="A457" t="str">
        <f>"E353"</f>
        <v>E353</v>
      </c>
      <c r="B457">
        <v>1</v>
      </c>
      <c r="C457" t="str">
        <f>"43000"</f>
        <v>43000</v>
      </c>
      <c r="D457" t="str">
        <f>"5740"</f>
        <v>5740</v>
      </c>
      <c r="E457" t="str">
        <f>"850LOS"</f>
        <v>850LOS</v>
      </c>
      <c r="F457" t="str">
        <f>""</f>
        <v/>
      </c>
      <c r="G457" t="str">
        <f>""</f>
        <v/>
      </c>
      <c r="H457" s="1">
        <v>39232</v>
      </c>
      <c r="I457" t="str">
        <f>"9590A"</f>
        <v>9590A</v>
      </c>
      <c r="J457" t="str">
        <f>"F110038"</f>
        <v>F110038</v>
      </c>
      <c r="K457" t="str">
        <f>"INEI"</f>
        <v>INEI</v>
      </c>
      <c r="L457" t="s">
        <v>3</v>
      </c>
      <c r="M457">
        <v>200</v>
      </c>
    </row>
    <row r="458" spans="1:13" x14ac:dyDescent="0.25">
      <c r="A458" t="str">
        <f>"E354"</f>
        <v>E354</v>
      </c>
      <c r="B458">
        <v>1</v>
      </c>
      <c r="C458" t="str">
        <f>"14185"</f>
        <v>14185</v>
      </c>
      <c r="D458" t="str">
        <f>"5620"</f>
        <v>5620</v>
      </c>
      <c r="E458" t="str">
        <f>"094OMS"</f>
        <v>094OMS</v>
      </c>
      <c r="F458" t="str">
        <f>""</f>
        <v/>
      </c>
      <c r="G458" t="str">
        <f>""</f>
        <v/>
      </c>
      <c r="H458" s="1">
        <v>39181</v>
      </c>
      <c r="I458" t="str">
        <f>"V96931"</f>
        <v>V96931</v>
      </c>
      <c r="J458" t="str">
        <f>""</f>
        <v/>
      </c>
      <c r="K458" t="str">
        <f t="shared" ref="K458:K469" si="114">"INNI"</f>
        <v>INNI</v>
      </c>
      <c r="L458" t="s">
        <v>343</v>
      </c>
      <c r="M458">
        <v>126.2</v>
      </c>
    </row>
    <row r="459" spans="1:13" x14ac:dyDescent="0.25">
      <c r="A459" t="str">
        <f>"E354"</f>
        <v>E354</v>
      </c>
      <c r="B459">
        <v>1</v>
      </c>
      <c r="C459" t="str">
        <f>"14185"</f>
        <v>14185</v>
      </c>
      <c r="D459" t="str">
        <f>"5620"</f>
        <v>5620</v>
      </c>
      <c r="E459" t="str">
        <f>"094OMS"</f>
        <v>094OMS</v>
      </c>
      <c r="F459" t="str">
        <f>""</f>
        <v/>
      </c>
      <c r="G459" t="str">
        <f>""</f>
        <v/>
      </c>
      <c r="H459" s="1">
        <v>39231</v>
      </c>
      <c r="I459" t="str">
        <f>"V96937"</f>
        <v>V96937</v>
      </c>
      <c r="J459" t="str">
        <f>""</f>
        <v/>
      </c>
      <c r="K459" t="str">
        <f t="shared" si="114"/>
        <v>INNI</v>
      </c>
      <c r="L459" t="s">
        <v>478</v>
      </c>
      <c r="M459">
        <v>149.38</v>
      </c>
    </row>
    <row r="460" spans="1:13" x14ac:dyDescent="0.25">
      <c r="A460" t="str">
        <f t="shared" ref="A460:A469" si="115">"E365"</f>
        <v>E365</v>
      </c>
      <c r="B460">
        <v>1</v>
      </c>
      <c r="C460" t="str">
        <f t="shared" ref="C460:C469" si="116">"43001"</f>
        <v>43001</v>
      </c>
      <c r="D460" t="str">
        <f t="shared" ref="D460:D469" si="117">"5740"</f>
        <v>5740</v>
      </c>
      <c r="E460" t="str">
        <f t="shared" ref="E460:E469" si="118">"850LOS"</f>
        <v>850LOS</v>
      </c>
      <c r="F460" t="str">
        <f>""</f>
        <v/>
      </c>
      <c r="G460" t="str">
        <f>""</f>
        <v/>
      </c>
      <c r="H460" s="1">
        <v>39196</v>
      </c>
      <c r="I460" t="str">
        <f>"00005509"</f>
        <v>00005509</v>
      </c>
      <c r="J460" t="str">
        <f t="shared" ref="J460:J469" si="119">"B113811"</f>
        <v>B113811</v>
      </c>
      <c r="K460" t="str">
        <f t="shared" si="114"/>
        <v>INNI</v>
      </c>
      <c r="L460" t="s">
        <v>205</v>
      </c>
      <c r="M460">
        <v>972.65</v>
      </c>
    </row>
    <row r="461" spans="1:13" x14ac:dyDescent="0.25">
      <c r="A461" t="str">
        <f t="shared" si="115"/>
        <v>E365</v>
      </c>
      <c r="B461">
        <v>1</v>
      </c>
      <c r="C461" t="str">
        <f t="shared" si="116"/>
        <v>43001</v>
      </c>
      <c r="D461" t="str">
        <f t="shared" si="117"/>
        <v>5740</v>
      </c>
      <c r="E461" t="str">
        <f t="shared" si="118"/>
        <v>850LOS</v>
      </c>
      <c r="F461" t="str">
        <f>""</f>
        <v/>
      </c>
      <c r="G461" t="str">
        <f>""</f>
        <v/>
      </c>
      <c r="H461" s="1">
        <v>39203</v>
      </c>
      <c r="I461" t="str">
        <f>"0005514A"</f>
        <v>0005514A</v>
      </c>
      <c r="J461" t="str">
        <f t="shared" si="119"/>
        <v>B113811</v>
      </c>
      <c r="K461" t="str">
        <f t="shared" si="114"/>
        <v>INNI</v>
      </c>
      <c r="L461" t="s">
        <v>205</v>
      </c>
      <c r="M461">
        <v>819.12</v>
      </c>
    </row>
    <row r="462" spans="1:13" x14ac:dyDescent="0.25">
      <c r="A462" t="str">
        <f t="shared" si="115"/>
        <v>E365</v>
      </c>
      <c r="B462">
        <v>1</v>
      </c>
      <c r="C462" t="str">
        <f t="shared" si="116"/>
        <v>43001</v>
      </c>
      <c r="D462" t="str">
        <f t="shared" si="117"/>
        <v>5740</v>
      </c>
      <c r="E462" t="str">
        <f t="shared" si="118"/>
        <v>850LOS</v>
      </c>
      <c r="F462" t="str">
        <f>""</f>
        <v/>
      </c>
      <c r="G462" t="str">
        <f>""</f>
        <v/>
      </c>
      <c r="H462" s="1">
        <v>39223</v>
      </c>
      <c r="I462" t="str">
        <f>"00005544"</f>
        <v>00005544</v>
      </c>
      <c r="J462" t="str">
        <f t="shared" si="119"/>
        <v>B113811</v>
      </c>
      <c r="K462" t="str">
        <f t="shared" si="114"/>
        <v>INNI</v>
      </c>
      <c r="L462" t="s">
        <v>205</v>
      </c>
      <c r="M462">
        <v>819.12</v>
      </c>
    </row>
    <row r="463" spans="1:13" x14ac:dyDescent="0.25">
      <c r="A463" t="str">
        <f t="shared" si="115"/>
        <v>E365</v>
      </c>
      <c r="B463">
        <v>1</v>
      </c>
      <c r="C463" t="str">
        <f t="shared" si="116"/>
        <v>43001</v>
      </c>
      <c r="D463" t="str">
        <f t="shared" si="117"/>
        <v>5740</v>
      </c>
      <c r="E463" t="str">
        <f t="shared" si="118"/>
        <v>850LOS</v>
      </c>
      <c r="F463" t="str">
        <f>""</f>
        <v/>
      </c>
      <c r="G463" t="str">
        <f>""</f>
        <v/>
      </c>
      <c r="H463" s="1">
        <v>39223</v>
      </c>
      <c r="I463" t="str">
        <f>"00005545"</f>
        <v>00005545</v>
      </c>
      <c r="J463" t="str">
        <f t="shared" si="119"/>
        <v>B113811</v>
      </c>
      <c r="K463" t="str">
        <f t="shared" si="114"/>
        <v>INNI</v>
      </c>
      <c r="L463" t="s">
        <v>205</v>
      </c>
      <c r="M463">
        <v>870.26</v>
      </c>
    </row>
    <row r="464" spans="1:13" x14ac:dyDescent="0.25">
      <c r="A464" t="str">
        <f t="shared" si="115"/>
        <v>E365</v>
      </c>
      <c r="B464">
        <v>1</v>
      </c>
      <c r="C464" t="str">
        <f t="shared" si="116"/>
        <v>43001</v>
      </c>
      <c r="D464" t="str">
        <f t="shared" si="117"/>
        <v>5740</v>
      </c>
      <c r="E464" t="str">
        <f t="shared" si="118"/>
        <v>850LOS</v>
      </c>
      <c r="F464" t="str">
        <f>""</f>
        <v/>
      </c>
      <c r="G464" t="str">
        <f>""</f>
        <v/>
      </c>
      <c r="H464" s="1">
        <v>39239</v>
      </c>
      <c r="I464" t="str">
        <f>"00005570"</f>
        <v>00005570</v>
      </c>
      <c r="J464" t="str">
        <f t="shared" si="119"/>
        <v>B113811</v>
      </c>
      <c r="K464" t="str">
        <f t="shared" si="114"/>
        <v>INNI</v>
      </c>
      <c r="L464" t="s">
        <v>205</v>
      </c>
      <c r="M464">
        <v>870.26</v>
      </c>
    </row>
    <row r="465" spans="1:13" x14ac:dyDescent="0.25">
      <c r="A465" t="str">
        <f t="shared" si="115"/>
        <v>E365</v>
      </c>
      <c r="B465">
        <v>1</v>
      </c>
      <c r="C465" t="str">
        <f t="shared" si="116"/>
        <v>43001</v>
      </c>
      <c r="D465" t="str">
        <f t="shared" si="117"/>
        <v>5740</v>
      </c>
      <c r="E465" t="str">
        <f t="shared" si="118"/>
        <v>850LOS</v>
      </c>
      <c r="F465" t="str">
        <f>""</f>
        <v/>
      </c>
      <c r="G465" t="str">
        <f>""</f>
        <v/>
      </c>
      <c r="H465" s="1">
        <v>39239</v>
      </c>
      <c r="I465" t="str">
        <f>"00005571"</f>
        <v>00005571</v>
      </c>
      <c r="J465" t="str">
        <f t="shared" si="119"/>
        <v>B113811</v>
      </c>
      <c r="K465" t="str">
        <f t="shared" si="114"/>
        <v>INNI</v>
      </c>
      <c r="L465" t="s">
        <v>205</v>
      </c>
      <c r="M465">
        <v>870.26</v>
      </c>
    </row>
    <row r="466" spans="1:13" x14ac:dyDescent="0.25">
      <c r="A466" t="str">
        <f t="shared" si="115"/>
        <v>E365</v>
      </c>
      <c r="B466">
        <v>1</v>
      </c>
      <c r="C466" t="str">
        <f t="shared" si="116"/>
        <v>43001</v>
      </c>
      <c r="D466" t="str">
        <f t="shared" si="117"/>
        <v>5740</v>
      </c>
      <c r="E466" t="str">
        <f t="shared" si="118"/>
        <v>850LOS</v>
      </c>
      <c r="F466" t="str">
        <f>""</f>
        <v/>
      </c>
      <c r="G466" t="str">
        <f>""</f>
        <v/>
      </c>
      <c r="H466" s="1">
        <v>39239</v>
      </c>
      <c r="I466" t="str">
        <f>"00005572"</f>
        <v>00005572</v>
      </c>
      <c r="J466" t="str">
        <f t="shared" si="119"/>
        <v>B113811</v>
      </c>
      <c r="K466" t="str">
        <f t="shared" si="114"/>
        <v>INNI</v>
      </c>
      <c r="L466" t="s">
        <v>205</v>
      </c>
      <c r="M466">
        <v>870.26</v>
      </c>
    </row>
    <row r="467" spans="1:13" x14ac:dyDescent="0.25">
      <c r="A467" t="str">
        <f t="shared" si="115"/>
        <v>E365</v>
      </c>
      <c r="B467">
        <v>1</v>
      </c>
      <c r="C467" t="str">
        <f t="shared" si="116"/>
        <v>43001</v>
      </c>
      <c r="D467" t="str">
        <f t="shared" si="117"/>
        <v>5740</v>
      </c>
      <c r="E467" t="str">
        <f t="shared" si="118"/>
        <v>850LOS</v>
      </c>
      <c r="F467" t="str">
        <f>""</f>
        <v/>
      </c>
      <c r="G467" t="str">
        <f>""</f>
        <v/>
      </c>
      <c r="H467" s="1">
        <v>39246</v>
      </c>
      <c r="I467" t="str">
        <f>"00005579"</f>
        <v>00005579</v>
      </c>
      <c r="J467" t="str">
        <f t="shared" si="119"/>
        <v>B113811</v>
      </c>
      <c r="K467" t="str">
        <f t="shared" si="114"/>
        <v>INNI</v>
      </c>
      <c r="L467" t="s">
        <v>205</v>
      </c>
      <c r="M467">
        <v>614.29999999999995</v>
      </c>
    </row>
    <row r="468" spans="1:13" x14ac:dyDescent="0.25">
      <c r="A468" t="str">
        <f t="shared" si="115"/>
        <v>E365</v>
      </c>
      <c r="B468">
        <v>1</v>
      </c>
      <c r="C468" t="str">
        <f t="shared" si="116"/>
        <v>43001</v>
      </c>
      <c r="D468" t="str">
        <f t="shared" si="117"/>
        <v>5740</v>
      </c>
      <c r="E468" t="str">
        <f t="shared" si="118"/>
        <v>850LOS</v>
      </c>
      <c r="F468" t="str">
        <f>""</f>
        <v/>
      </c>
      <c r="G468" t="str">
        <f>""</f>
        <v/>
      </c>
      <c r="H468" s="1">
        <v>39260</v>
      </c>
      <c r="I468" t="str">
        <f>"00005619"</f>
        <v>00005619</v>
      </c>
      <c r="J468" t="str">
        <f t="shared" si="119"/>
        <v>B113811</v>
      </c>
      <c r="K468" t="str">
        <f t="shared" si="114"/>
        <v>INNI</v>
      </c>
      <c r="L468" t="s">
        <v>205</v>
      </c>
      <c r="M468">
        <v>819.07</v>
      </c>
    </row>
    <row r="469" spans="1:13" x14ac:dyDescent="0.25">
      <c r="A469" t="str">
        <f t="shared" si="115"/>
        <v>E365</v>
      </c>
      <c r="B469">
        <v>1</v>
      </c>
      <c r="C469" t="str">
        <f t="shared" si="116"/>
        <v>43001</v>
      </c>
      <c r="D469" t="str">
        <f t="shared" si="117"/>
        <v>5740</v>
      </c>
      <c r="E469" t="str">
        <f t="shared" si="118"/>
        <v>850LOS</v>
      </c>
      <c r="F469" t="str">
        <f>""</f>
        <v/>
      </c>
      <c r="G469" t="str">
        <f>""</f>
        <v/>
      </c>
      <c r="H469" s="1">
        <v>39260</v>
      </c>
      <c r="I469" t="str">
        <f>"00005620"</f>
        <v>00005620</v>
      </c>
      <c r="J469" t="str">
        <f t="shared" si="119"/>
        <v>B113811</v>
      </c>
      <c r="K469" t="str">
        <f t="shared" si="114"/>
        <v>INNI</v>
      </c>
      <c r="L469" t="s">
        <v>205</v>
      </c>
      <c r="M469">
        <v>819.07</v>
      </c>
    </row>
    <row r="470" spans="1:13" x14ac:dyDescent="0.25">
      <c r="A470" t="str">
        <f>"E367"</f>
        <v>E367</v>
      </c>
      <c r="B470">
        <v>1</v>
      </c>
      <c r="C470" t="str">
        <f>"14185"</f>
        <v>14185</v>
      </c>
      <c r="D470" t="str">
        <f>"5620"</f>
        <v>5620</v>
      </c>
      <c r="E470" t="str">
        <f>"094OMS"</f>
        <v>094OMS</v>
      </c>
      <c r="F470" t="str">
        <f>""</f>
        <v/>
      </c>
      <c r="G470" t="str">
        <f>""</f>
        <v/>
      </c>
      <c r="H470" s="1">
        <v>39141</v>
      </c>
      <c r="I470" t="str">
        <f>"TRV10086"</f>
        <v>TRV10086</v>
      </c>
      <c r="J470" t="str">
        <f>"TE247479"</f>
        <v>TE247479</v>
      </c>
      <c r="K470" t="str">
        <f>"AS96"</f>
        <v>AS96</v>
      </c>
      <c r="L470" t="s">
        <v>480</v>
      </c>
      <c r="M470">
        <v>542.61</v>
      </c>
    </row>
    <row r="471" spans="1:13" x14ac:dyDescent="0.25">
      <c r="A471" t="str">
        <f>"E367"</f>
        <v>E367</v>
      </c>
      <c r="B471">
        <v>1</v>
      </c>
      <c r="C471" t="str">
        <f>"43000"</f>
        <v>43000</v>
      </c>
      <c r="D471" t="str">
        <f>"5740"</f>
        <v>5740</v>
      </c>
      <c r="E471" t="str">
        <f>"850LOS"</f>
        <v>850LOS</v>
      </c>
      <c r="F471" t="str">
        <f>""</f>
        <v/>
      </c>
      <c r="G471" t="str">
        <f>""</f>
        <v/>
      </c>
      <c r="H471" s="1">
        <v>39051</v>
      </c>
      <c r="I471" t="str">
        <f>"TRV10083"</f>
        <v>TRV10083</v>
      </c>
      <c r="J471" t="str">
        <f>"TE228055"</f>
        <v>TE228055</v>
      </c>
      <c r="K471" t="str">
        <f>"AS96"</f>
        <v>AS96</v>
      </c>
      <c r="L471" t="s">
        <v>479</v>
      </c>
      <c r="M471">
        <v>686.2</v>
      </c>
    </row>
    <row r="472" spans="1:13" x14ac:dyDescent="0.25">
      <c r="A472" t="str">
        <f t="shared" ref="A472:A478" si="120">"E370"</f>
        <v>E370</v>
      </c>
      <c r="B472">
        <v>1</v>
      </c>
      <c r="C472" t="str">
        <f t="shared" ref="C472:C477" si="121">"14185"</f>
        <v>14185</v>
      </c>
      <c r="D472" t="str">
        <f t="shared" ref="D472:D477" si="122">"5620"</f>
        <v>5620</v>
      </c>
      <c r="E472" t="str">
        <f t="shared" ref="E472:E477" si="123">"094OMS"</f>
        <v>094OMS</v>
      </c>
      <c r="F472" t="str">
        <f>""</f>
        <v/>
      </c>
      <c r="G472" t="str">
        <f>""</f>
        <v/>
      </c>
      <c r="H472" s="1">
        <v>39023</v>
      </c>
      <c r="I472" t="str">
        <f>"V96912"</f>
        <v>V96912</v>
      </c>
      <c r="J472" t="str">
        <f>""</f>
        <v/>
      </c>
      <c r="K472" t="str">
        <f t="shared" ref="K472:K481" si="124">"INNI"</f>
        <v>INNI</v>
      </c>
      <c r="L472" t="s">
        <v>344</v>
      </c>
      <c r="M472" s="2">
        <v>1925.56</v>
      </c>
    </row>
    <row r="473" spans="1:13" x14ac:dyDescent="0.25">
      <c r="A473" t="str">
        <f t="shared" si="120"/>
        <v>E370</v>
      </c>
      <c r="B473">
        <v>1</v>
      </c>
      <c r="C473" t="str">
        <f t="shared" si="121"/>
        <v>14185</v>
      </c>
      <c r="D473" t="str">
        <f t="shared" si="122"/>
        <v>5620</v>
      </c>
      <c r="E473" t="str">
        <f t="shared" si="123"/>
        <v>094OMS</v>
      </c>
      <c r="F473" t="str">
        <f>""</f>
        <v/>
      </c>
      <c r="G473" t="str">
        <f>""</f>
        <v/>
      </c>
      <c r="H473" s="1">
        <v>39034</v>
      </c>
      <c r="I473" t="str">
        <f>"V96912A"</f>
        <v>V96912A</v>
      </c>
      <c r="J473" t="str">
        <f>""</f>
        <v/>
      </c>
      <c r="K473" t="str">
        <f t="shared" si="124"/>
        <v>INNI</v>
      </c>
      <c r="L473" t="s">
        <v>344</v>
      </c>
      <c r="M473" s="2">
        <v>1925.56</v>
      </c>
    </row>
    <row r="474" spans="1:13" x14ac:dyDescent="0.25">
      <c r="A474" t="str">
        <f t="shared" si="120"/>
        <v>E370</v>
      </c>
      <c r="B474">
        <v>1</v>
      </c>
      <c r="C474" t="str">
        <f t="shared" si="121"/>
        <v>14185</v>
      </c>
      <c r="D474" t="str">
        <f t="shared" si="122"/>
        <v>5620</v>
      </c>
      <c r="E474" t="str">
        <f t="shared" si="123"/>
        <v>094OMS</v>
      </c>
      <c r="F474" t="str">
        <f>""</f>
        <v/>
      </c>
      <c r="G474" t="str">
        <f>""</f>
        <v/>
      </c>
      <c r="H474" s="1">
        <v>39114</v>
      </c>
      <c r="I474" t="str">
        <f>"V96922"</f>
        <v>V96922</v>
      </c>
      <c r="J474" t="str">
        <f>""</f>
        <v/>
      </c>
      <c r="K474" t="str">
        <f t="shared" si="124"/>
        <v>INNI</v>
      </c>
      <c r="L474" t="s">
        <v>478</v>
      </c>
      <c r="M474">
        <v>242.52</v>
      </c>
    </row>
    <row r="475" spans="1:13" x14ac:dyDescent="0.25">
      <c r="A475" t="str">
        <f t="shared" si="120"/>
        <v>E370</v>
      </c>
      <c r="B475">
        <v>1</v>
      </c>
      <c r="C475" t="str">
        <f t="shared" si="121"/>
        <v>14185</v>
      </c>
      <c r="D475" t="str">
        <f t="shared" si="122"/>
        <v>5620</v>
      </c>
      <c r="E475" t="str">
        <f t="shared" si="123"/>
        <v>094OMS</v>
      </c>
      <c r="F475" t="str">
        <f>""</f>
        <v/>
      </c>
      <c r="G475" t="str">
        <f>""</f>
        <v/>
      </c>
      <c r="H475" s="1">
        <v>39174</v>
      </c>
      <c r="I475" t="str">
        <f>"V96928"</f>
        <v>V96928</v>
      </c>
      <c r="J475" t="str">
        <f>""</f>
        <v/>
      </c>
      <c r="K475" t="str">
        <f t="shared" si="124"/>
        <v>INNI</v>
      </c>
      <c r="L475" t="s">
        <v>337</v>
      </c>
      <c r="M475" s="2">
        <v>1266.3499999999999</v>
      </c>
    </row>
    <row r="476" spans="1:13" x14ac:dyDescent="0.25">
      <c r="A476" t="str">
        <f t="shared" si="120"/>
        <v>E370</v>
      </c>
      <c r="B476">
        <v>1</v>
      </c>
      <c r="C476" t="str">
        <f t="shared" si="121"/>
        <v>14185</v>
      </c>
      <c r="D476" t="str">
        <f t="shared" si="122"/>
        <v>5620</v>
      </c>
      <c r="E476" t="str">
        <f t="shared" si="123"/>
        <v>094OMS</v>
      </c>
      <c r="F476" t="str">
        <f>""</f>
        <v/>
      </c>
      <c r="G476" t="str">
        <f>""</f>
        <v/>
      </c>
      <c r="H476" s="1">
        <v>39181</v>
      </c>
      <c r="I476" t="str">
        <f>"V96931"</f>
        <v>V96931</v>
      </c>
      <c r="J476" t="str">
        <f>""</f>
        <v/>
      </c>
      <c r="K476" t="str">
        <f t="shared" si="124"/>
        <v>INNI</v>
      </c>
      <c r="L476" t="s">
        <v>343</v>
      </c>
      <c r="M476" s="2">
        <v>1044.8800000000001</v>
      </c>
    </row>
    <row r="477" spans="1:13" x14ac:dyDescent="0.25">
      <c r="A477" t="str">
        <f t="shared" si="120"/>
        <v>E370</v>
      </c>
      <c r="B477">
        <v>1</v>
      </c>
      <c r="C477" t="str">
        <f t="shared" si="121"/>
        <v>14185</v>
      </c>
      <c r="D477" t="str">
        <f t="shared" si="122"/>
        <v>5620</v>
      </c>
      <c r="E477" t="str">
        <f t="shared" si="123"/>
        <v>094OMS</v>
      </c>
      <c r="F477" t="str">
        <f>""</f>
        <v/>
      </c>
      <c r="G477" t="str">
        <f>""</f>
        <v/>
      </c>
      <c r="H477" s="1">
        <v>39188</v>
      </c>
      <c r="I477" t="str">
        <f>"V96934"</f>
        <v>V96934</v>
      </c>
      <c r="J477" t="str">
        <f>""</f>
        <v/>
      </c>
      <c r="K477" t="str">
        <f t="shared" si="124"/>
        <v>INNI</v>
      </c>
      <c r="L477" t="s">
        <v>335</v>
      </c>
      <c r="M477">
        <v>455.63</v>
      </c>
    </row>
    <row r="478" spans="1:13" x14ac:dyDescent="0.25">
      <c r="A478" t="str">
        <f t="shared" si="120"/>
        <v>E370</v>
      </c>
      <c r="B478">
        <v>1</v>
      </c>
      <c r="C478" t="str">
        <f>"43000"</f>
        <v>43000</v>
      </c>
      <c r="D478" t="str">
        <f>"5740"</f>
        <v>5740</v>
      </c>
      <c r="E478" t="str">
        <f>"850LOS"</f>
        <v>850LOS</v>
      </c>
      <c r="F478" t="str">
        <f>""</f>
        <v/>
      </c>
      <c r="G478" t="str">
        <f>""</f>
        <v/>
      </c>
      <c r="H478" s="1">
        <v>39065</v>
      </c>
      <c r="I478" t="str">
        <f>"V96916"</f>
        <v>V96916</v>
      </c>
      <c r="J478" t="str">
        <f>""</f>
        <v/>
      </c>
      <c r="K478" t="str">
        <f t="shared" si="124"/>
        <v>INNI</v>
      </c>
      <c r="L478" t="s">
        <v>284</v>
      </c>
      <c r="M478">
        <v>855</v>
      </c>
    </row>
    <row r="479" spans="1:13" x14ac:dyDescent="0.25">
      <c r="A479" t="str">
        <f>"E374"</f>
        <v>E374</v>
      </c>
      <c r="B479">
        <v>1</v>
      </c>
      <c r="C479" t="str">
        <f t="shared" ref="C479:C485" si="125">"14185"</f>
        <v>14185</v>
      </c>
      <c r="D479" t="str">
        <f t="shared" ref="D479:D487" si="126">"5620"</f>
        <v>5620</v>
      </c>
      <c r="E479" t="str">
        <f t="shared" ref="E479:E487" si="127">"094OMS"</f>
        <v>094OMS</v>
      </c>
      <c r="F479" t="str">
        <f>""</f>
        <v/>
      </c>
      <c r="G479" t="str">
        <f>""</f>
        <v/>
      </c>
      <c r="H479" s="1">
        <v>38960</v>
      </c>
      <c r="I479" t="str">
        <f>"Q20424"</f>
        <v>Q20424</v>
      </c>
      <c r="J479" t="str">
        <f>""</f>
        <v/>
      </c>
      <c r="K479" t="str">
        <f t="shared" si="124"/>
        <v>INNI</v>
      </c>
      <c r="L479" t="s">
        <v>344</v>
      </c>
      <c r="M479">
        <v>514.20000000000005</v>
      </c>
    </row>
    <row r="480" spans="1:13" x14ac:dyDescent="0.25">
      <c r="A480" t="str">
        <f>"E374"</f>
        <v>E374</v>
      </c>
      <c r="B480">
        <v>1</v>
      </c>
      <c r="C480" t="str">
        <f t="shared" si="125"/>
        <v>14185</v>
      </c>
      <c r="D480" t="str">
        <f t="shared" si="126"/>
        <v>5620</v>
      </c>
      <c r="E480" t="str">
        <f t="shared" si="127"/>
        <v>094OMS</v>
      </c>
      <c r="F480" t="str">
        <f>""</f>
        <v/>
      </c>
      <c r="G480" t="str">
        <f>""</f>
        <v/>
      </c>
      <c r="H480" s="1">
        <v>39118</v>
      </c>
      <c r="I480" t="str">
        <f>"Q24461"</f>
        <v>Q24461</v>
      </c>
      <c r="J480" t="str">
        <f>""</f>
        <v/>
      </c>
      <c r="K480" t="str">
        <f t="shared" si="124"/>
        <v>INNI</v>
      </c>
      <c r="L480" t="s">
        <v>343</v>
      </c>
      <c r="M480">
        <v>278.11</v>
      </c>
    </row>
    <row r="481" spans="1:13" x14ac:dyDescent="0.25">
      <c r="A481" t="str">
        <f>"E374"</f>
        <v>E374</v>
      </c>
      <c r="B481">
        <v>1</v>
      </c>
      <c r="C481" t="str">
        <f t="shared" si="125"/>
        <v>14185</v>
      </c>
      <c r="D481" t="str">
        <f t="shared" si="126"/>
        <v>5620</v>
      </c>
      <c r="E481" t="str">
        <f t="shared" si="127"/>
        <v>094OMS</v>
      </c>
      <c r="F481" t="str">
        <f>""</f>
        <v/>
      </c>
      <c r="G481" t="str">
        <f>""</f>
        <v/>
      </c>
      <c r="H481" s="1">
        <v>39141</v>
      </c>
      <c r="I481" t="str">
        <f>"Q24462"</f>
        <v>Q24462</v>
      </c>
      <c r="J481" t="str">
        <f>""</f>
        <v/>
      </c>
      <c r="K481" t="str">
        <f t="shared" si="124"/>
        <v>INNI</v>
      </c>
      <c r="L481" t="s">
        <v>337</v>
      </c>
      <c r="M481">
        <v>358.1</v>
      </c>
    </row>
    <row r="482" spans="1:13" x14ac:dyDescent="0.25">
      <c r="A482" t="str">
        <f t="shared" ref="A482:A489" si="128">"E402"</f>
        <v>E402</v>
      </c>
      <c r="B482">
        <v>1</v>
      </c>
      <c r="C482" t="str">
        <f t="shared" si="125"/>
        <v>14185</v>
      </c>
      <c r="D482" t="str">
        <f t="shared" si="126"/>
        <v>5620</v>
      </c>
      <c r="E482" t="str">
        <f t="shared" si="127"/>
        <v>094OMS</v>
      </c>
      <c r="F482" t="str">
        <f>""</f>
        <v/>
      </c>
      <c r="G482" t="str">
        <f>""</f>
        <v/>
      </c>
      <c r="H482" s="1">
        <v>39038</v>
      </c>
      <c r="I482" t="str">
        <f>"PCD00249"</f>
        <v>PCD00249</v>
      </c>
      <c r="J482" t="str">
        <f>"47900"</f>
        <v>47900</v>
      </c>
      <c r="K482" t="str">
        <f t="shared" ref="K482:K489" si="129">"AS89"</f>
        <v>AS89</v>
      </c>
      <c r="L482" t="s">
        <v>470</v>
      </c>
      <c r="M482">
        <v>156.57</v>
      </c>
    </row>
    <row r="483" spans="1:13" x14ac:dyDescent="0.25">
      <c r="A483" t="str">
        <f t="shared" si="128"/>
        <v>E402</v>
      </c>
      <c r="B483">
        <v>1</v>
      </c>
      <c r="C483" t="str">
        <f t="shared" si="125"/>
        <v>14185</v>
      </c>
      <c r="D483" t="str">
        <f t="shared" si="126"/>
        <v>5620</v>
      </c>
      <c r="E483" t="str">
        <f t="shared" si="127"/>
        <v>094OMS</v>
      </c>
      <c r="F483" t="str">
        <f>""</f>
        <v/>
      </c>
      <c r="G483" t="str">
        <f>""</f>
        <v/>
      </c>
      <c r="H483" s="1">
        <v>39100</v>
      </c>
      <c r="I483" t="str">
        <f>"PCD00254"</f>
        <v>PCD00254</v>
      </c>
      <c r="J483" t="str">
        <f>"51395"</f>
        <v>51395</v>
      </c>
      <c r="K483" t="str">
        <f t="shared" si="129"/>
        <v>AS89</v>
      </c>
      <c r="L483" t="s">
        <v>476</v>
      </c>
      <c r="M483">
        <v>157.77000000000001</v>
      </c>
    </row>
    <row r="484" spans="1:13" x14ac:dyDescent="0.25">
      <c r="A484" t="str">
        <f t="shared" si="128"/>
        <v>E402</v>
      </c>
      <c r="B484">
        <v>1</v>
      </c>
      <c r="C484" t="str">
        <f t="shared" si="125"/>
        <v>14185</v>
      </c>
      <c r="D484" t="str">
        <f t="shared" si="126"/>
        <v>5620</v>
      </c>
      <c r="E484" t="str">
        <f t="shared" si="127"/>
        <v>094OMS</v>
      </c>
      <c r="F484" t="str">
        <f>""</f>
        <v/>
      </c>
      <c r="G484" t="str">
        <f>""</f>
        <v/>
      </c>
      <c r="H484" s="1">
        <v>39129</v>
      </c>
      <c r="I484" t="str">
        <f>"PCD00257"</f>
        <v>PCD00257</v>
      </c>
      <c r="J484" t="str">
        <f>"53049"</f>
        <v>53049</v>
      </c>
      <c r="K484" t="str">
        <f t="shared" si="129"/>
        <v>AS89</v>
      </c>
      <c r="L484" t="s">
        <v>475</v>
      </c>
      <c r="M484">
        <v>157.77000000000001</v>
      </c>
    </row>
    <row r="485" spans="1:13" x14ac:dyDescent="0.25">
      <c r="A485" t="str">
        <f t="shared" si="128"/>
        <v>E402</v>
      </c>
      <c r="B485">
        <v>1</v>
      </c>
      <c r="C485" t="str">
        <f t="shared" si="125"/>
        <v>14185</v>
      </c>
      <c r="D485" t="str">
        <f t="shared" si="126"/>
        <v>5620</v>
      </c>
      <c r="E485" t="str">
        <f t="shared" si="127"/>
        <v>094OMS</v>
      </c>
      <c r="F485" t="str">
        <f>""</f>
        <v/>
      </c>
      <c r="G485" t="str">
        <f>""</f>
        <v/>
      </c>
      <c r="H485" s="1">
        <v>39142</v>
      </c>
      <c r="I485" t="str">
        <f>"PCD00261"</f>
        <v>PCD00261</v>
      </c>
      <c r="J485" t="str">
        <f>"54244"</f>
        <v>54244</v>
      </c>
      <c r="K485" t="str">
        <f t="shared" si="129"/>
        <v>AS89</v>
      </c>
      <c r="L485" t="s">
        <v>474</v>
      </c>
      <c r="M485">
        <v>177.07</v>
      </c>
    </row>
    <row r="486" spans="1:13" x14ac:dyDescent="0.25">
      <c r="A486" t="str">
        <f t="shared" si="128"/>
        <v>E402</v>
      </c>
      <c r="B486">
        <v>1</v>
      </c>
      <c r="C486" t="str">
        <f>"31040"</f>
        <v>31040</v>
      </c>
      <c r="D486" t="str">
        <f t="shared" si="126"/>
        <v>5620</v>
      </c>
      <c r="E486" t="str">
        <f t="shared" si="127"/>
        <v>094OMS</v>
      </c>
      <c r="F486" t="str">
        <f>""</f>
        <v/>
      </c>
      <c r="G486" t="str">
        <f>""</f>
        <v/>
      </c>
      <c r="H486" s="1">
        <v>39203</v>
      </c>
      <c r="I486" t="str">
        <f>"PCD00269"</f>
        <v>PCD00269</v>
      </c>
      <c r="J486" t="str">
        <f>"57234"</f>
        <v>57234</v>
      </c>
      <c r="K486" t="str">
        <f t="shared" si="129"/>
        <v>AS89</v>
      </c>
      <c r="L486" t="s">
        <v>473</v>
      </c>
      <c r="M486">
        <v>447.87</v>
      </c>
    </row>
    <row r="487" spans="1:13" x14ac:dyDescent="0.25">
      <c r="A487" t="str">
        <f t="shared" si="128"/>
        <v>E402</v>
      </c>
      <c r="B487">
        <v>1</v>
      </c>
      <c r="C487" t="str">
        <f>"31040"</f>
        <v>31040</v>
      </c>
      <c r="D487" t="str">
        <f t="shared" si="126"/>
        <v>5620</v>
      </c>
      <c r="E487" t="str">
        <f t="shared" si="127"/>
        <v>094OMS</v>
      </c>
      <c r="F487" t="str">
        <f>""</f>
        <v/>
      </c>
      <c r="G487" t="str">
        <f>""</f>
        <v/>
      </c>
      <c r="H487" s="1">
        <v>39203</v>
      </c>
      <c r="I487" t="str">
        <f>"PCD00269"</f>
        <v>PCD00269</v>
      </c>
      <c r="J487" t="str">
        <f>"57887"</f>
        <v>57887</v>
      </c>
      <c r="K487" t="str">
        <f t="shared" si="129"/>
        <v>AS89</v>
      </c>
      <c r="L487" t="s">
        <v>472</v>
      </c>
      <c r="M487">
        <v>440.71</v>
      </c>
    </row>
    <row r="488" spans="1:13" x14ac:dyDescent="0.25">
      <c r="A488" t="str">
        <f t="shared" si="128"/>
        <v>E402</v>
      </c>
      <c r="B488">
        <v>1</v>
      </c>
      <c r="C488" t="str">
        <f>"43000"</f>
        <v>43000</v>
      </c>
      <c r="D488" t="str">
        <f>"5740"</f>
        <v>5740</v>
      </c>
      <c r="E488" t="str">
        <f>"850LOS"</f>
        <v>850LOS</v>
      </c>
      <c r="F488" t="str">
        <f>""</f>
        <v/>
      </c>
      <c r="G488" t="str">
        <f>""</f>
        <v/>
      </c>
      <c r="H488" s="1">
        <v>38989</v>
      </c>
      <c r="I488" t="str">
        <f>"PCD00244"</f>
        <v>PCD00244</v>
      </c>
      <c r="J488" t="str">
        <f>"45178"</f>
        <v>45178</v>
      </c>
      <c r="K488" t="str">
        <f t="shared" si="129"/>
        <v>AS89</v>
      </c>
      <c r="L488" t="s">
        <v>471</v>
      </c>
      <c r="M488">
        <v>137.36000000000001</v>
      </c>
    </row>
    <row r="489" spans="1:13" x14ac:dyDescent="0.25">
      <c r="A489" t="str">
        <f t="shared" si="128"/>
        <v>E402</v>
      </c>
      <c r="B489">
        <v>1</v>
      </c>
      <c r="C489" t="str">
        <f>"43000"</f>
        <v>43000</v>
      </c>
      <c r="D489" t="str">
        <f>"5740"</f>
        <v>5740</v>
      </c>
      <c r="E489" t="str">
        <f>"850LOS"</f>
        <v>850LOS</v>
      </c>
      <c r="F489" t="str">
        <f>""</f>
        <v/>
      </c>
      <c r="G489" t="str">
        <f>""</f>
        <v/>
      </c>
      <c r="H489" s="1">
        <v>39038</v>
      </c>
      <c r="I489" t="str">
        <f>"PCD00249"</f>
        <v>PCD00249</v>
      </c>
      <c r="J489" t="str">
        <f>"47989"</f>
        <v>47989</v>
      </c>
      <c r="K489" t="str">
        <f t="shared" si="129"/>
        <v>AS89</v>
      </c>
      <c r="L489" t="s">
        <v>470</v>
      </c>
      <c r="M489">
        <v>263.55</v>
      </c>
    </row>
    <row r="490" spans="1:13" x14ac:dyDescent="0.25">
      <c r="A490" t="str">
        <f>"E403"</f>
        <v>E403</v>
      </c>
      <c r="B490">
        <v>1</v>
      </c>
      <c r="C490" t="str">
        <f>"14185"</f>
        <v>14185</v>
      </c>
      <c r="D490" t="str">
        <f>"5620"</f>
        <v>5620</v>
      </c>
      <c r="E490" t="str">
        <f>"094OMS"</f>
        <v>094OMS</v>
      </c>
      <c r="F490" t="str">
        <f>""</f>
        <v/>
      </c>
      <c r="G490" t="str">
        <f>""</f>
        <v/>
      </c>
      <c r="H490" s="1">
        <v>39252</v>
      </c>
      <c r="I490" t="str">
        <f>"A0EC0"</f>
        <v>A0EC0</v>
      </c>
      <c r="J490" t="str">
        <f>"F113822"</f>
        <v>F113822</v>
      </c>
      <c r="K490" t="str">
        <f>"INEI"</f>
        <v>INEI</v>
      </c>
      <c r="L490" t="s">
        <v>469</v>
      </c>
      <c r="M490">
        <v>559.75</v>
      </c>
    </row>
    <row r="491" spans="1:13" x14ac:dyDescent="0.25">
      <c r="A491" t="str">
        <f t="shared" ref="A491:A500" si="130">"E404"</f>
        <v>E404</v>
      </c>
      <c r="B491">
        <v>1</v>
      </c>
      <c r="C491" t="str">
        <f>"14185"</f>
        <v>14185</v>
      </c>
      <c r="D491" t="str">
        <f>"5620"</f>
        <v>5620</v>
      </c>
      <c r="E491" t="str">
        <f>"094OMS"</f>
        <v>094OMS</v>
      </c>
      <c r="F491" t="str">
        <f>""</f>
        <v/>
      </c>
      <c r="G491" t="str">
        <f>""</f>
        <v/>
      </c>
      <c r="H491" s="1">
        <v>38940</v>
      </c>
      <c r="I491" t="str">
        <f>"PCD00239"</f>
        <v>PCD00239</v>
      </c>
      <c r="J491" t="str">
        <f>"43917"</f>
        <v>43917</v>
      </c>
      <c r="K491" t="str">
        <f t="shared" ref="K491:K500" si="131">"AS89"</f>
        <v>AS89</v>
      </c>
      <c r="L491" t="s">
        <v>468</v>
      </c>
      <c r="M491">
        <v>370.73</v>
      </c>
    </row>
    <row r="492" spans="1:13" x14ac:dyDescent="0.25">
      <c r="A492" t="str">
        <f t="shared" si="130"/>
        <v>E404</v>
      </c>
      <c r="B492">
        <v>1</v>
      </c>
      <c r="C492" t="str">
        <f>"14185"</f>
        <v>14185</v>
      </c>
      <c r="D492" t="str">
        <f>"5620"</f>
        <v>5620</v>
      </c>
      <c r="E492" t="str">
        <f>"094OMS"</f>
        <v>094OMS</v>
      </c>
      <c r="F492" t="str">
        <f>""</f>
        <v/>
      </c>
      <c r="G492" t="str">
        <f>""</f>
        <v/>
      </c>
      <c r="H492" s="1">
        <v>39150</v>
      </c>
      <c r="I492" t="str">
        <f>"PCD00262"</f>
        <v>PCD00262</v>
      </c>
      <c r="J492" t="str">
        <f>"54793"</f>
        <v>54793</v>
      </c>
      <c r="K492" t="str">
        <f t="shared" si="131"/>
        <v>AS89</v>
      </c>
      <c r="L492" t="s">
        <v>467</v>
      </c>
      <c r="M492">
        <v>122.42</v>
      </c>
    </row>
    <row r="493" spans="1:13" x14ac:dyDescent="0.25">
      <c r="A493" t="str">
        <f t="shared" si="130"/>
        <v>E404</v>
      </c>
      <c r="B493">
        <v>1</v>
      </c>
      <c r="C493" t="str">
        <f>"14185"</f>
        <v>14185</v>
      </c>
      <c r="D493" t="str">
        <f>"5620"</f>
        <v>5620</v>
      </c>
      <c r="E493" t="str">
        <f>"094OMS"</f>
        <v>094OMS</v>
      </c>
      <c r="F493" t="str">
        <f>""</f>
        <v/>
      </c>
      <c r="G493" t="str">
        <f>""</f>
        <v/>
      </c>
      <c r="H493" s="1">
        <v>39234</v>
      </c>
      <c r="I493" t="str">
        <f>"PCD00272"</f>
        <v>PCD00272</v>
      </c>
      <c r="J493" t="str">
        <f>"59753"</f>
        <v>59753</v>
      </c>
      <c r="K493" t="str">
        <f t="shared" si="131"/>
        <v>AS89</v>
      </c>
      <c r="L493" t="s">
        <v>466</v>
      </c>
      <c r="M493">
        <v>130.08000000000001</v>
      </c>
    </row>
    <row r="494" spans="1:13" x14ac:dyDescent="0.25">
      <c r="A494" t="str">
        <f t="shared" si="130"/>
        <v>E404</v>
      </c>
      <c r="B494">
        <v>1</v>
      </c>
      <c r="C494" t="str">
        <f>"14185"</f>
        <v>14185</v>
      </c>
      <c r="D494" t="str">
        <f>"5620"</f>
        <v>5620</v>
      </c>
      <c r="E494" t="str">
        <f>"094OMS"</f>
        <v>094OMS</v>
      </c>
      <c r="F494" t="str">
        <f>""</f>
        <v/>
      </c>
      <c r="G494" t="str">
        <f>""</f>
        <v/>
      </c>
      <c r="H494" s="1">
        <v>39234</v>
      </c>
      <c r="I494" t="str">
        <f>"PCD00272"</f>
        <v>PCD00272</v>
      </c>
      <c r="J494" t="str">
        <f>"60431"</f>
        <v>60431</v>
      </c>
      <c r="K494" t="str">
        <f t="shared" si="131"/>
        <v>AS89</v>
      </c>
      <c r="L494" t="s">
        <v>465</v>
      </c>
      <c r="M494">
        <v>308.92</v>
      </c>
    </row>
    <row r="495" spans="1:13" x14ac:dyDescent="0.25">
      <c r="A495" t="str">
        <f t="shared" si="130"/>
        <v>E404</v>
      </c>
      <c r="B495">
        <v>1</v>
      </c>
      <c r="C495" t="str">
        <f>"43000"</f>
        <v>43000</v>
      </c>
      <c r="D495" t="str">
        <f t="shared" ref="D495:D500" si="132">"5740"</f>
        <v>5740</v>
      </c>
      <c r="E495" t="str">
        <f>"850PKE"</f>
        <v>850PKE</v>
      </c>
      <c r="F495" t="str">
        <f>""</f>
        <v/>
      </c>
      <c r="G495" t="str">
        <f>""</f>
        <v/>
      </c>
      <c r="H495" s="1">
        <v>38947</v>
      </c>
      <c r="I495" t="str">
        <f>"PCD00240"</f>
        <v>PCD00240</v>
      </c>
      <c r="J495" t="str">
        <f>"44727"</f>
        <v>44727</v>
      </c>
      <c r="K495" t="str">
        <f t="shared" si="131"/>
        <v>AS89</v>
      </c>
      <c r="L495" t="s">
        <v>464</v>
      </c>
      <c r="M495">
        <v>639.5</v>
      </c>
    </row>
    <row r="496" spans="1:13" x14ac:dyDescent="0.25">
      <c r="A496" t="str">
        <f t="shared" si="130"/>
        <v>E404</v>
      </c>
      <c r="B496">
        <v>1</v>
      </c>
      <c r="C496" t="str">
        <f>"43000"</f>
        <v>43000</v>
      </c>
      <c r="D496" t="str">
        <f t="shared" si="132"/>
        <v>5740</v>
      </c>
      <c r="E496" t="str">
        <f>"850PKE"</f>
        <v>850PKE</v>
      </c>
      <c r="F496" t="str">
        <f>""</f>
        <v/>
      </c>
      <c r="G496" t="str">
        <f>""</f>
        <v/>
      </c>
      <c r="H496" s="1">
        <v>39038</v>
      </c>
      <c r="I496" t="str">
        <f>"PCD00249"</f>
        <v>PCD00249</v>
      </c>
      <c r="J496" t="str">
        <f>"48222"</f>
        <v>48222</v>
      </c>
      <c r="K496" t="str">
        <f t="shared" si="131"/>
        <v>AS89</v>
      </c>
      <c r="L496" t="s">
        <v>463</v>
      </c>
      <c r="M496">
        <v>291.48</v>
      </c>
    </row>
    <row r="497" spans="1:13" x14ac:dyDescent="0.25">
      <c r="A497" t="str">
        <f t="shared" si="130"/>
        <v>E404</v>
      </c>
      <c r="B497">
        <v>1</v>
      </c>
      <c r="C497" t="str">
        <f>"43000"</f>
        <v>43000</v>
      </c>
      <c r="D497" t="str">
        <f t="shared" si="132"/>
        <v>5740</v>
      </c>
      <c r="E497" t="str">
        <f>"850PKE"</f>
        <v>850PKE</v>
      </c>
      <c r="F497" t="str">
        <f>""</f>
        <v/>
      </c>
      <c r="G497" t="str">
        <f>""</f>
        <v/>
      </c>
      <c r="H497" s="1">
        <v>39100</v>
      </c>
      <c r="I497" t="str">
        <f>"PCD00254"</f>
        <v>PCD00254</v>
      </c>
      <c r="J497" t="str">
        <f>"50810"</f>
        <v>50810</v>
      </c>
      <c r="K497" t="str">
        <f t="shared" si="131"/>
        <v>AS89</v>
      </c>
      <c r="L497" t="s">
        <v>462</v>
      </c>
      <c r="M497">
        <v>484.46</v>
      </c>
    </row>
    <row r="498" spans="1:13" x14ac:dyDescent="0.25">
      <c r="A498" t="str">
        <f t="shared" si="130"/>
        <v>E404</v>
      </c>
      <c r="B498">
        <v>1</v>
      </c>
      <c r="C498" t="str">
        <f>"43000"</f>
        <v>43000</v>
      </c>
      <c r="D498" t="str">
        <f t="shared" si="132"/>
        <v>5740</v>
      </c>
      <c r="E498" t="str">
        <f>"850PKE"</f>
        <v>850PKE</v>
      </c>
      <c r="F498" t="str">
        <f>""</f>
        <v/>
      </c>
      <c r="G498" t="str">
        <f>""</f>
        <v/>
      </c>
      <c r="H498" s="1">
        <v>39203</v>
      </c>
      <c r="I498" t="str">
        <f>"PCD00269"</f>
        <v>PCD00269</v>
      </c>
      <c r="J498" t="str">
        <f>"58181"</f>
        <v>58181</v>
      </c>
      <c r="K498" t="str">
        <f t="shared" si="131"/>
        <v>AS89</v>
      </c>
      <c r="L498" t="s">
        <v>461</v>
      </c>
      <c r="M498">
        <v>236.27</v>
      </c>
    </row>
    <row r="499" spans="1:13" x14ac:dyDescent="0.25">
      <c r="A499" t="str">
        <f t="shared" si="130"/>
        <v>E404</v>
      </c>
      <c r="B499">
        <v>1</v>
      </c>
      <c r="C499" t="str">
        <f>"43003"</f>
        <v>43003</v>
      </c>
      <c r="D499" t="str">
        <f t="shared" si="132"/>
        <v>5740</v>
      </c>
      <c r="E499" t="str">
        <f>"850LOS"</f>
        <v>850LOS</v>
      </c>
      <c r="F499" t="str">
        <f>""</f>
        <v/>
      </c>
      <c r="G499" t="str">
        <f>""</f>
        <v/>
      </c>
      <c r="H499" s="1">
        <v>39234</v>
      </c>
      <c r="I499" t="str">
        <f>"PCD00272"</f>
        <v>PCD00272</v>
      </c>
      <c r="J499" t="str">
        <f>"59344"</f>
        <v>59344</v>
      </c>
      <c r="K499" t="str">
        <f t="shared" si="131"/>
        <v>AS89</v>
      </c>
      <c r="L499" t="s">
        <v>460</v>
      </c>
      <c r="M499">
        <v>500</v>
      </c>
    </row>
    <row r="500" spans="1:13" x14ac:dyDescent="0.25">
      <c r="A500" t="str">
        <f t="shared" si="130"/>
        <v>E404</v>
      </c>
      <c r="B500">
        <v>1</v>
      </c>
      <c r="C500" t="str">
        <f>"43003"</f>
        <v>43003</v>
      </c>
      <c r="D500" t="str">
        <f t="shared" si="132"/>
        <v>5740</v>
      </c>
      <c r="E500" t="str">
        <f>"850LOS"</f>
        <v>850LOS</v>
      </c>
      <c r="F500" t="str">
        <f>""</f>
        <v/>
      </c>
      <c r="G500" t="str">
        <f>""</f>
        <v/>
      </c>
      <c r="H500" s="1">
        <v>39234</v>
      </c>
      <c r="I500" t="str">
        <f>"PCD00272"</f>
        <v>PCD00272</v>
      </c>
      <c r="J500" t="str">
        <f>"59345"</f>
        <v>59345</v>
      </c>
      <c r="K500" t="str">
        <f t="shared" si="131"/>
        <v>AS89</v>
      </c>
      <c r="L500" t="s">
        <v>460</v>
      </c>
      <c r="M500">
        <v>518.05999999999995</v>
      </c>
    </row>
    <row r="501" spans="1:13" x14ac:dyDescent="0.25">
      <c r="A501" t="str">
        <f>"E408"</f>
        <v>E408</v>
      </c>
      <c r="B501">
        <v>1</v>
      </c>
      <c r="C501" t="str">
        <f>"14185"</f>
        <v>14185</v>
      </c>
      <c r="D501" t="str">
        <f>"5620"</f>
        <v>5620</v>
      </c>
      <c r="E501" t="str">
        <f>"094OMS"</f>
        <v>094OMS</v>
      </c>
      <c r="F501" t="str">
        <f>""</f>
        <v/>
      </c>
      <c r="G501" t="str">
        <f>""</f>
        <v/>
      </c>
      <c r="H501" s="1">
        <v>39006</v>
      </c>
      <c r="I501" t="str">
        <f>"574448"</f>
        <v>574448</v>
      </c>
      <c r="J501" t="str">
        <f>"F110033"</f>
        <v>F110033</v>
      </c>
      <c r="K501" t="str">
        <f>"INEI"</f>
        <v>INEI</v>
      </c>
      <c r="L501" t="s">
        <v>366</v>
      </c>
      <c r="M501" s="2">
        <v>2105.67</v>
      </c>
    </row>
    <row r="502" spans="1:13" x14ac:dyDescent="0.25">
      <c r="A502" t="str">
        <f>"E408"</f>
        <v>E408</v>
      </c>
      <c r="B502">
        <v>1</v>
      </c>
      <c r="C502" t="str">
        <f>"14185"</f>
        <v>14185</v>
      </c>
      <c r="D502" t="str">
        <f>"5620"</f>
        <v>5620</v>
      </c>
      <c r="E502" t="str">
        <f>"094OMS"</f>
        <v>094OMS</v>
      </c>
      <c r="F502" t="str">
        <f>""</f>
        <v/>
      </c>
      <c r="G502" t="str">
        <f>""</f>
        <v/>
      </c>
      <c r="H502" s="1">
        <v>39263</v>
      </c>
      <c r="I502" t="str">
        <f>"11310C"</f>
        <v>11310C</v>
      </c>
      <c r="J502" t="str">
        <f>"F113815"</f>
        <v>F113815</v>
      </c>
      <c r="K502" t="str">
        <f>"INEI"</f>
        <v>INEI</v>
      </c>
      <c r="L502" t="s">
        <v>458</v>
      </c>
      <c r="M502" s="2">
        <v>2235.4299999999998</v>
      </c>
    </row>
    <row r="503" spans="1:13" x14ac:dyDescent="0.25">
      <c r="A503" t="str">
        <f>"E414"</f>
        <v>E414</v>
      </c>
      <c r="B503">
        <v>1</v>
      </c>
      <c r="C503" t="str">
        <f>"43005"</f>
        <v>43005</v>
      </c>
      <c r="D503" t="str">
        <f t="shared" ref="D503:D514" si="133">"5740"</f>
        <v>5740</v>
      </c>
      <c r="E503" t="str">
        <f>"850REP"</f>
        <v>850REP</v>
      </c>
      <c r="F503" t="str">
        <f>""</f>
        <v/>
      </c>
      <c r="G503" t="str">
        <f>""</f>
        <v/>
      </c>
      <c r="H503" s="1">
        <v>39223</v>
      </c>
      <c r="I503" t="str">
        <f>"32811"</f>
        <v>32811</v>
      </c>
      <c r="J503" t="str">
        <f>"F110056"</f>
        <v>F110056</v>
      </c>
      <c r="K503" t="str">
        <f>"INEI"</f>
        <v>INEI</v>
      </c>
      <c r="L503" t="s">
        <v>457</v>
      </c>
      <c r="M503" s="2">
        <v>28178.58</v>
      </c>
    </row>
    <row r="504" spans="1:13" x14ac:dyDescent="0.25">
      <c r="A504" t="str">
        <f>"E452"</f>
        <v>E452</v>
      </c>
      <c r="B504">
        <v>1</v>
      </c>
      <c r="C504" t="str">
        <f>"43007"</f>
        <v>43007</v>
      </c>
      <c r="D504" t="str">
        <f t="shared" si="133"/>
        <v>5740</v>
      </c>
      <c r="E504" t="str">
        <f>"850GAR"</f>
        <v>850GAR</v>
      </c>
      <c r="F504" t="str">
        <f>""</f>
        <v/>
      </c>
      <c r="G504" t="str">
        <f>""</f>
        <v/>
      </c>
      <c r="H504" s="1">
        <v>39016</v>
      </c>
      <c r="I504" t="str">
        <f>"112885A"</f>
        <v>112885A</v>
      </c>
      <c r="J504" t="str">
        <f>""</f>
        <v/>
      </c>
      <c r="K504" t="str">
        <f>"INNI"</f>
        <v>INNI</v>
      </c>
      <c r="L504" t="s">
        <v>456</v>
      </c>
      <c r="M504" s="2">
        <v>2605365.56</v>
      </c>
    </row>
    <row r="505" spans="1:13" x14ac:dyDescent="0.25">
      <c r="A505" t="str">
        <f>"E452"</f>
        <v>E452</v>
      </c>
      <c r="B505">
        <v>1</v>
      </c>
      <c r="C505" t="str">
        <f>"43007"</f>
        <v>43007</v>
      </c>
      <c r="D505" t="str">
        <f t="shared" si="133"/>
        <v>5740</v>
      </c>
      <c r="E505" t="str">
        <f>"850GAR"</f>
        <v>850GAR</v>
      </c>
      <c r="F505" t="str">
        <f>""</f>
        <v/>
      </c>
      <c r="G505" t="str">
        <f>""</f>
        <v/>
      </c>
      <c r="H505" s="1">
        <v>39082</v>
      </c>
      <c r="I505" t="str">
        <f>"G0706226"</f>
        <v>G0706226</v>
      </c>
      <c r="J505" t="str">
        <f>""</f>
        <v/>
      </c>
      <c r="K505" t="str">
        <f>"J079"</f>
        <v>J079</v>
      </c>
      <c r="L505" t="s">
        <v>455</v>
      </c>
      <c r="M505" s="2">
        <v>60000</v>
      </c>
    </row>
    <row r="506" spans="1:13" x14ac:dyDescent="0.25">
      <c r="A506" t="str">
        <f>"E452"</f>
        <v>E452</v>
      </c>
      <c r="B506">
        <v>1</v>
      </c>
      <c r="C506" t="str">
        <f>"43007"</f>
        <v>43007</v>
      </c>
      <c r="D506" t="str">
        <f t="shared" si="133"/>
        <v>5740</v>
      </c>
      <c r="E506" t="str">
        <f>"850GAR"</f>
        <v>850GAR</v>
      </c>
      <c r="F506" t="str">
        <f>""</f>
        <v/>
      </c>
      <c r="G506" t="str">
        <f>""</f>
        <v/>
      </c>
      <c r="H506" s="1">
        <v>39259</v>
      </c>
      <c r="I506" t="str">
        <f>"117299B"</f>
        <v>117299B</v>
      </c>
      <c r="J506" t="str">
        <f>""</f>
        <v/>
      </c>
      <c r="K506" t="str">
        <f>"INNI"</f>
        <v>INNI</v>
      </c>
      <c r="L506" t="s">
        <v>454</v>
      </c>
      <c r="M506" s="2">
        <v>2500</v>
      </c>
    </row>
    <row r="507" spans="1:13" x14ac:dyDescent="0.25">
      <c r="A507" t="str">
        <f>"E491"</f>
        <v>E491</v>
      </c>
      <c r="B507">
        <v>1</v>
      </c>
      <c r="C507" t="str">
        <f>"54551"</f>
        <v>54551</v>
      </c>
      <c r="D507" t="str">
        <f t="shared" si="133"/>
        <v>5740</v>
      </c>
      <c r="E507" t="str">
        <f>"111ZAA"</f>
        <v>111ZAA</v>
      </c>
      <c r="F507" t="str">
        <f>"GRADPR"</f>
        <v>GRADPR</v>
      </c>
      <c r="G507" t="str">
        <f>""</f>
        <v/>
      </c>
      <c r="H507" s="1">
        <v>39108</v>
      </c>
      <c r="I507" t="str">
        <f>"G0707133"</f>
        <v>G0707133</v>
      </c>
      <c r="J507" t="str">
        <f>""</f>
        <v/>
      </c>
      <c r="K507" t="str">
        <f>"J096"</f>
        <v>J096</v>
      </c>
      <c r="L507" t="s">
        <v>453</v>
      </c>
      <c r="M507" s="2">
        <v>56503.74</v>
      </c>
    </row>
    <row r="508" spans="1:13" x14ac:dyDescent="0.25">
      <c r="A508" t="str">
        <f>"E530"</f>
        <v>E530</v>
      </c>
      <c r="B508">
        <v>1</v>
      </c>
      <c r="C508" t="str">
        <f>"54551"</f>
        <v>54551</v>
      </c>
      <c r="D508" t="str">
        <f t="shared" si="133"/>
        <v>5740</v>
      </c>
      <c r="E508" t="str">
        <f>"111ZAA"</f>
        <v>111ZAA</v>
      </c>
      <c r="F508" t="str">
        <f>"GRAADM"</f>
        <v>GRAADM</v>
      </c>
      <c r="G508" t="str">
        <f>""</f>
        <v/>
      </c>
      <c r="H508" s="1">
        <v>39263</v>
      </c>
      <c r="I508" t="str">
        <f>"G0714083"</f>
        <v>G0714083</v>
      </c>
      <c r="J508" t="str">
        <f>""</f>
        <v/>
      </c>
      <c r="K508" t="str">
        <f>"J096"</f>
        <v>J096</v>
      </c>
      <c r="L508" t="s">
        <v>451</v>
      </c>
      <c r="M508" s="2">
        <v>7253.25</v>
      </c>
    </row>
    <row r="509" spans="1:13" x14ac:dyDescent="0.25">
      <c r="A509" t="str">
        <f>"E530"</f>
        <v>E530</v>
      </c>
      <c r="B509">
        <v>1</v>
      </c>
      <c r="C509" t="str">
        <f>"54551"</f>
        <v>54551</v>
      </c>
      <c r="D509" t="str">
        <f t="shared" si="133"/>
        <v>5740</v>
      </c>
      <c r="E509" t="str">
        <f>"111ZAA"</f>
        <v>111ZAA</v>
      </c>
      <c r="F509" t="str">
        <f>"GRACPR"</f>
        <v>GRACPR</v>
      </c>
      <c r="G509" t="str">
        <f>""</f>
        <v/>
      </c>
      <c r="H509" s="1">
        <v>39263</v>
      </c>
      <c r="I509" t="str">
        <f>"G0714083"</f>
        <v>G0714083</v>
      </c>
      <c r="J509" t="str">
        <f>""</f>
        <v/>
      </c>
      <c r="K509" t="str">
        <f>"J096"</f>
        <v>J096</v>
      </c>
      <c r="L509" t="s">
        <v>451</v>
      </c>
      <c r="M509" s="2">
        <v>45907.4</v>
      </c>
    </row>
    <row r="510" spans="1:13" x14ac:dyDescent="0.25">
      <c r="A510" t="str">
        <f>"E530"</f>
        <v>E530</v>
      </c>
      <c r="B510">
        <v>1</v>
      </c>
      <c r="C510" t="str">
        <f>"54551"</f>
        <v>54551</v>
      </c>
      <c r="D510" t="str">
        <f t="shared" si="133"/>
        <v>5740</v>
      </c>
      <c r="E510" t="str">
        <f>"111ZAA"</f>
        <v>111ZAA</v>
      </c>
      <c r="F510" t="str">
        <f>"GRADPR"</f>
        <v>GRADPR</v>
      </c>
      <c r="G510" t="str">
        <f>""</f>
        <v/>
      </c>
      <c r="H510" s="1">
        <v>39191</v>
      </c>
      <c r="I510" t="str">
        <f>"G0710162"</f>
        <v>G0710162</v>
      </c>
      <c r="J510" t="str">
        <f>""</f>
        <v/>
      </c>
      <c r="K510" t="str">
        <f>"J096"</f>
        <v>J096</v>
      </c>
      <c r="L510" t="s">
        <v>452</v>
      </c>
      <c r="M510" s="2">
        <v>45055.41</v>
      </c>
    </row>
    <row r="511" spans="1:13" x14ac:dyDescent="0.25">
      <c r="A511" t="str">
        <f>"E530"</f>
        <v>E530</v>
      </c>
      <c r="B511">
        <v>1</v>
      </c>
      <c r="C511" t="str">
        <f>"54551"</f>
        <v>54551</v>
      </c>
      <c r="D511" t="str">
        <f t="shared" si="133"/>
        <v>5740</v>
      </c>
      <c r="E511" t="str">
        <f>"111ZAA"</f>
        <v>111ZAA</v>
      </c>
      <c r="F511" t="str">
        <f>"GRADPR"</f>
        <v>GRADPR</v>
      </c>
      <c r="G511" t="str">
        <f>""</f>
        <v/>
      </c>
      <c r="H511" s="1">
        <v>39263</v>
      </c>
      <c r="I511" t="str">
        <f>"G0714083"</f>
        <v>G0714083</v>
      </c>
      <c r="J511" t="str">
        <f>""</f>
        <v/>
      </c>
      <c r="K511" t="str">
        <f>"J096"</f>
        <v>J096</v>
      </c>
      <c r="L511" t="s">
        <v>451</v>
      </c>
      <c r="M511" s="2">
        <v>15931.42</v>
      </c>
    </row>
    <row r="512" spans="1:13" x14ac:dyDescent="0.25">
      <c r="A512" t="str">
        <f>"E703"</f>
        <v>E703</v>
      </c>
      <c r="B512">
        <v>1</v>
      </c>
      <c r="C512" t="str">
        <f>"78020"</f>
        <v>78020</v>
      </c>
      <c r="D512" t="str">
        <f t="shared" si="133"/>
        <v>5740</v>
      </c>
      <c r="E512" t="str">
        <f>"850GAR"</f>
        <v>850GAR</v>
      </c>
      <c r="F512" t="str">
        <f>""</f>
        <v/>
      </c>
      <c r="G512" t="str">
        <f>""</f>
        <v/>
      </c>
      <c r="H512" s="1">
        <v>39225</v>
      </c>
      <c r="I512" t="str">
        <f>"G0711150"</f>
        <v>G0711150</v>
      </c>
      <c r="J512" t="str">
        <f>""</f>
        <v/>
      </c>
      <c r="K512" t="str">
        <f>"J079"</f>
        <v>J079</v>
      </c>
      <c r="L512" t="s">
        <v>450</v>
      </c>
      <c r="M512" s="2">
        <v>1556.85</v>
      </c>
    </row>
    <row r="513" spans="1:13" x14ac:dyDescent="0.25">
      <c r="A513" t="str">
        <f>"E999"</f>
        <v>E999</v>
      </c>
      <c r="B513">
        <v>1</v>
      </c>
      <c r="C513" t="str">
        <f>"43000"</f>
        <v>43000</v>
      </c>
      <c r="D513" t="str">
        <f t="shared" si="133"/>
        <v>5740</v>
      </c>
      <c r="E513" t="str">
        <f>"850LOS"</f>
        <v>850LOS</v>
      </c>
      <c r="F513" t="str">
        <f>""</f>
        <v/>
      </c>
      <c r="G513" t="str">
        <f>""</f>
        <v/>
      </c>
      <c r="H513" s="1">
        <v>39104</v>
      </c>
      <c r="I513" t="str">
        <f>"PCD00255"</f>
        <v>PCD00255</v>
      </c>
      <c r="J513" t="str">
        <f>"51702"</f>
        <v>51702</v>
      </c>
      <c r="K513" t="str">
        <f>"AS89"</f>
        <v>AS89</v>
      </c>
      <c r="L513" t="s">
        <v>449</v>
      </c>
      <c r="M513">
        <v>128.53</v>
      </c>
    </row>
    <row r="514" spans="1:13" x14ac:dyDescent="0.25">
      <c r="A514" t="str">
        <f>"E999"</f>
        <v>E999</v>
      </c>
      <c r="B514">
        <v>1</v>
      </c>
      <c r="C514" t="str">
        <f>"43000"</f>
        <v>43000</v>
      </c>
      <c r="D514" t="str">
        <f t="shared" si="133"/>
        <v>5740</v>
      </c>
      <c r="E514" t="str">
        <f>"850PKC"</f>
        <v>850PKC</v>
      </c>
      <c r="F514" t="str">
        <f>""</f>
        <v/>
      </c>
      <c r="G514" t="str">
        <f>""</f>
        <v/>
      </c>
      <c r="H514" s="1">
        <v>39003</v>
      </c>
      <c r="I514" t="str">
        <f>"PCD00246"</f>
        <v>PCD00246</v>
      </c>
      <c r="J514" t="str">
        <f>"46796"</f>
        <v>46796</v>
      </c>
      <c r="K514" t="str">
        <f>"AS89"</f>
        <v>AS89</v>
      </c>
      <c r="L514" t="s">
        <v>448</v>
      </c>
      <c r="M514">
        <v>168.01</v>
      </c>
    </row>
    <row r="515" spans="1:13" x14ac:dyDescent="0.25">
      <c r="A515" t="str">
        <f t="shared" ref="A515:A521" si="134">"J111"</f>
        <v>J111</v>
      </c>
      <c r="B515">
        <v>1</v>
      </c>
      <c r="C515" t="str">
        <f>"31040"</f>
        <v>31040</v>
      </c>
      <c r="D515" t="str">
        <f>"5620"</f>
        <v>5620</v>
      </c>
      <c r="E515" t="str">
        <f>"094OMS"</f>
        <v>094OMS</v>
      </c>
      <c r="F515" t="str">
        <f>""</f>
        <v/>
      </c>
      <c r="G515" t="str">
        <f>""</f>
        <v/>
      </c>
      <c r="H515" s="1">
        <v>39251</v>
      </c>
      <c r="I515" t="str">
        <f>"G0712101"</f>
        <v>G0712101</v>
      </c>
      <c r="J515" t="str">
        <f>""</f>
        <v/>
      </c>
      <c r="K515" t="str">
        <f>"J096"</f>
        <v>J096</v>
      </c>
      <c r="L515" t="s">
        <v>444</v>
      </c>
      <c r="M515" s="2">
        <v>9300</v>
      </c>
    </row>
    <row r="516" spans="1:13" x14ac:dyDescent="0.25">
      <c r="A516" t="str">
        <f t="shared" si="134"/>
        <v>J111</v>
      </c>
      <c r="B516">
        <v>1</v>
      </c>
      <c r="C516" t="str">
        <f t="shared" ref="C516:C521" si="135">"43000"</f>
        <v>43000</v>
      </c>
      <c r="D516" t="str">
        <f t="shared" ref="D516:D521" si="136">"5740"</f>
        <v>5740</v>
      </c>
      <c r="E516" t="str">
        <f t="shared" ref="E516:E521" si="137">"850LOS"</f>
        <v>850LOS</v>
      </c>
      <c r="F516" t="str">
        <f>""</f>
        <v/>
      </c>
      <c r="G516" t="str">
        <f>""</f>
        <v/>
      </c>
      <c r="H516" s="1">
        <v>38931</v>
      </c>
      <c r="I516" t="str">
        <f>"C0008591"</f>
        <v>C0008591</v>
      </c>
      <c r="J516" t="str">
        <f>""</f>
        <v/>
      </c>
      <c r="K516" t="str">
        <f t="shared" ref="K516:K521" si="138">"ISSU"</f>
        <v>ISSU</v>
      </c>
      <c r="L516" t="s">
        <v>15</v>
      </c>
      <c r="M516">
        <v>112.54</v>
      </c>
    </row>
    <row r="517" spans="1:13" x14ac:dyDescent="0.25">
      <c r="A517" t="str">
        <f t="shared" si="134"/>
        <v>J111</v>
      </c>
      <c r="B517">
        <v>1</v>
      </c>
      <c r="C517" t="str">
        <f t="shared" si="135"/>
        <v>43000</v>
      </c>
      <c r="D517" t="str">
        <f t="shared" si="136"/>
        <v>5740</v>
      </c>
      <c r="E517" t="str">
        <f t="shared" si="137"/>
        <v>850LOS</v>
      </c>
      <c r="F517" t="str">
        <f>""</f>
        <v/>
      </c>
      <c r="G517" t="str">
        <f>""</f>
        <v/>
      </c>
      <c r="H517" s="1">
        <v>38951</v>
      </c>
      <c r="I517" t="str">
        <f>"C0008674"</f>
        <v>C0008674</v>
      </c>
      <c r="J517" t="str">
        <f>""</f>
        <v/>
      </c>
      <c r="K517" t="str">
        <f t="shared" si="138"/>
        <v>ISSU</v>
      </c>
      <c r="L517" t="s">
        <v>15</v>
      </c>
      <c r="M517">
        <v>107.9</v>
      </c>
    </row>
    <row r="518" spans="1:13" x14ac:dyDescent="0.25">
      <c r="A518" t="str">
        <f t="shared" si="134"/>
        <v>J111</v>
      </c>
      <c r="B518">
        <v>1</v>
      </c>
      <c r="C518" t="str">
        <f t="shared" si="135"/>
        <v>43000</v>
      </c>
      <c r="D518" t="str">
        <f t="shared" si="136"/>
        <v>5740</v>
      </c>
      <c r="E518" t="str">
        <f t="shared" si="137"/>
        <v>850LOS</v>
      </c>
      <c r="F518" t="str">
        <f>""</f>
        <v/>
      </c>
      <c r="G518" t="str">
        <f>""</f>
        <v/>
      </c>
      <c r="H518" s="1">
        <v>39057</v>
      </c>
      <c r="I518" t="str">
        <f>"C0009292"</f>
        <v>C0009292</v>
      </c>
      <c r="J518" t="str">
        <f>""</f>
        <v/>
      </c>
      <c r="K518" t="str">
        <f t="shared" si="138"/>
        <v>ISSU</v>
      </c>
      <c r="L518" t="s">
        <v>15</v>
      </c>
      <c r="M518">
        <v>257.29000000000002</v>
      </c>
    </row>
    <row r="519" spans="1:13" x14ac:dyDescent="0.25">
      <c r="A519" t="str">
        <f t="shared" si="134"/>
        <v>J111</v>
      </c>
      <c r="B519">
        <v>1</v>
      </c>
      <c r="C519" t="str">
        <f t="shared" si="135"/>
        <v>43000</v>
      </c>
      <c r="D519" t="str">
        <f t="shared" si="136"/>
        <v>5740</v>
      </c>
      <c r="E519" t="str">
        <f t="shared" si="137"/>
        <v>850LOS</v>
      </c>
      <c r="F519" t="str">
        <f>""</f>
        <v/>
      </c>
      <c r="G519" t="str">
        <f>""</f>
        <v/>
      </c>
      <c r="H519" s="1">
        <v>39133</v>
      </c>
      <c r="I519" t="str">
        <f>"C0009698"</f>
        <v>C0009698</v>
      </c>
      <c r="J519" t="str">
        <f>""</f>
        <v/>
      </c>
      <c r="K519" t="str">
        <f t="shared" si="138"/>
        <v>ISSU</v>
      </c>
      <c r="L519" t="s">
        <v>15</v>
      </c>
      <c r="M519">
        <v>173.03</v>
      </c>
    </row>
    <row r="520" spans="1:13" x14ac:dyDescent="0.25">
      <c r="A520" t="str">
        <f t="shared" si="134"/>
        <v>J111</v>
      </c>
      <c r="B520">
        <v>1</v>
      </c>
      <c r="C520" t="str">
        <f t="shared" si="135"/>
        <v>43000</v>
      </c>
      <c r="D520" t="str">
        <f t="shared" si="136"/>
        <v>5740</v>
      </c>
      <c r="E520" t="str">
        <f t="shared" si="137"/>
        <v>850LOS</v>
      </c>
      <c r="F520" t="str">
        <f>""</f>
        <v/>
      </c>
      <c r="G520" t="str">
        <f>""</f>
        <v/>
      </c>
      <c r="H520" s="1">
        <v>39181</v>
      </c>
      <c r="I520" t="str">
        <f>"C0009982"</f>
        <v>C0009982</v>
      </c>
      <c r="J520" t="str">
        <f>""</f>
        <v/>
      </c>
      <c r="K520" t="str">
        <f t="shared" si="138"/>
        <v>ISSU</v>
      </c>
      <c r="L520" t="s">
        <v>23</v>
      </c>
      <c r="M520">
        <v>221.19</v>
      </c>
    </row>
    <row r="521" spans="1:13" x14ac:dyDescent="0.25">
      <c r="A521" t="str">
        <f t="shared" si="134"/>
        <v>J111</v>
      </c>
      <c r="B521">
        <v>1</v>
      </c>
      <c r="C521" t="str">
        <f t="shared" si="135"/>
        <v>43000</v>
      </c>
      <c r="D521" t="str">
        <f t="shared" si="136"/>
        <v>5740</v>
      </c>
      <c r="E521" t="str">
        <f t="shared" si="137"/>
        <v>850LOS</v>
      </c>
      <c r="F521" t="str">
        <f>""</f>
        <v/>
      </c>
      <c r="G521" t="str">
        <f>""</f>
        <v/>
      </c>
      <c r="H521" s="1">
        <v>39240</v>
      </c>
      <c r="I521" t="str">
        <f>"C0010352"</f>
        <v>C0010352</v>
      </c>
      <c r="J521" t="str">
        <f>""</f>
        <v/>
      </c>
      <c r="K521" t="str">
        <f t="shared" si="138"/>
        <v>ISSU</v>
      </c>
      <c r="L521" t="s">
        <v>15</v>
      </c>
      <c r="M521">
        <v>197.88</v>
      </c>
    </row>
    <row r="522" spans="1:13" x14ac:dyDescent="0.25">
      <c r="A522" t="str">
        <f t="shared" ref="A522:A553" si="139">"J131"</f>
        <v>J131</v>
      </c>
      <c r="B522">
        <v>1</v>
      </c>
      <c r="C522" t="str">
        <f t="shared" ref="C522:C533" si="140">"14185"</f>
        <v>14185</v>
      </c>
      <c r="D522" t="str">
        <f t="shared" ref="D522:D533" si="141">"5620"</f>
        <v>5620</v>
      </c>
      <c r="E522" t="str">
        <f t="shared" ref="E522:E533" si="142">"094OMS"</f>
        <v>094OMS</v>
      </c>
      <c r="F522" t="str">
        <f>""</f>
        <v/>
      </c>
      <c r="G522" t="str">
        <f>""</f>
        <v/>
      </c>
      <c r="H522" s="1">
        <v>38917</v>
      </c>
      <c r="I522" t="str">
        <f>"TEL00541"</f>
        <v>TEL00541</v>
      </c>
      <c r="J522" t="str">
        <f>""</f>
        <v/>
      </c>
      <c r="K522" t="str">
        <f t="shared" ref="K522:K553" si="143">"AS89"</f>
        <v>AS89</v>
      </c>
      <c r="L522" t="s">
        <v>443</v>
      </c>
      <c r="M522">
        <v>382.48</v>
      </c>
    </row>
    <row r="523" spans="1:13" x14ac:dyDescent="0.25">
      <c r="A523" t="str">
        <f t="shared" si="139"/>
        <v>J131</v>
      </c>
      <c r="B523">
        <v>1</v>
      </c>
      <c r="C523" t="str">
        <f t="shared" si="140"/>
        <v>14185</v>
      </c>
      <c r="D523" t="str">
        <f t="shared" si="141"/>
        <v>5620</v>
      </c>
      <c r="E523" t="str">
        <f t="shared" si="142"/>
        <v>094OMS</v>
      </c>
      <c r="F523" t="str">
        <f>""</f>
        <v/>
      </c>
      <c r="G523" t="str">
        <f>""</f>
        <v/>
      </c>
      <c r="H523" s="1">
        <v>38938</v>
      </c>
      <c r="I523" t="str">
        <f>"TEL00542"</f>
        <v>TEL00542</v>
      </c>
      <c r="J523" t="str">
        <f>""</f>
        <v/>
      </c>
      <c r="K523" t="str">
        <f t="shared" si="143"/>
        <v>AS89</v>
      </c>
      <c r="L523" t="s">
        <v>442</v>
      </c>
      <c r="M523">
        <v>359.68</v>
      </c>
    </row>
    <row r="524" spans="1:13" x14ac:dyDescent="0.25">
      <c r="A524" t="str">
        <f t="shared" si="139"/>
        <v>J131</v>
      </c>
      <c r="B524">
        <v>1</v>
      </c>
      <c r="C524" t="str">
        <f t="shared" si="140"/>
        <v>14185</v>
      </c>
      <c r="D524" t="str">
        <f t="shared" si="141"/>
        <v>5620</v>
      </c>
      <c r="E524" t="str">
        <f t="shared" si="142"/>
        <v>094OMS</v>
      </c>
      <c r="F524" t="str">
        <f>""</f>
        <v/>
      </c>
      <c r="G524" t="str">
        <f>""</f>
        <v/>
      </c>
      <c r="H524" s="1">
        <v>38980</v>
      </c>
      <c r="I524" t="str">
        <f>"TEL00543"</f>
        <v>TEL00543</v>
      </c>
      <c r="J524" t="str">
        <f>""</f>
        <v/>
      </c>
      <c r="K524" t="str">
        <f t="shared" si="143"/>
        <v>AS89</v>
      </c>
      <c r="L524" t="s">
        <v>441</v>
      </c>
      <c r="M524">
        <v>372.97</v>
      </c>
    </row>
    <row r="525" spans="1:13" x14ac:dyDescent="0.25">
      <c r="A525" t="str">
        <f t="shared" si="139"/>
        <v>J131</v>
      </c>
      <c r="B525">
        <v>1</v>
      </c>
      <c r="C525" t="str">
        <f t="shared" si="140"/>
        <v>14185</v>
      </c>
      <c r="D525" t="str">
        <f t="shared" si="141"/>
        <v>5620</v>
      </c>
      <c r="E525" t="str">
        <f t="shared" si="142"/>
        <v>094OMS</v>
      </c>
      <c r="F525" t="str">
        <f>""</f>
        <v/>
      </c>
      <c r="G525" t="str">
        <f>""</f>
        <v/>
      </c>
      <c r="H525" s="1">
        <v>39007</v>
      </c>
      <c r="I525" t="str">
        <f>"TEL00544"</f>
        <v>TEL00544</v>
      </c>
      <c r="J525" t="str">
        <f>""</f>
        <v/>
      </c>
      <c r="K525" t="str">
        <f t="shared" si="143"/>
        <v>AS89</v>
      </c>
      <c r="L525" t="s">
        <v>440</v>
      </c>
      <c r="M525">
        <v>384.77</v>
      </c>
    </row>
    <row r="526" spans="1:13" x14ac:dyDescent="0.25">
      <c r="A526" t="str">
        <f t="shared" si="139"/>
        <v>J131</v>
      </c>
      <c r="B526">
        <v>1</v>
      </c>
      <c r="C526" t="str">
        <f t="shared" si="140"/>
        <v>14185</v>
      </c>
      <c r="D526" t="str">
        <f t="shared" si="141"/>
        <v>5620</v>
      </c>
      <c r="E526" t="str">
        <f t="shared" si="142"/>
        <v>094OMS</v>
      </c>
      <c r="F526" t="str">
        <f>""</f>
        <v/>
      </c>
      <c r="G526" t="str">
        <f>""</f>
        <v/>
      </c>
      <c r="H526" s="1">
        <v>39034</v>
      </c>
      <c r="I526" t="str">
        <f>"TEL00545"</f>
        <v>TEL00545</v>
      </c>
      <c r="J526" t="str">
        <f>""</f>
        <v/>
      </c>
      <c r="K526" t="str">
        <f t="shared" si="143"/>
        <v>AS89</v>
      </c>
      <c r="L526" t="s">
        <v>439</v>
      </c>
      <c r="M526">
        <v>394.31</v>
      </c>
    </row>
    <row r="527" spans="1:13" x14ac:dyDescent="0.25">
      <c r="A527" t="str">
        <f t="shared" si="139"/>
        <v>J131</v>
      </c>
      <c r="B527">
        <v>1</v>
      </c>
      <c r="C527" t="str">
        <f t="shared" si="140"/>
        <v>14185</v>
      </c>
      <c r="D527" t="str">
        <f t="shared" si="141"/>
        <v>5620</v>
      </c>
      <c r="E527" t="str">
        <f t="shared" si="142"/>
        <v>094OMS</v>
      </c>
      <c r="F527" t="str">
        <f>""</f>
        <v/>
      </c>
      <c r="G527" t="str">
        <f>""</f>
        <v/>
      </c>
      <c r="H527" s="1">
        <v>39059</v>
      </c>
      <c r="I527" t="str">
        <f>"TEL00546"</f>
        <v>TEL00546</v>
      </c>
      <c r="J527" t="str">
        <f>""</f>
        <v/>
      </c>
      <c r="K527" t="str">
        <f t="shared" si="143"/>
        <v>AS89</v>
      </c>
      <c r="L527" t="s">
        <v>438</v>
      </c>
      <c r="M527">
        <v>407.92</v>
      </c>
    </row>
    <row r="528" spans="1:13" x14ac:dyDescent="0.25">
      <c r="A528" t="str">
        <f t="shared" si="139"/>
        <v>J131</v>
      </c>
      <c r="B528">
        <v>1</v>
      </c>
      <c r="C528" t="str">
        <f t="shared" si="140"/>
        <v>14185</v>
      </c>
      <c r="D528" t="str">
        <f t="shared" si="141"/>
        <v>5620</v>
      </c>
      <c r="E528" t="str">
        <f t="shared" si="142"/>
        <v>094OMS</v>
      </c>
      <c r="F528" t="str">
        <f>""</f>
        <v/>
      </c>
      <c r="G528" t="str">
        <f>""</f>
        <v/>
      </c>
      <c r="H528" s="1">
        <v>39092</v>
      </c>
      <c r="I528" t="str">
        <f>"TEL00547"</f>
        <v>TEL00547</v>
      </c>
      <c r="J528" t="str">
        <f>""</f>
        <v/>
      </c>
      <c r="K528" t="str">
        <f t="shared" si="143"/>
        <v>AS89</v>
      </c>
      <c r="L528" t="s">
        <v>437</v>
      </c>
      <c r="M528">
        <v>371.44</v>
      </c>
    </row>
    <row r="529" spans="1:13" x14ac:dyDescent="0.25">
      <c r="A529" t="str">
        <f t="shared" si="139"/>
        <v>J131</v>
      </c>
      <c r="B529">
        <v>1</v>
      </c>
      <c r="C529" t="str">
        <f t="shared" si="140"/>
        <v>14185</v>
      </c>
      <c r="D529" t="str">
        <f t="shared" si="141"/>
        <v>5620</v>
      </c>
      <c r="E529" t="str">
        <f t="shared" si="142"/>
        <v>094OMS</v>
      </c>
      <c r="F529" t="str">
        <f>""</f>
        <v/>
      </c>
      <c r="G529" t="str">
        <f>""</f>
        <v/>
      </c>
      <c r="H529" s="1">
        <v>39128</v>
      </c>
      <c r="I529" t="str">
        <f>"TEL00548"</f>
        <v>TEL00548</v>
      </c>
      <c r="J529" t="str">
        <f>""</f>
        <v/>
      </c>
      <c r="K529" t="str">
        <f t="shared" si="143"/>
        <v>AS89</v>
      </c>
      <c r="L529" t="s">
        <v>421</v>
      </c>
      <c r="M529">
        <v>382.77</v>
      </c>
    </row>
    <row r="530" spans="1:13" x14ac:dyDescent="0.25">
      <c r="A530" t="str">
        <f t="shared" si="139"/>
        <v>J131</v>
      </c>
      <c r="B530">
        <v>1</v>
      </c>
      <c r="C530" t="str">
        <f t="shared" si="140"/>
        <v>14185</v>
      </c>
      <c r="D530" t="str">
        <f t="shared" si="141"/>
        <v>5620</v>
      </c>
      <c r="E530" t="str">
        <f t="shared" si="142"/>
        <v>094OMS</v>
      </c>
      <c r="F530" t="str">
        <f>""</f>
        <v/>
      </c>
      <c r="G530" t="str">
        <f>""</f>
        <v/>
      </c>
      <c r="H530" s="1">
        <v>39154</v>
      </c>
      <c r="I530" t="str">
        <f>"TEL00549"</f>
        <v>TEL00549</v>
      </c>
      <c r="J530" t="str">
        <f>""</f>
        <v/>
      </c>
      <c r="K530" t="str">
        <f t="shared" si="143"/>
        <v>AS89</v>
      </c>
      <c r="L530" t="s">
        <v>436</v>
      </c>
      <c r="M530">
        <v>474.03</v>
      </c>
    </row>
    <row r="531" spans="1:13" x14ac:dyDescent="0.25">
      <c r="A531" t="str">
        <f t="shared" si="139"/>
        <v>J131</v>
      </c>
      <c r="B531">
        <v>1</v>
      </c>
      <c r="C531" t="str">
        <f t="shared" si="140"/>
        <v>14185</v>
      </c>
      <c r="D531" t="str">
        <f t="shared" si="141"/>
        <v>5620</v>
      </c>
      <c r="E531" t="str">
        <f t="shared" si="142"/>
        <v>094OMS</v>
      </c>
      <c r="F531" t="str">
        <f>""</f>
        <v/>
      </c>
      <c r="G531" t="str">
        <f>""</f>
        <v/>
      </c>
      <c r="H531" s="1">
        <v>39183</v>
      </c>
      <c r="I531" t="str">
        <f>"TEL00550"</f>
        <v>TEL00550</v>
      </c>
      <c r="J531" t="str">
        <f>""</f>
        <v/>
      </c>
      <c r="K531" t="str">
        <f t="shared" si="143"/>
        <v>AS89</v>
      </c>
      <c r="L531" t="s">
        <v>435</v>
      </c>
      <c r="M531">
        <v>734.84</v>
      </c>
    </row>
    <row r="532" spans="1:13" x14ac:dyDescent="0.25">
      <c r="A532" t="str">
        <f t="shared" si="139"/>
        <v>J131</v>
      </c>
      <c r="B532">
        <v>1</v>
      </c>
      <c r="C532" t="str">
        <f t="shared" si="140"/>
        <v>14185</v>
      </c>
      <c r="D532" t="str">
        <f t="shared" si="141"/>
        <v>5620</v>
      </c>
      <c r="E532" t="str">
        <f t="shared" si="142"/>
        <v>094OMS</v>
      </c>
      <c r="F532" t="str">
        <f>""</f>
        <v/>
      </c>
      <c r="G532" t="str">
        <f>""</f>
        <v/>
      </c>
      <c r="H532" s="1">
        <v>39210</v>
      </c>
      <c r="I532" t="str">
        <f>"TEL00551"</f>
        <v>TEL00551</v>
      </c>
      <c r="J532" t="str">
        <f>""</f>
        <v/>
      </c>
      <c r="K532" t="str">
        <f t="shared" si="143"/>
        <v>AS89</v>
      </c>
      <c r="L532" t="s">
        <v>434</v>
      </c>
      <c r="M532">
        <v>366.48</v>
      </c>
    </row>
    <row r="533" spans="1:13" x14ac:dyDescent="0.25">
      <c r="A533" t="str">
        <f t="shared" si="139"/>
        <v>J131</v>
      </c>
      <c r="B533">
        <v>1</v>
      </c>
      <c r="C533" t="str">
        <f t="shared" si="140"/>
        <v>14185</v>
      </c>
      <c r="D533" t="str">
        <f t="shared" si="141"/>
        <v>5620</v>
      </c>
      <c r="E533" t="str">
        <f t="shared" si="142"/>
        <v>094OMS</v>
      </c>
      <c r="F533" t="str">
        <f>""</f>
        <v/>
      </c>
      <c r="G533" t="str">
        <f>""</f>
        <v/>
      </c>
      <c r="H533" s="1">
        <v>39245</v>
      </c>
      <c r="I533" t="str">
        <f>"TEL00552"</f>
        <v>TEL00552</v>
      </c>
      <c r="J533" t="str">
        <f>""</f>
        <v/>
      </c>
      <c r="K533" t="str">
        <f t="shared" si="143"/>
        <v>AS89</v>
      </c>
      <c r="L533" t="s">
        <v>433</v>
      </c>
      <c r="M533">
        <v>404.51</v>
      </c>
    </row>
    <row r="534" spans="1:13" x14ac:dyDescent="0.25">
      <c r="A534" t="str">
        <f t="shared" si="139"/>
        <v>J131</v>
      </c>
      <c r="B534">
        <v>1</v>
      </c>
      <c r="C534" t="str">
        <f t="shared" ref="C534:C545" si="144">"32040"</f>
        <v>32040</v>
      </c>
      <c r="D534" t="str">
        <f t="shared" ref="D534:D545" si="145">"5610"</f>
        <v>5610</v>
      </c>
      <c r="E534" t="str">
        <f t="shared" ref="E534:E557" si="146">"850LOS"</f>
        <v>850LOS</v>
      </c>
      <c r="F534" t="str">
        <f>""</f>
        <v/>
      </c>
      <c r="G534" t="str">
        <f>""</f>
        <v/>
      </c>
      <c r="H534" s="1">
        <v>38917</v>
      </c>
      <c r="I534" t="str">
        <f>"TEL00541"</f>
        <v>TEL00541</v>
      </c>
      <c r="J534" t="str">
        <f>""</f>
        <v/>
      </c>
      <c r="K534" t="str">
        <f t="shared" si="143"/>
        <v>AS89</v>
      </c>
      <c r="L534" t="s">
        <v>443</v>
      </c>
      <c r="M534">
        <v>184.43</v>
      </c>
    </row>
    <row r="535" spans="1:13" x14ac:dyDescent="0.25">
      <c r="A535" t="str">
        <f t="shared" si="139"/>
        <v>J131</v>
      </c>
      <c r="B535">
        <v>1</v>
      </c>
      <c r="C535" t="str">
        <f t="shared" si="144"/>
        <v>32040</v>
      </c>
      <c r="D535" t="str">
        <f t="shared" si="145"/>
        <v>5610</v>
      </c>
      <c r="E535" t="str">
        <f t="shared" si="146"/>
        <v>850LOS</v>
      </c>
      <c r="F535" t="str">
        <f>""</f>
        <v/>
      </c>
      <c r="G535" t="str">
        <f>""</f>
        <v/>
      </c>
      <c r="H535" s="1">
        <v>38938</v>
      </c>
      <c r="I535" t="str">
        <f>"TEL00542"</f>
        <v>TEL00542</v>
      </c>
      <c r="J535" t="str">
        <f>""</f>
        <v/>
      </c>
      <c r="K535" t="str">
        <f t="shared" si="143"/>
        <v>AS89</v>
      </c>
      <c r="L535" t="s">
        <v>442</v>
      </c>
      <c r="M535">
        <v>184.32</v>
      </c>
    </row>
    <row r="536" spans="1:13" x14ac:dyDescent="0.25">
      <c r="A536" t="str">
        <f t="shared" si="139"/>
        <v>J131</v>
      </c>
      <c r="B536">
        <v>1</v>
      </c>
      <c r="C536" t="str">
        <f t="shared" si="144"/>
        <v>32040</v>
      </c>
      <c r="D536" t="str">
        <f t="shared" si="145"/>
        <v>5610</v>
      </c>
      <c r="E536" t="str">
        <f t="shared" si="146"/>
        <v>850LOS</v>
      </c>
      <c r="F536" t="str">
        <f>""</f>
        <v/>
      </c>
      <c r="G536" t="str">
        <f>""</f>
        <v/>
      </c>
      <c r="H536" s="1">
        <v>38980</v>
      </c>
      <c r="I536" t="str">
        <f>"TEL00543"</f>
        <v>TEL00543</v>
      </c>
      <c r="J536" t="str">
        <f>""</f>
        <v/>
      </c>
      <c r="K536" t="str">
        <f t="shared" si="143"/>
        <v>AS89</v>
      </c>
      <c r="L536" t="s">
        <v>441</v>
      </c>
      <c r="M536">
        <v>184.69</v>
      </c>
    </row>
    <row r="537" spans="1:13" x14ac:dyDescent="0.25">
      <c r="A537" t="str">
        <f t="shared" si="139"/>
        <v>J131</v>
      </c>
      <c r="B537">
        <v>1</v>
      </c>
      <c r="C537" t="str">
        <f t="shared" si="144"/>
        <v>32040</v>
      </c>
      <c r="D537" t="str">
        <f t="shared" si="145"/>
        <v>5610</v>
      </c>
      <c r="E537" t="str">
        <f t="shared" si="146"/>
        <v>850LOS</v>
      </c>
      <c r="F537" t="str">
        <f>""</f>
        <v/>
      </c>
      <c r="G537" t="str">
        <f>""</f>
        <v/>
      </c>
      <c r="H537" s="1">
        <v>39007</v>
      </c>
      <c r="I537" t="str">
        <f>"TEL00544"</f>
        <v>TEL00544</v>
      </c>
      <c r="J537" t="str">
        <f>""</f>
        <v/>
      </c>
      <c r="K537" t="str">
        <f t="shared" si="143"/>
        <v>AS89</v>
      </c>
      <c r="L537" t="s">
        <v>440</v>
      </c>
      <c r="M537">
        <v>289.02999999999997</v>
      </c>
    </row>
    <row r="538" spans="1:13" x14ac:dyDescent="0.25">
      <c r="A538" t="str">
        <f t="shared" si="139"/>
        <v>J131</v>
      </c>
      <c r="B538">
        <v>1</v>
      </c>
      <c r="C538" t="str">
        <f t="shared" si="144"/>
        <v>32040</v>
      </c>
      <c r="D538" t="str">
        <f t="shared" si="145"/>
        <v>5610</v>
      </c>
      <c r="E538" t="str">
        <f t="shared" si="146"/>
        <v>850LOS</v>
      </c>
      <c r="F538" t="str">
        <f>""</f>
        <v/>
      </c>
      <c r="G538" t="str">
        <f>""</f>
        <v/>
      </c>
      <c r="H538" s="1">
        <v>39034</v>
      </c>
      <c r="I538" t="str">
        <f>"TEL00545"</f>
        <v>TEL00545</v>
      </c>
      <c r="J538" t="str">
        <f>""</f>
        <v/>
      </c>
      <c r="K538" t="str">
        <f t="shared" si="143"/>
        <v>AS89</v>
      </c>
      <c r="L538" t="s">
        <v>439</v>
      </c>
      <c r="M538">
        <v>293.08999999999997</v>
      </c>
    </row>
    <row r="539" spans="1:13" x14ac:dyDescent="0.25">
      <c r="A539" t="str">
        <f t="shared" si="139"/>
        <v>J131</v>
      </c>
      <c r="B539">
        <v>1</v>
      </c>
      <c r="C539" t="str">
        <f t="shared" si="144"/>
        <v>32040</v>
      </c>
      <c r="D539" t="str">
        <f t="shared" si="145"/>
        <v>5610</v>
      </c>
      <c r="E539" t="str">
        <f t="shared" si="146"/>
        <v>850LOS</v>
      </c>
      <c r="F539" t="str">
        <f>""</f>
        <v/>
      </c>
      <c r="G539" t="str">
        <f>""</f>
        <v/>
      </c>
      <c r="H539" s="1">
        <v>39059</v>
      </c>
      <c r="I539" t="str">
        <f>"TEL00546"</f>
        <v>TEL00546</v>
      </c>
      <c r="J539" t="str">
        <f>""</f>
        <v/>
      </c>
      <c r="K539" t="str">
        <f t="shared" si="143"/>
        <v>AS89</v>
      </c>
      <c r="L539" t="s">
        <v>438</v>
      </c>
      <c r="M539">
        <v>292.85000000000002</v>
      </c>
    </row>
    <row r="540" spans="1:13" x14ac:dyDescent="0.25">
      <c r="A540" t="str">
        <f t="shared" si="139"/>
        <v>J131</v>
      </c>
      <c r="B540">
        <v>1</v>
      </c>
      <c r="C540" t="str">
        <f t="shared" si="144"/>
        <v>32040</v>
      </c>
      <c r="D540" t="str">
        <f t="shared" si="145"/>
        <v>5610</v>
      </c>
      <c r="E540" t="str">
        <f t="shared" si="146"/>
        <v>850LOS</v>
      </c>
      <c r="F540" t="str">
        <f>""</f>
        <v/>
      </c>
      <c r="G540" t="str">
        <f>""</f>
        <v/>
      </c>
      <c r="H540" s="1">
        <v>39092</v>
      </c>
      <c r="I540" t="str">
        <f>"TEL00547"</f>
        <v>TEL00547</v>
      </c>
      <c r="J540" t="str">
        <f>""</f>
        <v/>
      </c>
      <c r="K540" t="str">
        <f t="shared" si="143"/>
        <v>AS89</v>
      </c>
      <c r="L540" t="s">
        <v>437</v>
      </c>
      <c r="M540">
        <v>289.3</v>
      </c>
    </row>
    <row r="541" spans="1:13" x14ac:dyDescent="0.25">
      <c r="A541" t="str">
        <f t="shared" si="139"/>
        <v>J131</v>
      </c>
      <c r="B541">
        <v>1</v>
      </c>
      <c r="C541" t="str">
        <f t="shared" si="144"/>
        <v>32040</v>
      </c>
      <c r="D541" t="str">
        <f t="shared" si="145"/>
        <v>5610</v>
      </c>
      <c r="E541" t="str">
        <f t="shared" si="146"/>
        <v>850LOS</v>
      </c>
      <c r="F541" t="str">
        <f>""</f>
        <v/>
      </c>
      <c r="G541" t="str">
        <f>""</f>
        <v/>
      </c>
      <c r="H541" s="1">
        <v>39128</v>
      </c>
      <c r="I541" t="str">
        <f>"TEL00548"</f>
        <v>TEL00548</v>
      </c>
      <c r="J541" t="str">
        <f>""</f>
        <v/>
      </c>
      <c r="K541" t="str">
        <f t="shared" si="143"/>
        <v>AS89</v>
      </c>
      <c r="L541" t="s">
        <v>421</v>
      </c>
      <c r="M541">
        <v>288.58</v>
      </c>
    </row>
    <row r="542" spans="1:13" x14ac:dyDescent="0.25">
      <c r="A542" t="str">
        <f t="shared" si="139"/>
        <v>J131</v>
      </c>
      <c r="B542">
        <v>1</v>
      </c>
      <c r="C542" t="str">
        <f t="shared" si="144"/>
        <v>32040</v>
      </c>
      <c r="D542" t="str">
        <f t="shared" si="145"/>
        <v>5610</v>
      </c>
      <c r="E542" t="str">
        <f t="shared" si="146"/>
        <v>850LOS</v>
      </c>
      <c r="F542" t="str">
        <f>""</f>
        <v/>
      </c>
      <c r="G542" t="str">
        <f>""</f>
        <v/>
      </c>
      <c r="H542" s="1">
        <v>39154</v>
      </c>
      <c r="I542" t="str">
        <f>"TEL00549"</f>
        <v>TEL00549</v>
      </c>
      <c r="J542" t="str">
        <f>""</f>
        <v/>
      </c>
      <c r="K542" t="str">
        <f t="shared" si="143"/>
        <v>AS89</v>
      </c>
      <c r="L542" t="s">
        <v>436</v>
      </c>
      <c r="M542">
        <v>287.77999999999997</v>
      </c>
    </row>
    <row r="543" spans="1:13" x14ac:dyDescent="0.25">
      <c r="A543" t="str">
        <f t="shared" si="139"/>
        <v>J131</v>
      </c>
      <c r="B543">
        <v>1</v>
      </c>
      <c r="C543" t="str">
        <f t="shared" si="144"/>
        <v>32040</v>
      </c>
      <c r="D543" t="str">
        <f t="shared" si="145"/>
        <v>5610</v>
      </c>
      <c r="E543" t="str">
        <f t="shared" si="146"/>
        <v>850LOS</v>
      </c>
      <c r="F543" t="str">
        <f>""</f>
        <v/>
      </c>
      <c r="G543" t="str">
        <f>""</f>
        <v/>
      </c>
      <c r="H543" s="1">
        <v>39183</v>
      </c>
      <c r="I543" t="str">
        <f>"TEL00550"</f>
        <v>TEL00550</v>
      </c>
      <c r="J543" t="str">
        <f>""</f>
        <v/>
      </c>
      <c r="K543" t="str">
        <f t="shared" si="143"/>
        <v>AS89</v>
      </c>
      <c r="L543" t="s">
        <v>435</v>
      </c>
      <c r="M543">
        <v>274.73</v>
      </c>
    </row>
    <row r="544" spans="1:13" x14ac:dyDescent="0.25">
      <c r="A544" t="str">
        <f t="shared" si="139"/>
        <v>J131</v>
      </c>
      <c r="B544">
        <v>1</v>
      </c>
      <c r="C544" t="str">
        <f t="shared" si="144"/>
        <v>32040</v>
      </c>
      <c r="D544" t="str">
        <f t="shared" si="145"/>
        <v>5610</v>
      </c>
      <c r="E544" t="str">
        <f t="shared" si="146"/>
        <v>850LOS</v>
      </c>
      <c r="F544" t="str">
        <f>""</f>
        <v/>
      </c>
      <c r="G544" t="str">
        <f>""</f>
        <v/>
      </c>
      <c r="H544" s="1">
        <v>39210</v>
      </c>
      <c r="I544" t="str">
        <f>"TEL00551"</f>
        <v>TEL00551</v>
      </c>
      <c r="J544" t="str">
        <f>""</f>
        <v/>
      </c>
      <c r="K544" t="str">
        <f t="shared" si="143"/>
        <v>AS89</v>
      </c>
      <c r="L544" t="s">
        <v>434</v>
      </c>
      <c r="M544">
        <v>255.09</v>
      </c>
    </row>
    <row r="545" spans="1:13" x14ac:dyDescent="0.25">
      <c r="A545" t="str">
        <f t="shared" si="139"/>
        <v>J131</v>
      </c>
      <c r="B545">
        <v>1</v>
      </c>
      <c r="C545" t="str">
        <f t="shared" si="144"/>
        <v>32040</v>
      </c>
      <c r="D545" t="str">
        <f t="shared" si="145"/>
        <v>5610</v>
      </c>
      <c r="E545" t="str">
        <f t="shared" si="146"/>
        <v>850LOS</v>
      </c>
      <c r="F545" t="str">
        <f>""</f>
        <v/>
      </c>
      <c r="G545" t="str">
        <f>""</f>
        <v/>
      </c>
      <c r="H545" s="1">
        <v>39245</v>
      </c>
      <c r="I545" t="str">
        <f>"TEL00552"</f>
        <v>TEL00552</v>
      </c>
      <c r="J545" t="str">
        <f>""</f>
        <v/>
      </c>
      <c r="K545" t="str">
        <f t="shared" si="143"/>
        <v>AS89</v>
      </c>
      <c r="L545" t="s">
        <v>433</v>
      </c>
      <c r="M545">
        <v>258.17</v>
      </c>
    </row>
    <row r="546" spans="1:13" x14ac:dyDescent="0.25">
      <c r="A546" t="str">
        <f t="shared" si="139"/>
        <v>J131</v>
      </c>
      <c r="B546">
        <v>1</v>
      </c>
      <c r="C546" t="str">
        <f t="shared" ref="C546:C569" si="147">"43000"</f>
        <v>43000</v>
      </c>
      <c r="D546" t="str">
        <f t="shared" ref="D546:D571" si="148">"5740"</f>
        <v>5740</v>
      </c>
      <c r="E546" t="str">
        <f t="shared" si="146"/>
        <v>850LOS</v>
      </c>
      <c r="F546" t="str">
        <f>""</f>
        <v/>
      </c>
      <c r="G546" t="str">
        <f>""</f>
        <v/>
      </c>
      <c r="H546" s="1">
        <v>38917</v>
      </c>
      <c r="I546" t="str">
        <f>"TEL00541"</f>
        <v>TEL00541</v>
      </c>
      <c r="J546" t="str">
        <f>""</f>
        <v/>
      </c>
      <c r="K546" t="str">
        <f t="shared" si="143"/>
        <v>AS89</v>
      </c>
      <c r="L546" t="s">
        <v>443</v>
      </c>
      <c r="M546">
        <v>805.58</v>
      </c>
    </row>
    <row r="547" spans="1:13" x14ac:dyDescent="0.25">
      <c r="A547" t="str">
        <f t="shared" si="139"/>
        <v>J131</v>
      </c>
      <c r="B547">
        <v>1</v>
      </c>
      <c r="C547" t="str">
        <f t="shared" si="147"/>
        <v>43000</v>
      </c>
      <c r="D547" t="str">
        <f t="shared" si="148"/>
        <v>5740</v>
      </c>
      <c r="E547" t="str">
        <f t="shared" si="146"/>
        <v>850LOS</v>
      </c>
      <c r="F547" t="str">
        <f>""</f>
        <v/>
      </c>
      <c r="G547" t="str">
        <f>""</f>
        <v/>
      </c>
      <c r="H547" s="1">
        <v>38938</v>
      </c>
      <c r="I547" t="str">
        <f>"TEL00542"</f>
        <v>TEL00542</v>
      </c>
      <c r="J547" t="str">
        <f>""</f>
        <v/>
      </c>
      <c r="K547" t="str">
        <f t="shared" si="143"/>
        <v>AS89</v>
      </c>
      <c r="L547" t="s">
        <v>442</v>
      </c>
      <c r="M547">
        <v>815.97</v>
      </c>
    </row>
    <row r="548" spans="1:13" x14ac:dyDescent="0.25">
      <c r="A548" t="str">
        <f t="shared" si="139"/>
        <v>J131</v>
      </c>
      <c r="B548">
        <v>1</v>
      </c>
      <c r="C548" t="str">
        <f t="shared" si="147"/>
        <v>43000</v>
      </c>
      <c r="D548" t="str">
        <f t="shared" si="148"/>
        <v>5740</v>
      </c>
      <c r="E548" t="str">
        <f t="shared" si="146"/>
        <v>850LOS</v>
      </c>
      <c r="F548" t="str">
        <f>""</f>
        <v/>
      </c>
      <c r="G548" t="str">
        <f>""</f>
        <v/>
      </c>
      <c r="H548" s="1">
        <v>38980</v>
      </c>
      <c r="I548" t="str">
        <f>"TEL00543"</f>
        <v>TEL00543</v>
      </c>
      <c r="J548" t="str">
        <f>""</f>
        <v/>
      </c>
      <c r="K548" t="str">
        <f t="shared" si="143"/>
        <v>AS89</v>
      </c>
      <c r="L548" t="s">
        <v>441</v>
      </c>
      <c r="M548">
        <v>876.92</v>
      </c>
    </row>
    <row r="549" spans="1:13" x14ac:dyDescent="0.25">
      <c r="A549" t="str">
        <f t="shared" si="139"/>
        <v>J131</v>
      </c>
      <c r="B549">
        <v>1</v>
      </c>
      <c r="C549" t="str">
        <f t="shared" si="147"/>
        <v>43000</v>
      </c>
      <c r="D549" t="str">
        <f t="shared" si="148"/>
        <v>5740</v>
      </c>
      <c r="E549" t="str">
        <f t="shared" si="146"/>
        <v>850LOS</v>
      </c>
      <c r="F549" t="str">
        <f>""</f>
        <v/>
      </c>
      <c r="G549" t="str">
        <f>""</f>
        <v/>
      </c>
      <c r="H549" s="1">
        <v>39007</v>
      </c>
      <c r="I549" t="str">
        <f>"TEL00544"</f>
        <v>TEL00544</v>
      </c>
      <c r="J549" t="str">
        <f>""</f>
        <v/>
      </c>
      <c r="K549" t="str">
        <f t="shared" si="143"/>
        <v>AS89</v>
      </c>
      <c r="L549" t="s">
        <v>440</v>
      </c>
      <c r="M549">
        <v>836.19</v>
      </c>
    </row>
    <row r="550" spans="1:13" x14ac:dyDescent="0.25">
      <c r="A550" t="str">
        <f t="shared" si="139"/>
        <v>J131</v>
      </c>
      <c r="B550">
        <v>1</v>
      </c>
      <c r="C550" t="str">
        <f t="shared" si="147"/>
        <v>43000</v>
      </c>
      <c r="D550" t="str">
        <f t="shared" si="148"/>
        <v>5740</v>
      </c>
      <c r="E550" t="str">
        <f t="shared" si="146"/>
        <v>850LOS</v>
      </c>
      <c r="F550" t="str">
        <f>""</f>
        <v/>
      </c>
      <c r="G550" t="str">
        <f>""</f>
        <v/>
      </c>
      <c r="H550" s="1">
        <v>39034</v>
      </c>
      <c r="I550" t="str">
        <f>"TEL00545"</f>
        <v>TEL00545</v>
      </c>
      <c r="J550" t="str">
        <f>""</f>
        <v/>
      </c>
      <c r="K550" t="str">
        <f t="shared" si="143"/>
        <v>AS89</v>
      </c>
      <c r="L550" t="s">
        <v>439</v>
      </c>
      <c r="M550">
        <v>893.28</v>
      </c>
    </row>
    <row r="551" spans="1:13" x14ac:dyDescent="0.25">
      <c r="A551" t="str">
        <f t="shared" si="139"/>
        <v>J131</v>
      </c>
      <c r="B551">
        <v>1</v>
      </c>
      <c r="C551" t="str">
        <f t="shared" si="147"/>
        <v>43000</v>
      </c>
      <c r="D551" t="str">
        <f t="shared" si="148"/>
        <v>5740</v>
      </c>
      <c r="E551" t="str">
        <f t="shared" si="146"/>
        <v>850LOS</v>
      </c>
      <c r="F551" t="str">
        <f>""</f>
        <v/>
      </c>
      <c r="G551" t="str">
        <f>""</f>
        <v/>
      </c>
      <c r="H551" s="1">
        <v>39059</v>
      </c>
      <c r="I551" t="str">
        <f>"TEL00546"</f>
        <v>TEL00546</v>
      </c>
      <c r="J551" t="str">
        <f>""</f>
        <v/>
      </c>
      <c r="K551" t="str">
        <f t="shared" si="143"/>
        <v>AS89</v>
      </c>
      <c r="L551" t="s">
        <v>438</v>
      </c>
      <c r="M551">
        <v>886.47</v>
      </c>
    </row>
    <row r="552" spans="1:13" x14ac:dyDescent="0.25">
      <c r="A552" t="str">
        <f t="shared" si="139"/>
        <v>J131</v>
      </c>
      <c r="B552">
        <v>1</v>
      </c>
      <c r="C552" t="str">
        <f t="shared" si="147"/>
        <v>43000</v>
      </c>
      <c r="D552" t="str">
        <f t="shared" si="148"/>
        <v>5740</v>
      </c>
      <c r="E552" t="str">
        <f t="shared" si="146"/>
        <v>850LOS</v>
      </c>
      <c r="F552" t="str">
        <f>""</f>
        <v/>
      </c>
      <c r="G552" t="str">
        <f>""</f>
        <v/>
      </c>
      <c r="H552" s="1">
        <v>39092</v>
      </c>
      <c r="I552" t="str">
        <f>"TEL00547"</f>
        <v>TEL00547</v>
      </c>
      <c r="J552" t="str">
        <f>""</f>
        <v/>
      </c>
      <c r="K552" t="str">
        <f t="shared" si="143"/>
        <v>AS89</v>
      </c>
      <c r="L552" t="s">
        <v>437</v>
      </c>
      <c r="M552">
        <v>880.89</v>
      </c>
    </row>
    <row r="553" spans="1:13" x14ac:dyDescent="0.25">
      <c r="A553" t="str">
        <f t="shared" si="139"/>
        <v>J131</v>
      </c>
      <c r="B553">
        <v>1</v>
      </c>
      <c r="C553" t="str">
        <f t="shared" si="147"/>
        <v>43000</v>
      </c>
      <c r="D553" t="str">
        <f t="shared" si="148"/>
        <v>5740</v>
      </c>
      <c r="E553" t="str">
        <f t="shared" si="146"/>
        <v>850LOS</v>
      </c>
      <c r="F553" t="str">
        <f>""</f>
        <v/>
      </c>
      <c r="G553" t="str">
        <f>""</f>
        <v/>
      </c>
      <c r="H553" s="1">
        <v>39128</v>
      </c>
      <c r="I553" t="str">
        <f>"TEL00548"</f>
        <v>TEL00548</v>
      </c>
      <c r="J553" t="str">
        <f>""</f>
        <v/>
      </c>
      <c r="K553" t="str">
        <f t="shared" si="143"/>
        <v>AS89</v>
      </c>
      <c r="L553" t="s">
        <v>421</v>
      </c>
      <c r="M553">
        <v>802.21</v>
      </c>
    </row>
    <row r="554" spans="1:13" x14ac:dyDescent="0.25">
      <c r="A554" t="str">
        <f t="shared" ref="A554:A571" si="149">"J131"</f>
        <v>J131</v>
      </c>
      <c r="B554">
        <v>1</v>
      </c>
      <c r="C554" t="str">
        <f t="shared" si="147"/>
        <v>43000</v>
      </c>
      <c r="D554" t="str">
        <f t="shared" si="148"/>
        <v>5740</v>
      </c>
      <c r="E554" t="str">
        <f t="shared" si="146"/>
        <v>850LOS</v>
      </c>
      <c r="F554" t="str">
        <f>""</f>
        <v/>
      </c>
      <c r="G554" t="str">
        <f>""</f>
        <v/>
      </c>
      <c r="H554" s="1">
        <v>39154</v>
      </c>
      <c r="I554" t="str">
        <f>"TEL00549"</f>
        <v>TEL00549</v>
      </c>
      <c r="J554" t="str">
        <f>""</f>
        <v/>
      </c>
      <c r="K554" t="str">
        <f t="shared" ref="K554:K570" si="150">"AS89"</f>
        <v>AS89</v>
      </c>
      <c r="L554" t="s">
        <v>436</v>
      </c>
      <c r="M554">
        <v>799.63</v>
      </c>
    </row>
    <row r="555" spans="1:13" x14ac:dyDescent="0.25">
      <c r="A555" t="str">
        <f t="shared" si="149"/>
        <v>J131</v>
      </c>
      <c r="B555">
        <v>1</v>
      </c>
      <c r="C555" t="str">
        <f t="shared" si="147"/>
        <v>43000</v>
      </c>
      <c r="D555" t="str">
        <f t="shared" si="148"/>
        <v>5740</v>
      </c>
      <c r="E555" t="str">
        <f t="shared" si="146"/>
        <v>850LOS</v>
      </c>
      <c r="F555" t="str">
        <f>""</f>
        <v/>
      </c>
      <c r="G555" t="str">
        <f>""</f>
        <v/>
      </c>
      <c r="H555" s="1">
        <v>39183</v>
      </c>
      <c r="I555" t="str">
        <f>"TEL00550"</f>
        <v>TEL00550</v>
      </c>
      <c r="J555" t="str">
        <f>""</f>
        <v/>
      </c>
      <c r="K555" t="str">
        <f t="shared" si="150"/>
        <v>AS89</v>
      </c>
      <c r="L555" t="s">
        <v>435</v>
      </c>
      <c r="M555">
        <v>823.01</v>
      </c>
    </row>
    <row r="556" spans="1:13" x14ac:dyDescent="0.25">
      <c r="A556" t="str">
        <f t="shared" si="149"/>
        <v>J131</v>
      </c>
      <c r="B556">
        <v>1</v>
      </c>
      <c r="C556" t="str">
        <f t="shared" si="147"/>
        <v>43000</v>
      </c>
      <c r="D556" t="str">
        <f t="shared" si="148"/>
        <v>5740</v>
      </c>
      <c r="E556" t="str">
        <f t="shared" si="146"/>
        <v>850LOS</v>
      </c>
      <c r="F556" t="str">
        <f>""</f>
        <v/>
      </c>
      <c r="G556" t="str">
        <f>""</f>
        <v/>
      </c>
      <c r="H556" s="1">
        <v>39210</v>
      </c>
      <c r="I556" t="str">
        <f>"TEL00551"</f>
        <v>TEL00551</v>
      </c>
      <c r="J556" t="str">
        <f>""</f>
        <v/>
      </c>
      <c r="K556" t="str">
        <f t="shared" si="150"/>
        <v>AS89</v>
      </c>
      <c r="L556" t="s">
        <v>434</v>
      </c>
      <c r="M556">
        <v>817.82</v>
      </c>
    </row>
    <row r="557" spans="1:13" x14ac:dyDescent="0.25">
      <c r="A557" t="str">
        <f t="shared" si="149"/>
        <v>J131</v>
      </c>
      <c r="B557">
        <v>1</v>
      </c>
      <c r="C557" t="str">
        <f t="shared" si="147"/>
        <v>43000</v>
      </c>
      <c r="D557" t="str">
        <f t="shared" si="148"/>
        <v>5740</v>
      </c>
      <c r="E557" t="str">
        <f t="shared" si="146"/>
        <v>850LOS</v>
      </c>
      <c r="F557" t="str">
        <f>""</f>
        <v/>
      </c>
      <c r="G557" t="str">
        <f>""</f>
        <v/>
      </c>
      <c r="H557" s="1">
        <v>39245</v>
      </c>
      <c r="I557" t="str">
        <f>"TEL00552"</f>
        <v>TEL00552</v>
      </c>
      <c r="J557" t="str">
        <f>""</f>
        <v/>
      </c>
      <c r="K557" t="str">
        <f t="shared" si="150"/>
        <v>AS89</v>
      </c>
      <c r="L557" t="s">
        <v>433</v>
      </c>
      <c r="M557">
        <v>844.84</v>
      </c>
    </row>
    <row r="558" spans="1:13" x14ac:dyDescent="0.25">
      <c r="A558" t="str">
        <f t="shared" si="149"/>
        <v>J131</v>
      </c>
      <c r="B558">
        <v>1</v>
      </c>
      <c r="C558" t="str">
        <f t="shared" si="147"/>
        <v>43000</v>
      </c>
      <c r="D558" t="str">
        <f t="shared" si="148"/>
        <v>5740</v>
      </c>
      <c r="E558" t="str">
        <f t="shared" ref="E558:E569" si="151">"850PKE"</f>
        <v>850PKE</v>
      </c>
      <c r="F558" t="str">
        <f>""</f>
        <v/>
      </c>
      <c r="G558" t="str">
        <f>""</f>
        <v/>
      </c>
      <c r="H558" s="1">
        <v>38917</v>
      </c>
      <c r="I558" t="str">
        <f>"TEL00541"</f>
        <v>TEL00541</v>
      </c>
      <c r="J558" t="str">
        <f>""</f>
        <v/>
      </c>
      <c r="K558" t="str">
        <f t="shared" si="150"/>
        <v>AS89</v>
      </c>
      <c r="L558" t="s">
        <v>443</v>
      </c>
      <c r="M558">
        <v>206.2</v>
      </c>
    </row>
    <row r="559" spans="1:13" x14ac:dyDescent="0.25">
      <c r="A559" t="str">
        <f t="shared" si="149"/>
        <v>J131</v>
      </c>
      <c r="B559">
        <v>1</v>
      </c>
      <c r="C559" t="str">
        <f t="shared" si="147"/>
        <v>43000</v>
      </c>
      <c r="D559" t="str">
        <f t="shared" si="148"/>
        <v>5740</v>
      </c>
      <c r="E559" t="str">
        <f t="shared" si="151"/>
        <v>850PKE</v>
      </c>
      <c r="F559" t="str">
        <f>""</f>
        <v/>
      </c>
      <c r="G559" t="str">
        <f>""</f>
        <v/>
      </c>
      <c r="H559" s="1">
        <v>38938</v>
      </c>
      <c r="I559" t="str">
        <f>"TEL00542"</f>
        <v>TEL00542</v>
      </c>
      <c r="J559" t="str">
        <f>""</f>
        <v/>
      </c>
      <c r="K559" t="str">
        <f t="shared" si="150"/>
        <v>AS89</v>
      </c>
      <c r="L559" t="s">
        <v>442</v>
      </c>
      <c r="M559">
        <v>214.89</v>
      </c>
    </row>
    <row r="560" spans="1:13" x14ac:dyDescent="0.25">
      <c r="A560" t="str">
        <f t="shared" si="149"/>
        <v>J131</v>
      </c>
      <c r="B560">
        <v>1</v>
      </c>
      <c r="C560" t="str">
        <f t="shared" si="147"/>
        <v>43000</v>
      </c>
      <c r="D560" t="str">
        <f t="shared" si="148"/>
        <v>5740</v>
      </c>
      <c r="E560" t="str">
        <f t="shared" si="151"/>
        <v>850PKE</v>
      </c>
      <c r="F560" t="str">
        <f>""</f>
        <v/>
      </c>
      <c r="G560" t="str">
        <f>""</f>
        <v/>
      </c>
      <c r="H560" s="1">
        <v>38980</v>
      </c>
      <c r="I560" t="str">
        <f>"TEL00543"</f>
        <v>TEL00543</v>
      </c>
      <c r="J560" t="str">
        <f>""</f>
        <v/>
      </c>
      <c r="K560" t="str">
        <f t="shared" si="150"/>
        <v>AS89</v>
      </c>
      <c r="L560" t="s">
        <v>441</v>
      </c>
      <c r="M560">
        <v>213.24</v>
      </c>
    </row>
    <row r="561" spans="1:13" x14ac:dyDescent="0.25">
      <c r="A561" t="str">
        <f t="shared" si="149"/>
        <v>J131</v>
      </c>
      <c r="B561">
        <v>1</v>
      </c>
      <c r="C561" t="str">
        <f t="shared" si="147"/>
        <v>43000</v>
      </c>
      <c r="D561" t="str">
        <f t="shared" si="148"/>
        <v>5740</v>
      </c>
      <c r="E561" t="str">
        <f t="shared" si="151"/>
        <v>850PKE</v>
      </c>
      <c r="F561" t="str">
        <f>""</f>
        <v/>
      </c>
      <c r="G561" t="str">
        <f>""</f>
        <v/>
      </c>
      <c r="H561" s="1">
        <v>39007</v>
      </c>
      <c r="I561" t="str">
        <f>"TEL00544"</f>
        <v>TEL00544</v>
      </c>
      <c r="J561" t="str">
        <f>""</f>
        <v/>
      </c>
      <c r="K561" t="str">
        <f t="shared" si="150"/>
        <v>AS89</v>
      </c>
      <c r="L561" t="s">
        <v>440</v>
      </c>
      <c r="M561">
        <v>213.24</v>
      </c>
    </row>
    <row r="562" spans="1:13" x14ac:dyDescent="0.25">
      <c r="A562" t="str">
        <f t="shared" si="149"/>
        <v>J131</v>
      </c>
      <c r="B562">
        <v>1</v>
      </c>
      <c r="C562" t="str">
        <f t="shared" si="147"/>
        <v>43000</v>
      </c>
      <c r="D562" t="str">
        <f t="shared" si="148"/>
        <v>5740</v>
      </c>
      <c r="E562" t="str">
        <f t="shared" si="151"/>
        <v>850PKE</v>
      </c>
      <c r="F562" t="str">
        <f>""</f>
        <v/>
      </c>
      <c r="G562" t="str">
        <f>""</f>
        <v/>
      </c>
      <c r="H562" s="1">
        <v>39034</v>
      </c>
      <c r="I562" t="str">
        <f>"TEL00545"</f>
        <v>TEL00545</v>
      </c>
      <c r="J562" t="str">
        <f>""</f>
        <v/>
      </c>
      <c r="K562" t="str">
        <f t="shared" si="150"/>
        <v>AS89</v>
      </c>
      <c r="L562" t="s">
        <v>439</v>
      </c>
      <c r="M562">
        <v>213.24</v>
      </c>
    </row>
    <row r="563" spans="1:13" x14ac:dyDescent="0.25">
      <c r="A563" t="str">
        <f t="shared" si="149"/>
        <v>J131</v>
      </c>
      <c r="B563">
        <v>1</v>
      </c>
      <c r="C563" t="str">
        <f t="shared" si="147"/>
        <v>43000</v>
      </c>
      <c r="D563" t="str">
        <f t="shared" si="148"/>
        <v>5740</v>
      </c>
      <c r="E563" t="str">
        <f t="shared" si="151"/>
        <v>850PKE</v>
      </c>
      <c r="F563" t="str">
        <f>""</f>
        <v/>
      </c>
      <c r="G563" t="str">
        <f>""</f>
        <v/>
      </c>
      <c r="H563" s="1">
        <v>39059</v>
      </c>
      <c r="I563" t="str">
        <f>"TEL00546"</f>
        <v>TEL00546</v>
      </c>
      <c r="J563" t="str">
        <f>""</f>
        <v/>
      </c>
      <c r="K563" t="str">
        <f t="shared" si="150"/>
        <v>AS89</v>
      </c>
      <c r="L563" t="s">
        <v>438</v>
      </c>
      <c r="M563">
        <v>213.24</v>
      </c>
    </row>
    <row r="564" spans="1:13" x14ac:dyDescent="0.25">
      <c r="A564" t="str">
        <f t="shared" si="149"/>
        <v>J131</v>
      </c>
      <c r="B564">
        <v>1</v>
      </c>
      <c r="C564" t="str">
        <f t="shared" si="147"/>
        <v>43000</v>
      </c>
      <c r="D564" t="str">
        <f t="shared" si="148"/>
        <v>5740</v>
      </c>
      <c r="E564" t="str">
        <f t="shared" si="151"/>
        <v>850PKE</v>
      </c>
      <c r="F564" t="str">
        <f>""</f>
        <v/>
      </c>
      <c r="G564" t="str">
        <f>""</f>
        <v/>
      </c>
      <c r="H564" s="1">
        <v>39092</v>
      </c>
      <c r="I564" t="str">
        <f>"TEL00547"</f>
        <v>TEL00547</v>
      </c>
      <c r="J564" t="str">
        <f>""</f>
        <v/>
      </c>
      <c r="K564" t="str">
        <f t="shared" si="150"/>
        <v>AS89</v>
      </c>
      <c r="L564" t="s">
        <v>437</v>
      </c>
      <c r="M564">
        <v>213.24</v>
      </c>
    </row>
    <row r="565" spans="1:13" x14ac:dyDescent="0.25">
      <c r="A565" t="str">
        <f t="shared" si="149"/>
        <v>J131</v>
      </c>
      <c r="B565">
        <v>1</v>
      </c>
      <c r="C565" t="str">
        <f t="shared" si="147"/>
        <v>43000</v>
      </c>
      <c r="D565" t="str">
        <f t="shared" si="148"/>
        <v>5740</v>
      </c>
      <c r="E565" t="str">
        <f t="shared" si="151"/>
        <v>850PKE</v>
      </c>
      <c r="F565" t="str">
        <f>""</f>
        <v/>
      </c>
      <c r="G565" t="str">
        <f>""</f>
        <v/>
      </c>
      <c r="H565" s="1">
        <v>39128</v>
      </c>
      <c r="I565" t="str">
        <f>"TEL00548"</f>
        <v>TEL00548</v>
      </c>
      <c r="J565" t="str">
        <f>""</f>
        <v/>
      </c>
      <c r="K565" t="str">
        <f t="shared" si="150"/>
        <v>AS89</v>
      </c>
      <c r="L565" t="s">
        <v>421</v>
      </c>
      <c r="M565">
        <v>213.24</v>
      </c>
    </row>
    <row r="566" spans="1:13" x14ac:dyDescent="0.25">
      <c r="A566" t="str">
        <f t="shared" si="149"/>
        <v>J131</v>
      </c>
      <c r="B566">
        <v>1</v>
      </c>
      <c r="C566" t="str">
        <f t="shared" si="147"/>
        <v>43000</v>
      </c>
      <c r="D566" t="str">
        <f t="shared" si="148"/>
        <v>5740</v>
      </c>
      <c r="E566" t="str">
        <f t="shared" si="151"/>
        <v>850PKE</v>
      </c>
      <c r="F566" t="str">
        <f>""</f>
        <v/>
      </c>
      <c r="G566" t="str">
        <f>""</f>
        <v/>
      </c>
      <c r="H566" s="1">
        <v>39154</v>
      </c>
      <c r="I566" t="str">
        <f>"TEL00549"</f>
        <v>TEL00549</v>
      </c>
      <c r="J566" t="str">
        <f>""</f>
        <v/>
      </c>
      <c r="K566" t="str">
        <f t="shared" si="150"/>
        <v>AS89</v>
      </c>
      <c r="L566" t="s">
        <v>436</v>
      </c>
      <c r="M566">
        <v>200.67</v>
      </c>
    </row>
    <row r="567" spans="1:13" x14ac:dyDescent="0.25">
      <c r="A567" t="str">
        <f t="shared" si="149"/>
        <v>J131</v>
      </c>
      <c r="B567">
        <v>1</v>
      </c>
      <c r="C567" t="str">
        <f t="shared" si="147"/>
        <v>43000</v>
      </c>
      <c r="D567" t="str">
        <f t="shared" si="148"/>
        <v>5740</v>
      </c>
      <c r="E567" t="str">
        <f t="shared" si="151"/>
        <v>850PKE</v>
      </c>
      <c r="F567" t="str">
        <f>""</f>
        <v/>
      </c>
      <c r="G567" t="str">
        <f>""</f>
        <v/>
      </c>
      <c r="H567" s="1">
        <v>39183</v>
      </c>
      <c r="I567" t="str">
        <f>"TEL00550"</f>
        <v>TEL00550</v>
      </c>
      <c r="J567" t="str">
        <f>""</f>
        <v/>
      </c>
      <c r="K567" t="str">
        <f t="shared" si="150"/>
        <v>AS89</v>
      </c>
      <c r="L567" t="s">
        <v>435</v>
      </c>
      <c r="M567">
        <v>182.89</v>
      </c>
    </row>
    <row r="568" spans="1:13" x14ac:dyDescent="0.25">
      <c r="A568" t="str">
        <f t="shared" si="149"/>
        <v>J131</v>
      </c>
      <c r="B568">
        <v>1</v>
      </c>
      <c r="C568" t="str">
        <f t="shared" si="147"/>
        <v>43000</v>
      </c>
      <c r="D568" t="str">
        <f t="shared" si="148"/>
        <v>5740</v>
      </c>
      <c r="E568" t="str">
        <f t="shared" si="151"/>
        <v>850PKE</v>
      </c>
      <c r="F568" t="str">
        <f>""</f>
        <v/>
      </c>
      <c r="G568" t="str">
        <f>""</f>
        <v/>
      </c>
      <c r="H568" s="1">
        <v>39210</v>
      </c>
      <c r="I568" t="str">
        <f>"TEL00551"</f>
        <v>TEL00551</v>
      </c>
      <c r="J568" t="str">
        <f>""</f>
        <v/>
      </c>
      <c r="K568" t="str">
        <f t="shared" si="150"/>
        <v>AS89</v>
      </c>
      <c r="L568" t="s">
        <v>434</v>
      </c>
      <c r="M568">
        <v>184.2</v>
      </c>
    </row>
    <row r="569" spans="1:13" x14ac:dyDescent="0.25">
      <c r="A569" t="str">
        <f t="shared" si="149"/>
        <v>J131</v>
      </c>
      <c r="B569">
        <v>1</v>
      </c>
      <c r="C569" t="str">
        <f t="shared" si="147"/>
        <v>43000</v>
      </c>
      <c r="D569" t="str">
        <f t="shared" si="148"/>
        <v>5740</v>
      </c>
      <c r="E569" t="str">
        <f t="shared" si="151"/>
        <v>850PKE</v>
      </c>
      <c r="F569" t="str">
        <f>""</f>
        <v/>
      </c>
      <c r="G569" t="str">
        <f>""</f>
        <v/>
      </c>
      <c r="H569" s="1">
        <v>39245</v>
      </c>
      <c r="I569" t="str">
        <f>"TEL00552"</f>
        <v>TEL00552</v>
      </c>
      <c r="J569" t="str">
        <f>""</f>
        <v/>
      </c>
      <c r="K569" t="str">
        <f t="shared" si="150"/>
        <v>AS89</v>
      </c>
      <c r="L569" t="s">
        <v>433</v>
      </c>
      <c r="M569">
        <v>259.52999999999997</v>
      </c>
    </row>
    <row r="570" spans="1:13" x14ac:dyDescent="0.25">
      <c r="A570" t="str">
        <f t="shared" si="149"/>
        <v>J131</v>
      </c>
      <c r="B570">
        <v>1</v>
      </c>
      <c r="C570" t="str">
        <f>"43001"</f>
        <v>43001</v>
      </c>
      <c r="D570" t="str">
        <f t="shared" si="148"/>
        <v>5740</v>
      </c>
      <c r="E570" t="str">
        <f>"850LOS"</f>
        <v>850LOS</v>
      </c>
      <c r="F570" t="str">
        <f>""</f>
        <v/>
      </c>
      <c r="G570" t="str">
        <f>""</f>
        <v/>
      </c>
      <c r="H570" s="1">
        <v>39034</v>
      </c>
      <c r="I570" t="str">
        <f>"TEL00545"</f>
        <v>TEL00545</v>
      </c>
      <c r="J570" t="str">
        <f>""</f>
        <v/>
      </c>
      <c r="K570" t="str">
        <f t="shared" si="150"/>
        <v>AS89</v>
      </c>
      <c r="L570" t="s">
        <v>439</v>
      </c>
      <c r="M570">
        <v>184.57</v>
      </c>
    </row>
    <row r="571" spans="1:13" x14ac:dyDescent="0.25">
      <c r="A571" t="str">
        <f t="shared" si="149"/>
        <v>J131</v>
      </c>
      <c r="B571">
        <v>1</v>
      </c>
      <c r="C571" t="str">
        <f>"43001"</f>
        <v>43001</v>
      </c>
      <c r="D571" t="str">
        <f t="shared" si="148"/>
        <v>5740</v>
      </c>
      <c r="E571" t="str">
        <f>"850LOS"</f>
        <v>850LOS</v>
      </c>
      <c r="F571" t="str">
        <f>""</f>
        <v/>
      </c>
      <c r="G571" t="str">
        <f>""</f>
        <v/>
      </c>
      <c r="H571" s="1">
        <v>39263</v>
      </c>
      <c r="I571" t="str">
        <f>"G0714041"</f>
        <v>G0714041</v>
      </c>
      <c r="J571" t="str">
        <f>""</f>
        <v/>
      </c>
      <c r="K571" t="str">
        <f>"J096"</f>
        <v>J096</v>
      </c>
      <c r="L571" t="s">
        <v>432</v>
      </c>
      <c r="M571">
        <v>978.72</v>
      </c>
    </row>
    <row r="572" spans="1:13" x14ac:dyDescent="0.25">
      <c r="A572" t="str">
        <f>"J150"</f>
        <v>J150</v>
      </c>
      <c r="B572">
        <v>1</v>
      </c>
      <c r="C572" t="str">
        <f>"32040"</f>
        <v>32040</v>
      </c>
      <c r="D572" t="str">
        <f>"5610"</f>
        <v>5610</v>
      </c>
      <c r="E572" t="str">
        <f>"850LOS"</f>
        <v>850LOS</v>
      </c>
      <c r="F572" t="str">
        <f>""</f>
        <v/>
      </c>
      <c r="G572" t="str">
        <f>""</f>
        <v/>
      </c>
      <c r="H572" s="1">
        <v>38990</v>
      </c>
      <c r="I572" t="str">
        <f>"MPG00314"</f>
        <v>MPG00314</v>
      </c>
      <c r="J572" t="str">
        <f>""</f>
        <v/>
      </c>
      <c r="K572" t="str">
        <f t="shared" ref="K572:K594" si="152">"AS89"</f>
        <v>AS89</v>
      </c>
      <c r="L572" t="s">
        <v>431</v>
      </c>
      <c r="M572" s="2">
        <v>5500</v>
      </c>
    </row>
    <row r="573" spans="1:13" x14ac:dyDescent="0.25">
      <c r="A573" t="str">
        <f t="shared" ref="A573:A593" si="153">"J160"</f>
        <v>J160</v>
      </c>
      <c r="B573">
        <v>1</v>
      </c>
      <c r="C573" t="str">
        <f t="shared" ref="C573:C578" si="154">"14185"</f>
        <v>14185</v>
      </c>
      <c r="D573" t="str">
        <f t="shared" ref="D573:D578" si="155">"5620"</f>
        <v>5620</v>
      </c>
      <c r="E573" t="str">
        <f t="shared" ref="E573:E578" si="156">"094OMS"</f>
        <v>094OMS</v>
      </c>
      <c r="F573" t="str">
        <f>""</f>
        <v/>
      </c>
      <c r="G573" t="str">
        <f>""</f>
        <v/>
      </c>
      <c r="H573" s="1">
        <v>39021</v>
      </c>
      <c r="I573" t="str">
        <f>"PHY00410"</f>
        <v>PHY00410</v>
      </c>
      <c r="J573" t="str">
        <f>"15043E"</f>
        <v>15043E</v>
      </c>
      <c r="K573" t="str">
        <f t="shared" si="152"/>
        <v>AS89</v>
      </c>
      <c r="L573" t="s">
        <v>98</v>
      </c>
      <c r="M573">
        <v>489.66</v>
      </c>
    </row>
    <row r="574" spans="1:13" x14ac:dyDescent="0.25">
      <c r="A574" t="str">
        <f t="shared" si="153"/>
        <v>J160</v>
      </c>
      <c r="B574">
        <v>1</v>
      </c>
      <c r="C574" t="str">
        <f t="shared" si="154"/>
        <v>14185</v>
      </c>
      <c r="D574" t="str">
        <f t="shared" si="155"/>
        <v>5620</v>
      </c>
      <c r="E574" t="str">
        <f t="shared" si="156"/>
        <v>094OMS</v>
      </c>
      <c r="F574" t="str">
        <f>""</f>
        <v/>
      </c>
      <c r="G574" t="str">
        <f>""</f>
        <v/>
      </c>
      <c r="H574" s="1">
        <v>39113</v>
      </c>
      <c r="I574" t="str">
        <f>"PHY00413"</f>
        <v>PHY00413</v>
      </c>
      <c r="J574" t="str">
        <f>"20285E"</f>
        <v>20285E</v>
      </c>
      <c r="K574" t="str">
        <f t="shared" si="152"/>
        <v>AS89</v>
      </c>
      <c r="L574" t="s">
        <v>103</v>
      </c>
      <c r="M574">
        <v>229.12</v>
      </c>
    </row>
    <row r="575" spans="1:13" x14ac:dyDescent="0.25">
      <c r="A575" t="str">
        <f t="shared" si="153"/>
        <v>J160</v>
      </c>
      <c r="B575">
        <v>1</v>
      </c>
      <c r="C575" t="str">
        <f t="shared" si="154"/>
        <v>14185</v>
      </c>
      <c r="D575" t="str">
        <f t="shared" si="155"/>
        <v>5620</v>
      </c>
      <c r="E575" t="str">
        <f t="shared" si="156"/>
        <v>094OMS</v>
      </c>
      <c r="F575" t="str">
        <f>""</f>
        <v/>
      </c>
      <c r="G575" t="str">
        <f>""</f>
        <v/>
      </c>
      <c r="H575" s="1">
        <v>39113</v>
      </c>
      <c r="I575" t="str">
        <f>"PHY00413"</f>
        <v>PHY00413</v>
      </c>
      <c r="J575" t="str">
        <f>"OPUP06"</f>
        <v>OPUP06</v>
      </c>
      <c r="K575" t="str">
        <f t="shared" si="152"/>
        <v>AS89</v>
      </c>
      <c r="L575" t="s">
        <v>100</v>
      </c>
      <c r="M575">
        <v>847.72</v>
      </c>
    </row>
    <row r="576" spans="1:13" x14ac:dyDescent="0.25">
      <c r="A576" t="str">
        <f t="shared" si="153"/>
        <v>J160</v>
      </c>
      <c r="B576">
        <v>1</v>
      </c>
      <c r="C576" t="str">
        <f t="shared" si="154"/>
        <v>14185</v>
      </c>
      <c r="D576" t="str">
        <f t="shared" si="155"/>
        <v>5620</v>
      </c>
      <c r="E576" t="str">
        <f t="shared" si="156"/>
        <v>094OMS</v>
      </c>
      <c r="F576" t="str">
        <f>""</f>
        <v/>
      </c>
      <c r="G576" t="str">
        <f>""</f>
        <v/>
      </c>
      <c r="H576" s="1">
        <v>39139</v>
      </c>
      <c r="I576" t="str">
        <f>"PHY00414"</f>
        <v>PHY00414</v>
      </c>
      <c r="J576" t="str">
        <f>"20285E"</f>
        <v>20285E</v>
      </c>
      <c r="K576" t="str">
        <f t="shared" si="152"/>
        <v>AS89</v>
      </c>
      <c r="L576" t="s">
        <v>103</v>
      </c>
      <c r="M576">
        <v>237.78</v>
      </c>
    </row>
    <row r="577" spans="1:13" x14ac:dyDescent="0.25">
      <c r="A577" t="str">
        <f t="shared" si="153"/>
        <v>J160</v>
      </c>
      <c r="B577">
        <v>1</v>
      </c>
      <c r="C577" t="str">
        <f t="shared" si="154"/>
        <v>14185</v>
      </c>
      <c r="D577" t="str">
        <f t="shared" si="155"/>
        <v>5620</v>
      </c>
      <c r="E577" t="str">
        <f t="shared" si="156"/>
        <v>094OMS</v>
      </c>
      <c r="F577" t="str">
        <f>""</f>
        <v/>
      </c>
      <c r="G577" t="str">
        <f>""</f>
        <v/>
      </c>
      <c r="H577" s="1">
        <v>39198</v>
      </c>
      <c r="I577" t="str">
        <f>"PHY00416"</f>
        <v>PHY00416</v>
      </c>
      <c r="J577" t="str">
        <f>"OPUP06"</f>
        <v>OPUP06</v>
      </c>
      <c r="K577" t="str">
        <f t="shared" si="152"/>
        <v>AS89</v>
      </c>
      <c r="L577" t="s">
        <v>100</v>
      </c>
      <c r="M577">
        <v>107.18</v>
      </c>
    </row>
    <row r="578" spans="1:13" x14ac:dyDescent="0.25">
      <c r="A578" t="str">
        <f t="shared" si="153"/>
        <v>J160</v>
      </c>
      <c r="B578">
        <v>1</v>
      </c>
      <c r="C578" t="str">
        <f t="shared" si="154"/>
        <v>14185</v>
      </c>
      <c r="D578" t="str">
        <f t="shared" si="155"/>
        <v>5620</v>
      </c>
      <c r="E578" t="str">
        <f t="shared" si="156"/>
        <v>094OMS</v>
      </c>
      <c r="F578" t="str">
        <f>""</f>
        <v/>
      </c>
      <c r="G578" t="str">
        <f>""</f>
        <v/>
      </c>
      <c r="H578" s="1">
        <v>39203</v>
      </c>
      <c r="I578" t="str">
        <f>"PHY00418"</f>
        <v>PHY00418</v>
      </c>
      <c r="J578" t="str">
        <f>"OPUPAA"</f>
        <v>OPUPAA</v>
      </c>
      <c r="K578" t="str">
        <f t="shared" si="152"/>
        <v>AS89</v>
      </c>
      <c r="L578" t="s">
        <v>430</v>
      </c>
      <c r="M578">
        <v>101.09</v>
      </c>
    </row>
    <row r="579" spans="1:13" x14ac:dyDescent="0.25">
      <c r="A579" t="str">
        <f t="shared" si="153"/>
        <v>J160</v>
      </c>
      <c r="B579">
        <v>1</v>
      </c>
      <c r="C579" t="str">
        <f t="shared" ref="C579:C593" si="157">"43000"</f>
        <v>43000</v>
      </c>
      <c r="D579" t="str">
        <f t="shared" ref="D579:D593" si="158">"5740"</f>
        <v>5740</v>
      </c>
      <c r="E579" t="str">
        <f t="shared" ref="E579:E584" si="159">"850LOS"</f>
        <v>850LOS</v>
      </c>
      <c r="F579" t="str">
        <f>""</f>
        <v/>
      </c>
      <c r="G579" t="str">
        <f>""</f>
        <v/>
      </c>
      <c r="H579" s="1">
        <v>38989</v>
      </c>
      <c r="I579" t="str">
        <f>"PHY00409"</f>
        <v>PHY00409</v>
      </c>
      <c r="J579" t="str">
        <f>"16513E"</f>
        <v>16513E</v>
      </c>
      <c r="K579" t="str">
        <f t="shared" si="152"/>
        <v>AS89</v>
      </c>
      <c r="L579" t="s">
        <v>107</v>
      </c>
      <c r="M579">
        <v>219.24</v>
      </c>
    </row>
    <row r="580" spans="1:13" x14ac:dyDescent="0.25">
      <c r="A580" t="str">
        <f t="shared" si="153"/>
        <v>J160</v>
      </c>
      <c r="B580">
        <v>1</v>
      </c>
      <c r="C580" t="str">
        <f t="shared" si="157"/>
        <v>43000</v>
      </c>
      <c r="D580" t="str">
        <f t="shared" si="158"/>
        <v>5740</v>
      </c>
      <c r="E580" t="str">
        <f t="shared" si="159"/>
        <v>850LOS</v>
      </c>
      <c r="F580" t="str">
        <f>""</f>
        <v/>
      </c>
      <c r="G580" t="str">
        <f>""</f>
        <v/>
      </c>
      <c r="H580" s="1">
        <v>39079</v>
      </c>
      <c r="I580" t="str">
        <f>"PHY00412"</f>
        <v>PHY00412</v>
      </c>
      <c r="J580" t="str">
        <f>"20293E"</f>
        <v>20293E</v>
      </c>
      <c r="K580" t="str">
        <f t="shared" si="152"/>
        <v>AS89</v>
      </c>
      <c r="L580" t="s">
        <v>115</v>
      </c>
      <c r="M580">
        <v>144.83000000000001</v>
      </c>
    </row>
    <row r="581" spans="1:13" x14ac:dyDescent="0.25">
      <c r="A581" t="str">
        <f t="shared" si="153"/>
        <v>J160</v>
      </c>
      <c r="B581">
        <v>1</v>
      </c>
      <c r="C581" t="str">
        <f t="shared" si="157"/>
        <v>43000</v>
      </c>
      <c r="D581" t="str">
        <f t="shared" si="158"/>
        <v>5740</v>
      </c>
      <c r="E581" t="str">
        <f t="shared" si="159"/>
        <v>850LOS</v>
      </c>
      <c r="F581" t="str">
        <f>""</f>
        <v/>
      </c>
      <c r="G581" t="str">
        <f>""</f>
        <v/>
      </c>
      <c r="H581" s="1">
        <v>39113</v>
      </c>
      <c r="I581" t="str">
        <f>"PHY00413"</f>
        <v>PHY00413</v>
      </c>
      <c r="J581" t="str">
        <f>"16513E"</f>
        <v>16513E</v>
      </c>
      <c r="K581" t="str">
        <f t="shared" si="152"/>
        <v>AS89</v>
      </c>
      <c r="L581" t="s">
        <v>107</v>
      </c>
      <c r="M581">
        <v>106.44</v>
      </c>
    </row>
    <row r="582" spans="1:13" x14ac:dyDescent="0.25">
      <c r="A582" t="str">
        <f t="shared" si="153"/>
        <v>J160</v>
      </c>
      <c r="B582">
        <v>1</v>
      </c>
      <c r="C582" t="str">
        <f t="shared" si="157"/>
        <v>43000</v>
      </c>
      <c r="D582" t="str">
        <f t="shared" si="158"/>
        <v>5740</v>
      </c>
      <c r="E582" t="str">
        <f t="shared" si="159"/>
        <v>850LOS</v>
      </c>
      <c r="F582" t="str">
        <f>""</f>
        <v/>
      </c>
      <c r="G582" t="str">
        <f>""</f>
        <v/>
      </c>
      <c r="H582" s="1">
        <v>39113</v>
      </c>
      <c r="I582" t="str">
        <f>"PHY00413"</f>
        <v>PHY00413</v>
      </c>
      <c r="J582" t="str">
        <f>"20293E"</f>
        <v>20293E</v>
      </c>
      <c r="K582" t="str">
        <f t="shared" si="152"/>
        <v>AS89</v>
      </c>
      <c r="L582" t="s">
        <v>115</v>
      </c>
      <c r="M582">
        <v>231.15</v>
      </c>
    </row>
    <row r="583" spans="1:13" x14ac:dyDescent="0.25">
      <c r="A583" t="str">
        <f t="shared" si="153"/>
        <v>J160</v>
      </c>
      <c r="B583">
        <v>1</v>
      </c>
      <c r="C583" t="str">
        <f t="shared" si="157"/>
        <v>43000</v>
      </c>
      <c r="D583" t="str">
        <f t="shared" si="158"/>
        <v>5740</v>
      </c>
      <c r="E583" t="str">
        <f t="shared" si="159"/>
        <v>850LOS</v>
      </c>
      <c r="F583" t="str">
        <f>""</f>
        <v/>
      </c>
      <c r="G583" t="str">
        <f>""</f>
        <v/>
      </c>
      <c r="H583" s="1">
        <v>39113</v>
      </c>
      <c r="I583" t="str">
        <f>"PHY00413"</f>
        <v>PHY00413</v>
      </c>
      <c r="J583" t="str">
        <f>"P0005783"</f>
        <v>P0005783</v>
      </c>
      <c r="K583" t="str">
        <f t="shared" si="152"/>
        <v>AS89</v>
      </c>
      <c r="L583" t="s">
        <v>428</v>
      </c>
      <c r="M583">
        <v>151.03</v>
      </c>
    </row>
    <row r="584" spans="1:13" x14ac:dyDescent="0.25">
      <c r="A584" t="str">
        <f t="shared" si="153"/>
        <v>J160</v>
      </c>
      <c r="B584">
        <v>1</v>
      </c>
      <c r="C584" t="str">
        <f t="shared" si="157"/>
        <v>43000</v>
      </c>
      <c r="D584" t="str">
        <f t="shared" si="158"/>
        <v>5740</v>
      </c>
      <c r="E584" t="str">
        <f t="shared" si="159"/>
        <v>850LOS</v>
      </c>
      <c r="F584" t="str">
        <f>""</f>
        <v/>
      </c>
      <c r="G584" t="str">
        <f>""</f>
        <v/>
      </c>
      <c r="H584" s="1">
        <v>39113</v>
      </c>
      <c r="I584" t="str">
        <f>"PHY00413"</f>
        <v>PHY00413</v>
      </c>
      <c r="J584" t="str">
        <f>"S0143219"</f>
        <v>S0143219</v>
      </c>
      <c r="K584" t="str">
        <f t="shared" si="152"/>
        <v>AS89</v>
      </c>
      <c r="L584" t="s">
        <v>427</v>
      </c>
      <c r="M584">
        <v>146.16</v>
      </c>
    </row>
    <row r="585" spans="1:13" x14ac:dyDescent="0.25">
      <c r="A585" t="str">
        <f t="shared" si="153"/>
        <v>J160</v>
      </c>
      <c r="B585">
        <v>1</v>
      </c>
      <c r="C585" t="str">
        <f t="shared" si="157"/>
        <v>43000</v>
      </c>
      <c r="D585" t="str">
        <f t="shared" si="158"/>
        <v>5740</v>
      </c>
      <c r="E585" t="str">
        <f>"850PKC"</f>
        <v>850PKC</v>
      </c>
      <c r="F585" t="str">
        <f>""</f>
        <v/>
      </c>
      <c r="G585" t="str">
        <f>""</f>
        <v/>
      </c>
      <c r="H585" s="1">
        <v>39079</v>
      </c>
      <c r="I585" t="str">
        <f>"PHY00412"</f>
        <v>PHY00412</v>
      </c>
      <c r="J585" t="str">
        <f>"S0143375"</f>
        <v>S0143375</v>
      </c>
      <c r="K585" t="str">
        <f t="shared" si="152"/>
        <v>AS89</v>
      </c>
      <c r="L585" t="s">
        <v>426</v>
      </c>
      <c r="M585">
        <v>207.09</v>
      </c>
    </row>
    <row r="586" spans="1:13" x14ac:dyDescent="0.25">
      <c r="A586" t="str">
        <f t="shared" si="153"/>
        <v>J160</v>
      </c>
      <c r="B586">
        <v>1</v>
      </c>
      <c r="C586" t="str">
        <f t="shared" si="157"/>
        <v>43000</v>
      </c>
      <c r="D586" t="str">
        <f t="shared" si="158"/>
        <v>5740</v>
      </c>
      <c r="E586" t="str">
        <f t="shared" ref="E586:E593" si="160">"850PKE"</f>
        <v>850PKE</v>
      </c>
      <c r="F586" t="str">
        <f>""</f>
        <v/>
      </c>
      <c r="G586" t="str">
        <f>""</f>
        <v/>
      </c>
      <c r="H586" s="1">
        <v>38929</v>
      </c>
      <c r="I586" t="str">
        <f>"PHY00407"</f>
        <v>PHY00407</v>
      </c>
      <c r="J586" t="str">
        <f>"20283E"</f>
        <v>20283E</v>
      </c>
      <c r="K586" t="str">
        <f t="shared" si="152"/>
        <v>AS89</v>
      </c>
      <c r="L586" t="s">
        <v>121</v>
      </c>
      <c r="M586">
        <v>122.97</v>
      </c>
    </row>
    <row r="587" spans="1:13" x14ac:dyDescent="0.25">
      <c r="A587" t="str">
        <f t="shared" si="153"/>
        <v>J160</v>
      </c>
      <c r="B587">
        <v>1</v>
      </c>
      <c r="C587" t="str">
        <f t="shared" si="157"/>
        <v>43000</v>
      </c>
      <c r="D587" t="str">
        <f t="shared" si="158"/>
        <v>5740</v>
      </c>
      <c r="E587" t="str">
        <f t="shared" si="160"/>
        <v>850PKE</v>
      </c>
      <c r="F587" t="str">
        <f>""</f>
        <v/>
      </c>
      <c r="G587" t="str">
        <f>""</f>
        <v/>
      </c>
      <c r="H587" s="1">
        <v>39021</v>
      </c>
      <c r="I587" t="str">
        <f>"PHY00410"</f>
        <v>PHY00410</v>
      </c>
      <c r="J587" t="str">
        <f>"20283E"</f>
        <v>20283E</v>
      </c>
      <c r="K587" t="str">
        <f t="shared" si="152"/>
        <v>AS89</v>
      </c>
      <c r="L587" t="s">
        <v>121</v>
      </c>
      <c r="M587">
        <v>384.82</v>
      </c>
    </row>
    <row r="588" spans="1:13" x14ac:dyDescent="0.25">
      <c r="A588" t="str">
        <f t="shared" si="153"/>
        <v>J160</v>
      </c>
      <c r="B588">
        <v>1</v>
      </c>
      <c r="C588" t="str">
        <f t="shared" si="157"/>
        <v>43000</v>
      </c>
      <c r="D588" t="str">
        <f t="shared" si="158"/>
        <v>5740</v>
      </c>
      <c r="E588" t="str">
        <f t="shared" si="160"/>
        <v>850PKE</v>
      </c>
      <c r="F588" t="str">
        <f>""</f>
        <v/>
      </c>
      <c r="G588" t="str">
        <f>""</f>
        <v/>
      </c>
      <c r="H588" s="1">
        <v>39050</v>
      </c>
      <c r="I588" t="str">
        <f>"PHY00411"</f>
        <v>PHY00411</v>
      </c>
      <c r="J588" t="str">
        <f>"20282E"</f>
        <v>20282E</v>
      </c>
      <c r="K588" t="str">
        <f t="shared" si="152"/>
        <v>AS89</v>
      </c>
      <c r="L588" t="s">
        <v>120</v>
      </c>
      <c r="M588">
        <v>120.96</v>
      </c>
    </row>
    <row r="589" spans="1:13" x14ac:dyDescent="0.25">
      <c r="A589" t="str">
        <f t="shared" si="153"/>
        <v>J160</v>
      </c>
      <c r="B589">
        <v>1</v>
      </c>
      <c r="C589" t="str">
        <f t="shared" si="157"/>
        <v>43000</v>
      </c>
      <c r="D589" t="str">
        <f t="shared" si="158"/>
        <v>5740</v>
      </c>
      <c r="E589" t="str">
        <f t="shared" si="160"/>
        <v>850PKE</v>
      </c>
      <c r="F589" t="str">
        <f>""</f>
        <v/>
      </c>
      <c r="G589" t="str">
        <f>""</f>
        <v/>
      </c>
      <c r="H589" s="1">
        <v>39050</v>
      </c>
      <c r="I589" t="str">
        <f>"PHY00411"</f>
        <v>PHY00411</v>
      </c>
      <c r="J589" t="str">
        <f>"20283E"</f>
        <v>20283E</v>
      </c>
      <c r="K589" t="str">
        <f t="shared" si="152"/>
        <v>AS89</v>
      </c>
      <c r="L589" t="s">
        <v>121</v>
      </c>
      <c r="M589">
        <v>243.94</v>
      </c>
    </row>
    <row r="590" spans="1:13" x14ac:dyDescent="0.25">
      <c r="A590" t="str">
        <f t="shared" si="153"/>
        <v>J160</v>
      </c>
      <c r="B590">
        <v>1</v>
      </c>
      <c r="C590" t="str">
        <f t="shared" si="157"/>
        <v>43000</v>
      </c>
      <c r="D590" t="str">
        <f t="shared" si="158"/>
        <v>5740</v>
      </c>
      <c r="E590" t="str">
        <f t="shared" si="160"/>
        <v>850PKE</v>
      </c>
      <c r="F590" t="str">
        <f>""</f>
        <v/>
      </c>
      <c r="G590" t="str">
        <f>""</f>
        <v/>
      </c>
      <c r="H590" s="1">
        <v>39113</v>
      </c>
      <c r="I590" t="str">
        <f>"PHY00413"</f>
        <v>PHY00413</v>
      </c>
      <c r="J590" t="str">
        <f>"15069E"</f>
        <v>15069E</v>
      </c>
      <c r="K590" t="str">
        <f t="shared" si="152"/>
        <v>AS89</v>
      </c>
      <c r="L590" t="s">
        <v>119</v>
      </c>
      <c r="M590">
        <v>526.27</v>
      </c>
    </row>
    <row r="591" spans="1:13" x14ac:dyDescent="0.25">
      <c r="A591" t="str">
        <f t="shared" si="153"/>
        <v>J160</v>
      </c>
      <c r="B591">
        <v>1</v>
      </c>
      <c r="C591" t="str">
        <f t="shared" si="157"/>
        <v>43000</v>
      </c>
      <c r="D591" t="str">
        <f t="shared" si="158"/>
        <v>5740</v>
      </c>
      <c r="E591" t="str">
        <f t="shared" si="160"/>
        <v>850PKE</v>
      </c>
      <c r="F591" t="str">
        <f>""</f>
        <v/>
      </c>
      <c r="G591" t="str">
        <f>""</f>
        <v/>
      </c>
      <c r="H591" s="1">
        <v>39139</v>
      </c>
      <c r="I591" t="str">
        <f>"PHY00414"</f>
        <v>PHY00414</v>
      </c>
      <c r="J591" t="str">
        <f>"20283E"</f>
        <v>20283E</v>
      </c>
      <c r="K591" t="str">
        <f t="shared" si="152"/>
        <v>AS89</v>
      </c>
      <c r="L591" t="s">
        <v>121</v>
      </c>
      <c r="M591">
        <v>194.88</v>
      </c>
    </row>
    <row r="592" spans="1:13" x14ac:dyDescent="0.25">
      <c r="A592" t="str">
        <f t="shared" si="153"/>
        <v>J160</v>
      </c>
      <c r="B592">
        <v>1</v>
      </c>
      <c r="C592" t="str">
        <f t="shared" si="157"/>
        <v>43000</v>
      </c>
      <c r="D592" t="str">
        <f t="shared" si="158"/>
        <v>5740</v>
      </c>
      <c r="E592" t="str">
        <f t="shared" si="160"/>
        <v>850PKE</v>
      </c>
      <c r="F592" t="str">
        <f>""</f>
        <v/>
      </c>
      <c r="G592" t="str">
        <f>""</f>
        <v/>
      </c>
      <c r="H592" s="1">
        <v>39139</v>
      </c>
      <c r="I592" t="str">
        <f>"PHY00414"</f>
        <v>PHY00414</v>
      </c>
      <c r="J592" t="str">
        <f>"S0143713"</f>
        <v>S0143713</v>
      </c>
      <c r="K592" t="str">
        <f t="shared" si="152"/>
        <v>AS89</v>
      </c>
      <c r="L592" t="s">
        <v>425</v>
      </c>
      <c r="M592" s="2">
        <v>2342</v>
      </c>
    </row>
    <row r="593" spans="1:13" x14ac:dyDescent="0.25">
      <c r="A593" t="str">
        <f t="shared" si="153"/>
        <v>J160</v>
      </c>
      <c r="B593">
        <v>1</v>
      </c>
      <c r="C593" t="str">
        <f t="shared" si="157"/>
        <v>43000</v>
      </c>
      <c r="D593" t="str">
        <f t="shared" si="158"/>
        <v>5740</v>
      </c>
      <c r="E593" t="str">
        <f t="shared" si="160"/>
        <v>850PKE</v>
      </c>
      <c r="F593" t="str">
        <f>""</f>
        <v/>
      </c>
      <c r="G593" t="str">
        <f>""</f>
        <v/>
      </c>
      <c r="H593" s="1">
        <v>39234</v>
      </c>
      <c r="I593" t="str">
        <f>"PHY00458"</f>
        <v>PHY00458</v>
      </c>
      <c r="J593" t="str">
        <f>"W0002251"</f>
        <v>W0002251</v>
      </c>
      <c r="K593" t="str">
        <f t="shared" si="152"/>
        <v>AS89</v>
      </c>
      <c r="L593" t="s">
        <v>424</v>
      </c>
      <c r="M593">
        <v>172.68</v>
      </c>
    </row>
    <row r="594" spans="1:13" x14ac:dyDescent="0.25">
      <c r="A594" t="str">
        <f>"J162"</f>
        <v>J162</v>
      </c>
      <c r="B594">
        <v>1</v>
      </c>
      <c r="C594" t="str">
        <f>"14185"</f>
        <v>14185</v>
      </c>
      <c r="D594" t="str">
        <f>"5620"</f>
        <v>5620</v>
      </c>
      <c r="E594" t="str">
        <f>"094OMS"</f>
        <v>094OMS</v>
      </c>
      <c r="F594" t="str">
        <f>""</f>
        <v/>
      </c>
      <c r="G594" t="str">
        <f>""</f>
        <v/>
      </c>
      <c r="H594" s="1">
        <v>39128</v>
      </c>
      <c r="I594" t="str">
        <f>"TEL00548"</f>
        <v>TEL00548</v>
      </c>
      <c r="J594" t="str">
        <f>""</f>
        <v/>
      </c>
      <c r="K594" t="str">
        <f t="shared" si="152"/>
        <v>AS89</v>
      </c>
      <c r="L594" t="s">
        <v>421</v>
      </c>
      <c r="M594">
        <v>100</v>
      </c>
    </row>
    <row r="595" spans="1:13" x14ac:dyDescent="0.25">
      <c r="A595" t="str">
        <f>"J162"</f>
        <v>J162</v>
      </c>
      <c r="B595">
        <v>1</v>
      </c>
      <c r="C595" t="str">
        <f>"43000"</f>
        <v>43000</v>
      </c>
      <c r="D595" t="str">
        <f>"5740"</f>
        <v>5740</v>
      </c>
      <c r="E595" t="str">
        <f>"850LOS"</f>
        <v>850LOS</v>
      </c>
      <c r="F595" t="str">
        <f>""</f>
        <v/>
      </c>
      <c r="G595" t="str">
        <f>""</f>
        <v/>
      </c>
      <c r="H595" s="1">
        <v>38939</v>
      </c>
      <c r="I595" t="str">
        <f>"G0702045"</f>
        <v>G0702045</v>
      </c>
      <c r="J595" t="str">
        <f>""</f>
        <v/>
      </c>
      <c r="K595" t="str">
        <f>"J096"</f>
        <v>J096</v>
      </c>
      <c r="L595" t="s">
        <v>420</v>
      </c>
      <c r="M595">
        <v>900</v>
      </c>
    </row>
    <row r="596" spans="1:13" x14ac:dyDescent="0.25">
      <c r="A596" t="str">
        <f>"J162"</f>
        <v>J162</v>
      </c>
      <c r="B596">
        <v>1</v>
      </c>
      <c r="C596" t="str">
        <f>"43000"</f>
        <v>43000</v>
      </c>
      <c r="D596" t="str">
        <f>"5740"</f>
        <v>5740</v>
      </c>
      <c r="E596" t="str">
        <f>"850LOS"</f>
        <v>850LOS</v>
      </c>
      <c r="F596" t="str">
        <f>""</f>
        <v/>
      </c>
      <c r="G596" t="str">
        <f>""</f>
        <v/>
      </c>
      <c r="H596" s="1">
        <v>39016</v>
      </c>
      <c r="I596" t="str">
        <f>"G0704106"</f>
        <v>G0704106</v>
      </c>
      <c r="J596" t="str">
        <f>""</f>
        <v/>
      </c>
      <c r="K596" t="str">
        <f>"J096"</f>
        <v>J096</v>
      </c>
      <c r="L596" t="s">
        <v>420</v>
      </c>
      <c r="M596">
        <v>900</v>
      </c>
    </row>
    <row r="597" spans="1:13" x14ac:dyDescent="0.25">
      <c r="A597" t="str">
        <f>"J162"</f>
        <v>J162</v>
      </c>
      <c r="B597">
        <v>1</v>
      </c>
      <c r="C597" t="str">
        <f>"43000"</f>
        <v>43000</v>
      </c>
      <c r="D597" t="str">
        <f>"5740"</f>
        <v>5740</v>
      </c>
      <c r="E597" t="str">
        <f>"850LOS"</f>
        <v>850LOS</v>
      </c>
      <c r="F597" t="str">
        <f>""</f>
        <v/>
      </c>
      <c r="G597" t="str">
        <f>""</f>
        <v/>
      </c>
      <c r="H597" s="1">
        <v>39100</v>
      </c>
      <c r="I597" t="str">
        <f>"G0707080"</f>
        <v>G0707080</v>
      </c>
      <c r="J597" t="str">
        <f>""</f>
        <v/>
      </c>
      <c r="K597" t="str">
        <f>"J096"</f>
        <v>J096</v>
      </c>
      <c r="L597" t="s">
        <v>420</v>
      </c>
      <c r="M597">
        <v>900</v>
      </c>
    </row>
    <row r="598" spans="1:13" x14ac:dyDescent="0.25">
      <c r="A598" t="str">
        <f>"J162"</f>
        <v>J162</v>
      </c>
      <c r="B598">
        <v>1</v>
      </c>
      <c r="C598" t="str">
        <f>"43000"</f>
        <v>43000</v>
      </c>
      <c r="D598" t="str">
        <f>"5740"</f>
        <v>5740</v>
      </c>
      <c r="E598" t="str">
        <f>"850LOS"</f>
        <v>850LOS</v>
      </c>
      <c r="F598" t="str">
        <f>""</f>
        <v/>
      </c>
      <c r="G598" t="str">
        <f>""</f>
        <v/>
      </c>
      <c r="H598" s="1">
        <v>39195</v>
      </c>
      <c r="I598" t="str">
        <f>"G0710067"</f>
        <v>G0710067</v>
      </c>
      <c r="J598" t="str">
        <f>""</f>
        <v/>
      </c>
      <c r="K598" t="str">
        <f>"J096"</f>
        <v>J096</v>
      </c>
      <c r="L598" t="s">
        <v>419</v>
      </c>
      <c r="M598">
        <v>900</v>
      </c>
    </row>
    <row r="599" spans="1:13" x14ac:dyDescent="0.25">
      <c r="A599" t="str">
        <f t="shared" ref="A599:A607" si="161">"J164"</f>
        <v>J164</v>
      </c>
      <c r="B599">
        <v>1</v>
      </c>
      <c r="C599" t="str">
        <f>"14185"</f>
        <v>14185</v>
      </c>
      <c r="D599" t="str">
        <f>"5620"</f>
        <v>5620</v>
      </c>
      <c r="E599" t="str">
        <f>"094OMS"</f>
        <v>094OMS</v>
      </c>
      <c r="F599" t="str">
        <f>""</f>
        <v/>
      </c>
      <c r="G599" t="str">
        <f>""</f>
        <v/>
      </c>
      <c r="H599" s="1">
        <v>39021</v>
      </c>
      <c r="I599" t="str">
        <f>"LKS00134"</f>
        <v>LKS00134</v>
      </c>
      <c r="J599" t="str">
        <f>"L30034"</f>
        <v>L30034</v>
      </c>
      <c r="K599" t="str">
        <f>"LKW1"</f>
        <v>LKW1</v>
      </c>
      <c r="L599" t="s">
        <v>133</v>
      </c>
      <c r="M599">
        <v>181.77</v>
      </c>
    </row>
    <row r="600" spans="1:13" x14ac:dyDescent="0.25">
      <c r="A600" t="str">
        <f t="shared" si="161"/>
        <v>J164</v>
      </c>
      <c r="B600">
        <v>1</v>
      </c>
      <c r="C600" t="str">
        <f>"14185"</f>
        <v>14185</v>
      </c>
      <c r="D600" t="str">
        <f>"5620"</f>
        <v>5620</v>
      </c>
      <c r="E600" t="str">
        <f>"094OMS"</f>
        <v>094OMS</v>
      </c>
      <c r="F600" t="str">
        <f>""</f>
        <v/>
      </c>
      <c r="G600" t="str">
        <f>""</f>
        <v/>
      </c>
      <c r="H600" s="1">
        <v>39082</v>
      </c>
      <c r="I600" t="str">
        <f>"LKS00136"</f>
        <v>LKS00136</v>
      </c>
      <c r="J600" t="str">
        <f>"L30034"</f>
        <v>L30034</v>
      </c>
      <c r="K600" t="str">
        <f>"LKW1"</f>
        <v>LKW1</v>
      </c>
      <c r="L600" t="s">
        <v>133</v>
      </c>
      <c r="M600">
        <v>124.44</v>
      </c>
    </row>
    <row r="601" spans="1:13" x14ac:dyDescent="0.25">
      <c r="A601" t="str">
        <f t="shared" si="161"/>
        <v>J164</v>
      </c>
      <c r="B601">
        <v>1</v>
      </c>
      <c r="C601" t="str">
        <f>"14185"</f>
        <v>14185</v>
      </c>
      <c r="D601" t="str">
        <f>"5620"</f>
        <v>5620</v>
      </c>
      <c r="E601" t="str">
        <f>"094OMS"</f>
        <v>094OMS</v>
      </c>
      <c r="F601" t="str">
        <f>""</f>
        <v/>
      </c>
      <c r="G601" t="str">
        <f>""</f>
        <v/>
      </c>
      <c r="H601" s="1">
        <v>39263</v>
      </c>
      <c r="I601" t="str">
        <f>"LKS00142"</f>
        <v>LKS00142</v>
      </c>
      <c r="J601" t="str">
        <f>"L30034"</f>
        <v>L30034</v>
      </c>
      <c r="K601" t="str">
        <f>"LKW1"</f>
        <v>LKW1</v>
      </c>
      <c r="L601" t="s">
        <v>133</v>
      </c>
      <c r="M601">
        <v>220.33</v>
      </c>
    </row>
    <row r="602" spans="1:13" x14ac:dyDescent="0.25">
      <c r="A602" t="str">
        <f t="shared" si="161"/>
        <v>J164</v>
      </c>
      <c r="B602">
        <v>1</v>
      </c>
      <c r="C602" t="str">
        <f>"43000"</f>
        <v>43000</v>
      </c>
      <c r="D602" t="str">
        <f t="shared" ref="D602:D607" si="162">"5740"</f>
        <v>5740</v>
      </c>
      <c r="E602" t="str">
        <f>"850LOS"</f>
        <v>850LOS</v>
      </c>
      <c r="F602" t="str">
        <f>""</f>
        <v/>
      </c>
      <c r="G602" t="str">
        <f>""</f>
        <v/>
      </c>
      <c r="H602" s="1">
        <v>38929</v>
      </c>
      <c r="I602" t="str">
        <f>"LKS00131"</f>
        <v>LKS00131</v>
      </c>
      <c r="J602" t="str">
        <f>"L60367"</f>
        <v>L60367</v>
      </c>
      <c r="K602" t="str">
        <f>"LKW1"</f>
        <v>LKW1</v>
      </c>
      <c r="L602" t="s">
        <v>138</v>
      </c>
      <c r="M602">
        <v>124.63</v>
      </c>
    </row>
    <row r="603" spans="1:13" x14ac:dyDescent="0.25">
      <c r="A603" t="str">
        <f t="shared" si="161"/>
        <v>J164</v>
      </c>
      <c r="B603">
        <v>1</v>
      </c>
      <c r="C603" t="str">
        <f>"43000"</f>
        <v>43000</v>
      </c>
      <c r="D603" t="str">
        <f t="shared" si="162"/>
        <v>5740</v>
      </c>
      <c r="E603" t="str">
        <f>"850LOS"</f>
        <v>850LOS</v>
      </c>
      <c r="F603" t="str">
        <f>""</f>
        <v/>
      </c>
      <c r="G603" t="str">
        <f>""</f>
        <v/>
      </c>
      <c r="H603" s="1">
        <v>38960</v>
      </c>
      <c r="I603" t="str">
        <f>"LKS00132"</f>
        <v>LKS00132</v>
      </c>
      <c r="J603" t="str">
        <f>"L60367"</f>
        <v>L60367</v>
      </c>
      <c r="K603" t="str">
        <f>"LKW1"</f>
        <v>LKW1</v>
      </c>
      <c r="L603" t="s">
        <v>138</v>
      </c>
      <c r="M603">
        <v>650.71</v>
      </c>
    </row>
    <row r="604" spans="1:13" x14ac:dyDescent="0.25">
      <c r="A604" t="str">
        <f t="shared" si="161"/>
        <v>J164</v>
      </c>
      <c r="B604">
        <v>1</v>
      </c>
      <c r="C604" t="str">
        <f>"43000"</f>
        <v>43000</v>
      </c>
      <c r="D604" t="str">
        <f t="shared" si="162"/>
        <v>5740</v>
      </c>
      <c r="E604" t="str">
        <f>"850LOS"</f>
        <v>850LOS</v>
      </c>
      <c r="F604" t="str">
        <f>""</f>
        <v/>
      </c>
      <c r="G604" t="str">
        <f>""</f>
        <v/>
      </c>
      <c r="H604" s="1">
        <v>39069</v>
      </c>
      <c r="I604" t="str">
        <f>"G0706178"</f>
        <v>G0706178</v>
      </c>
      <c r="J604" t="str">
        <f>""</f>
        <v/>
      </c>
      <c r="K604" t="str">
        <f>"J096"</f>
        <v>J096</v>
      </c>
      <c r="L604" t="s">
        <v>418</v>
      </c>
      <c r="M604" s="2">
        <v>1865.99</v>
      </c>
    </row>
    <row r="605" spans="1:13" x14ac:dyDescent="0.25">
      <c r="A605" t="str">
        <f t="shared" si="161"/>
        <v>J164</v>
      </c>
      <c r="B605">
        <v>1</v>
      </c>
      <c r="C605" t="str">
        <f>"43000"</f>
        <v>43000</v>
      </c>
      <c r="D605" t="str">
        <f t="shared" si="162"/>
        <v>5740</v>
      </c>
      <c r="E605" t="str">
        <f>"850PKC"</f>
        <v>850PKC</v>
      </c>
      <c r="F605" t="str">
        <f>""</f>
        <v/>
      </c>
      <c r="G605" t="str">
        <f>""</f>
        <v/>
      </c>
      <c r="H605" s="1">
        <v>38990</v>
      </c>
      <c r="I605" t="str">
        <f>"LKS00133"</f>
        <v>LKS00133</v>
      </c>
      <c r="J605" t="str">
        <f>"L64352"</f>
        <v>L64352</v>
      </c>
      <c r="K605" t="str">
        <f>"LKW1"</f>
        <v>LKW1</v>
      </c>
      <c r="L605" t="s">
        <v>417</v>
      </c>
      <c r="M605">
        <v>126.89</v>
      </c>
    </row>
    <row r="606" spans="1:13" x14ac:dyDescent="0.25">
      <c r="A606" t="str">
        <f t="shared" si="161"/>
        <v>J164</v>
      </c>
      <c r="B606">
        <v>1</v>
      </c>
      <c r="C606" t="str">
        <f>"43001"</f>
        <v>43001</v>
      </c>
      <c r="D606" t="str">
        <f t="shared" si="162"/>
        <v>5740</v>
      </c>
      <c r="E606" t="str">
        <f>"850LOS"</f>
        <v>850LOS</v>
      </c>
      <c r="F606" t="str">
        <f>""</f>
        <v/>
      </c>
      <c r="G606" t="str">
        <f>""</f>
        <v/>
      </c>
      <c r="H606" s="1">
        <v>38960</v>
      </c>
      <c r="I606" t="str">
        <f>"LKS00132"</f>
        <v>LKS00132</v>
      </c>
      <c r="J606" t="str">
        <f>"L64258"</f>
        <v>L64258</v>
      </c>
      <c r="K606" t="str">
        <f>"LKW1"</f>
        <v>LKW1</v>
      </c>
      <c r="L606" t="s">
        <v>416</v>
      </c>
      <c r="M606">
        <v>110.34</v>
      </c>
    </row>
    <row r="607" spans="1:13" x14ac:dyDescent="0.25">
      <c r="A607" t="str">
        <f t="shared" si="161"/>
        <v>J164</v>
      </c>
      <c r="B607">
        <v>1</v>
      </c>
      <c r="C607" t="str">
        <f>"43001"</f>
        <v>43001</v>
      </c>
      <c r="D607" t="str">
        <f t="shared" si="162"/>
        <v>5740</v>
      </c>
      <c r="E607" t="str">
        <f>"850LOS"</f>
        <v>850LOS</v>
      </c>
      <c r="F607" t="str">
        <f>""</f>
        <v/>
      </c>
      <c r="G607" t="str">
        <f>""</f>
        <v/>
      </c>
      <c r="H607" s="1">
        <v>39082</v>
      </c>
      <c r="I607" t="str">
        <f>"LKS00136"</f>
        <v>LKS00136</v>
      </c>
      <c r="J607" t="str">
        <f>"L64615"</f>
        <v>L64615</v>
      </c>
      <c r="K607" t="str">
        <f>"LKW1"</f>
        <v>LKW1</v>
      </c>
      <c r="L607" t="s">
        <v>415</v>
      </c>
      <c r="M607">
        <v>154.47999999999999</v>
      </c>
    </row>
    <row r="608" spans="1:13" x14ac:dyDescent="0.25">
      <c r="A608" t="str">
        <f t="shared" ref="A608:A620" si="163">"J171"</f>
        <v>J171</v>
      </c>
      <c r="B608">
        <v>1</v>
      </c>
      <c r="C608" t="str">
        <f>"14185"</f>
        <v>14185</v>
      </c>
      <c r="D608" t="str">
        <f>"5620"</f>
        <v>5620</v>
      </c>
      <c r="E608" t="str">
        <f>"094OMS"</f>
        <v>094OMS</v>
      </c>
      <c r="F608" t="str">
        <f>""</f>
        <v/>
      </c>
      <c r="G608" t="str">
        <f>""</f>
        <v/>
      </c>
      <c r="H608" s="1">
        <v>39021</v>
      </c>
      <c r="I608" t="str">
        <f>"PRT00204"</f>
        <v>PRT00204</v>
      </c>
      <c r="J608" t="str">
        <f>""</f>
        <v/>
      </c>
      <c r="K608" t="str">
        <f t="shared" ref="K608:K620" si="164">"PR01"</f>
        <v>PR01</v>
      </c>
      <c r="L608" t="s">
        <v>414</v>
      </c>
      <c r="M608">
        <v>504.08</v>
      </c>
    </row>
    <row r="609" spans="1:13" x14ac:dyDescent="0.25">
      <c r="A609" t="str">
        <f t="shared" si="163"/>
        <v>J171</v>
      </c>
      <c r="B609">
        <v>1</v>
      </c>
      <c r="C609" t="str">
        <f>"14185"</f>
        <v>14185</v>
      </c>
      <c r="D609" t="str">
        <f>"5620"</f>
        <v>5620</v>
      </c>
      <c r="E609" t="str">
        <f>"094OMS"</f>
        <v>094OMS</v>
      </c>
      <c r="F609" t="str">
        <f>""</f>
        <v/>
      </c>
      <c r="G609" t="str">
        <f>""</f>
        <v/>
      </c>
      <c r="H609" s="1">
        <v>39172</v>
      </c>
      <c r="I609" t="str">
        <f>"PRT00214"</f>
        <v>PRT00214</v>
      </c>
      <c r="J609" t="str">
        <f>""</f>
        <v/>
      </c>
      <c r="K609" t="str">
        <f t="shared" si="164"/>
        <v>PR01</v>
      </c>
      <c r="L609" t="s">
        <v>413</v>
      </c>
      <c r="M609">
        <v>129</v>
      </c>
    </row>
    <row r="610" spans="1:13" x14ac:dyDescent="0.25">
      <c r="A610" t="str">
        <f t="shared" si="163"/>
        <v>J171</v>
      </c>
      <c r="B610">
        <v>1</v>
      </c>
      <c r="C610" t="str">
        <f>"32040"</f>
        <v>32040</v>
      </c>
      <c r="D610" t="str">
        <f>"5610"</f>
        <v>5610</v>
      </c>
      <c r="E610" t="str">
        <f t="shared" ref="E610:E615" si="165">"850LOS"</f>
        <v>850LOS</v>
      </c>
      <c r="F610" t="str">
        <f>""</f>
        <v/>
      </c>
      <c r="G610" t="str">
        <f>""</f>
        <v/>
      </c>
      <c r="H610" s="1">
        <v>39082</v>
      </c>
      <c r="I610" t="str">
        <f>"PRT00208"</f>
        <v>PRT00208</v>
      </c>
      <c r="J610" t="str">
        <f>""</f>
        <v/>
      </c>
      <c r="K610" t="str">
        <f t="shared" si="164"/>
        <v>PR01</v>
      </c>
      <c r="L610" t="s">
        <v>412</v>
      </c>
      <c r="M610">
        <v>528.17999999999995</v>
      </c>
    </row>
    <row r="611" spans="1:13" x14ac:dyDescent="0.25">
      <c r="A611" t="str">
        <f t="shared" si="163"/>
        <v>J171</v>
      </c>
      <c r="B611">
        <v>1</v>
      </c>
      <c r="C611" t="str">
        <f t="shared" ref="C611:C620" si="166">"43000"</f>
        <v>43000</v>
      </c>
      <c r="D611" t="str">
        <f t="shared" ref="D611:D620" si="167">"5740"</f>
        <v>5740</v>
      </c>
      <c r="E611" t="str">
        <f t="shared" si="165"/>
        <v>850LOS</v>
      </c>
      <c r="F611" t="str">
        <f>""</f>
        <v/>
      </c>
      <c r="G611" t="str">
        <f>""</f>
        <v/>
      </c>
      <c r="H611" s="1">
        <v>39021</v>
      </c>
      <c r="I611" t="str">
        <f>"PRT00204"</f>
        <v>PRT00204</v>
      </c>
      <c r="J611" t="str">
        <f>""</f>
        <v/>
      </c>
      <c r="K611" t="str">
        <f t="shared" si="164"/>
        <v>PR01</v>
      </c>
      <c r="L611" t="s">
        <v>146</v>
      </c>
      <c r="M611" s="2">
        <v>1713.43</v>
      </c>
    </row>
    <row r="612" spans="1:13" x14ac:dyDescent="0.25">
      <c r="A612" t="str">
        <f t="shared" si="163"/>
        <v>J171</v>
      </c>
      <c r="B612">
        <v>1</v>
      </c>
      <c r="C612" t="str">
        <f t="shared" si="166"/>
        <v>43000</v>
      </c>
      <c r="D612" t="str">
        <f t="shared" si="167"/>
        <v>5740</v>
      </c>
      <c r="E612" t="str">
        <f t="shared" si="165"/>
        <v>850LOS</v>
      </c>
      <c r="F612" t="str">
        <f>""</f>
        <v/>
      </c>
      <c r="G612" t="str">
        <f>""</f>
        <v/>
      </c>
      <c r="H612" s="1">
        <v>39233</v>
      </c>
      <c r="I612" t="str">
        <f>"PRT00218"</f>
        <v>PRT00218</v>
      </c>
      <c r="J612" t="str">
        <f>""</f>
        <v/>
      </c>
      <c r="K612" t="str">
        <f t="shared" si="164"/>
        <v>PR01</v>
      </c>
      <c r="L612" t="s">
        <v>146</v>
      </c>
      <c r="M612" s="2">
        <v>1730.76</v>
      </c>
    </row>
    <row r="613" spans="1:13" x14ac:dyDescent="0.25">
      <c r="A613" t="str">
        <f t="shared" si="163"/>
        <v>J171</v>
      </c>
      <c r="B613">
        <v>1</v>
      </c>
      <c r="C613" t="str">
        <f t="shared" si="166"/>
        <v>43000</v>
      </c>
      <c r="D613" t="str">
        <f t="shared" si="167"/>
        <v>5740</v>
      </c>
      <c r="E613" t="str">
        <f t="shared" si="165"/>
        <v>850LOS</v>
      </c>
      <c r="F613" t="str">
        <f>""</f>
        <v/>
      </c>
      <c r="G613" t="str">
        <f>""</f>
        <v/>
      </c>
      <c r="H613" s="1">
        <v>39233</v>
      </c>
      <c r="I613" t="str">
        <f>"PRT00218"</f>
        <v>PRT00218</v>
      </c>
      <c r="J613" t="str">
        <f>""</f>
        <v/>
      </c>
      <c r="K613" t="str">
        <f t="shared" si="164"/>
        <v>PR01</v>
      </c>
      <c r="L613" t="s">
        <v>145</v>
      </c>
      <c r="M613" s="2">
        <v>1459.31</v>
      </c>
    </row>
    <row r="614" spans="1:13" x14ac:dyDescent="0.25">
      <c r="A614" t="str">
        <f t="shared" si="163"/>
        <v>J171</v>
      </c>
      <c r="B614">
        <v>1</v>
      </c>
      <c r="C614" t="str">
        <f t="shared" si="166"/>
        <v>43000</v>
      </c>
      <c r="D614" t="str">
        <f t="shared" si="167"/>
        <v>5740</v>
      </c>
      <c r="E614" t="str">
        <f t="shared" si="165"/>
        <v>850LOS</v>
      </c>
      <c r="F614" t="str">
        <f>""</f>
        <v/>
      </c>
      <c r="G614" t="str">
        <f>""</f>
        <v/>
      </c>
      <c r="H614" s="1">
        <v>39233</v>
      </c>
      <c r="I614" t="str">
        <f>"PRT00218"</f>
        <v>PRT00218</v>
      </c>
      <c r="J614" t="str">
        <f>""</f>
        <v/>
      </c>
      <c r="K614" t="str">
        <f t="shared" si="164"/>
        <v>PR01</v>
      </c>
      <c r="L614" t="s">
        <v>411</v>
      </c>
      <c r="M614" s="2">
        <v>1120.46</v>
      </c>
    </row>
    <row r="615" spans="1:13" x14ac:dyDescent="0.25">
      <c r="A615" t="str">
        <f t="shared" si="163"/>
        <v>J171</v>
      </c>
      <c r="B615">
        <v>1</v>
      </c>
      <c r="C615" t="str">
        <f t="shared" si="166"/>
        <v>43000</v>
      </c>
      <c r="D615" t="str">
        <f t="shared" si="167"/>
        <v>5740</v>
      </c>
      <c r="E615" t="str">
        <f t="shared" si="165"/>
        <v>850LOS</v>
      </c>
      <c r="F615" t="str">
        <f>""</f>
        <v/>
      </c>
      <c r="G615" t="str">
        <f>""</f>
        <v/>
      </c>
      <c r="H615" s="1">
        <v>39263</v>
      </c>
      <c r="I615" t="str">
        <f>"PRT00220"</f>
        <v>PRT00220</v>
      </c>
      <c r="J615" t="str">
        <f>""</f>
        <v/>
      </c>
      <c r="K615" t="str">
        <f t="shared" si="164"/>
        <v>PR01</v>
      </c>
      <c r="L615" t="s">
        <v>410</v>
      </c>
      <c r="M615" s="2">
        <v>1485.32</v>
      </c>
    </row>
    <row r="616" spans="1:13" x14ac:dyDescent="0.25">
      <c r="A616" t="str">
        <f t="shared" si="163"/>
        <v>J171</v>
      </c>
      <c r="B616">
        <v>1</v>
      </c>
      <c r="C616" t="str">
        <f t="shared" si="166"/>
        <v>43000</v>
      </c>
      <c r="D616" t="str">
        <f t="shared" si="167"/>
        <v>5740</v>
      </c>
      <c r="E616" t="str">
        <f>"850PKE"</f>
        <v>850PKE</v>
      </c>
      <c r="F616" t="str">
        <f>""</f>
        <v/>
      </c>
      <c r="G616" t="str">
        <f>""</f>
        <v/>
      </c>
      <c r="H616" s="1">
        <v>38960</v>
      </c>
      <c r="I616" t="str">
        <f>"PRT00200"</f>
        <v>PRT00200</v>
      </c>
      <c r="J616" t="str">
        <f>""</f>
        <v/>
      </c>
      <c r="K616" t="str">
        <f t="shared" si="164"/>
        <v>PR01</v>
      </c>
      <c r="L616" t="s">
        <v>409</v>
      </c>
      <c r="M616">
        <v>189.26</v>
      </c>
    </row>
    <row r="617" spans="1:13" x14ac:dyDescent="0.25">
      <c r="A617" t="str">
        <f t="shared" si="163"/>
        <v>J171</v>
      </c>
      <c r="B617">
        <v>1</v>
      </c>
      <c r="C617" t="str">
        <f t="shared" si="166"/>
        <v>43000</v>
      </c>
      <c r="D617" t="str">
        <f t="shared" si="167"/>
        <v>5740</v>
      </c>
      <c r="E617" t="str">
        <f>"850PKE"</f>
        <v>850PKE</v>
      </c>
      <c r="F617" t="str">
        <f>""</f>
        <v/>
      </c>
      <c r="G617" t="str">
        <f>""</f>
        <v/>
      </c>
      <c r="H617" s="1">
        <v>39113</v>
      </c>
      <c r="I617" t="str">
        <f>"PRT00210"</f>
        <v>PRT00210</v>
      </c>
      <c r="J617" t="str">
        <f>""</f>
        <v/>
      </c>
      <c r="K617" t="str">
        <f t="shared" si="164"/>
        <v>PR01</v>
      </c>
      <c r="L617" t="s">
        <v>408</v>
      </c>
      <c r="M617">
        <v>385.9</v>
      </c>
    </row>
    <row r="618" spans="1:13" x14ac:dyDescent="0.25">
      <c r="A618" t="str">
        <f t="shared" si="163"/>
        <v>J171</v>
      </c>
      <c r="B618">
        <v>1</v>
      </c>
      <c r="C618" t="str">
        <f t="shared" si="166"/>
        <v>43000</v>
      </c>
      <c r="D618" t="str">
        <f t="shared" si="167"/>
        <v>5740</v>
      </c>
      <c r="E618" t="str">
        <f>"850PKE"</f>
        <v>850PKE</v>
      </c>
      <c r="F618" t="str">
        <f>""</f>
        <v/>
      </c>
      <c r="G618" t="str">
        <f>""</f>
        <v/>
      </c>
      <c r="H618" s="1">
        <v>39172</v>
      </c>
      <c r="I618" t="str">
        <f>"PRT00214"</f>
        <v>PRT00214</v>
      </c>
      <c r="J618" t="str">
        <f>""</f>
        <v/>
      </c>
      <c r="K618" t="str">
        <f t="shared" si="164"/>
        <v>PR01</v>
      </c>
      <c r="L618" t="s">
        <v>407</v>
      </c>
      <c r="M618" s="2">
        <v>1004.54</v>
      </c>
    </row>
    <row r="619" spans="1:13" x14ac:dyDescent="0.25">
      <c r="A619" t="str">
        <f t="shared" si="163"/>
        <v>J171</v>
      </c>
      <c r="B619">
        <v>1</v>
      </c>
      <c r="C619" t="str">
        <f t="shared" si="166"/>
        <v>43000</v>
      </c>
      <c r="D619" t="str">
        <f t="shared" si="167"/>
        <v>5740</v>
      </c>
      <c r="E619" t="str">
        <f>"850PKE"</f>
        <v>850PKE</v>
      </c>
      <c r="F619" t="str">
        <f>""</f>
        <v/>
      </c>
      <c r="G619" t="str">
        <f>""</f>
        <v/>
      </c>
      <c r="H619" s="1">
        <v>39172</v>
      </c>
      <c r="I619" t="str">
        <f>"PRT00214"</f>
        <v>PRT00214</v>
      </c>
      <c r="J619" t="str">
        <f>""</f>
        <v/>
      </c>
      <c r="K619" t="str">
        <f t="shared" si="164"/>
        <v>PR01</v>
      </c>
      <c r="L619" t="s">
        <v>406</v>
      </c>
      <c r="M619">
        <v>294.89999999999998</v>
      </c>
    </row>
    <row r="620" spans="1:13" x14ac:dyDescent="0.25">
      <c r="A620" t="str">
        <f t="shared" si="163"/>
        <v>J171</v>
      </c>
      <c r="B620">
        <v>1</v>
      </c>
      <c r="C620" t="str">
        <f t="shared" si="166"/>
        <v>43000</v>
      </c>
      <c r="D620" t="str">
        <f t="shared" si="167"/>
        <v>5740</v>
      </c>
      <c r="E620" t="str">
        <f>"850PKE"</f>
        <v>850PKE</v>
      </c>
      <c r="F620" t="str">
        <f>""</f>
        <v/>
      </c>
      <c r="G620" t="str">
        <f>""</f>
        <v/>
      </c>
      <c r="H620" s="1">
        <v>39202</v>
      </c>
      <c r="I620" t="str">
        <f>"PRT00216"</f>
        <v>PRT00216</v>
      </c>
      <c r="J620" t="str">
        <f>""</f>
        <v/>
      </c>
      <c r="K620" t="str">
        <f t="shared" si="164"/>
        <v>PR01</v>
      </c>
      <c r="L620" t="s">
        <v>405</v>
      </c>
      <c r="M620">
        <v>270.48</v>
      </c>
    </row>
    <row r="621" spans="1:13" x14ac:dyDescent="0.25">
      <c r="A621" t="str">
        <f t="shared" ref="A621:A628" si="168">"J172"</f>
        <v>J172</v>
      </c>
      <c r="B621">
        <v>1</v>
      </c>
      <c r="C621" t="str">
        <f>"14185"</f>
        <v>14185</v>
      </c>
      <c r="D621" t="str">
        <f>"5620"</f>
        <v>5620</v>
      </c>
      <c r="E621" t="str">
        <f>"094OMS"</f>
        <v>094OMS</v>
      </c>
      <c r="F621" t="str">
        <f>""</f>
        <v/>
      </c>
      <c r="G621" t="str">
        <f>""</f>
        <v/>
      </c>
      <c r="H621" s="1">
        <v>39202</v>
      </c>
      <c r="I621" t="str">
        <f>"COP00201"</f>
        <v>COP00201</v>
      </c>
      <c r="J621" t="str">
        <f>"JOB ORDR"</f>
        <v>JOB ORDR</v>
      </c>
      <c r="K621" t="str">
        <f>"AS89"</f>
        <v>AS89</v>
      </c>
      <c r="L621" t="s">
        <v>394</v>
      </c>
      <c r="M621">
        <v>387.37</v>
      </c>
    </row>
    <row r="622" spans="1:13" x14ac:dyDescent="0.25">
      <c r="A622" t="str">
        <f t="shared" si="168"/>
        <v>J172</v>
      </c>
      <c r="B622">
        <v>1</v>
      </c>
      <c r="C622" t="str">
        <f t="shared" ref="C622:C628" si="169">"43000"</f>
        <v>43000</v>
      </c>
      <c r="D622" t="str">
        <f t="shared" ref="D622:D628" si="170">"5740"</f>
        <v>5740</v>
      </c>
      <c r="E622" t="str">
        <f>"850LOS"</f>
        <v>850LOS</v>
      </c>
      <c r="F622" t="str">
        <f>""</f>
        <v/>
      </c>
      <c r="G622" t="str">
        <f>""</f>
        <v/>
      </c>
      <c r="H622" s="1">
        <v>38959</v>
      </c>
      <c r="I622" t="str">
        <f>"COP00193"</f>
        <v>COP00193</v>
      </c>
      <c r="J622" t="str">
        <f>"JOB ORDR"</f>
        <v>JOB ORDR</v>
      </c>
      <c r="K622" t="str">
        <f>"AS89"</f>
        <v>AS89</v>
      </c>
      <c r="L622" t="s">
        <v>402</v>
      </c>
      <c r="M622">
        <v>420.1</v>
      </c>
    </row>
    <row r="623" spans="1:13" x14ac:dyDescent="0.25">
      <c r="A623" t="str">
        <f t="shared" si="168"/>
        <v>J172</v>
      </c>
      <c r="B623">
        <v>1</v>
      </c>
      <c r="C623" t="str">
        <f t="shared" si="169"/>
        <v>43000</v>
      </c>
      <c r="D623" t="str">
        <f t="shared" si="170"/>
        <v>5740</v>
      </c>
      <c r="E623" t="str">
        <f>"850LOS"</f>
        <v>850LOS</v>
      </c>
      <c r="F623" t="str">
        <f>""</f>
        <v/>
      </c>
      <c r="G623" t="str">
        <f>""</f>
        <v/>
      </c>
      <c r="H623" s="1">
        <v>39020</v>
      </c>
      <c r="I623" t="str">
        <f>"COP00195"</f>
        <v>COP00195</v>
      </c>
      <c r="J623" t="str">
        <f>"JOB ORDR"</f>
        <v>JOB ORDR</v>
      </c>
      <c r="K623" t="str">
        <f>"AS89"</f>
        <v>AS89</v>
      </c>
      <c r="L623" t="s">
        <v>400</v>
      </c>
      <c r="M623">
        <v>174.52</v>
      </c>
    </row>
    <row r="624" spans="1:13" x14ac:dyDescent="0.25">
      <c r="A624" t="str">
        <f t="shared" si="168"/>
        <v>J172</v>
      </c>
      <c r="B624">
        <v>1</v>
      </c>
      <c r="C624" t="str">
        <f t="shared" si="169"/>
        <v>43000</v>
      </c>
      <c r="D624" t="str">
        <f t="shared" si="170"/>
        <v>5740</v>
      </c>
      <c r="E624" t="str">
        <f>"850LOS"</f>
        <v>850LOS</v>
      </c>
      <c r="F624" t="str">
        <f>""</f>
        <v/>
      </c>
      <c r="G624" t="str">
        <f>""</f>
        <v/>
      </c>
      <c r="H624" s="1">
        <v>39036</v>
      </c>
      <c r="I624" t="str">
        <f>"G0705112"</f>
        <v>G0705112</v>
      </c>
      <c r="J624" t="str">
        <f>""</f>
        <v/>
      </c>
      <c r="K624" t="str">
        <f>"J096"</f>
        <v>J096</v>
      </c>
      <c r="L624" t="s">
        <v>404</v>
      </c>
      <c r="M624">
        <v>149.86000000000001</v>
      </c>
    </row>
    <row r="625" spans="1:13" x14ac:dyDescent="0.25">
      <c r="A625" t="str">
        <f t="shared" si="168"/>
        <v>J172</v>
      </c>
      <c r="B625">
        <v>1</v>
      </c>
      <c r="C625" t="str">
        <f t="shared" si="169"/>
        <v>43000</v>
      </c>
      <c r="D625" t="str">
        <f t="shared" si="170"/>
        <v>5740</v>
      </c>
      <c r="E625" t="str">
        <f>"850LOS"</f>
        <v>850LOS</v>
      </c>
      <c r="F625" t="str">
        <f>""</f>
        <v/>
      </c>
      <c r="G625" t="str">
        <f>""</f>
        <v/>
      </c>
      <c r="H625" s="1">
        <v>39113</v>
      </c>
      <c r="I625" t="str">
        <f>"COP00198"</f>
        <v>COP00198</v>
      </c>
      <c r="J625" t="str">
        <f>"JOB ORDR"</f>
        <v>JOB ORDR</v>
      </c>
      <c r="K625" t="str">
        <f t="shared" ref="K625:K650" si="171">"AS89"</f>
        <v>AS89</v>
      </c>
      <c r="L625" t="s">
        <v>397</v>
      </c>
      <c r="M625">
        <v>251.88</v>
      </c>
    </row>
    <row r="626" spans="1:13" x14ac:dyDescent="0.25">
      <c r="A626" t="str">
        <f t="shared" si="168"/>
        <v>J172</v>
      </c>
      <c r="B626">
        <v>1</v>
      </c>
      <c r="C626" t="str">
        <f t="shared" si="169"/>
        <v>43000</v>
      </c>
      <c r="D626" t="str">
        <f t="shared" si="170"/>
        <v>5740</v>
      </c>
      <c r="E626" t="str">
        <f>"850LOS"</f>
        <v>850LOS</v>
      </c>
      <c r="F626" t="str">
        <f>""</f>
        <v/>
      </c>
      <c r="G626" t="str">
        <f>""</f>
        <v/>
      </c>
      <c r="H626" s="1">
        <v>39232</v>
      </c>
      <c r="I626" t="str">
        <f>"COP00202"</f>
        <v>COP00202</v>
      </c>
      <c r="J626" t="str">
        <f>"JOB ORDR"</f>
        <v>JOB ORDR</v>
      </c>
      <c r="K626" t="str">
        <f t="shared" si="171"/>
        <v>AS89</v>
      </c>
      <c r="L626" t="s">
        <v>393</v>
      </c>
      <c r="M626">
        <v>412.23</v>
      </c>
    </row>
    <row r="627" spans="1:13" x14ac:dyDescent="0.25">
      <c r="A627" t="str">
        <f t="shared" si="168"/>
        <v>J172</v>
      </c>
      <c r="B627">
        <v>1</v>
      </c>
      <c r="C627" t="str">
        <f t="shared" si="169"/>
        <v>43000</v>
      </c>
      <c r="D627" t="str">
        <f t="shared" si="170"/>
        <v>5740</v>
      </c>
      <c r="E627" t="str">
        <f>"850PKE"</f>
        <v>850PKE</v>
      </c>
      <c r="F627" t="str">
        <f>""</f>
        <v/>
      </c>
      <c r="G627" t="str">
        <f>""</f>
        <v/>
      </c>
      <c r="H627" s="1">
        <v>38959</v>
      </c>
      <c r="I627" t="str">
        <f>"COP00193"</f>
        <v>COP00193</v>
      </c>
      <c r="J627" t="str">
        <f>"JOB ORDR"</f>
        <v>JOB ORDR</v>
      </c>
      <c r="K627" t="str">
        <f t="shared" si="171"/>
        <v>AS89</v>
      </c>
      <c r="L627" t="s">
        <v>402</v>
      </c>
      <c r="M627">
        <v>242.35</v>
      </c>
    </row>
    <row r="628" spans="1:13" x14ac:dyDescent="0.25">
      <c r="A628" t="str">
        <f t="shared" si="168"/>
        <v>J172</v>
      </c>
      <c r="B628">
        <v>1</v>
      </c>
      <c r="C628" t="str">
        <f t="shared" si="169"/>
        <v>43000</v>
      </c>
      <c r="D628" t="str">
        <f t="shared" si="170"/>
        <v>5740</v>
      </c>
      <c r="E628" t="str">
        <f>"850PKE"</f>
        <v>850PKE</v>
      </c>
      <c r="F628" t="str">
        <f>""</f>
        <v/>
      </c>
      <c r="G628" t="str">
        <f>""</f>
        <v/>
      </c>
      <c r="H628" s="1">
        <v>39202</v>
      </c>
      <c r="I628" t="str">
        <f>"COP00201"</f>
        <v>COP00201</v>
      </c>
      <c r="J628" t="str">
        <f>"JOB ORDR"</f>
        <v>JOB ORDR</v>
      </c>
      <c r="K628" t="str">
        <f t="shared" si="171"/>
        <v>AS89</v>
      </c>
      <c r="L628" t="s">
        <v>394</v>
      </c>
      <c r="M628">
        <v>137.87</v>
      </c>
    </row>
    <row r="629" spans="1:13" x14ac:dyDescent="0.25">
      <c r="A629" t="str">
        <f t="shared" ref="A629:A650" si="172">"J173"</f>
        <v>J173</v>
      </c>
      <c r="B629">
        <v>1</v>
      </c>
      <c r="C629" t="str">
        <f t="shared" ref="C629:C640" si="173">"14185"</f>
        <v>14185</v>
      </c>
      <c r="D629" t="str">
        <f t="shared" ref="D629:D640" si="174">"5620"</f>
        <v>5620</v>
      </c>
      <c r="E629" t="str">
        <f t="shared" ref="E629:E640" si="175">"094OMS"</f>
        <v>094OMS</v>
      </c>
      <c r="F629" t="str">
        <f>""</f>
        <v/>
      </c>
      <c r="G629" t="str">
        <f>""</f>
        <v/>
      </c>
      <c r="H629" s="1">
        <v>38929</v>
      </c>
      <c r="I629" t="str">
        <f>"COP00192"</f>
        <v>COP00192</v>
      </c>
      <c r="J629" t="str">
        <f t="shared" ref="J629:J650" si="176">"AUDITRON"</f>
        <v>AUDITRON</v>
      </c>
      <c r="K629" t="str">
        <f t="shared" si="171"/>
        <v>AS89</v>
      </c>
      <c r="L629" t="s">
        <v>403</v>
      </c>
      <c r="M629">
        <v>237.11</v>
      </c>
    </row>
    <row r="630" spans="1:13" x14ac:dyDescent="0.25">
      <c r="A630" t="str">
        <f t="shared" si="172"/>
        <v>J173</v>
      </c>
      <c r="B630">
        <v>1</v>
      </c>
      <c r="C630" t="str">
        <f t="shared" si="173"/>
        <v>14185</v>
      </c>
      <c r="D630" t="str">
        <f t="shared" si="174"/>
        <v>5620</v>
      </c>
      <c r="E630" t="str">
        <f t="shared" si="175"/>
        <v>094OMS</v>
      </c>
      <c r="F630" t="str">
        <f>""</f>
        <v/>
      </c>
      <c r="G630" t="str">
        <f>""</f>
        <v/>
      </c>
      <c r="H630" s="1">
        <v>38959</v>
      </c>
      <c r="I630" t="str">
        <f>"COP00193"</f>
        <v>COP00193</v>
      </c>
      <c r="J630" t="str">
        <f t="shared" si="176"/>
        <v>AUDITRON</v>
      </c>
      <c r="K630" t="str">
        <f t="shared" si="171"/>
        <v>AS89</v>
      </c>
      <c r="L630" t="s">
        <v>402</v>
      </c>
      <c r="M630">
        <v>234.59</v>
      </c>
    </row>
    <row r="631" spans="1:13" x14ac:dyDescent="0.25">
      <c r="A631" t="str">
        <f t="shared" si="172"/>
        <v>J173</v>
      </c>
      <c r="B631">
        <v>1</v>
      </c>
      <c r="C631" t="str">
        <f t="shared" si="173"/>
        <v>14185</v>
      </c>
      <c r="D631" t="str">
        <f t="shared" si="174"/>
        <v>5620</v>
      </c>
      <c r="E631" t="str">
        <f t="shared" si="175"/>
        <v>094OMS</v>
      </c>
      <c r="F631" t="str">
        <f>""</f>
        <v/>
      </c>
      <c r="G631" t="str">
        <f>""</f>
        <v/>
      </c>
      <c r="H631" s="1">
        <v>38989</v>
      </c>
      <c r="I631" t="str">
        <f>"COP00194"</f>
        <v>COP00194</v>
      </c>
      <c r="J631" t="str">
        <f t="shared" si="176"/>
        <v>AUDITRON</v>
      </c>
      <c r="K631" t="str">
        <f t="shared" si="171"/>
        <v>AS89</v>
      </c>
      <c r="L631" t="s">
        <v>401</v>
      </c>
      <c r="M631">
        <v>234.76</v>
      </c>
    </row>
    <row r="632" spans="1:13" x14ac:dyDescent="0.25">
      <c r="A632" t="str">
        <f t="shared" si="172"/>
        <v>J173</v>
      </c>
      <c r="B632">
        <v>1</v>
      </c>
      <c r="C632" t="str">
        <f t="shared" si="173"/>
        <v>14185</v>
      </c>
      <c r="D632" t="str">
        <f t="shared" si="174"/>
        <v>5620</v>
      </c>
      <c r="E632" t="str">
        <f t="shared" si="175"/>
        <v>094OMS</v>
      </c>
      <c r="F632" t="str">
        <f>""</f>
        <v/>
      </c>
      <c r="G632" t="str">
        <f>""</f>
        <v/>
      </c>
      <c r="H632" s="1">
        <v>39020</v>
      </c>
      <c r="I632" t="str">
        <f>"COP00195"</f>
        <v>COP00195</v>
      </c>
      <c r="J632" t="str">
        <f t="shared" si="176"/>
        <v>AUDITRON</v>
      </c>
      <c r="K632" t="str">
        <f t="shared" si="171"/>
        <v>AS89</v>
      </c>
      <c r="L632" t="s">
        <v>400</v>
      </c>
      <c r="M632">
        <v>291.29000000000002</v>
      </c>
    </row>
    <row r="633" spans="1:13" x14ac:dyDescent="0.25">
      <c r="A633" t="str">
        <f t="shared" si="172"/>
        <v>J173</v>
      </c>
      <c r="B633">
        <v>1</v>
      </c>
      <c r="C633" t="str">
        <f t="shared" si="173"/>
        <v>14185</v>
      </c>
      <c r="D633" t="str">
        <f t="shared" si="174"/>
        <v>5620</v>
      </c>
      <c r="E633" t="str">
        <f t="shared" si="175"/>
        <v>094OMS</v>
      </c>
      <c r="F633" t="str">
        <f>""</f>
        <v/>
      </c>
      <c r="G633" t="str">
        <f>""</f>
        <v/>
      </c>
      <c r="H633" s="1">
        <v>39051</v>
      </c>
      <c r="I633" t="str">
        <f>"COP00196"</f>
        <v>COP00196</v>
      </c>
      <c r="J633" t="str">
        <f t="shared" si="176"/>
        <v>AUDITRON</v>
      </c>
      <c r="K633" t="str">
        <f t="shared" si="171"/>
        <v>AS89</v>
      </c>
      <c r="L633" t="s">
        <v>399</v>
      </c>
      <c r="M633">
        <v>228.25</v>
      </c>
    </row>
    <row r="634" spans="1:13" x14ac:dyDescent="0.25">
      <c r="A634" t="str">
        <f t="shared" si="172"/>
        <v>J173</v>
      </c>
      <c r="B634">
        <v>1</v>
      </c>
      <c r="C634" t="str">
        <f t="shared" si="173"/>
        <v>14185</v>
      </c>
      <c r="D634" t="str">
        <f t="shared" si="174"/>
        <v>5620</v>
      </c>
      <c r="E634" t="str">
        <f t="shared" si="175"/>
        <v>094OMS</v>
      </c>
      <c r="F634" t="str">
        <f>""</f>
        <v/>
      </c>
      <c r="G634" t="str">
        <f>""</f>
        <v/>
      </c>
      <c r="H634" s="1">
        <v>39079</v>
      </c>
      <c r="I634" t="str">
        <f>"COP00197"</f>
        <v>COP00197</v>
      </c>
      <c r="J634" t="str">
        <f t="shared" si="176"/>
        <v>AUDITRON</v>
      </c>
      <c r="K634" t="str">
        <f t="shared" si="171"/>
        <v>AS89</v>
      </c>
      <c r="L634" t="s">
        <v>398</v>
      </c>
      <c r="M634">
        <v>228.63</v>
      </c>
    </row>
    <row r="635" spans="1:13" x14ac:dyDescent="0.25">
      <c r="A635" t="str">
        <f t="shared" si="172"/>
        <v>J173</v>
      </c>
      <c r="B635">
        <v>1</v>
      </c>
      <c r="C635" t="str">
        <f t="shared" si="173"/>
        <v>14185</v>
      </c>
      <c r="D635" t="str">
        <f t="shared" si="174"/>
        <v>5620</v>
      </c>
      <c r="E635" t="str">
        <f t="shared" si="175"/>
        <v>094OMS</v>
      </c>
      <c r="F635" t="str">
        <f>""</f>
        <v/>
      </c>
      <c r="G635" t="str">
        <f>""</f>
        <v/>
      </c>
      <c r="H635" s="1">
        <v>39113</v>
      </c>
      <c r="I635" t="str">
        <f>"COP00198"</f>
        <v>COP00198</v>
      </c>
      <c r="J635" t="str">
        <f t="shared" si="176"/>
        <v>AUDITRON</v>
      </c>
      <c r="K635" t="str">
        <f t="shared" si="171"/>
        <v>AS89</v>
      </c>
      <c r="L635" t="s">
        <v>397</v>
      </c>
      <c r="M635">
        <v>234.3</v>
      </c>
    </row>
    <row r="636" spans="1:13" x14ac:dyDescent="0.25">
      <c r="A636" t="str">
        <f t="shared" si="172"/>
        <v>J173</v>
      </c>
      <c r="B636">
        <v>1</v>
      </c>
      <c r="C636" t="str">
        <f t="shared" si="173"/>
        <v>14185</v>
      </c>
      <c r="D636" t="str">
        <f t="shared" si="174"/>
        <v>5620</v>
      </c>
      <c r="E636" t="str">
        <f t="shared" si="175"/>
        <v>094OMS</v>
      </c>
      <c r="F636" t="str">
        <f>""</f>
        <v/>
      </c>
      <c r="G636" t="str">
        <f>""</f>
        <v/>
      </c>
      <c r="H636" s="1">
        <v>39141</v>
      </c>
      <c r="I636" t="str">
        <f>"COP00199"</f>
        <v>COP00199</v>
      </c>
      <c r="J636" t="str">
        <f t="shared" si="176"/>
        <v>AUDITRON</v>
      </c>
      <c r="K636" t="str">
        <f t="shared" si="171"/>
        <v>AS89</v>
      </c>
      <c r="L636" t="s">
        <v>396</v>
      </c>
      <c r="M636">
        <v>255.8</v>
      </c>
    </row>
    <row r="637" spans="1:13" x14ac:dyDescent="0.25">
      <c r="A637" t="str">
        <f t="shared" si="172"/>
        <v>J173</v>
      </c>
      <c r="B637">
        <v>1</v>
      </c>
      <c r="C637" t="str">
        <f t="shared" si="173"/>
        <v>14185</v>
      </c>
      <c r="D637" t="str">
        <f t="shared" si="174"/>
        <v>5620</v>
      </c>
      <c r="E637" t="str">
        <f t="shared" si="175"/>
        <v>094OMS</v>
      </c>
      <c r="F637" t="str">
        <f>""</f>
        <v/>
      </c>
      <c r="G637" t="str">
        <f>""</f>
        <v/>
      </c>
      <c r="H637" s="1">
        <v>39171</v>
      </c>
      <c r="I637" t="str">
        <f>"COP00200"</f>
        <v>COP00200</v>
      </c>
      <c r="J637" t="str">
        <f t="shared" si="176"/>
        <v>AUDITRON</v>
      </c>
      <c r="K637" t="str">
        <f t="shared" si="171"/>
        <v>AS89</v>
      </c>
      <c r="L637" t="s">
        <v>395</v>
      </c>
      <c r="M637">
        <v>228.71</v>
      </c>
    </row>
    <row r="638" spans="1:13" x14ac:dyDescent="0.25">
      <c r="A638" t="str">
        <f t="shared" si="172"/>
        <v>J173</v>
      </c>
      <c r="B638">
        <v>1</v>
      </c>
      <c r="C638" t="str">
        <f t="shared" si="173"/>
        <v>14185</v>
      </c>
      <c r="D638" t="str">
        <f t="shared" si="174"/>
        <v>5620</v>
      </c>
      <c r="E638" t="str">
        <f t="shared" si="175"/>
        <v>094OMS</v>
      </c>
      <c r="F638" t="str">
        <f>""</f>
        <v/>
      </c>
      <c r="G638" t="str">
        <f>""</f>
        <v/>
      </c>
      <c r="H638" s="1">
        <v>39202</v>
      </c>
      <c r="I638" t="str">
        <f>"COP00201"</f>
        <v>COP00201</v>
      </c>
      <c r="J638" t="str">
        <f t="shared" si="176"/>
        <v>AUDITRON</v>
      </c>
      <c r="K638" t="str">
        <f t="shared" si="171"/>
        <v>AS89</v>
      </c>
      <c r="L638" t="s">
        <v>394</v>
      </c>
      <c r="M638">
        <v>241.86</v>
      </c>
    </row>
    <row r="639" spans="1:13" x14ac:dyDescent="0.25">
      <c r="A639" t="str">
        <f t="shared" si="172"/>
        <v>J173</v>
      </c>
      <c r="B639">
        <v>1</v>
      </c>
      <c r="C639" t="str">
        <f t="shared" si="173"/>
        <v>14185</v>
      </c>
      <c r="D639" t="str">
        <f t="shared" si="174"/>
        <v>5620</v>
      </c>
      <c r="E639" t="str">
        <f t="shared" si="175"/>
        <v>094OMS</v>
      </c>
      <c r="F639" t="str">
        <f>""</f>
        <v/>
      </c>
      <c r="G639" t="str">
        <f>""</f>
        <v/>
      </c>
      <c r="H639" s="1">
        <v>39232</v>
      </c>
      <c r="I639" t="str">
        <f>"COP00202"</f>
        <v>COP00202</v>
      </c>
      <c r="J639" t="str">
        <f t="shared" si="176"/>
        <v>AUDITRON</v>
      </c>
      <c r="K639" t="str">
        <f t="shared" si="171"/>
        <v>AS89</v>
      </c>
      <c r="L639" t="s">
        <v>393</v>
      </c>
      <c r="M639">
        <v>253.7</v>
      </c>
    </row>
    <row r="640" spans="1:13" x14ac:dyDescent="0.25">
      <c r="A640" t="str">
        <f t="shared" si="172"/>
        <v>J173</v>
      </c>
      <c r="B640">
        <v>1</v>
      </c>
      <c r="C640" t="str">
        <f t="shared" si="173"/>
        <v>14185</v>
      </c>
      <c r="D640" t="str">
        <f t="shared" si="174"/>
        <v>5620</v>
      </c>
      <c r="E640" t="str">
        <f t="shared" si="175"/>
        <v>094OMS</v>
      </c>
      <c r="F640" t="str">
        <f>""</f>
        <v/>
      </c>
      <c r="G640" t="str">
        <f>""</f>
        <v/>
      </c>
      <c r="H640" s="1">
        <v>39261</v>
      </c>
      <c r="I640" t="str">
        <f>"COP00203"</f>
        <v>COP00203</v>
      </c>
      <c r="J640" t="str">
        <f t="shared" si="176"/>
        <v>AUDITRON</v>
      </c>
      <c r="K640" t="str">
        <f t="shared" si="171"/>
        <v>AS89</v>
      </c>
      <c r="L640" t="s">
        <v>392</v>
      </c>
      <c r="M640">
        <v>231.57</v>
      </c>
    </row>
    <row r="641" spans="1:13" x14ac:dyDescent="0.25">
      <c r="A641" t="str">
        <f t="shared" si="172"/>
        <v>J173</v>
      </c>
      <c r="B641">
        <v>1</v>
      </c>
      <c r="C641" t="str">
        <f t="shared" ref="C641:C650" si="177">"43000"</f>
        <v>43000</v>
      </c>
      <c r="D641" t="str">
        <f t="shared" ref="D641:D651" si="178">"5740"</f>
        <v>5740</v>
      </c>
      <c r="E641" t="str">
        <f t="shared" ref="E641:E650" si="179">"850LOS"</f>
        <v>850LOS</v>
      </c>
      <c r="F641" t="str">
        <f>""</f>
        <v/>
      </c>
      <c r="G641" t="str">
        <f>""</f>
        <v/>
      </c>
      <c r="H641" s="1">
        <v>38929</v>
      </c>
      <c r="I641" t="str">
        <f>"COP00192"</f>
        <v>COP00192</v>
      </c>
      <c r="J641" t="str">
        <f t="shared" si="176"/>
        <v>AUDITRON</v>
      </c>
      <c r="K641" t="str">
        <f t="shared" si="171"/>
        <v>AS89</v>
      </c>
      <c r="L641" t="s">
        <v>403</v>
      </c>
      <c r="M641">
        <v>166.32</v>
      </c>
    </row>
    <row r="642" spans="1:13" x14ac:dyDescent="0.25">
      <c r="A642" t="str">
        <f t="shared" si="172"/>
        <v>J173</v>
      </c>
      <c r="B642">
        <v>1</v>
      </c>
      <c r="C642" t="str">
        <f t="shared" si="177"/>
        <v>43000</v>
      </c>
      <c r="D642" t="str">
        <f t="shared" si="178"/>
        <v>5740</v>
      </c>
      <c r="E642" t="str">
        <f t="shared" si="179"/>
        <v>850LOS</v>
      </c>
      <c r="F642" t="str">
        <f>""</f>
        <v/>
      </c>
      <c r="G642" t="str">
        <f>""</f>
        <v/>
      </c>
      <c r="H642" s="1">
        <v>38959</v>
      </c>
      <c r="I642" t="str">
        <f>"COP00193"</f>
        <v>COP00193</v>
      </c>
      <c r="J642" t="str">
        <f t="shared" si="176"/>
        <v>AUDITRON</v>
      </c>
      <c r="K642" t="str">
        <f t="shared" si="171"/>
        <v>AS89</v>
      </c>
      <c r="L642" t="s">
        <v>402</v>
      </c>
      <c r="M642">
        <v>272.24</v>
      </c>
    </row>
    <row r="643" spans="1:13" x14ac:dyDescent="0.25">
      <c r="A643" t="str">
        <f t="shared" si="172"/>
        <v>J173</v>
      </c>
      <c r="B643">
        <v>1</v>
      </c>
      <c r="C643" t="str">
        <f t="shared" si="177"/>
        <v>43000</v>
      </c>
      <c r="D643" t="str">
        <f t="shared" si="178"/>
        <v>5740</v>
      </c>
      <c r="E643" t="str">
        <f t="shared" si="179"/>
        <v>850LOS</v>
      </c>
      <c r="F643" t="str">
        <f>""</f>
        <v/>
      </c>
      <c r="G643" t="str">
        <f>""</f>
        <v/>
      </c>
      <c r="H643" s="1">
        <v>38989</v>
      </c>
      <c r="I643" t="str">
        <f>"COP00194"</f>
        <v>COP00194</v>
      </c>
      <c r="J643" t="str">
        <f t="shared" si="176"/>
        <v>AUDITRON</v>
      </c>
      <c r="K643" t="str">
        <f t="shared" si="171"/>
        <v>AS89</v>
      </c>
      <c r="L643" t="s">
        <v>401</v>
      </c>
      <c r="M643">
        <v>288.12</v>
      </c>
    </row>
    <row r="644" spans="1:13" x14ac:dyDescent="0.25">
      <c r="A644" t="str">
        <f t="shared" si="172"/>
        <v>J173</v>
      </c>
      <c r="B644">
        <v>1</v>
      </c>
      <c r="C644" t="str">
        <f t="shared" si="177"/>
        <v>43000</v>
      </c>
      <c r="D644" t="str">
        <f t="shared" si="178"/>
        <v>5740</v>
      </c>
      <c r="E644" t="str">
        <f t="shared" si="179"/>
        <v>850LOS</v>
      </c>
      <c r="F644" t="str">
        <f>""</f>
        <v/>
      </c>
      <c r="G644" t="str">
        <f>""</f>
        <v/>
      </c>
      <c r="H644" s="1">
        <v>39051</v>
      </c>
      <c r="I644" t="str">
        <f>"COP00196"</f>
        <v>COP00196</v>
      </c>
      <c r="J644" t="str">
        <f t="shared" si="176"/>
        <v>AUDITRON</v>
      </c>
      <c r="K644" t="str">
        <f t="shared" si="171"/>
        <v>AS89</v>
      </c>
      <c r="L644" t="s">
        <v>399</v>
      </c>
      <c r="M644">
        <v>117.18</v>
      </c>
    </row>
    <row r="645" spans="1:13" x14ac:dyDescent="0.25">
      <c r="A645" t="str">
        <f t="shared" si="172"/>
        <v>J173</v>
      </c>
      <c r="B645">
        <v>1</v>
      </c>
      <c r="C645" t="str">
        <f t="shared" si="177"/>
        <v>43000</v>
      </c>
      <c r="D645" t="str">
        <f t="shared" si="178"/>
        <v>5740</v>
      </c>
      <c r="E645" t="str">
        <f t="shared" si="179"/>
        <v>850LOS</v>
      </c>
      <c r="F645" t="str">
        <f>""</f>
        <v/>
      </c>
      <c r="G645" t="str">
        <f>""</f>
        <v/>
      </c>
      <c r="H645" s="1">
        <v>39113</v>
      </c>
      <c r="I645" t="str">
        <f>"COP00198"</f>
        <v>COP00198</v>
      </c>
      <c r="J645" t="str">
        <f t="shared" si="176"/>
        <v>AUDITRON</v>
      </c>
      <c r="K645" t="str">
        <f t="shared" si="171"/>
        <v>AS89</v>
      </c>
      <c r="L645" t="s">
        <v>397</v>
      </c>
      <c r="M645">
        <v>177.32</v>
      </c>
    </row>
    <row r="646" spans="1:13" x14ac:dyDescent="0.25">
      <c r="A646" t="str">
        <f t="shared" si="172"/>
        <v>J173</v>
      </c>
      <c r="B646">
        <v>1</v>
      </c>
      <c r="C646" t="str">
        <f t="shared" si="177"/>
        <v>43000</v>
      </c>
      <c r="D646" t="str">
        <f t="shared" si="178"/>
        <v>5740</v>
      </c>
      <c r="E646" t="str">
        <f t="shared" si="179"/>
        <v>850LOS</v>
      </c>
      <c r="F646" t="str">
        <f>""</f>
        <v/>
      </c>
      <c r="G646" t="str">
        <f>""</f>
        <v/>
      </c>
      <c r="H646" s="1">
        <v>39141</v>
      </c>
      <c r="I646" t="str">
        <f>"COP00199"</f>
        <v>COP00199</v>
      </c>
      <c r="J646" t="str">
        <f t="shared" si="176"/>
        <v>AUDITRON</v>
      </c>
      <c r="K646" t="str">
        <f t="shared" si="171"/>
        <v>AS89</v>
      </c>
      <c r="L646" t="s">
        <v>396</v>
      </c>
      <c r="M646">
        <v>155.27000000000001</v>
      </c>
    </row>
    <row r="647" spans="1:13" x14ac:dyDescent="0.25">
      <c r="A647" t="str">
        <f t="shared" si="172"/>
        <v>J173</v>
      </c>
      <c r="B647">
        <v>1</v>
      </c>
      <c r="C647" t="str">
        <f t="shared" si="177"/>
        <v>43000</v>
      </c>
      <c r="D647" t="str">
        <f t="shared" si="178"/>
        <v>5740</v>
      </c>
      <c r="E647" t="str">
        <f t="shared" si="179"/>
        <v>850LOS</v>
      </c>
      <c r="F647" t="str">
        <f>""</f>
        <v/>
      </c>
      <c r="G647" t="str">
        <f>""</f>
        <v/>
      </c>
      <c r="H647" s="1">
        <v>39171</v>
      </c>
      <c r="I647" t="str">
        <f>"COP00200"</f>
        <v>COP00200</v>
      </c>
      <c r="J647" t="str">
        <f t="shared" si="176"/>
        <v>AUDITRON</v>
      </c>
      <c r="K647" t="str">
        <f t="shared" si="171"/>
        <v>AS89</v>
      </c>
      <c r="L647" t="s">
        <v>395</v>
      </c>
      <c r="M647">
        <v>112.35</v>
      </c>
    </row>
    <row r="648" spans="1:13" x14ac:dyDescent="0.25">
      <c r="A648" t="str">
        <f t="shared" si="172"/>
        <v>J173</v>
      </c>
      <c r="B648">
        <v>1</v>
      </c>
      <c r="C648" t="str">
        <f t="shared" si="177"/>
        <v>43000</v>
      </c>
      <c r="D648" t="str">
        <f t="shared" si="178"/>
        <v>5740</v>
      </c>
      <c r="E648" t="str">
        <f t="shared" si="179"/>
        <v>850LOS</v>
      </c>
      <c r="F648" t="str">
        <f>""</f>
        <v/>
      </c>
      <c r="G648" t="str">
        <f>""</f>
        <v/>
      </c>
      <c r="H648" s="1">
        <v>39202</v>
      </c>
      <c r="I648" t="str">
        <f>"COP00201"</f>
        <v>COP00201</v>
      </c>
      <c r="J648" t="str">
        <f t="shared" si="176"/>
        <v>AUDITRON</v>
      </c>
      <c r="K648" t="str">
        <f t="shared" si="171"/>
        <v>AS89</v>
      </c>
      <c r="L648" t="s">
        <v>394</v>
      </c>
      <c r="M648">
        <v>186.48</v>
      </c>
    </row>
    <row r="649" spans="1:13" x14ac:dyDescent="0.25">
      <c r="A649" t="str">
        <f t="shared" si="172"/>
        <v>J173</v>
      </c>
      <c r="B649">
        <v>1</v>
      </c>
      <c r="C649" t="str">
        <f t="shared" si="177"/>
        <v>43000</v>
      </c>
      <c r="D649" t="str">
        <f t="shared" si="178"/>
        <v>5740</v>
      </c>
      <c r="E649" t="str">
        <f t="shared" si="179"/>
        <v>850LOS</v>
      </c>
      <c r="F649" t="str">
        <f>""</f>
        <v/>
      </c>
      <c r="G649" t="str">
        <f>""</f>
        <v/>
      </c>
      <c r="H649" s="1">
        <v>39232</v>
      </c>
      <c r="I649" t="str">
        <f>"COP00202"</f>
        <v>COP00202</v>
      </c>
      <c r="J649" t="str">
        <f t="shared" si="176"/>
        <v>AUDITRON</v>
      </c>
      <c r="K649" t="str">
        <f t="shared" si="171"/>
        <v>AS89</v>
      </c>
      <c r="L649" t="s">
        <v>393</v>
      </c>
      <c r="M649">
        <v>195.17</v>
      </c>
    </row>
    <row r="650" spans="1:13" x14ac:dyDescent="0.25">
      <c r="A650" t="str">
        <f t="shared" si="172"/>
        <v>J173</v>
      </c>
      <c r="B650">
        <v>1</v>
      </c>
      <c r="C650" t="str">
        <f t="shared" si="177"/>
        <v>43000</v>
      </c>
      <c r="D650" t="str">
        <f t="shared" si="178"/>
        <v>5740</v>
      </c>
      <c r="E650" t="str">
        <f t="shared" si="179"/>
        <v>850LOS</v>
      </c>
      <c r="F650" t="str">
        <f>""</f>
        <v/>
      </c>
      <c r="G650" t="str">
        <f>""</f>
        <v/>
      </c>
      <c r="H650" s="1">
        <v>39261</v>
      </c>
      <c r="I650" t="str">
        <f>"COP00203"</f>
        <v>COP00203</v>
      </c>
      <c r="J650" t="str">
        <f t="shared" si="176"/>
        <v>AUDITRON</v>
      </c>
      <c r="K650" t="str">
        <f t="shared" si="171"/>
        <v>AS89</v>
      </c>
      <c r="L650" t="s">
        <v>392</v>
      </c>
      <c r="M650">
        <v>159.13999999999999</v>
      </c>
    </row>
    <row r="651" spans="1:13" x14ac:dyDescent="0.25">
      <c r="A651" t="str">
        <f>"J210"</f>
        <v>J210</v>
      </c>
      <c r="B651">
        <v>1</v>
      </c>
      <c r="C651" t="str">
        <f>"54551"</f>
        <v>54551</v>
      </c>
      <c r="D651" t="str">
        <f t="shared" si="178"/>
        <v>5740</v>
      </c>
      <c r="E651" t="str">
        <f>"111ZAA"</f>
        <v>111ZAA</v>
      </c>
      <c r="F651" t="str">
        <f>"GRAADM"</f>
        <v>GRAADM</v>
      </c>
      <c r="G651" t="str">
        <f>""</f>
        <v/>
      </c>
      <c r="H651" s="1">
        <v>39217</v>
      </c>
      <c r="I651" t="str">
        <f>"G0711136"</f>
        <v>G0711136</v>
      </c>
      <c r="J651" t="str">
        <f>"CONSULT"</f>
        <v>CONSULT</v>
      </c>
      <c r="K651" t="str">
        <f>"J096"</f>
        <v>J096</v>
      </c>
      <c r="L651" t="s">
        <v>391</v>
      </c>
      <c r="M651" s="2">
        <v>4350</v>
      </c>
    </row>
    <row r="652" spans="1:13" x14ac:dyDescent="0.25">
      <c r="A652" t="str">
        <f t="shared" ref="A652:A686" si="180">"J231"</f>
        <v>J231</v>
      </c>
      <c r="B652">
        <v>1</v>
      </c>
      <c r="C652" t="str">
        <f t="shared" ref="C652:C664" si="181">"14185"</f>
        <v>14185</v>
      </c>
      <c r="D652" t="str">
        <f t="shared" ref="D652:D664" si="182">"5620"</f>
        <v>5620</v>
      </c>
      <c r="E652" t="str">
        <f t="shared" ref="E652:E664" si="183">"094OMS"</f>
        <v>094OMS</v>
      </c>
      <c r="F652" t="str">
        <f>""</f>
        <v/>
      </c>
      <c r="G652" t="str">
        <f>""</f>
        <v/>
      </c>
      <c r="H652" s="1">
        <v>38928</v>
      </c>
      <c r="I652" t="str">
        <f>"MPG00312"</f>
        <v>MPG00312</v>
      </c>
      <c r="J652" t="str">
        <f>""</f>
        <v/>
      </c>
      <c r="K652" t="str">
        <f t="shared" ref="K652:K686" si="184">"AS89"</f>
        <v>AS89</v>
      </c>
      <c r="L652" t="s">
        <v>389</v>
      </c>
      <c r="M652" s="2">
        <v>1494.21</v>
      </c>
    </row>
    <row r="653" spans="1:13" x14ac:dyDescent="0.25">
      <c r="A653" t="str">
        <f t="shared" si="180"/>
        <v>J231</v>
      </c>
      <c r="B653">
        <v>1</v>
      </c>
      <c r="C653" t="str">
        <f t="shared" si="181"/>
        <v>14185</v>
      </c>
      <c r="D653" t="str">
        <f t="shared" si="182"/>
        <v>5620</v>
      </c>
      <c r="E653" t="str">
        <f t="shared" si="183"/>
        <v>094OMS</v>
      </c>
      <c r="F653" t="str">
        <f>""</f>
        <v/>
      </c>
      <c r="G653" t="str">
        <f>""</f>
        <v/>
      </c>
      <c r="H653" s="1">
        <v>38960</v>
      </c>
      <c r="I653" t="str">
        <f>"MPG00313"</f>
        <v>MPG00313</v>
      </c>
      <c r="J653" t="str">
        <f>""</f>
        <v/>
      </c>
      <c r="K653" t="str">
        <f t="shared" si="184"/>
        <v>AS89</v>
      </c>
      <c r="L653" t="s">
        <v>388</v>
      </c>
      <c r="M653" s="2">
        <v>2009.68</v>
      </c>
    </row>
    <row r="654" spans="1:13" x14ac:dyDescent="0.25">
      <c r="A654" t="str">
        <f t="shared" si="180"/>
        <v>J231</v>
      </c>
      <c r="B654">
        <v>1</v>
      </c>
      <c r="C654" t="str">
        <f t="shared" si="181"/>
        <v>14185</v>
      </c>
      <c r="D654" t="str">
        <f t="shared" si="182"/>
        <v>5620</v>
      </c>
      <c r="E654" t="str">
        <f t="shared" si="183"/>
        <v>094OMS</v>
      </c>
      <c r="F654" t="str">
        <f>""</f>
        <v/>
      </c>
      <c r="G654" t="str">
        <f>""</f>
        <v/>
      </c>
      <c r="H654" s="1">
        <v>38990</v>
      </c>
      <c r="I654" t="str">
        <f>"MPG00314"</f>
        <v>MPG00314</v>
      </c>
      <c r="J654" t="str">
        <f>""</f>
        <v/>
      </c>
      <c r="K654" t="str">
        <f t="shared" si="184"/>
        <v>AS89</v>
      </c>
      <c r="L654" t="s">
        <v>387</v>
      </c>
      <c r="M654" s="2">
        <v>1639.82</v>
      </c>
    </row>
    <row r="655" spans="1:13" x14ac:dyDescent="0.25">
      <c r="A655" t="str">
        <f t="shared" si="180"/>
        <v>J231</v>
      </c>
      <c r="B655">
        <v>1</v>
      </c>
      <c r="C655" t="str">
        <f t="shared" si="181"/>
        <v>14185</v>
      </c>
      <c r="D655" t="str">
        <f t="shared" si="182"/>
        <v>5620</v>
      </c>
      <c r="E655" t="str">
        <f t="shared" si="183"/>
        <v>094OMS</v>
      </c>
      <c r="F655" t="str">
        <f>""</f>
        <v/>
      </c>
      <c r="G655" t="str">
        <f>""</f>
        <v/>
      </c>
      <c r="H655" s="1">
        <v>39021</v>
      </c>
      <c r="I655" t="str">
        <f>"MPG00315"</f>
        <v>MPG00315</v>
      </c>
      <c r="J655" t="str">
        <f>""</f>
        <v/>
      </c>
      <c r="K655" t="str">
        <f t="shared" si="184"/>
        <v>AS89</v>
      </c>
      <c r="L655" t="s">
        <v>386</v>
      </c>
      <c r="M655" s="2">
        <v>2047.93</v>
      </c>
    </row>
    <row r="656" spans="1:13" x14ac:dyDescent="0.25">
      <c r="A656" t="str">
        <f t="shared" si="180"/>
        <v>J231</v>
      </c>
      <c r="B656">
        <v>1</v>
      </c>
      <c r="C656" t="str">
        <f t="shared" si="181"/>
        <v>14185</v>
      </c>
      <c r="D656" t="str">
        <f t="shared" si="182"/>
        <v>5620</v>
      </c>
      <c r="E656" t="str">
        <f t="shared" si="183"/>
        <v>094OMS</v>
      </c>
      <c r="F656" t="str">
        <f>""</f>
        <v/>
      </c>
      <c r="G656" t="str">
        <f>""</f>
        <v/>
      </c>
      <c r="H656" s="1">
        <v>39021</v>
      </c>
      <c r="I656" t="str">
        <f>"MPG00315"</f>
        <v>MPG00315</v>
      </c>
      <c r="J656" t="str">
        <f>""</f>
        <v/>
      </c>
      <c r="K656" t="str">
        <f t="shared" si="184"/>
        <v>AS89</v>
      </c>
      <c r="L656" t="s">
        <v>390</v>
      </c>
      <c r="M656">
        <v>178.98</v>
      </c>
    </row>
    <row r="657" spans="1:13" x14ac:dyDescent="0.25">
      <c r="A657" t="str">
        <f t="shared" si="180"/>
        <v>J231</v>
      </c>
      <c r="B657">
        <v>1</v>
      </c>
      <c r="C657" t="str">
        <f t="shared" si="181"/>
        <v>14185</v>
      </c>
      <c r="D657" t="str">
        <f t="shared" si="182"/>
        <v>5620</v>
      </c>
      <c r="E657" t="str">
        <f t="shared" si="183"/>
        <v>094OMS</v>
      </c>
      <c r="F657" t="str">
        <f>""</f>
        <v/>
      </c>
      <c r="G657" t="str">
        <f>""</f>
        <v/>
      </c>
      <c r="H657" s="1">
        <v>39051</v>
      </c>
      <c r="I657" t="str">
        <f>"MPG00316"</f>
        <v>MPG00316</v>
      </c>
      <c r="J657" t="str">
        <f>""</f>
        <v/>
      </c>
      <c r="K657" t="str">
        <f t="shared" si="184"/>
        <v>AS89</v>
      </c>
      <c r="L657" t="s">
        <v>385</v>
      </c>
      <c r="M657" s="2">
        <v>1860.67</v>
      </c>
    </row>
    <row r="658" spans="1:13" x14ac:dyDescent="0.25">
      <c r="A658" t="str">
        <f t="shared" si="180"/>
        <v>J231</v>
      </c>
      <c r="B658">
        <v>1</v>
      </c>
      <c r="C658" t="str">
        <f t="shared" si="181"/>
        <v>14185</v>
      </c>
      <c r="D658" t="str">
        <f t="shared" si="182"/>
        <v>5620</v>
      </c>
      <c r="E658" t="str">
        <f t="shared" si="183"/>
        <v>094OMS</v>
      </c>
      <c r="F658" t="str">
        <f>""</f>
        <v/>
      </c>
      <c r="G658" t="str">
        <f>""</f>
        <v/>
      </c>
      <c r="H658" s="1">
        <v>39082</v>
      </c>
      <c r="I658" t="str">
        <f>"MPG00317"</f>
        <v>MPG00317</v>
      </c>
      <c r="J658" t="str">
        <f>""</f>
        <v/>
      </c>
      <c r="K658" t="str">
        <f t="shared" si="184"/>
        <v>AS89</v>
      </c>
      <c r="L658" t="s">
        <v>384</v>
      </c>
      <c r="M658" s="2">
        <v>1357.08</v>
      </c>
    </row>
    <row r="659" spans="1:13" x14ac:dyDescent="0.25">
      <c r="A659" t="str">
        <f t="shared" si="180"/>
        <v>J231</v>
      </c>
      <c r="B659">
        <v>1</v>
      </c>
      <c r="C659" t="str">
        <f t="shared" si="181"/>
        <v>14185</v>
      </c>
      <c r="D659" t="str">
        <f t="shared" si="182"/>
        <v>5620</v>
      </c>
      <c r="E659" t="str">
        <f t="shared" si="183"/>
        <v>094OMS</v>
      </c>
      <c r="F659" t="str">
        <f>""</f>
        <v/>
      </c>
      <c r="G659" t="str">
        <f>""</f>
        <v/>
      </c>
      <c r="H659" s="1">
        <v>39113</v>
      </c>
      <c r="I659" t="str">
        <f>"MPG00318"</f>
        <v>MPG00318</v>
      </c>
      <c r="J659" t="str">
        <f>""</f>
        <v/>
      </c>
      <c r="K659" t="str">
        <f t="shared" si="184"/>
        <v>AS89</v>
      </c>
      <c r="L659" t="s">
        <v>383</v>
      </c>
      <c r="M659" s="2">
        <v>2012.17</v>
      </c>
    </row>
    <row r="660" spans="1:13" x14ac:dyDescent="0.25">
      <c r="A660" t="str">
        <f t="shared" si="180"/>
        <v>J231</v>
      </c>
      <c r="B660">
        <v>1</v>
      </c>
      <c r="C660" t="str">
        <f t="shared" si="181"/>
        <v>14185</v>
      </c>
      <c r="D660" t="str">
        <f t="shared" si="182"/>
        <v>5620</v>
      </c>
      <c r="E660" t="str">
        <f t="shared" si="183"/>
        <v>094OMS</v>
      </c>
      <c r="F660" t="str">
        <f>""</f>
        <v/>
      </c>
      <c r="G660" t="str">
        <f>""</f>
        <v/>
      </c>
      <c r="H660" s="1">
        <v>39141</v>
      </c>
      <c r="I660" t="str">
        <f>"MPG00319"</f>
        <v>MPG00319</v>
      </c>
      <c r="J660" t="str">
        <f>""</f>
        <v/>
      </c>
      <c r="K660" t="str">
        <f t="shared" si="184"/>
        <v>AS89</v>
      </c>
      <c r="L660" t="s">
        <v>382</v>
      </c>
      <c r="M660" s="2">
        <v>1384.56</v>
      </c>
    </row>
    <row r="661" spans="1:13" x14ac:dyDescent="0.25">
      <c r="A661" t="str">
        <f t="shared" si="180"/>
        <v>J231</v>
      </c>
      <c r="B661">
        <v>1</v>
      </c>
      <c r="C661" t="str">
        <f t="shared" si="181"/>
        <v>14185</v>
      </c>
      <c r="D661" t="str">
        <f t="shared" si="182"/>
        <v>5620</v>
      </c>
      <c r="E661" t="str">
        <f t="shared" si="183"/>
        <v>094OMS</v>
      </c>
      <c r="F661" t="str">
        <f>""</f>
        <v/>
      </c>
      <c r="G661" t="str">
        <f>""</f>
        <v/>
      </c>
      <c r="H661" s="1">
        <v>39172</v>
      </c>
      <c r="I661" t="str">
        <f>"MPG00320"</f>
        <v>MPG00320</v>
      </c>
      <c r="J661" t="str">
        <f>""</f>
        <v/>
      </c>
      <c r="K661" t="str">
        <f t="shared" si="184"/>
        <v>AS89</v>
      </c>
      <c r="L661" t="s">
        <v>381</v>
      </c>
      <c r="M661" s="2">
        <v>1946.16</v>
      </c>
    </row>
    <row r="662" spans="1:13" x14ac:dyDescent="0.25">
      <c r="A662" t="str">
        <f t="shared" si="180"/>
        <v>J231</v>
      </c>
      <c r="B662">
        <v>1</v>
      </c>
      <c r="C662" t="str">
        <f t="shared" si="181"/>
        <v>14185</v>
      </c>
      <c r="D662" t="str">
        <f t="shared" si="182"/>
        <v>5620</v>
      </c>
      <c r="E662" t="str">
        <f t="shared" si="183"/>
        <v>094OMS</v>
      </c>
      <c r="F662" t="str">
        <f>""</f>
        <v/>
      </c>
      <c r="G662" t="str">
        <f>""</f>
        <v/>
      </c>
      <c r="H662" s="1">
        <v>39232</v>
      </c>
      <c r="I662" t="str">
        <f>"MPG00322"</f>
        <v>MPG00322</v>
      </c>
      <c r="J662" t="str">
        <f>""</f>
        <v/>
      </c>
      <c r="K662" t="str">
        <f t="shared" si="184"/>
        <v>AS89</v>
      </c>
      <c r="L662" t="s">
        <v>380</v>
      </c>
      <c r="M662" s="2">
        <v>1922.4</v>
      </c>
    </row>
    <row r="663" spans="1:13" x14ac:dyDescent="0.25">
      <c r="A663" t="str">
        <f t="shared" si="180"/>
        <v>J231</v>
      </c>
      <c r="B663">
        <v>1</v>
      </c>
      <c r="C663" t="str">
        <f t="shared" si="181"/>
        <v>14185</v>
      </c>
      <c r="D663" t="str">
        <f t="shared" si="182"/>
        <v>5620</v>
      </c>
      <c r="E663" t="str">
        <f t="shared" si="183"/>
        <v>094OMS</v>
      </c>
      <c r="F663" t="str">
        <f>""</f>
        <v/>
      </c>
      <c r="G663" t="str">
        <f>""</f>
        <v/>
      </c>
      <c r="H663" s="1">
        <v>39232</v>
      </c>
      <c r="I663" t="str">
        <f>"MPG00322"</f>
        <v>MPG00322</v>
      </c>
      <c r="J663" t="str">
        <f>""</f>
        <v/>
      </c>
      <c r="K663" t="str">
        <f t="shared" si="184"/>
        <v>AS89</v>
      </c>
      <c r="L663" t="s">
        <v>379</v>
      </c>
      <c r="M663" s="2">
        <v>2337.69</v>
      </c>
    </row>
    <row r="664" spans="1:13" x14ac:dyDescent="0.25">
      <c r="A664" t="str">
        <f t="shared" si="180"/>
        <v>J231</v>
      </c>
      <c r="B664">
        <v>1</v>
      </c>
      <c r="C664" t="str">
        <f t="shared" si="181"/>
        <v>14185</v>
      </c>
      <c r="D664" t="str">
        <f t="shared" si="182"/>
        <v>5620</v>
      </c>
      <c r="E664" t="str">
        <f t="shared" si="183"/>
        <v>094OMS</v>
      </c>
      <c r="F664" t="str">
        <f>""</f>
        <v/>
      </c>
      <c r="G664" t="str">
        <f>""</f>
        <v/>
      </c>
      <c r="H664" s="1">
        <v>39263</v>
      </c>
      <c r="I664" t="str">
        <f>"MPG00323"</f>
        <v>MPG00323</v>
      </c>
      <c r="J664" t="str">
        <f>""</f>
        <v/>
      </c>
      <c r="K664" t="str">
        <f t="shared" si="184"/>
        <v>AS89</v>
      </c>
      <c r="L664" t="s">
        <v>258</v>
      </c>
      <c r="M664" s="2">
        <v>1926.47</v>
      </c>
    </row>
    <row r="665" spans="1:13" x14ac:dyDescent="0.25">
      <c r="A665" t="str">
        <f t="shared" si="180"/>
        <v>J231</v>
      </c>
      <c r="B665">
        <v>1</v>
      </c>
      <c r="C665" t="str">
        <f t="shared" ref="C665:C689" si="185">"43000"</f>
        <v>43000</v>
      </c>
      <c r="D665" t="str">
        <f t="shared" ref="D665:D689" si="186">"5740"</f>
        <v>5740</v>
      </c>
      <c r="E665" t="str">
        <f t="shared" ref="E665:E676" si="187">"850LOS"</f>
        <v>850LOS</v>
      </c>
      <c r="F665" t="str">
        <f>""</f>
        <v/>
      </c>
      <c r="G665" t="str">
        <f>""</f>
        <v/>
      </c>
      <c r="H665" s="1">
        <v>38928</v>
      </c>
      <c r="I665" t="str">
        <f>"MPG00312"</f>
        <v>MPG00312</v>
      </c>
      <c r="J665" t="str">
        <f>""</f>
        <v/>
      </c>
      <c r="K665" t="str">
        <f t="shared" si="184"/>
        <v>AS89</v>
      </c>
      <c r="L665" t="s">
        <v>389</v>
      </c>
      <c r="M665">
        <v>139.16</v>
      </c>
    </row>
    <row r="666" spans="1:13" x14ac:dyDescent="0.25">
      <c r="A666" t="str">
        <f t="shared" si="180"/>
        <v>J231</v>
      </c>
      <c r="B666">
        <v>1</v>
      </c>
      <c r="C666" t="str">
        <f t="shared" si="185"/>
        <v>43000</v>
      </c>
      <c r="D666" t="str">
        <f t="shared" si="186"/>
        <v>5740</v>
      </c>
      <c r="E666" t="str">
        <f t="shared" si="187"/>
        <v>850LOS</v>
      </c>
      <c r="F666" t="str">
        <f>""</f>
        <v/>
      </c>
      <c r="G666" t="str">
        <f>""</f>
        <v/>
      </c>
      <c r="H666" s="1">
        <v>38960</v>
      </c>
      <c r="I666" t="str">
        <f>"MPG00313"</f>
        <v>MPG00313</v>
      </c>
      <c r="J666" t="str">
        <f>""</f>
        <v/>
      </c>
      <c r="K666" t="str">
        <f t="shared" si="184"/>
        <v>AS89</v>
      </c>
      <c r="L666" t="s">
        <v>388</v>
      </c>
      <c r="M666">
        <v>132.91</v>
      </c>
    </row>
    <row r="667" spans="1:13" x14ac:dyDescent="0.25">
      <c r="A667" t="str">
        <f t="shared" si="180"/>
        <v>J231</v>
      </c>
      <c r="B667">
        <v>1</v>
      </c>
      <c r="C667" t="str">
        <f t="shared" si="185"/>
        <v>43000</v>
      </c>
      <c r="D667" t="str">
        <f t="shared" si="186"/>
        <v>5740</v>
      </c>
      <c r="E667" t="str">
        <f t="shared" si="187"/>
        <v>850LOS</v>
      </c>
      <c r="F667" t="str">
        <f>""</f>
        <v/>
      </c>
      <c r="G667" t="str">
        <f>""</f>
        <v/>
      </c>
      <c r="H667" s="1">
        <v>38990</v>
      </c>
      <c r="I667" t="str">
        <f>"MPG00314"</f>
        <v>MPG00314</v>
      </c>
      <c r="J667" t="str">
        <f>""</f>
        <v/>
      </c>
      <c r="K667" t="str">
        <f t="shared" si="184"/>
        <v>AS89</v>
      </c>
      <c r="L667" t="s">
        <v>387</v>
      </c>
      <c r="M667">
        <v>113.36</v>
      </c>
    </row>
    <row r="668" spans="1:13" x14ac:dyDescent="0.25">
      <c r="A668" t="str">
        <f t="shared" si="180"/>
        <v>J231</v>
      </c>
      <c r="B668">
        <v>1</v>
      </c>
      <c r="C668" t="str">
        <f t="shared" si="185"/>
        <v>43000</v>
      </c>
      <c r="D668" t="str">
        <f t="shared" si="186"/>
        <v>5740</v>
      </c>
      <c r="E668" t="str">
        <f t="shared" si="187"/>
        <v>850LOS</v>
      </c>
      <c r="F668" t="str">
        <f>""</f>
        <v/>
      </c>
      <c r="G668" t="str">
        <f>""</f>
        <v/>
      </c>
      <c r="H668" s="1">
        <v>39021</v>
      </c>
      <c r="I668" t="str">
        <f>"MPG00315"</f>
        <v>MPG00315</v>
      </c>
      <c r="J668" t="str">
        <f>""</f>
        <v/>
      </c>
      <c r="K668" t="str">
        <f t="shared" si="184"/>
        <v>AS89</v>
      </c>
      <c r="L668" t="s">
        <v>386</v>
      </c>
      <c r="M668">
        <v>144.55000000000001</v>
      </c>
    </row>
    <row r="669" spans="1:13" x14ac:dyDescent="0.25">
      <c r="A669" t="str">
        <f t="shared" si="180"/>
        <v>J231</v>
      </c>
      <c r="B669">
        <v>1</v>
      </c>
      <c r="C669" t="str">
        <f t="shared" si="185"/>
        <v>43000</v>
      </c>
      <c r="D669" t="str">
        <f t="shared" si="186"/>
        <v>5740</v>
      </c>
      <c r="E669" t="str">
        <f t="shared" si="187"/>
        <v>850LOS</v>
      </c>
      <c r="F669" t="str">
        <f>""</f>
        <v/>
      </c>
      <c r="G669" t="str">
        <f>""</f>
        <v/>
      </c>
      <c r="H669" s="1">
        <v>39051</v>
      </c>
      <c r="I669" t="str">
        <f>"MPG00316"</f>
        <v>MPG00316</v>
      </c>
      <c r="J669" t="str">
        <f>""</f>
        <v/>
      </c>
      <c r="K669" t="str">
        <f t="shared" si="184"/>
        <v>AS89</v>
      </c>
      <c r="L669" t="s">
        <v>385</v>
      </c>
      <c r="M669">
        <v>135.81</v>
      </c>
    </row>
    <row r="670" spans="1:13" x14ac:dyDescent="0.25">
      <c r="A670" t="str">
        <f t="shared" si="180"/>
        <v>J231</v>
      </c>
      <c r="B670">
        <v>1</v>
      </c>
      <c r="C670" t="str">
        <f t="shared" si="185"/>
        <v>43000</v>
      </c>
      <c r="D670" t="str">
        <f t="shared" si="186"/>
        <v>5740</v>
      </c>
      <c r="E670" t="str">
        <f t="shared" si="187"/>
        <v>850LOS</v>
      </c>
      <c r="F670" t="str">
        <f>""</f>
        <v/>
      </c>
      <c r="G670" t="str">
        <f>""</f>
        <v/>
      </c>
      <c r="H670" s="1">
        <v>39082</v>
      </c>
      <c r="I670" t="str">
        <f>"MPG00317"</f>
        <v>MPG00317</v>
      </c>
      <c r="J670" t="str">
        <f>""</f>
        <v/>
      </c>
      <c r="K670" t="str">
        <f t="shared" si="184"/>
        <v>AS89</v>
      </c>
      <c r="L670" t="s">
        <v>384</v>
      </c>
      <c r="M670">
        <v>182.2</v>
      </c>
    </row>
    <row r="671" spans="1:13" x14ac:dyDescent="0.25">
      <c r="A671" t="str">
        <f t="shared" si="180"/>
        <v>J231</v>
      </c>
      <c r="B671">
        <v>1</v>
      </c>
      <c r="C671" t="str">
        <f t="shared" si="185"/>
        <v>43000</v>
      </c>
      <c r="D671" t="str">
        <f t="shared" si="186"/>
        <v>5740</v>
      </c>
      <c r="E671" t="str">
        <f t="shared" si="187"/>
        <v>850LOS</v>
      </c>
      <c r="F671" t="str">
        <f>""</f>
        <v/>
      </c>
      <c r="G671" t="str">
        <f>""</f>
        <v/>
      </c>
      <c r="H671" s="1">
        <v>39113</v>
      </c>
      <c r="I671" t="str">
        <f>"MPG00318"</f>
        <v>MPG00318</v>
      </c>
      <c r="J671" t="str">
        <f>""</f>
        <v/>
      </c>
      <c r="K671" t="str">
        <f t="shared" si="184"/>
        <v>AS89</v>
      </c>
      <c r="L671" t="s">
        <v>383</v>
      </c>
      <c r="M671">
        <v>165.84</v>
      </c>
    </row>
    <row r="672" spans="1:13" x14ac:dyDescent="0.25">
      <c r="A672" t="str">
        <f t="shared" si="180"/>
        <v>J231</v>
      </c>
      <c r="B672">
        <v>1</v>
      </c>
      <c r="C672" t="str">
        <f t="shared" si="185"/>
        <v>43000</v>
      </c>
      <c r="D672" t="str">
        <f t="shared" si="186"/>
        <v>5740</v>
      </c>
      <c r="E672" t="str">
        <f t="shared" si="187"/>
        <v>850LOS</v>
      </c>
      <c r="F672" t="str">
        <f>""</f>
        <v/>
      </c>
      <c r="G672" t="str">
        <f>""</f>
        <v/>
      </c>
      <c r="H672" s="1">
        <v>39141</v>
      </c>
      <c r="I672" t="str">
        <f>"MPG00319"</f>
        <v>MPG00319</v>
      </c>
      <c r="J672" t="str">
        <f>""</f>
        <v/>
      </c>
      <c r="K672" t="str">
        <f t="shared" si="184"/>
        <v>AS89</v>
      </c>
      <c r="L672" t="s">
        <v>382</v>
      </c>
      <c r="M672">
        <v>116.53</v>
      </c>
    </row>
    <row r="673" spans="1:13" x14ac:dyDescent="0.25">
      <c r="A673" t="str">
        <f t="shared" si="180"/>
        <v>J231</v>
      </c>
      <c r="B673">
        <v>1</v>
      </c>
      <c r="C673" t="str">
        <f t="shared" si="185"/>
        <v>43000</v>
      </c>
      <c r="D673" t="str">
        <f t="shared" si="186"/>
        <v>5740</v>
      </c>
      <c r="E673" t="str">
        <f t="shared" si="187"/>
        <v>850LOS</v>
      </c>
      <c r="F673" t="str">
        <f>""</f>
        <v/>
      </c>
      <c r="G673" t="str">
        <f>""</f>
        <v/>
      </c>
      <c r="H673" s="1">
        <v>39172</v>
      </c>
      <c r="I673" t="str">
        <f>"MPG00320"</f>
        <v>MPG00320</v>
      </c>
      <c r="J673" t="str">
        <f>""</f>
        <v/>
      </c>
      <c r="K673" t="str">
        <f t="shared" si="184"/>
        <v>AS89</v>
      </c>
      <c r="L673" t="s">
        <v>381</v>
      </c>
      <c r="M673">
        <v>175.46</v>
      </c>
    </row>
    <row r="674" spans="1:13" x14ac:dyDescent="0.25">
      <c r="A674" t="str">
        <f t="shared" si="180"/>
        <v>J231</v>
      </c>
      <c r="B674">
        <v>1</v>
      </c>
      <c r="C674" t="str">
        <f t="shared" si="185"/>
        <v>43000</v>
      </c>
      <c r="D674" t="str">
        <f t="shared" si="186"/>
        <v>5740</v>
      </c>
      <c r="E674" t="str">
        <f t="shared" si="187"/>
        <v>850LOS</v>
      </c>
      <c r="F674" t="str">
        <f>""</f>
        <v/>
      </c>
      <c r="G674" t="str">
        <f>""</f>
        <v/>
      </c>
      <c r="H674" s="1">
        <v>39232</v>
      </c>
      <c r="I674" t="str">
        <f>"MPG00322"</f>
        <v>MPG00322</v>
      </c>
      <c r="J674" t="str">
        <f>""</f>
        <v/>
      </c>
      <c r="K674" t="str">
        <f t="shared" si="184"/>
        <v>AS89</v>
      </c>
      <c r="L674" t="s">
        <v>379</v>
      </c>
      <c r="M674">
        <v>125.19</v>
      </c>
    </row>
    <row r="675" spans="1:13" x14ac:dyDescent="0.25">
      <c r="A675" t="str">
        <f t="shared" si="180"/>
        <v>J231</v>
      </c>
      <c r="B675">
        <v>1</v>
      </c>
      <c r="C675" t="str">
        <f t="shared" si="185"/>
        <v>43000</v>
      </c>
      <c r="D675" t="str">
        <f t="shared" si="186"/>
        <v>5740</v>
      </c>
      <c r="E675" t="str">
        <f t="shared" si="187"/>
        <v>850LOS</v>
      </c>
      <c r="F675" t="str">
        <f>""</f>
        <v/>
      </c>
      <c r="G675" t="str">
        <f>""</f>
        <v/>
      </c>
      <c r="H675" s="1">
        <v>39232</v>
      </c>
      <c r="I675" t="str">
        <f>"MPG00322"</f>
        <v>MPG00322</v>
      </c>
      <c r="J675" t="str">
        <f>""</f>
        <v/>
      </c>
      <c r="K675" t="str">
        <f t="shared" si="184"/>
        <v>AS89</v>
      </c>
      <c r="L675" t="s">
        <v>380</v>
      </c>
      <c r="M675">
        <v>132.21</v>
      </c>
    </row>
    <row r="676" spans="1:13" x14ac:dyDescent="0.25">
      <c r="A676" t="str">
        <f t="shared" si="180"/>
        <v>J231</v>
      </c>
      <c r="B676">
        <v>1</v>
      </c>
      <c r="C676" t="str">
        <f t="shared" si="185"/>
        <v>43000</v>
      </c>
      <c r="D676" t="str">
        <f t="shared" si="186"/>
        <v>5740</v>
      </c>
      <c r="E676" t="str">
        <f t="shared" si="187"/>
        <v>850LOS</v>
      </c>
      <c r="F676" t="str">
        <f>""</f>
        <v/>
      </c>
      <c r="G676" t="str">
        <f>""</f>
        <v/>
      </c>
      <c r="H676" s="1">
        <v>39263</v>
      </c>
      <c r="I676" t="str">
        <f>"MPG00323"</f>
        <v>MPG00323</v>
      </c>
      <c r="J676" t="str">
        <f>""</f>
        <v/>
      </c>
      <c r="K676" t="str">
        <f t="shared" si="184"/>
        <v>AS89</v>
      </c>
      <c r="L676" t="s">
        <v>258</v>
      </c>
      <c r="M676">
        <v>179.11</v>
      </c>
    </row>
    <row r="677" spans="1:13" x14ac:dyDescent="0.25">
      <c r="A677" t="str">
        <f t="shared" si="180"/>
        <v>J231</v>
      </c>
      <c r="B677">
        <v>1</v>
      </c>
      <c r="C677" t="str">
        <f t="shared" si="185"/>
        <v>43000</v>
      </c>
      <c r="D677" t="str">
        <f t="shared" si="186"/>
        <v>5740</v>
      </c>
      <c r="E677" t="str">
        <f t="shared" ref="E677:E686" si="188">"850PKE"</f>
        <v>850PKE</v>
      </c>
      <c r="F677" t="str">
        <f>""</f>
        <v/>
      </c>
      <c r="G677" t="str">
        <f>""</f>
        <v/>
      </c>
      <c r="H677" s="1">
        <v>38990</v>
      </c>
      <c r="I677" t="str">
        <f>"MPG00314"</f>
        <v>MPG00314</v>
      </c>
      <c r="J677" t="str">
        <f>""</f>
        <v/>
      </c>
      <c r="K677" t="str">
        <f t="shared" si="184"/>
        <v>AS89</v>
      </c>
      <c r="L677" t="s">
        <v>387</v>
      </c>
      <c r="M677">
        <v>103.97</v>
      </c>
    </row>
    <row r="678" spans="1:13" x14ac:dyDescent="0.25">
      <c r="A678" t="str">
        <f t="shared" si="180"/>
        <v>J231</v>
      </c>
      <c r="B678">
        <v>1</v>
      </c>
      <c r="C678" t="str">
        <f t="shared" si="185"/>
        <v>43000</v>
      </c>
      <c r="D678" t="str">
        <f t="shared" si="186"/>
        <v>5740</v>
      </c>
      <c r="E678" t="str">
        <f t="shared" si="188"/>
        <v>850PKE</v>
      </c>
      <c r="F678" t="str">
        <f>""</f>
        <v/>
      </c>
      <c r="G678" t="str">
        <f>""</f>
        <v/>
      </c>
      <c r="H678" s="1">
        <v>39021</v>
      </c>
      <c r="I678" t="str">
        <f>"MPG00315"</f>
        <v>MPG00315</v>
      </c>
      <c r="J678" t="str">
        <f>""</f>
        <v/>
      </c>
      <c r="K678" t="str">
        <f t="shared" si="184"/>
        <v>AS89</v>
      </c>
      <c r="L678" t="s">
        <v>386</v>
      </c>
      <c r="M678">
        <v>206.53</v>
      </c>
    </row>
    <row r="679" spans="1:13" x14ac:dyDescent="0.25">
      <c r="A679" t="str">
        <f t="shared" si="180"/>
        <v>J231</v>
      </c>
      <c r="B679">
        <v>1</v>
      </c>
      <c r="C679" t="str">
        <f t="shared" si="185"/>
        <v>43000</v>
      </c>
      <c r="D679" t="str">
        <f t="shared" si="186"/>
        <v>5740</v>
      </c>
      <c r="E679" t="str">
        <f t="shared" si="188"/>
        <v>850PKE</v>
      </c>
      <c r="F679" t="str">
        <f>""</f>
        <v/>
      </c>
      <c r="G679" t="str">
        <f>""</f>
        <v/>
      </c>
      <c r="H679" s="1">
        <v>39051</v>
      </c>
      <c r="I679" t="str">
        <f>"MPG00316"</f>
        <v>MPG00316</v>
      </c>
      <c r="J679" t="str">
        <f>""</f>
        <v/>
      </c>
      <c r="K679" t="str">
        <f t="shared" si="184"/>
        <v>AS89</v>
      </c>
      <c r="L679" t="s">
        <v>385</v>
      </c>
      <c r="M679">
        <v>293.16000000000003</v>
      </c>
    </row>
    <row r="680" spans="1:13" x14ac:dyDescent="0.25">
      <c r="A680" t="str">
        <f t="shared" si="180"/>
        <v>J231</v>
      </c>
      <c r="B680">
        <v>1</v>
      </c>
      <c r="C680" t="str">
        <f t="shared" si="185"/>
        <v>43000</v>
      </c>
      <c r="D680" t="str">
        <f t="shared" si="186"/>
        <v>5740</v>
      </c>
      <c r="E680" t="str">
        <f t="shared" si="188"/>
        <v>850PKE</v>
      </c>
      <c r="F680" t="str">
        <f>""</f>
        <v/>
      </c>
      <c r="G680" t="str">
        <f>""</f>
        <v/>
      </c>
      <c r="H680" s="1">
        <v>39082</v>
      </c>
      <c r="I680" t="str">
        <f>"MPG00317"</f>
        <v>MPG00317</v>
      </c>
      <c r="J680" t="str">
        <f>""</f>
        <v/>
      </c>
      <c r="K680" t="str">
        <f t="shared" si="184"/>
        <v>AS89</v>
      </c>
      <c r="L680" t="s">
        <v>384</v>
      </c>
      <c r="M680">
        <v>276.07</v>
      </c>
    </row>
    <row r="681" spans="1:13" x14ac:dyDescent="0.25">
      <c r="A681" t="str">
        <f t="shared" si="180"/>
        <v>J231</v>
      </c>
      <c r="B681">
        <v>1</v>
      </c>
      <c r="C681" t="str">
        <f t="shared" si="185"/>
        <v>43000</v>
      </c>
      <c r="D681" t="str">
        <f t="shared" si="186"/>
        <v>5740</v>
      </c>
      <c r="E681" t="str">
        <f t="shared" si="188"/>
        <v>850PKE</v>
      </c>
      <c r="F681" t="str">
        <f>""</f>
        <v/>
      </c>
      <c r="G681" t="str">
        <f>""</f>
        <v/>
      </c>
      <c r="H681" s="1">
        <v>39113</v>
      </c>
      <c r="I681" t="str">
        <f>"MPG00318"</f>
        <v>MPG00318</v>
      </c>
      <c r="J681" t="str">
        <f>""</f>
        <v/>
      </c>
      <c r="K681" t="str">
        <f t="shared" si="184"/>
        <v>AS89</v>
      </c>
      <c r="L681" t="s">
        <v>383</v>
      </c>
      <c r="M681">
        <v>250.33</v>
      </c>
    </row>
    <row r="682" spans="1:13" x14ac:dyDescent="0.25">
      <c r="A682" t="str">
        <f t="shared" si="180"/>
        <v>J231</v>
      </c>
      <c r="B682">
        <v>1</v>
      </c>
      <c r="C682" t="str">
        <f t="shared" si="185"/>
        <v>43000</v>
      </c>
      <c r="D682" t="str">
        <f t="shared" si="186"/>
        <v>5740</v>
      </c>
      <c r="E682" t="str">
        <f t="shared" si="188"/>
        <v>850PKE</v>
      </c>
      <c r="F682" t="str">
        <f>""</f>
        <v/>
      </c>
      <c r="G682" t="str">
        <f>""</f>
        <v/>
      </c>
      <c r="H682" s="1">
        <v>39141</v>
      </c>
      <c r="I682" t="str">
        <f>"MPG00319"</f>
        <v>MPG00319</v>
      </c>
      <c r="J682" t="str">
        <f>""</f>
        <v/>
      </c>
      <c r="K682" t="str">
        <f t="shared" si="184"/>
        <v>AS89</v>
      </c>
      <c r="L682" t="s">
        <v>382</v>
      </c>
      <c r="M682">
        <v>150.32</v>
      </c>
    </row>
    <row r="683" spans="1:13" x14ac:dyDescent="0.25">
      <c r="A683" t="str">
        <f t="shared" si="180"/>
        <v>J231</v>
      </c>
      <c r="B683">
        <v>1</v>
      </c>
      <c r="C683" t="str">
        <f t="shared" si="185"/>
        <v>43000</v>
      </c>
      <c r="D683" t="str">
        <f t="shared" si="186"/>
        <v>5740</v>
      </c>
      <c r="E683" t="str">
        <f t="shared" si="188"/>
        <v>850PKE</v>
      </c>
      <c r="F683" t="str">
        <f>""</f>
        <v/>
      </c>
      <c r="G683" t="str">
        <f>""</f>
        <v/>
      </c>
      <c r="H683" s="1">
        <v>39172</v>
      </c>
      <c r="I683" t="str">
        <f>"MPG00320"</f>
        <v>MPG00320</v>
      </c>
      <c r="J683" t="str">
        <f>""</f>
        <v/>
      </c>
      <c r="K683" t="str">
        <f t="shared" si="184"/>
        <v>AS89</v>
      </c>
      <c r="L683" t="s">
        <v>381</v>
      </c>
      <c r="M683">
        <v>226.15</v>
      </c>
    </row>
    <row r="684" spans="1:13" x14ac:dyDescent="0.25">
      <c r="A684" t="str">
        <f t="shared" si="180"/>
        <v>J231</v>
      </c>
      <c r="B684">
        <v>1</v>
      </c>
      <c r="C684" t="str">
        <f t="shared" si="185"/>
        <v>43000</v>
      </c>
      <c r="D684" t="str">
        <f t="shared" si="186"/>
        <v>5740</v>
      </c>
      <c r="E684" t="str">
        <f t="shared" si="188"/>
        <v>850PKE</v>
      </c>
      <c r="F684" t="str">
        <f>""</f>
        <v/>
      </c>
      <c r="G684" t="str">
        <f>""</f>
        <v/>
      </c>
      <c r="H684" s="1">
        <v>39232</v>
      </c>
      <c r="I684" t="str">
        <f>"MPG00322"</f>
        <v>MPG00322</v>
      </c>
      <c r="J684" t="str">
        <f>""</f>
        <v/>
      </c>
      <c r="K684" t="str">
        <f t="shared" si="184"/>
        <v>AS89</v>
      </c>
      <c r="L684" t="s">
        <v>380</v>
      </c>
      <c r="M684">
        <v>256.85000000000002</v>
      </c>
    </row>
    <row r="685" spans="1:13" x14ac:dyDescent="0.25">
      <c r="A685" t="str">
        <f t="shared" si="180"/>
        <v>J231</v>
      </c>
      <c r="B685">
        <v>1</v>
      </c>
      <c r="C685" t="str">
        <f t="shared" si="185"/>
        <v>43000</v>
      </c>
      <c r="D685" t="str">
        <f t="shared" si="186"/>
        <v>5740</v>
      </c>
      <c r="E685" t="str">
        <f t="shared" si="188"/>
        <v>850PKE</v>
      </c>
      <c r="F685" t="str">
        <f>""</f>
        <v/>
      </c>
      <c r="G685" t="str">
        <f>""</f>
        <v/>
      </c>
      <c r="H685" s="1">
        <v>39232</v>
      </c>
      <c r="I685" t="str">
        <f>"MPG00322"</f>
        <v>MPG00322</v>
      </c>
      <c r="J685" t="str">
        <f>""</f>
        <v/>
      </c>
      <c r="K685" t="str">
        <f t="shared" si="184"/>
        <v>AS89</v>
      </c>
      <c r="L685" t="s">
        <v>379</v>
      </c>
      <c r="M685">
        <v>320.74</v>
      </c>
    </row>
    <row r="686" spans="1:13" x14ac:dyDescent="0.25">
      <c r="A686" t="str">
        <f t="shared" si="180"/>
        <v>J231</v>
      </c>
      <c r="B686">
        <v>1</v>
      </c>
      <c r="C686" t="str">
        <f t="shared" si="185"/>
        <v>43000</v>
      </c>
      <c r="D686" t="str">
        <f t="shared" si="186"/>
        <v>5740</v>
      </c>
      <c r="E686" t="str">
        <f t="shared" si="188"/>
        <v>850PKE</v>
      </c>
      <c r="F686" t="str">
        <f>""</f>
        <v/>
      </c>
      <c r="G686" t="str">
        <f>""</f>
        <v/>
      </c>
      <c r="H686" s="1">
        <v>39263</v>
      </c>
      <c r="I686" t="str">
        <f>"MPG00323"</f>
        <v>MPG00323</v>
      </c>
      <c r="J686" t="str">
        <f>""</f>
        <v/>
      </c>
      <c r="K686" t="str">
        <f t="shared" si="184"/>
        <v>AS89</v>
      </c>
      <c r="L686" t="s">
        <v>258</v>
      </c>
      <c r="M686">
        <v>389.47</v>
      </c>
    </row>
    <row r="687" spans="1:13" x14ac:dyDescent="0.25">
      <c r="A687" t="str">
        <f>"J232"</f>
        <v>J232</v>
      </c>
      <c r="B687">
        <v>1</v>
      </c>
      <c r="C687" t="str">
        <f t="shared" si="185"/>
        <v>43000</v>
      </c>
      <c r="D687" t="str">
        <f t="shared" si="186"/>
        <v>5740</v>
      </c>
      <c r="E687" t="str">
        <f>"850LOS"</f>
        <v>850LOS</v>
      </c>
      <c r="F687" t="str">
        <f>""</f>
        <v/>
      </c>
      <c r="G687" t="str">
        <f>""</f>
        <v/>
      </c>
      <c r="H687" s="1">
        <v>39202</v>
      </c>
      <c r="I687" t="str">
        <f>"PRK00014"</f>
        <v>PRK00014</v>
      </c>
      <c r="J687" t="str">
        <f>"X31912-1"</f>
        <v>X31912-1</v>
      </c>
      <c r="K687" t="str">
        <f>"AS96"</f>
        <v>AS96</v>
      </c>
      <c r="L687" t="s">
        <v>377</v>
      </c>
      <c r="M687">
        <v>120.24</v>
      </c>
    </row>
    <row r="688" spans="1:13" x14ac:dyDescent="0.25">
      <c r="A688" t="str">
        <f>"J232"</f>
        <v>J232</v>
      </c>
      <c r="B688">
        <v>1</v>
      </c>
      <c r="C688" t="str">
        <f t="shared" si="185"/>
        <v>43000</v>
      </c>
      <c r="D688" t="str">
        <f t="shared" si="186"/>
        <v>5740</v>
      </c>
      <c r="E688" t="str">
        <f>"850LOS"</f>
        <v>850LOS</v>
      </c>
      <c r="F688" t="str">
        <f>""</f>
        <v/>
      </c>
      <c r="G688" t="str">
        <f>""</f>
        <v/>
      </c>
      <c r="H688" s="1">
        <v>39263</v>
      </c>
      <c r="I688" t="str">
        <f>"G0714065"</f>
        <v>G0714065</v>
      </c>
      <c r="J688" t="str">
        <f>""</f>
        <v/>
      </c>
      <c r="K688" t="str">
        <f>"J096"</f>
        <v>J096</v>
      </c>
      <c r="L688" t="s">
        <v>376</v>
      </c>
      <c r="M688" s="2">
        <v>46550</v>
      </c>
    </row>
    <row r="689" spans="1:13" x14ac:dyDescent="0.25">
      <c r="A689" t="str">
        <f>"J232"</f>
        <v>J232</v>
      </c>
      <c r="B689">
        <v>1</v>
      </c>
      <c r="C689" t="str">
        <f t="shared" si="185"/>
        <v>43000</v>
      </c>
      <c r="D689" t="str">
        <f t="shared" si="186"/>
        <v>5740</v>
      </c>
      <c r="E689" t="str">
        <f>"850PKE"</f>
        <v>850PKE</v>
      </c>
      <c r="F689" t="str">
        <f>""</f>
        <v/>
      </c>
      <c r="G689" t="str">
        <f>""</f>
        <v/>
      </c>
      <c r="H689" s="1">
        <v>39202</v>
      </c>
      <c r="I689" t="str">
        <f>"PRK00015"</f>
        <v>PRK00015</v>
      </c>
      <c r="J689" t="str">
        <f>"3473"</f>
        <v>3473</v>
      </c>
      <c r="K689" t="str">
        <f t="shared" ref="K689:K694" si="189">"AS89"</f>
        <v>AS89</v>
      </c>
      <c r="L689" t="s">
        <v>375</v>
      </c>
      <c r="M689">
        <v>110</v>
      </c>
    </row>
    <row r="690" spans="1:13" x14ac:dyDescent="0.25">
      <c r="A690" t="str">
        <f>"J240"</f>
        <v>J240</v>
      </c>
      <c r="B690">
        <v>1</v>
      </c>
      <c r="C690" t="str">
        <f>"14185"</f>
        <v>14185</v>
      </c>
      <c r="D690" t="str">
        <f>"5620"</f>
        <v>5620</v>
      </c>
      <c r="E690" t="str">
        <f>"094OMS"</f>
        <v>094OMS</v>
      </c>
      <c r="F690" t="str">
        <f>""</f>
        <v/>
      </c>
      <c r="G690" t="str">
        <f>""</f>
        <v/>
      </c>
      <c r="H690" s="1">
        <v>39234</v>
      </c>
      <c r="I690" t="str">
        <f>"PHY00458"</f>
        <v>PHY00458</v>
      </c>
      <c r="J690" t="str">
        <f>"W0004713"</f>
        <v>W0004713</v>
      </c>
      <c r="K690" t="str">
        <f t="shared" si="189"/>
        <v>AS89</v>
      </c>
      <c r="L690" t="s">
        <v>374</v>
      </c>
      <c r="M690" s="2">
        <v>1064.01</v>
      </c>
    </row>
    <row r="691" spans="1:13" x14ac:dyDescent="0.25">
      <c r="A691" t="str">
        <f>"J241"</f>
        <v>J241</v>
      </c>
      <c r="B691">
        <v>1</v>
      </c>
      <c r="C691" t="str">
        <f>"43000"</f>
        <v>43000</v>
      </c>
      <c r="D691" t="str">
        <f>"5740"</f>
        <v>5740</v>
      </c>
      <c r="E691" t="str">
        <f>"850LOS"</f>
        <v>850LOS</v>
      </c>
      <c r="F691" t="str">
        <f>""</f>
        <v/>
      </c>
      <c r="G691" t="str">
        <f>""</f>
        <v/>
      </c>
      <c r="H691" s="1">
        <v>39233</v>
      </c>
      <c r="I691" t="str">
        <f>"SPU00071"</f>
        <v>SPU00071</v>
      </c>
      <c r="J691" t="str">
        <f>""</f>
        <v/>
      </c>
      <c r="K691" t="str">
        <f t="shared" si="189"/>
        <v>AS89</v>
      </c>
      <c r="L691" t="s">
        <v>373</v>
      </c>
      <c r="M691">
        <v>260</v>
      </c>
    </row>
    <row r="692" spans="1:13" x14ac:dyDescent="0.25">
      <c r="A692" t="str">
        <f>"J241"</f>
        <v>J241</v>
      </c>
      <c r="B692">
        <v>1</v>
      </c>
      <c r="C692" t="str">
        <f>"43001"</f>
        <v>43001</v>
      </c>
      <c r="D692" t="str">
        <f>"5740"</f>
        <v>5740</v>
      </c>
      <c r="E692" t="str">
        <f>"850LOS"</f>
        <v>850LOS</v>
      </c>
      <c r="F692" t="str">
        <f>""</f>
        <v/>
      </c>
      <c r="G692" t="str">
        <f>""</f>
        <v/>
      </c>
      <c r="H692" s="1">
        <v>38929</v>
      </c>
      <c r="I692" t="str">
        <f>"SPU00063"</f>
        <v>SPU00063</v>
      </c>
      <c r="J692" t="str">
        <f>""</f>
        <v/>
      </c>
      <c r="K692" t="str">
        <f t="shared" si="189"/>
        <v>AS89</v>
      </c>
      <c r="L692" t="s">
        <v>279</v>
      </c>
      <c r="M692">
        <v>195</v>
      </c>
    </row>
    <row r="693" spans="1:13" x14ac:dyDescent="0.25">
      <c r="A693" t="str">
        <f>"J241"</f>
        <v>J241</v>
      </c>
      <c r="B693">
        <v>1</v>
      </c>
      <c r="C693" t="str">
        <f>"43001"</f>
        <v>43001</v>
      </c>
      <c r="D693" t="str">
        <f>"5740"</f>
        <v>5740</v>
      </c>
      <c r="E693" t="str">
        <f>"850LOS"</f>
        <v>850LOS</v>
      </c>
      <c r="F693" t="str">
        <f>""</f>
        <v/>
      </c>
      <c r="G693" t="str">
        <f>""</f>
        <v/>
      </c>
      <c r="H693" s="1">
        <v>39021</v>
      </c>
      <c r="I693" t="str">
        <f>"SPU00064"</f>
        <v>SPU00064</v>
      </c>
      <c r="J693" t="str">
        <f>""</f>
        <v/>
      </c>
      <c r="K693" t="str">
        <f t="shared" si="189"/>
        <v>AS89</v>
      </c>
      <c r="L693" t="s">
        <v>279</v>
      </c>
      <c r="M693">
        <v>260</v>
      </c>
    </row>
    <row r="694" spans="1:13" x14ac:dyDescent="0.25">
      <c r="A694" t="str">
        <f>"J403"</f>
        <v>J403</v>
      </c>
      <c r="B694">
        <v>1</v>
      </c>
      <c r="C694" t="str">
        <f>"43001"</f>
        <v>43001</v>
      </c>
      <c r="D694" t="str">
        <f>"5740"</f>
        <v>5740</v>
      </c>
      <c r="E694" t="str">
        <f>"850LOS"</f>
        <v>850LOS</v>
      </c>
      <c r="F694" t="str">
        <f>""</f>
        <v/>
      </c>
      <c r="G694" t="str">
        <f>""</f>
        <v/>
      </c>
      <c r="H694" s="1">
        <v>39085</v>
      </c>
      <c r="I694" t="str">
        <f>"SWS00027"</f>
        <v>SWS00027</v>
      </c>
      <c r="J694" t="str">
        <f>"H-318"</f>
        <v>H-318</v>
      </c>
      <c r="K694" t="str">
        <f t="shared" si="189"/>
        <v>AS89</v>
      </c>
      <c r="L694" t="s">
        <v>372</v>
      </c>
      <c r="M694">
        <v>134.47999999999999</v>
      </c>
    </row>
  </sheetData>
  <autoFilter ref="A1:M69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9.28515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"43007"</f>
        <v>43007</v>
      </c>
      <c r="D2" t="str">
        <f>"5740"</f>
        <v>5740</v>
      </c>
      <c r="E2" t="str">
        <f>"850GAR"</f>
        <v>850GAR</v>
      </c>
      <c r="F2" t="str">
        <f>""</f>
        <v/>
      </c>
      <c r="G2" t="str">
        <f>""</f>
        <v/>
      </c>
      <c r="H2" s="1">
        <v>39297</v>
      </c>
      <c r="I2" t="str">
        <f>"42838836"</f>
        <v>42838836</v>
      </c>
      <c r="J2" t="str">
        <f>"B113001A"</f>
        <v>B113001A</v>
      </c>
      <c r="K2" t="str">
        <f t="shared" ref="K2:K7" si="0">"INNI"</f>
        <v>INNI</v>
      </c>
      <c r="L2" t="s">
        <v>673</v>
      </c>
      <c r="M2" s="2">
        <v>5111</v>
      </c>
    </row>
    <row r="3" spans="1:13" x14ac:dyDescent="0.25">
      <c r="A3" t="str">
        <f>"E051"</f>
        <v>E051</v>
      </c>
      <c r="B3">
        <v>1</v>
      </c>
      <c r="C3" t="str">
        <f>"43007"</f>
        <v>43007</v>
      </c>
      <c r="D3" t="str">
        <f>"5740"</f>
        <v>5740</v>
      </c>
      <c r="E3" t="str">
        <f>"850GAR"</f>
        <v>850GAR</v>
      </c>
      <c r="F3" t="str">
        <f>""</f>
        <v/>
      </c>
      <c r="G3" t="str">
        <f>""</f>
        <v/>
      </c>
      <c r="H3" s="1">
        <v>39330</v>
      </c>
      <c r="I3" t="str">
        <f>"42849544"</f>
        <v>42849544</v>
      </c>
      <c r="J3" t="str">
        <f>"B113001A"</f>
        <v>B113001A</v>
      </c>
      <c r="K3" t="str">
        <f t="shared" si="0"/>
        <v>INNI</v>
      </c>
      <c r="L3" t="s">
        <v>673</v>
      </c>
      <c r="M3" s="2">
        <v>9185</v>
      </c>
    </row>
    <row r="4" spans="1:13" x14ac:dyDescent="0.25">
      <c r="A4" t="str">
        <f>"E051"</f>
        <v>E051</v>
      </c>
      <c r="B4">
        <v>1</v>
      </c>
      <c r="C4" t="str">
        <f>"43007"</f>
        <v>43007</v>
      </c>
      <c r="D4" t="str">
        <f>"5740"</f>
        <v>5740</v>
      </c>
      <c r="E4" t="str">
        <f>"850GAR"</f>
        <v>850GAR</v>
      </c>
      <c r="F4" t="str">
        <f>""</f>
        <v/>
      </c>
      <c r="G4" t="str">
        <f>""</f>
        <v/>
      </c>
      <c r="H4" s="1">
        <v>39330</v>
      </c>
      <c r="I4" t="str">
        <f>"42867999"</f>
        <v>42867999</v>
      </c>
      <c r="J4" t="str">
        <f>"B113001A"</f>
        <v>B113001A</v>
      </c>
      <c r="K4" t="str">
        <f t="shared" si="0"/>
        <v>INNI</v>
      </c>
      <c r="L4" t="s">
        <v>673</v>
      </c>
      <c r="M4" s="2">
        <v>1721</v>
      </c>
    </row>
    <row r="5" spans="1:13" x14ac:dyDescent="0.25">
      <c r="A5" t="str">
        <f>"E053"</f>
        <v>E053</v>
      </c>
      <c r="B5">
        <v>1</v>
      </c>
      <c r="C5" t="str">
        <f>"14185"</f>
        <v>14185</v>
      </c>
      <c r="D5" t="str">
        <f>"5620"</f>
        <v>5620</v>
      </c>
      <c r="E5" t="str">
        <f>"094OMS"</f>
        <v>094OMS</v>
      </c>
      <c r="F5" t="str">
        <f>""</f>
        <v/>
      </c>
      <c r="G5" t="str">
        <f>""</f>
        <v/>
      </c>
      <c r="H5" s="1">
        <v>39471</v>
      </c>
      <c r="I5" t="str">
        <f>"00064447"</f>
        <v>00064447</v>
      </c>
      <c r="J5" t="str">
        <f>"BP43801M"</f>
        <v>BP43801M</v>
      </c>
      <c r="K5" t="str">
        <f t="shared" si="0"/>
        <v>INNI</v>
      </c>
      <c r="L5" t="s">
        <v>1</v>
      </c>
      <c r="M5">
        <v>375</v>
      </c>
    </row>
    <row r="6" spans="1:13" x14ac:dyDescent="0.25">
      <c r="A6" t="str">
        <f>"E053"</f>
        <v>E053</v>
      </c>
      <c r="B6">
        <v>1</v>
      </c>
      <c r="C6" t="str">
        <f>"14185"</f>
        <v>14185</v>
      </c>
      <c r="D6" t="str">
        <f>"5620"</f>
        <v>5620</v>
      </c>
      <c r="E6" t="str">
        <f>"094OMS"</f>
        <v>094OMS</v>
      </c>
      <c r="F6" t="str">
        <f>""</f>
        <v/>
      </c>
      <c r="G6" t="str">
        <f>""</f>
        <v/>
      </c>
      <c r="H6" s="1">
        <v>39471</v>
      </c>
      <c r="I6" t="str">
        <f>"00064538"</f>
        <v>00064538</v>
      </c>
      <c r="J6" t="str">
        <f>"BP43801M"</f>
        <v>BP43801M</v>
      </c>
      <c r="K6" t="str">
        <f t="shared" si="0"/>
        <v>INNI</v>
      </c>
      <c r="L6" t="s">
        <v>1</v>
      </c>
      <c r="M6">
        <v>300</v>
      </c>
    </row>
    <row r="7" spans="1:13" x14ac:dyDescent="0.25">
      <c r="A7" t="str">
        <f>"E054"</f>
        <v>E054</v>
      </c>
      <c r="B7">
        <v>1</v>
      </c>
      <c r="C7" t="str">
        <f>"43000"</f>
        <v>43000</v>
      </c>
      <c r="D7" t="str">
        <f>"5740"</f>
        <v>5740</v>
      </c>
      <c r="E7" t="str">
        <f>"850LOS"</f>
        <v>850LOS</v>
      </c>
      <c r="F7" t="str">
        <f>""</f>
        <v/>
      </c>
      <c r="G7" t="str">
        <f>""</f>
        <v/>
      </c>
      <c r="H7" s="1">
        <v>39548</v>
      </c>
      <c r="I7" t="str">
        <f>"125310"</f>
        <v>125310</v>
      </c>
      <c r="J7" t="str">
        <f>""</f>
        <v/>
      </c>
      <c r="K7" t="str">
        <f t="shared" si="0"/>
        <v>INNI</v>
      </c>
      <c r="L7" t="s">
        <v>3</v>
      </c>
      <c r="M7" s="2">
        <v>11700</v>
      </c>
    </row>
    <row r="8" spans="1:13" x14ac:dyDescent="0.25">
      <c r="A8" t="str">
        <f>"E054"</f>
        <v>E054</v>
      </c>
      <c r="B8">
        <v>1</v>
      </c>
      <c r="C8" t="str">
        <f>"43000"</f>
        <v>43000</v>
      </c>
      <c r="D8" t="str">
        <f>"5740"</f>
        <v>5740</v>
      </c>
      <c r="E8" t="str">
        <f>"850LOS"</f>
        <v>850LOS</v>
      </c>
      <c r="F8" t="str">
        <f>""</f>
        <v/>
      </c>
      <c r="G8" t="str">
        <f>""</f>
        <v/>
      </c>
      <c r="H8" s="1">
        <v>39552</v>
      </c>
      <c r="I8" t="str">
        <f>"10709G"</f>
        <v>10709G</v>
      </c>
      <c r="J8" t="str">
        <f>"F113852"</f>
        <v>F113852</v>
      </c>
      <c r="K8" t="str">
        <f>"INEI"</f>
        <v>INEI</v>
      </c>
      <c r="L8" t="s">
        <v>3</v>
      </c>
      <c r="M8" s="2">
        <v>11700</v>
      </c>
    </row>
    <row r="9" spans="1:13" x14ac:dyDescent="0.25">
      <c r="A9" t="str">
        <f t="shared" ref="A9:A20" si="1">"E055"</f>
        <v>E055</v>
      </c>
      <c r="B9">
        <v>1</v>
      </c>
      <c r="C9" t="str">
        <f t="shared" ref="C9:C18" si="2">"14185"</f>
        <v>14185</v>
      </c>
      <c r="D9" t="str">
        <f t="shared" ref="D9:D18" si="3">"5620"</f>
        <v>5620</v>
      </c>
      <c r="E9" t="str">
        <f t="shared" ref="E9:E18" si="4">"094OMS"</f>
        <v>094OMS</v>
      </c>
      <c r="F9" t="str">
        <f>""</f>
        <v/>
      </c>
      <c r="G9" t="str">
        <f>""</f>
        <v/>
      </c>
      <c r="H9" s="1">
        <v>39367</v>
      </c>
      <c r="I9" t="str">
        <f>"113847"</f>
        <v>113847</v>
      </c>
      <c r="J9" t="str">
        <f>""</f>
        <v/>
      </c>
      <c r="K9" t="str">
        <f t="shared" ref="K9:K17" si="5">"INNI"</f>
        <v>INNI</v>
      </c>
      <c r="L9" t="s">
        <v>266</v>
      </c>
      <c r="M9">
        <v>281.8</v>
      </c>
    </row>
    <row r="10" spans="1:13" x14ac:dyDescent="0.25">
      <c r="A10" t="str">
        <f t="shared" si="1"/>
        <v>E055</v>
      </c>
      <c r="B10">
        <v>1</v>
      </c>
      <c r="C10" t="str">
        <f t="shared" si="2"/>
        <v>14185</v>
      </c>
      <c r="D10" t="str">
        <f t="shared" si="3"/>
        <v>5620</v>
      </c>
      <c r="E10" t="str">
        <f t="shared" si="4"/>
        <v>094OMS</v>
      </c>
      <c r="F10" t="str">
        <f>""</f>
        <v/>
      </c>
      <c r="G10" t="str">
        <f>""</f>
        <v/>
      </c>
      <c r="H10" s="1">
        <v>39367</v>
      </c>
      <c r="I10" t="str">
        <f>"113849"</f>
        <v>113849</v>
      </c>
      <c r="J10" t="str">
        <f>""</f>
        <v/>
      </c>
      <c r="K10" t="str">
        <f t="shared" si="5"/>
        <v>INNI</v>
      </c>
      <c r="L10" t="s">
        <v>4</v>
      </c>
      <c r="M10">
        <v>175</v>
      </c>
    </row>
    <row r="11" spans="1:13" x14ac:dyDescent="0.25">
      <c r="A11" t="str">
        <f t="shared" si="1"/>
        <v>E055</v>
      </c>
      <c r="B11">
        <v>1</v>
      </c>
      <c r="C11" t="str">
        <f t="shared" si="2"/>
        <v>14185</v>
      </c>
      <c r="D11" t="str">
        <f t="shared" si="3"/>
        <v>5620</v>
      </c>
      <c r="E11" t="str">
        <f t="shared" si="4"/>
        <v>094OMS</v>
      </c>
      <c r="F11" t="str">
        <f>""</f>
        <v/>
      </c>
      <c r="G11" t="str">
        <f>""</f>
        <v/>
      </c>
      <c r="H11" s="1">
        <v>39419</v>
      </c>
      <c r="I11" t="str">
        <f>"113861"</f>
        <v>113861</v>
      </c>
      <c r="J11" t="str">
        <f>""</f>
        <v/>
      </c>
      <c r="K11" t="str">
        <f t="shared" si="5"/>
        <v>INNI</v>
      </c>
      <c r="L11" t="s">
        <v>4</v>
      </c>
      <c r="M11">
        <v>175</v>
      </c>
    </row>
    <row r="12" spans="1:13" x14ac:dyDescent="0.25">
      <c r="A12" t="str">
        <f t="shared" si="1"/>
        <v>E055</v>
      </c>
      <c r="B12">
        <v>1</v>
      </c>
      <c r="C12" t="str">
        <f t="shared" si="2"/>
        <v>14185</v>
      </c>
      <c r="D12" t="str">
        <f t="shared" si="3"/>
        <v>5620</v>
      </c>
      <c r="E12" t="str">
        <f t="shared" si="4"/>
        <v>094OMS</v>
      </c>
      <c r="F12" t="str">
        <f>""</f>
        <v/>
      </c>
      <c r="G12" t="str">
        <f>""</f>
        <v/>
      </c>
      <c r="H12" s="1">
        <v>39433</v>
      </c>
      <c r="I12" t="str">
        <f>"113866A"</f>
        <v>113866A</v>
      </c>
      <c r="J12" t="str">
        <f>""</f>
        <v/>
      </c>
      <c r="K12" t="str">
        <f t="shared" si="5"/>
        <v>INNI</v>
      </c>
      <c r="L12" t="s">
        <v>4</v>
      </c>
      <c r="M12">
        <v>175</v>
      </c>
    </row>
    <row r="13" spans="1:13" x14ac:dyDescent="0.25">
      <c r="A13" t="str">
        <f t="shared" si="1"/>
        <v>E055</v>
      </c>
      <c r="B13">
        <v>1</v>
      </c>
      <c r="C13" t="str">
        <f t="shared" si="2"/>
        <v>14185</v>
      </c>
      <c r="D13" t="str">
        <f t="shared" si="3"/>
        <v>5620</v>
      </c>
      <c r="E13" t="str">
        <f t="shared" si="4"/>
        <v>094OMS</v>
      </c>
      <c r="F13" t="str">
        <f>""</f>
        <v/>
      </c>
      <c r="G13" t="str">
        <f>""</f>
        <v/>
      </c>
      <c r="H13" s="1">
        <v>39433</v>
      </c>
      <c r="I13" t="str">
        <f>"113868A"</f>
        <v>113868A</v>
      </c>
      <c r="J13" t="str">
        <f>""</f>
        <v/>
      </c>
      <c r="K13" t="str">
        <f t="shared" si="5"/>
        <v>INNI</v>
      </c>
      <c r="L13" t="s">
        <v>4</v>
      </c>
      <c r="M13">
        <v>350</v>
      </c>
    </row>
    <row r="14" spans="1:13" x14ac:dyDescent="0.25">
      <c r="A14" t="str">
        <f t="shared" si="1"/>
        <v>E055</v>
      </c>
      <c r="B14">
        <v>1</v>
      </c>
      <c r="C14" t="str">
        <f t="shared" si="2"/>
        <v>14185</v>
      </c>
      <c r="D14" t="str">
        <f t="shared" si="3"/>
        <v>5620</v>
      </c>
      <c r="E14" t="str">
        <f t="shared" si="4"/>
        <v>094OMS</v>
      </c>
      <c r="F14" t="str">
        <f>""</f>
        <v/>
      </c>
      <c r="G14" t="str">
        <f>""</f>
        <v/>
      </c>
      <c r="H14" s="1">
        <v>39434</v>
      </c>
      <c r="I14" t="str">
        <f>"113865"</f>
        <v>113865</v>
      </c>
      <c r="J14" t="str">
        <f>""</f>
        <v/>
      </c>
      <c r="K14" t="str">
        <f t="shared" si="5"/>
        <v>INNI</v>
      </c>
      <c r="L14" t="s">
        <v>7</v>
      </c>
      <c r="M14" s="2">
        <v>1050</v>
      </c>
    </row>
    <row r="15" spans="1:13" x14ac:dyDescent="0.25">
      <c r="A15" t="str">
        <f t="shared" si="1"/>
        <v>E055</v>
      </c>
      <c r="B15">
        <v>1</v>
      </c>
      <c r="C15" t="str">
        <f t="shared" si="2"/>
        <v>14185</v>
      </c>
      <c r="D15" t="str">
        <f t="shared" si="3"/>
        <v>5620</v>
      </c>
      <c r="E15" t="str">
        <f t="shared" si="4"/>
        <v>094OMS</v>
      </c>
      <c r="F15" t="str">
        <f>""</f>
        <v/>
      </c>
      <c r="G15" t="str">
        <f>""</f>
        <v/>
      </c>
      <c r="H15" s="1">
        <v>39451</v>
      </c>
      <c r="I15" t="str">
        <f>"113871"</f>
        <v>113871</v>
      </c>
      <c r="J15" t="str">
        <f>""</f>
        <v/>
      </c>
      <c r="K15" t="str">
        <f t="shared" si="5"/>
        <v>INNI</v>
      </c>
      <c r="L15" t="s">
        <v>4</v>
      </c>
      <c r="M15">
        <v>175</v>
      </c>
    </row>
    <row r="16" spans="1:13" x14ac:dyDescent="0.25">
      <c r="A16" t="str">
        <f t="shared" si="1"/>
        <v>E055</v>
      </c>
      <c r="B16">
        <v>1</v>
      </c>
      <c r="C16" t="str">
        <f t="shared" si="2"/>
        <v>14185</v>
      </c>
      <c r="D16" t="str">
        <f t="shared" si="3"/>
        <v>5620</v>
      </c>
      <c r="E16" t="str">
        <f t="shared" si="4"/>
        <v>094OMS</v>
      </c>
      <c r="F16" t="str">
        <f>""</f>
        <v/>
      </c>
      <c r="G16" t="str">
        <f>""</f>
        <v/>
      </c>
      <c r="H16" s="1">
        <v>39461</v>
      </c>
      <c r="I16" t="str">
        <f>"113874"</f>
        <v>113874</v>
      </c>
      <c r="J16" t="str">
        <f>""</f>
        <v/>
      </c>
      <c r="K16" t="str">
        <f t="shared" si="5"/>
        <v>INNI</v>
      </c>
      <c r="L16" t="s">
        <v>7</v>
      </c>
      <c r="M16" s="2">
        <v>1050</v>
      </c>
    </row>
    <row r="17" spans="1:13" x14ac:dyDescent="0.25">
      <c r="A17" t="str">
        <f t="shared" si="1"/>
        <v>E055</v>
      </c>
      <c r="B17">
        <v>1</v>
      </c>
      <c r="C17" t="str">
        <f t="shared" si="2"/>
        <v>14185</v>
      </c>
      <c r="D17" t="str">
        <f t="shared" si="3"/>
        <v>5620</v>
      </c>
      <c r="E17" t="str">
        <f t="shared" si="4"/>
        <v>094OMS</v>
      </c>
      <c r="F17" t="str">
        <f>""</f>
        <v/>
      </c>
      <c r="G17" t="str">
        <f>""</f>
        <v/>
      </c>
      <c r="H17" s="1">
        <v>39546</v>
      </c>
      <c r="I17" t="str">
        <f>"125312A"</f>
        <v>125312A</v>
      </c>
      <c r="J17" t="str">
        <f>""</f>
        <v/>
      </c>
      <c r="K17" t="str">
        <f t="shared" si="5"/>
        <v>INNI</v>
      </c>
      <c r="L17" t="s">
        <v>4</v>
      </c>
      <c r="M17">
        <v>175</v>
      </c>
    </row>
    <row r="18" spans="1:13" x14ac:dyDescent="0.25">
      <c r="A18" t="str">
        <f t="shared" si="1"/>
        <v>E055</v>
      </c>
      <c r="B18">
        <v>1</v>
      </c>
      <c r="C18" t="str">
        <f t="shared" si="2"/>
        <v>14185</v>
      </c>
      <c r="D18" t="str">
        <f t="shared" si="3"/>
        <v>5620</v>
      </c>
      <c r="E18" t="str">
        <f t="shared" si="4"/>
        <v>094OMS</v>
      </c>
      <c r="F18" t="str">
        <f>""</f>
        <v/>
      </c>
      <c r="G18" t="str">
        <f>""</f>
        <v/>
      </c>
      <c r="H18" s="1">
        <v>39623</v>
      </c>
      <c r="I18" t="str">
        <f>"I0088445"</f>
        <v>I0088445</v>
      </c>
      <c r="J18" t="str">
        <f>"F125323"</f>
        <v>F125323</v>
      </c>
      <c r="K18" t="str">
        <f>"INEI"</f>
        <v>INEI</v>
      </c>
      <c r="L18" t="s">
        <v>946</v>
      </c>
      <c r="M18" s="2">
        <v>1000</v>
      </c>
    </row>
    <row r="19" spans="1:13" x14ac:dyDescent="0.25">
      <c r="A19" t="str">
        <f t="shared" si="1"/>
        <v>E055</v>
      </c>
      <c r="B19">
        <v>1</v>
      </c>
      <c r="C19" t="str">
        <f>"43007"</f>
        <v>43007</v>
      </c>
      <c r="D19" t="str">
        <f>"5740"</f>
        <v>5740</v>
      </c>
      <c r="E19" t="str">
        <f>"850GAR"</f>
        <v>850GAR</v>
      </c>
      <c r="F19" t="str">
        <f>""</f>
        <v/>
      </c>
      <c r="G19" t="str">
        <f>"LH"</f>
        <v>LH</v>
      </c>
      <c r="H19" s="1">
        <v>39280</v>
      </c>
      <c r="I19" t="str">
        <f>"I0083912"</f>
        <v>I0083912</v>
      </c>
      <c r="J19" t="str">
        <f>"B080176C"</f>
        <v>B080176C</v>
      </c>
      <c r="K19" t="str">
        <f>"INNI"</f>
        <v>INNI</v>
      </c>
      <c r="L19" t="s">
        <v>9</v>
      </c>
      <c r="M19">
        <v>500</v>
      </c>
    </row>
    <row r="20" spans="1:13" x14ac:dyDescent="0.25">
      <c r="A20" t="str">
        <f t="shared" si="1"/>
        <v>E055</v>
      </c>
      <c r="B20">
        <v>1</v>
      </c>
      <c r="C20" t="str">
        <f>"43007"</f>
        <v>43007</v>
      </c>
      <c r="D20" t="str">
        <f>"5740"</f>
        <v>5740</v>
      </c>
      <c r="E20" t="str">
        <f>"850GAR"</f>
        <v>850GAR</v>
      </c>
      <c r="F20" t="str">
        <f>""</f>
        <v/>
      </c>
      <c r="G20" t="str">
        <f>""</f>
        <v/>
      </c>
      <c r="H20" s="1">
        <v>39629</v>
      </c>
      <c r="I20" t="str">
        <f>"I0088634"</f>
        <v>I0088634</v>
      </c>
      <c r="J20" t="str">
        <f>"B080176E"</f>
        <v>B080176E</v>
      </c>
      <c r="K20" t="str">
        <f>"INNI"</f>
        <v>INNI</v>
      </c>
      <c r="L20" t="s">
        <v>945</v>
      </c>
      <c r="M20">
        <v>400</v>
      </c>
    </row>
    <row r="21" spans="1:13" x14ac:dyDescent="0.25">
      <c r="A21" t="str">
        <f>"E063"</f>
        <v>E063</v>
      </c>
      <c r="B21">
        <v>1</v>
      </c>
      <c r="C21" t="str">
        <f t="shared" ref="C21:C39" si="6">"14185"</f>
        <v>14185</v>
      </c>
      <c r="D21" t="str">
        <f t="shared" ref="D21:D39" si="7">"5620"</f>
        <v>5620</v>
      </c>
      <c r="E21" t="str">
        <f t="shared" ref="E21:E39" si="8">"094OMS"</f>
        <v>094OMS</v>
      </c>
      <c r="F21" t="str">
        <f>""</f>
        <v/>
      </c>
      <c r="G21" t="str">
        <f>""</f>
        <v/>
      </c>
      <c r="H21" s="1">
        <v>39482</v>
      </c>
      <c r="I21" t="str">
        <f>"113877"</f>
        <v>113877</v>
      </c>
      <c r="J21" t="str">
        <f>""</f>
        <v/>
      </c>
      <c r="K21" t="str">
        <f>"INNI"</f>
        <v>INNI</v>
      </c>
      <c r="L21" t="s">
        <v>944</v>
      </c>
      <c r="M21">
        <v>352.4</v>
      </c>
    </row>
    <row r="22" spans="1:13" x14ac:dyDescent="0.25">
      <c r="A22" t="str">
        <f t="shared" ref="A22:A53" si="9">"E111"</f>
        <v>E111</v>
      </c>
      <c r="B22">
        <v>1</v>
      </c>
      <c r="C22" t="str">
        <f t="shared" si="6"/>
        <v>14185</v>
      </c>
      <c r="D22" t="str">
        <f t="shared" si="7"/>
        <v>5620</v>
      </c>
      <c r="E22" t="str">
        <f t="shared" si="8"/>
        <v>094OMS</v>
      </c>
      <c r="F22" t="str">
        <f>""</f>
        <v/>
      </c>
      <c r="G22" t="str">
        <f>""</f>
        <v/>
      </c>
      <c r="H22" s="1">
        <v>39295</v>
      </c>
      <c r="I22" t="str">
        <f>"PCD00280"</f>
        <v>PCD00280</v>
      </c>
      <c r="J22" t="str">
        <f>"63523"</f>
        <v>63523</v>
      </c>
      <c r="K22" t="str">
        <f>"AS89"</f>
        <v>AS89</v>
      </c>
      <c r="L22" t="s">
        <v>927</v>
      </c>
      <c r="M22">
        <v>187.52</v>
      </c>
    </row>
    <row r="23" spans="1:13" x14ac:dyDescent="0.25">
      <c r="A23" t="str">
        <f t="shared" si="9"/>
        <v>E111</v>
      </c>
      <c r="B23">
        <v>1</v>
      </c>
      <c r="C23" t="str">
        <f t="shared" si="6"/>
        <v>14185</v>
      </c>
      <c r="D23" t="str">
        <f t="shared" si="7"/>
        <v>5620</v>
      </c>
      <c r="E23" t="str">
        <f t="shared" si="8"/>
        <v>094OMS</v>
      </c>
      <c r="F23" t="str">
        <f>""</f>
        <v/>
      </c>
      <c r="G23" t="str">
        <f>""</f>
        <v/>
      </c>
      <c r="H23" s="1">
        <v>39324</v>
      </c>
      <c r="I23" t="str">
        <f>"PCD00282"</f>
        <v>PCD00282</v>
      </c>
      <c r="J23" t="str">
        <f>"64362"</f>
        <v>64362</v>
      </c>
      <c r="K23" t="str">
        <f>"AS89"</f>
        <v>AS89</v>
      </c>
      <c r="L23" t="s">
        <v>943</v>
      </c>
      <c r="M23">
        <v>198.8</v>
      </c>
    </row>
    <row r="24" spans="1:13" x14ac:dyDescent="0.25">
      <c r="A24" t="str">
        <f t="shared" si="9"/>
        <v>E111</v>
      </c>
      <c r="B24">
        <v>1</v>
      </c>
      <c r="C24" t="str">
        <f t="shared" si="6"/>
        <v>14185</v>
      </c>
      <c r="D24" t="str">
        <f t="shared" si="7"/>
        <v>5620</v>
      </c>
      <c r="E24" t="str">
        <f t="shared" si="8"/>
        <v>094OMS</v>
      </c>
      <c r="F24" t="str">
        <f>""</f>
        <v/>
      </c>
      <c r="G24" t="str">
        <f>""</f>
        <v/>
      </c>
      <c r="H24" s="1">
        <v>39324</v>
      </c>
      <c r="I24" t="str">
        <f>"PCD00282"</f>
        <v>PCD00282</v>
      </c>
      <c r="J24" t="str">
        <f>"64363"</f>
        <v>64363</v>
      </c>
      <c r="K24" t="str">
        <f>"AS89"</f>
        <v>AS89</v>
      </c>
      <c r="L24" t="s">
        <v>942</v>
      </c>
      <c r="M24">
        <v>106.04</v>
      </c>
    </row>
    <row r="25" spans="1:13" x14ac:dyDescent="0.25">
      <c r="A25" t="str">
        <f t="shared" si="9"/>
        <v>E111</v>
      </c>
      <c r="B25">
        <v>1</v>
      </c>
      <c r="C25" t="str">
        <f t="shared" si="6"/>
        <v>14185</v>
      </c>
      <c r="D25" t="str">
        <f t="shared" si="7"/>
        <v>5620</v>
      </c>
      <c r="E25" t="str">
        <f t="shared" si="8"/>
        <v>094OMS</v>
      </c>
      <c r="F25" t="str">
        <f>""</f>
        <v/>
      </c>
      <c r="G25" t="str">
        <f>""</f>
        <v/>
      </c>
      <c r="H25" s="1">
        <v>39332</v>
      </c>
      <c r="I25" t="str">
        <f>"PCD00283"</f>
        <v>PCD00283</v>
      </c>
      <c r="J25" t="str">
        <f>"64865"</f>
        <v>64865</v>
      </c>
      <c r="K25" t="str">
        <f>"AS89"</f>
        <v>AS89</v>
      </c>
      <c r="L25" t="s">
        <v>910</v>
      </c>
      <c r="M25">
        <v>135.56</v>
      </c>
    </row>
    <row r="26" spans="1:13" x14ac:dyDescent="0.25">
      <c r="A26" t="str">
        <f t="shared" si="9"/>
        <v>E111</v>
      </c>
      <c r="B26">
        <v>1</v>
      </c>
      <c r="C26" t="str">
        <f t="shared" si="6"/>
        <v>14185</v>
      </c>
      <c r="D26" t="str">
        <f t="shared" si="7"/>
        <v>5620</v>
      </c>
      <c r="E26" t="str">
        <f t="shared" si="8"/>
        <v>094OMS</v>
      </c>
      <c r="F26" t="str">
        <f>""</f>
        <v/>
      </c>
      <c r="G26" t="str">
        <f>""</f>
        <v/>
      </c>
      <c r="H26" s="1">
        <v>39345</v>
      </c>
      <c r="I26" t="str">
        <f>"PCD00284"</f>
        <v>PCD00284</v>
      </c>
      <c r="J26" t="str">
        <f>"64330"</f>
        <v>64330</v>
      </c>
      <c r="K26" t="str">
        <f>"AS89"</f>
        <v>AS89</v>
      </c>
      <c r="L26" t="s">
        <v>941</v>
      </c>
      <c r="M26">
        <v>141.97999999999999</v>
      </c>
    </row>
    <row r="27" spans="1:13" x14ac:dyDescent="0.25">
      <c r="A27" t="str">
        <f t="shared" si="9"/>
        <v>E111</v>
      </c>
      <c r="B27">
        <v>1</v>
      </c>
      <c r="C27" t="str">
        <f t="shared" si="6"/>
        <v>14185</v>
      </c>
      <c r="D27" t="str">
        <f t="shared" si="7"/>
        <v>5620</v>
      </c>
      <c r="E27" t="str">
        <f t="shared" si="8"/>
        <v>094OMS</v>
      </c>
      <c r="F27" t="str">
        <f>""</f>
        <v/>
      </c>
      <c r="G27" t="str">
        <f>""</f>
        <v/>
      </c>
      <c r="H27" s="1">
        <v>39393</v>
      </c>
      <c r="I27" t="str">
        <f>"581160"</f>
        <v>581160</v>
      </c>
      <c r="J27" t="str">
        <f>"F113832"</f>
        <v>F113832</v>
      </c>
      <c r="K27" t="str">
        <f>"INEI"</f>
        <v>INEI</v>
      </c>
      <c r="L27" t="s">
        <v>366</v>
      </c>
      <c r="M27">
        <v>802.16</v>
      </c>
    </row>
    <row r="28" spans="1:13" x14ac:dyDescent="0.25">
      <c r="A28" t="str">
        <f t="shared" si="9"/>
        <v>E111</v>
      </c>
      <c r="B28">
        <v>1</v>
      </c>
      <c r="C28" t="str">
        <f t="shared" si="6"/>
        <v>14185</v>
      </c>
      <c r="D28" t="str">
        <f t="shared" si="7"/>
        <v>5620</v>
      </c>
      <c r="E28" t="str">
        <f t="shared" si="8"/>
        <v>094OMS</v>
      </c>
      <c r="F28" t="str">
        <f>""</f>
        <v/>
      </c>
      <c r="G28" t="str">
        <f>""</f>
        <v/>
      </c>
      <c r="H28" s="1">
        <v>39430</v>
      </c>
      <c r="I28" t="str">
        <f>"PCD00295"</f>
        <v>PCD00295</v>
      </c>
      <c r="J28" t="str">
        <f>"70289"</f>
        <v>70289</v>
      </c>
      <c r="K28" t="str">
        <f>"AS89"</f>
        <v>AS89</v>
      </c>
      <c r="L28" t="s">
        <v>940</v>
      </c>
      <c r="M28">
        <v>154.80000000000001</v>
      </c>
    </row>
    <row r="29" spans="1:13" x14ac:dyDescent="0.25">
      <c r="A29" t="str">
        <f t="shared" si="9"/>
        <v>E111</v>
      </c>
      <c r="B29">
        <v>1</v>
      </c>
      <c r="C29" t="str">
        <f t="shared" si="6"/>
        <v>14185</v>
      </c>
      <c r="D29" t="str">
        <f t="shared" si="7"/>
        <v>5620</v>
      </c>
      <c r="E29" t="str">
        <f t="shared" si="8"/>
        <v>094OMS</v>
      </c>
      <c r="F29" t="str">
        <f>""</f>
        <v/>
      </c>
      <c r="G29" t="str">
        <f>""</f>
        <v/>
      </c>
      <c r="H29" s="1">
        <v>39444</v>
      </c>
      <c r="I29" t="str">
        <f>"PCD00297"</f>
        <v>PCD00297</v>
      </c>
      <c r="J29" t="str">
        <f>"71010"</f>
        <v>71010</v>
      </c>
      <c r="K29" t="str">
        <f>"AS89"</f>
        <v>AS89</v>
      </c>
      <c r="L29" t="s">
        <v>907</v>
      </c>
      <c r="M29">
        <v>112.68</v>
      </c>
    </row>
    <row r="30" spans="1:13" x14ac:dyDescent="0.25">
      <c r="A30" t="str">
        <f t="shared" si="9"/>
        <v>E111</v>
      </c>
      <c r="B30">
        <v>1</v>
      </c>
      <c r="C30" t="str">
        <f t="shared" si="6"/>
        <v>14185</v>
      </c>
      <c r="D30" t="str">
        <f t="shared" si="7"/>
        <v>5620</v>
      </c>
      <c r="E30" t="str">
        <f t="shared" si="8"/>
        <v>094OMS</v>
      </c>
      <c r="F30" t="str">
        <f>""</f>
        <v/>
      </c>
      <c r="G30" t="str">
        <f>""</f>
        <v/>
      </c>
      <c r="H30" s="1">
        <v>39449</v>
      </c>
      <c r="I30" t="str">
        <f>"581930"</f>
        <v>581930</v>
      </c>
      <c r="J30" t="str">
        <f>"F113832"</f>
        <v>F113832</v>
      </c>
      <c r="K30" t="str">
        <f>"INEI"</f>
        <v>INEI</v>
      </c>
      <c r="L30" t="s">
        <v>366</v>
      </c>
      <c r="M30">
        <v>982.64</v>
      </c>
    </row>
    <row r="31" spans="1:13" x14ac:dyDescent="0.25">
      <c r="A31" t="str">
        <f t="shared" si="9"/>
        <v>E111</v>
      </c>
      <c r="B31">
        <v>1</v>
      </c>
      <c r="C31" t="str">
        <f t="shared" si="6"/>
        <v>14185</v>
      </c>
      <c r="D31" t="str">
        <f t="shared" si="7"/>
        <v>5620</v>
      </c>
      <c r="E31" t="str">
        <f t="shared" si="8"/>
        <v>094OMS</v>
      </c>
      <c r="F31" t="str">
        <f>""</f>
        <v/>
      </c>
      <c r="G31" t="str">
        <f>""</f>
        <v/>
      </c>
      <c r="H31" s="1">
        <v>39451</v>
      </c>
      <c r="I31" t="str">
        <f>"PCD00298"</f>
        <v>PCD00298</v>
      </c>
      <c r="J31" t="str">
        <f>"71260"</f>
        <v>71260</v>
      </c>
      <c r="K31" t="str">
        <f>"AS89"</f>
        <v>AS89</v>
      </c>
      <c r="L31" t="s">
        <v>939</v>
      </c>
      <c r="M31">
        <v>301.95</v>
      </c>
    </row>
    <row r="32" spans="1:13" x14ac:dyDescent="0.25">
      <c r="A32" t="str">
        <f t="shared" si="9"/>
        <v>E111</v>
      </c>
      <c r="B32">
        <v>1</v>
      </c>
      <c r="C32" t="str">
        <f t="shared" si="6"/>
        <v>14185</v>
      </c>
      <c r="D32" t="str">
        <f t="shared" si="7"/>
        <v>5620</v>
      </c>
      <c r="E32" t="str">
        <f t="shared" si="8"/>
        <v>094OMS</v>
      </c>
      <c r="F32" t="str">
        <f>""</f>
        <v/>
      </c>
      <c r="G32" t="str">
        <f>""</f>
        <v/>
      </c>
      <c r="H32" s="1">
        <v>39463</v>
      </c>
      <c r="I32" t="str">
        <f>"582031"</f>
        <v>582031</v>
      </c>
      <c r="J32" t="str">
        <f>"F113832"</f>
        <v>F113832</v>
      </c>
      <c r="K32" t="str">
        <f>"INEI"</f>
        <v>INEI</v>
      </c>
      <c r="L32" t="s">
        <v>366</v>
      </c>
      <c r="M32">
        <v>236.42</v>
      </c>
    </row>
    <row r="33" spans="1:13" x14ac:dyDescent="0.25">
      <c r="A33" t="str">
        <f t="shared" si="9"/>
        <v>E111</v>
      </c>
      <c r="B33">
        <v>1</v>
      </c>
      <c r="C33" t="str">
        <f t="shared" si="6"/>
        <v>14185</v>
      </c>
      <c r="D33" t="str">
        <f t="shared" si="7"/>
        <v>5620</v>
      </c>
      <c r="E33" t="str">
        <f t="shared" si="8"/>
        <v>094OMS</v>
      </c>
      <c r="F33" t="str">
        <f>""</f>
        <v/>
      </c>
      <c r="G33" t="str">
        <f>""</f>
        <v/>
      </c>
      <c r="H33" s="1">
        <v>39489</v>
      </c>
      <c r="I33" t="str">
        <f>"PCD00303"</f>
        <v>PCD00303</v>
      </c>
      <c r="J33" t="str">
        <f>"71933"</f>
        <v>71933</v>
      </c>
      <c r="K33" t="str">
        <f>"AS89"</f>
        <v>AS89</v>
      </c>
      <c r="L33" t="s">
        <v>920</v>
      </c>
      <c r="M33">
        <v>271.25</v>
      </c>
    </row>
    <row r="34" spans="1:13" x14ac:dyDescent="0.25">
      <c r="A34" t="str">
        <f t="shared" si="9"/>
        <v>E111</v>
      </c>
      <c r="B34">
        <v>1</v>
      </c>
      <c r="C34" t="str">
        <f t="shared" si="6"/>
        <v>14185</v>
      </c>
      <c r="D34" t="str">
        <f t="shared" si="7"/>
        <v>5620</v>
      </c>
      <c r="E34" t="str">
        <f t="shared" si="8"/>
        <v>094OMS</v>
      </c>
      <c r="F34" t="str">
        <f>""</f>
        <v/>
      </c>
      <c r="G34" t="str">
        <f>""</f>
        <v/>
      </c>
      <c r="H34" s="1">
        <v>39489</v>
      </c>
      <c r="I34" t="str">
        <f>"PCD00303"</f>
        <v>PCD00303</v>
      </c>
      <c r="J34" t="str">
        <f>"73223"</f>
        <v>73223</v>
      </c>
      <c r="K34" t="str">
        <f>"AS89"</f>
        <v>AS89</v>
      </c>
      <c r="L34" t="s">
        <v>899</v>
      </c>
      <c r="M34">
        <v>154.27000000000001</v>
      </c>
    </row>
    <row r="35" spans="1:13" x14ac:dyDescent="0.25">
      <c r="A35" t="str">
        <f t="shared" si="9"/>
        <v>E111</v>
      </c>
      <c r="B35">
        <v>1</v>
      </c>
      <c r="C35" t="str">
        <f t="shared" si="6"/>
        <v>14185</v>
      </c>
      <c r="D35" t="str">
        <f t="shared" si="7"/>
        <v>5620</v>
      </c>
      <c r="E35" t="str">
        <f t="shared" si="8"/>
        <v>094OMS</v>
      </c>
      <c r="F35" t="str">
        <f>""</f>
        <v/>
      </c>
      <c r="G35" t="str">
        <f>""</f>
        <v/>
      </c>
      <c r="H35" s="1">
        <v>39491</v>
      </c>
      <c r="I35" t="str">
        <f>"G0808031"</f>
        <v>G0808031</v>
      </c>
      <c r="J35" t="str">
        <f>"PCARD"</f>
        <v>PCARD</v>
      </c>
      <c r="K35" t="str">
        <f>"J079"</f>
        <v>J079</v>
      </c>
      <c r="L35" t="s">
        <v>750</v>
      </c>
      <c r="M35">
        <v>320.10000000000002</v>
      </c>
    </row>
    <row r="36" spans="1:13" x14ac:dyDescent="0.25">
      <c r="A36" t="str">
        <f t="shared" si="9"/>
        <v>E111</v>
      </c>
      <c r="B36">
        <v>1</v>
      </c>
      <c r="C36" t="str">
        <f t="shared" si="6"/>
        <v>14185</v>
      </c>
      <c r="D36" t="str">
        <f t="shared" si="7"/>
        <v>5620</v>
      </c>
      <c r="E36" t="str">
        <f t="shared" si="8"/>
        <v>094OMS</v>
      </c>
      <c r="F36" t="str">
        <f>""</f>
        <v/>
      </c>
      <c r="G36" t="str">
        <f>""</f>
        <v/>
      </c>
      <c r="H36" s="1">
        <v>39521</v>
      </c>
      <c r="I36" t="str">
        <f>"PCD00308"</f>
        <v>PCD00308</v>
      </c>
      <c r="J36" t="str">
        <f>"75054"</f>
        <v>75054</v>
      </c>
      <c r="K36" t="str">
        <f>"AS89"</f>
        <v>AS89</v>
      </c>
      <c r="L36" t="s">
        <v>938</v>
      </c>
      <c r="M36">
        <v>249.75</v>
      </c>
    </row>
    <row r="37" spans="1:13" x14ac:dyDescent="0.25">
      <c r="A37" t="str">
        <f t="shared" si="9"/>
        <v>E111</v>
      </c>
      <c r="B37">
        <v>1</v>
      </c>
      <c r="C37" t="str">
        <f t="shared" si="6"/>
        <v>14185</v>
      </c>
      <c r="D37" t="str">
        <f t="shared" si="7"/>
        <v>5620</v>
      </c>
      <c r="E37" t="str">
        <f t="shared" si="8"/>
        <v>094OMS</v>
      </c>
      <c r="F37" t="str">
        <f>""</f>
        <v/>
      </c>
      <c r="G37" t="str">
        <f>""</f>
        <v/>
      </c>
      <c r="H37" s="1">
        <v>39549</v>
      </c>
      <c r="I37" t="str">
        <f>"PCD00312"</f>
        <v>PCD00312</v>
      </c>
      <c r="J37" t="str">
        <f>"76382"</f>
        <v>76382</v>
      </c>
      <c r="K37" t="str">
        <f>"AS89"</f>
        <v>AS89</v>
      </c>
      <c r="L37" t="s">
        <v>937</v>
      </c>
      <c r="M37" s="2">
        <v>1154.95</v>
      </c>
    </row>
    <row r="38" spans="1:13" x14ac:dyDescent="0.25">
      <c r="A38" t="str">
        <f t="shared" si="9"/>
        <v>E111</v>
      </c>
      <c r="B38">
        <v>1</v>
      </c>
      <c r="C38" t="str">
        <f t="shared" si="6"/>
        <v>14185</v>
      </c>
      <c r="D38" t="str">
        <f t="shared" si="7"/>
        <v>5620</v>
      </c>
      <c r="E38" t="str">
        <f t="shared" si="8"/>
        <v>094OMS</v>
      </c>
      <c r="F38" t="str">
        <f>""</f>
        <v/>
      </c>
      <c r="G38" t="str">
        <f>""</f>
        <v/>
      </c>
      <c r="H38" s="1">
        <v>39549</v>
      </c>
      <c r="I38" t="str">
        <f>"PCD00312"</f>
        <v>PCD00312</v>
      </c>
      <c r="J38" t="str">
        <f>"76613"</f>
        <v>76613</v>
      </c>
      <c r="K38" t="str">
        <f>"AS89"</f>
        <v>AS89</v>
      </c>
      <c r="L38" t="s">
        <v>936</v>
      </c>
      <c r="M38">
        <v>165.71</v>
      </c>
    </row>
    <row r="39" spans="1:13" x14ac:dyDescent="0.25">
      <c r="A39" t="str">
        <f t="shared" si="9"/>
        <v>E111</v>
      </c>
      <c r="B39">
        <v>1</v>
      </c>
      <c r="C39" t="str">
        <f t="shared" si="6"/>
        <v>14185</v>
      </c>
      <c r="D39" t="str">
        <f t="shared" si="7"/>
        <v>5620</v>
      </c>
      <c r="E39" t="str">
        <f t="shared" si="8"/>
        <v>094OMS</v>
      </c>
      <c r="F39" t="str">
        <f>""</f>
        <v/>
      </c>
      <c r="G39" t="str">
        <f>""</f>
        <v/>
      </c>
      <c r="H39" s="1">
        <v>39577</v>
      </c>
      <c r="I39" t="str">
        <f>"PCD00316"</f>
        <v>PCD00316</v>
      </c>
      <c r="J39" t="str">
        <f>"78809"</f>
        <v>78809</v>
      </c>
      <c r="K39" t="str">
        <f>"AS89"</f>
        <v>AS89</v>
      </c>
      <c r="L39" t="s">
        <v>935</v>
      </c>
      <c r="M39">
        <v>309.38</v>
      </c>
    </row>
    <row r="40" spans="1:13" x14ac:dyDescent="0.25">
      <c r="A40" t="str">
        <f t="shared" si="9"/>
        <v>E111</v>
      </c>
      <c r="B40">
        <v>1</v>
      </c>
      <c r="C40" t="str">
        <f t="shared" ref="C40:C71" si="10">"32040"</f>
        <v>32040</v>
      </c>
      <c r="D40" t="str">
        <f t="shared" ref="D40:D71" si="11">"5610"</f>
        <v>5610</v>
      </c>
      <c r="E40" t="str">
        <f t="shared" ref="E40:E71" si="12">"850LOS"</f>
        <v>850LOS</v>
      </c>
      <c r="F40" t="str">
        <f>""</f>
        <v/>
      </c>
      <c r="G40" t="str">
        <f>""</f>
        <v/>
      </c>
      <c r="H40" s="1">
        <v>39324</v>
      </c>
      <c r="I40" t="str">
        <f>"PCD00282"</f>
        <v>PCD00282</v>
      </c>
      <c r="J40" t="str">
        <f>"64452"</f>
        <v>64452</v>
      </c>
      <c r="K40" t="str">
        <f>"AS89"</f>
        <v>AS89</v>
      </c>
      <c r="L40" t="s">
        <v>934</v>
      </c>
      <c r="M40">
        <v>103.24</v>
      </c>
    </row>
    <row r="41" spans="1:13" x14ac:dyDescent="0.25">
      <c r="A41" t="str">
        <f t="shared" si="9"/>
        <v>E111</v>
      </c>
      <c r="B41">
        <v>1</v>
      </c>
      <c r="C41" t="str">
        <f t="shared" si="10"/>
        <v>32040</v>
      </c>
      <c r="D41" t="str">
        <f t="shared" si="11"/>
        <v>5610</v>
      </c>
      <c r="E41" t="str">
        <f t="shared" si="12"/>
        <v>850LOS</v>
      </c>
      <c r="F41" t="str">
        <f>""</f>
        <v/>
      </c>
      <c r="G41" t="str">
        <f>""</f>
        <v/>
      </c>
      <c r="H41" s="1">
        <v>39325</v>
      </c>
      <c r="I41" t="str">
        <f>"3082901A"</f>
        <v>3082901A</v>
      </c>
      <c r="J41" t="str">
        <f t="shared" ref="J41:J53" si="13">"BP52205L"</f>
        <v>BP52205L</v>
      </c>
      <c r="K41" t="str">
        <f t="shared" ref="K41:K53" si="14">"INNI"</f>
        <v>INNI</v>
      </c>
      <c r="L41" t="s">
        <v>36</v>
      </c>
      <c r="M41">
        <v>536.62</v>
      </c>
    </row>
    <row r="42" spans="1:13" x14ac:dyDescent="0.25">
      <c r="A42" t="str">
        <f t="shared" si="9"/>
        <v>E111</v>
      </c>
      <c r="B42">
        <v>1</v>
      </c>
      <c r="C42" t="str">
        <f t="shared" si="10"/>
        <v>32040</v>
      </c>
      <c r="D42" t="str">
        <f t="shared" si="11"/>
        <v>5610</v>
      </c>
      <c r="E42" t="str">
        <f t="shared" si="12"/>
        <v>850LOS</v>
      </c>
      <c r="F42" t="str">
        <f>""</f>
        <v/>
      </c>
      <c r="G42" t="str">
        <f>""</f>
        <v/>
      </c>
      <c r="H42" s="1">
        <v>39325</v>
      </c>
      <c r="I42" t="str">
        <f>"62808301"</f>
        <v>62808301</v>
      </c>
      <c r="J42" t="str">
        <f t="shared" si="13"/>
        <v>BP52205L</v>
      </c>
      <c r="K42" t="str">
        <f t="shared" si="14"/>
        <v>INNI</v>
      </c>
      <c r="L42" t="s">
        <v>36</v>
      </c>
      <c r="M42">
        <v>504.6</v>
      </c>
    </row>
    <row r="43" spans="1:13" x14ac:dyDescent="0.25">
      <c r="A43" t="str">
        <f t="shared" si="9"/>
        <v>E111</v>
      </c>
      <c r="B43">
        <v>1</v>
      </c>
      <c r="C43" t="str">
        <f t="shared" si="10"/>
        <v>32040</v>
      </c>
      <c r="D43" t="str">
        <f t="shared" si="11"/>
        <v>5610</v>
      </c>
      <c r="E43" t="str">
        <f t="shared" si="12"/>
        <v>850LOS</v>
      </c>
      <c r="F43" t="str">
        <f>""</f>
        <v/>
      </c>
      <c r="G43" t="str">
        <f>""</f>
        <v/>
      </c>
      <c r="H43" s="1">
        <v>39325</v>
      </c>
      <c r="I43" t="str">
        <f>"63082903"</f>
        <v>63082903</v>
      </c>
      <c r="J43" t="str">
        <f t="shared" si="13"/>
        <v>BP52205L</v>
      </c>
      <c r="K43" t="str">
        <f t="shared" si="14"/>
        <v>INNI</v>
      </c>
      <c r="L43" t="s">
        <v>36</v>
      </c>
      <c r="M43">
        <v>590.73</v>
      </c>
    </row>
    <row r="44" spans="1:13" x14ac:dyDescent="0.25">
      <c r="A44" t="str">
        <f t="shared" si="9"/>
        <v>E111</v>
      </c>
      <c r="B44">
        <v>1</v>
      </c>
      <c r="C44" t="str">
        <f t="shared" si="10"/>
        <v>32040</v>
      </c>
      <c r="D44" t="str">
        <f t="shared" si="11"/>
        <v>5610</v>
      </c>
      <c r="E44" t="str">
        <f t="shared" si="12"/>
        <v>850LOS</v>
      </c>
      <c r="F44" t="str">
        <f>""</f>
        <v/>
      </c>
      <c r="G44" t="str">
        <f>""</f>
        <v/>
      </c>
      <c r="H44" s="1">
        <v>39351</v>
      </c>
      <c r="I44" t="str">
        <f>"62904401"</f>
        <v>62904401</v>
      </c>
      <c r="J44" t="str">
        <f t="shared" si="13"/>
        <v>BP52205L</v>
      </c>
      <c r="K44" t="str">
        <f t="shared" si="14"/>
        <v>INNI</v>
      </c>
      <c r="L44" t="s">
        <v>36</v>
      </c>
      <c r="M44" s="2">
        <v>2985.34</v>
      </c>
    </row>
    <row r="45" spans="1:13" x14ac:dyDescent="0.25">
      <c r="A45" t="str">
        <f t="shared" si="9"/>
        <v>E111</v>
      </c>
      <c r="B45">
        <v>1</v>
      </c>
      <c r="C45" t="str">
        <f t="shared" si="10"/>
        <v>32040</v>
      </c>
      <c r="D45" t="str">
        <f t="shared" si="11"/>
        <v>5610</v>
      </c>
      <c r="E45" t="str">
        <f t="shared" si="12"/>
        <v>850LOS</v>
      </c>
      <c r="F45" t="str">
        <f>""</f>
        <v/>
      </c>
      <c r="G45" t="str">
        <f>""</f>
        <v/>
      </c>
      <c r="H45" s="1">
        <v>39351</v>
      </c>
      <c r="I45" t="str">
        <f>"63082906"</f>
        <v>63082906</v>
      </c>
      <c r="J45" t="str">
        <f t="shared" si="13"/>
        <v>BP52205L</v>
      </c>
      <c r="K45" t="str">
        <f t="shared" si="14"/>
        <v>INNI</v>
      </c>
      <c r="L45" t="s">
        <v>36</v>
      </c>
      <c r="M45" s="2">
        <v>2344.56</v>
      </c>
    </row>
    <row r="46" spans="1:13" x14ac:dyDescent="0.25">
      <c r="A46" t="str">
        <f t="shared" si="9"/>
        <v>E111</v>
      </c>
      <c r="B46">
        <v>1</v>
      </c>
      <c r="C46" t="str">
        <f t="shared" si="10"/>
        <v>32040</v>
      </c>
      <c r="D46" t="str">
        <f t="shared" si="11"/>
        <v>5610</v>
      </c>
      <c r="E46" t="str">
        <f t="shared" si="12"/>
        <v>850LOS</v>
      </c>
      <c r="F46" t="str">
        <f>""</f>
        <v/>
      </c>
      <c r="G46" t="str">
        <f>""</f>
        <v/>
      </c>
      <c r="H46" s="1">
        <v>39351</v>
      </c>
      <c r="I46" t="str">
        <f>"63337501"</f>
        <v>63337501</v>
      </c>
      <c r="J46" t="str">
        <f t="shared" si="13"/>
        <v>BP52205L</v>
      </c>
      <c r="K46" t="str">
        <f t="shared" si="14"/>
        <v>INNI</v>
      </c>
      <c r="L46" t="s">
        <v>36</v>
      </c>
      <c r="M46">
        <v>164.53</v>
      </c>
    </row>
    <row r="47" spans="1:13" x14ac:dyDescent="0.25">
      <c r="A47" t="str">
        <f t="shared" si="9"/>
        <v>E111</v>
      </c>
      <c r="B47">
        <v>1</v>
      </c>
      <c r="C47" t="str">
        <f t="shared" si="10"/>
        <v>32040</v>
      </c>
      <c r="D47" t="str">
        <f t="shared" si="11"/>
        <v>5610</v>
      </c>
      <c r="E47" t="str">
        <f t="shared" si="12"/>
        <v>850LOS</v>
      </c>
      <c r="F47" t="str">
        <f>""</f>
        <v/>
      </c>
      <c r="G47" t="str">
        <f>""</f>
        <v/>
      </c>
      <c r="H47" s="1">
        <v>39351</v>
      </c>
      <c r="I47" t="str">
        <f>"63376402"</f>
        <v>63376402</v>
      </c>
      <c r="J47" t="str">
        <f t="shared" si="13"/>
        <v>BP52205L</v>
      </c>
      <c r="K47" t="str">
        <f t="shared" si="14"/>
        <v>INNI</v>
      </c>
      <c r="L47" t="s">
        <v>36</v>
      </c>
      <c r="M47" s="2">
        <v>1078.72</v>
      </c>
    </row>
    <row r="48" spans="1:13" x14ac:dyDescent="0.25">
      <c r="A48" t="str">
        <f t="shared" si="9"/>
        <v>E111</v>
      </c>
      <c r="B48">
        <v>1</v>
      </c>
      <c r="C48" t="str">
        <f t="shared" si="10"/>
        <v>32040</v>
      </c>
      <c r="D48" t="str">
        <f t="shared" si="11"/>
        <v>5610</v>
      </c>
      <c r="E48" t="str">
        <f t="shared" si="12"/>
        <v>850LOS</v>
      </c>
      <c r="F48" t="str">
        <f>""</f>
        <v/>
      </c>
      <c r="G48" t="str">
        <f>""</f>
        <v/>
      </c>
      <c r="H48" s="1">
        <v>39352</v>
      </c>
      <c r="I48" t="str">
        <f>"63082907"</f>
        <v>63082907</v>
      </c>
      <c r="J48" t="str">
        <f t="shared" si="13"/>
        <v>BP52205L</v>
      </c>
      <c r="K48" t="str">
        <f t="shared" si="14"/>
        <v>INNI</v>
      </c>
      <c r="L48" t="s">
        <v>36</v>
      </c>
      <c r="M48">
        <v>168.27</v>
      </c>
    </row>
    <row r="49" spans="1:13" x14ac:dyDescent="0.25">
      <c r="A49" t="str">
        <f t="shared" si="9"/>
        <v>E111</v>
      </c>
      <c r="B49">
        <v>1</v>
      </c>
      <c r="C49" t="str">
        <f t="shared" si="10"/>
        <v>32040</v>
      </c>
      <c r="D49" t="str">
        <f t="shared" si="11"/>
        <v>5610</v>
      </c>
      <c r="E49" t="str">
        <f t="shared" si="12"/>
        <v>850LOS</v>
      </c>
      <c r="F49" t="str">
        <f>""</f>
        <v/>
      </c>
      <c r="G49" t="str">
        <f>""</f>
        <v/>
      </c>
      <c r="H49" s="1">
        <v>39352</v>
      </c>
      <c r="I49" t="str">
        <f>"63376401"</f>
        <v>63376401</v>
      </c>
      <c r="J49" t="str">
        <f t="shared" si="13"/>
        <v>BP52205L</v>
      </c>
      <c r="K49" t="str">
        <f t="shared" si="14"/>
        <v>INNI</v>
      </c>
      <c r="L49" t="s">
        <v>36</v>
      </c>
      <c r="M49">
        <v>162.6</v>
      </c>
    </row>
    <row r="50" spans="1:13" x14ac:dyDescent="0.25">
      <c r="A50" t="str">
        <f t="shared" si="9"/>
        <v>E111</v>
      </c>
      <c r="B50">
        <v>1</v>
      </c>
      <c r="C50" t="str">
        <f t="shared" si="10"/>
        <v>32040</v>
      </c>
      <c r="D50" t="str">
        <f t="shared" si="11"/>
        <v>5610</v>
      </c>
      <c r="E50" t="str">
        <f t="shared" si="12"/>
        <v>850LOS</v>
      </c>
      <c r="F50" t="str">
        <f>""</f>
        <v/>
      </c>
      <c r="G50" t="str">
        <f>""</f>
        <v/>
      </c>
      <c r="H50" s="1">
        <v>39352</v>
      </c>
      <c r="I50" t="str">
        <f>"63376403"</f>
        <v>63376403</v>
      </c>
      <c r="J50" t="str">
        <f t="shared" si="13"/>
        <v>BP52205L</v>
      </c>
      <c r="K50" t="str">
        <f t="shared" si="14"/>
        <v>INNI</v>
      </c>
      <c r="L50" t="s">
        <v>36</v>
      </c>
      <c r="M50">
        <v>122.46</v>
      </c>
    </row>
    <row r="51" spans="1:13" x14ac:dyDescent="0.25">
      <c r="A51" t="str">
        <f t="shared" si="9"/>
        <v>E111</v>
      </c>
      <c r="B51">
        <v>1</v>
      </c>
      <c r="C51" t="str">
        <f t="shared" si="10"/>
        <v>32040</v>
      </c>
      <c r="D51" t="str">
        <f t="shared" si="11"/>
        <v>5610</v>
      </c>
      <c r="E51" t="str">
        <f t="shared" si="12"/>
        <v>850LOS</v>
      </c>
      <c r="F51" t="str">
        <f>""</f>
        <v/>
      </c>
      <c r="G51" t="str">
        <f>""</f>
        <v/>
      </c>
      <c r="H51" s="1">
        <v>39352</v>
      </c>
      <c r="I51" t="str">
        <f>"63403601"</f>
        <v>63403601</v>
      </c>
      <c r="J51" t="str">
        <f t="shared" si="13"/>
        <v>BP52205L</v>
      </c>
      <c r="K51" t="str">
        <f t="shared" si="14"/>
        <v>INNI</v>
      </c>
      <c r="L51" t="s">
        <v>36</v>
      </c>
      <c r="M51">
        <v>174.64</v>
      </c>
    </row>
    <row r="52" spans="1:13" x14ac:dyDescent="0.25">
      <c r="A52" t="str">
        <f t="shared" si="9"/>
        <v>E111</v>
      </c>
      <c r="B52">
        <v>1</v>
      </c>
      <c r="C52" t="str">
        <f t="shared" si="10"/>
        <v>32040</v>
      </c>
      <c r="D52" t="str">
        <f t="shared" si="11"/>
        <v>5610</v>
      </c>
      <c r="E52" t="str">
        <f t="shared" si="12"/>
        <v>850LOS</v>
      </c>
      <c r="F52" t="str">
        <f>""</f>
        <v/>
      </c>
      <c r="G52" t="str">
        <f>""</f>
        <v/>
      </c>
      <c r="H52" s="1">
        <v>39358</v>
      </c>
      <c r="I52" t="str">
        <f>"63084301"</f>
        <v>63084301</v>
      </c>
      <c r="J52" t="str">
        <f t="shared" si="13"/>
        <v>BP52205L</v>
      </c>
      <c r="K52" t="str">
        <f t="shared" si="14"/>
        <v>INNI</v>
      </c>
      <c r="L52" t="s">
        <v>36</v>
      </c>
      <c r="M52">
        <v>218.11</v>
      </c>
    </row>
    <row r="53" spans="1:13" x14ac:dyDescent="0.25">
      <c r="A53" t="str">
        <f t="shared" si="9"/>
        <v>E111</v>
      </c>
      <c r="B53">
        <v>1</v>
      </c>
      <c r="C53" t="str">
        <f t="shared" si="10"/>
        <v>32040</v>
      </c>
      <c r="D53" t="str">
        <f t="shared" si="11"/>
        <v>5610</v>
      </c>
      <c r="E53" t="str">
        <f t="shared" si="12"/>
        <v>850LOS</v>
      </c>
      <c r="F53" t="str">
        <f>""</f>
        <v/>
      </c>
      <c r="G53" t="str">
        <f>""</f>
        <v/>
      </c>
      <c r="H53" s="1">
        <v>39358</v>
      </c>
      <c r="I53" t="str">
        <f>"63104901"</f>
        <v>63104901</v>
      </c>
      <c r="J53" t="str">
        <f t="shared" si="13"/>
        <v>BP52205L</v>
      </c>
      <c r="K53" t="str">
        <f t="shared" si="14"/>
        <v>INNI</v>
      </c>
      <c r="L53" t="s">
        <v>36</v>
      </c>
      <c r="M53">
        <v>620.39</v>
      </c>
    </row>
    <row r="54" spans="1:13" x14ac:dyDescent="0.25">
      <c r="A54" t="str">
        <f t="shared" ref="A54:A85" si="15">"E111"</f>
        <v>E111</v>
      </c>
      <c r="B54">
        <v>1</v>
      </c>
      <c r="C54" t="str">
        <f t="shared" si="10"/>
        <v>32040</v>
      </c>
      <c r="D54" t="str">
        <f t="shared" si="11"/>
        <v>5610</v>
      </c>
      <c r="E54" t="str">
        <f t="shared" si="12"/>
        <v>850LOS</v>
      </c>
      <c r="F54" t="str">
        <f>""</f>
        <v/>
      </c>
      <c r="G54" t="str">
        <f>""</f>
        <v/>
      </c>
      <c r="H54" s="1">
        <v>39367</v>
      </c>
      <c r="I54" t="str">
        <f>"PCD00288"</f>
        <v>PCD00288</v>
      </c>
      <c r="J54" t="str">
        <f>"66661"</f>
        <v>66661</v>
      </c>
      <c r="K54" t="str">
        <f>"AS89"</f>
        <v>AS89</v>
      </c>
      <c r="L54" t="s">
        <v>933</v>
      </c>
      <c r="M54">
        <v>273.17</v>
      </c>
    </row>
    <row r="55" spans="1:13" x14ac:dyDescent="0.25">
      <c r="A55" t="str">
        <f t="shared" si="15"/>
        <v>E111</v>
      </c>
      <c r="B55">
        <v>1</v>
      </c>
      <c r="C55" t="str">
        <f t="shared" si="10"/>
        <v>32040</v>
      </c>
      <c r="D55" t="str">
        <f t="shared" si="11"/>
        <v>5610</v>
      </c>
      <c r="E55" t="str">
        <f t="shared" si="12"/>
        <v>850LOS</v>
      </c>
      <c r="F55" t="str">
        <f>""</f>
        <v/>
      </c>
      <c r="G55" t="str">
        <f>""</f>
        <v/>
      </c>
      <c r="H55" s="1">
        <v>39381</v>
      </c>
      <c r="I55" t="str">
        <f>"63226904"</f>
        <v>63226904</v>
      </c>
      <c r="J55" t="str">
        <f t="shared" ref="J55:J78" si="16">"BP52205L"</f>
        <v>BP52205L</v>
      </c>
      <c r="K55" t="str">
        <f t="shared" ref="K55:K78" si="17">"INNI"</f>
        <v>INNI</v>
      </c>
      <c r="L55" t="s">
        <v>36</v>
      </c>
      <c r="M55">
        <v>132.79</v>
      </c>
    </row>
    <row r="56" spans="1:13" x14ac:dyDescent="0.25">
      <c r="A56" t="str">
        <f t="shared" si="15"/>
        <v>E111</v>
      </c>
      <c r="B56">
        <v>1</v>
      </c>
      <c r="C56" t="str">
        <f t="shared" si="10"/>
        <v>32040</v>
      </c>
      <c r="D56" t="str">
        <f t="shared" si="11"/>
        <v>5610</v>
      </c>
      <c r="E56" t="str">
        <f t="shared" si="12"/>
        <v>850LOS</v>
      </c>
      <c r="F56" t="str">
        <f>""</f>
        <v/>
      </c>
      <c r="G56" t="str">
        <f>""</f>
        <v/>
      </c>
      <c r="H56" s="1">
        <v>39381</v>
      </c>
      <c r="I56" t="str">
        <f>"63376405"</f>
        <v>63376405</v>
      </c>
      <c r="J56" t="str">
        <f t="shared" si="16"/>
        <v>BP52205L</v>
      </c>
      <c r="K56" t="str">
        <f t="shared" si="17"/>
        <v>INNI</v>
      </c>
      <c r="L56" t="s">
        <v>36</v>
      </c>
      <c r="M56" s="2">
        <v>1180.24</v>
      </c>
    </row>
    <row r="57" spans="1:13" x14ac:dyDescent="0.25">
      <c r="A57" t="str">
        <f t="shared" si="15"/>
        <v>E111</v>
      </c>
      <c r="B57">
        <v>1</v>
      </c>
      <c r="C57" t="str">
        <f t="shared" si="10"/>
        <v>32040</v>
      </c>
      <c r="D57" t="str">
        <f t="shared" si="11"/>
        <v>5610</v>
      </c>
      <c r="E57" t="str">
        <f t="shared" si="12"/>
        <v>850LOS</v>
      </c>
      <c r="F57" t="str">
        <f>""</f>
        <v/>
      </c>
      <c r="G57" t="str">
        <f>""</f>
        <v/>
      </c>
      <c r="H57" s="1">
        <v>39394</v>
      </c>
      <c r="I57" t="str">
        <f>"63082908"</f>
        <v>63082908</v>
      </c>
      <c r="J57" t="str">
        <f t="shared" si="16"/>
        <v>BP52205L</v>
      </c>
      <c r="K57" t="str">
        <f t="shared" si="17"/>
        <v>INNI</v>
      </c>
      <c r="L57" t="s">
        <v>36</v>
      </c>
      <c r="M57">
        <v>479.93</v>
      </c>
    </row>
    <row r="58" spans="1:13" x14ac:dyDescent="0.25">
      <c r="A58" t="str">
        <f t="shared" si="15"/>
        <v>E111</v>
      </c>
      <c r="B58">
        <v>1</v>
      </c>
      <c r="C58" t="str">
        <f t="shared" si="10"/>
        <v>32040</v>
      </c>
      <c r="D58" t="str">
        <f t="shared" si="11"/>
        <v>5610</v>
      </c>
      <c r="E58" t="str">
        <f t="shared" si="12"/>
        <v>850LOS</v>
      </c>
      <c r="F58" t="str">
        <f>""</f>
        <v/>
      </c>
      <c r="G58" t="str">
        <f>""</f>
        <v/>
      </c>
      <c r="H58" s="1">
        <v>39406</v>
      </c>
      <c r="I58" t="str">
        <f>"63917301"</f>
        <v>63917301</v>
      </c>
      <c r="J58" t="str">
        <f t="shared" si="16"/>
        <v>BP52205L</v>
      </c>
      <c r="K58" t="str">
        <f t="shared" si="17"/>
        <v>INNI</v>
      </c>
      <c r="L58" t="s">
        <v>36</v>
      </c>
      <c r="M58">
        <v>446.91</v>
      </c>
    </row>
    <row r="59" spans="1:13" x14ac:dyDescent="0.25">
      <c r="A59" t="str">
        <f t="shared" si="15"/>
        <v>E111</v>
      </c>
      <c r="B59">
        <v>1</v>
      </c>
      <c r="C59" t="str">
        <f t="shared" si="10"/>
        <v>32040</v>
      </c>
      <c r="D59" t="str">
        <f t="shared" si="11"/>
        <v>5610</v>
      </c>
      <c r="E59" t="str">
        <f t="shared" si="12"/>
        <v>850LOS</v>
      </c>
      <c r="F59" t="str">
        <f>""</f>
        <v/>
      </c>
      <c r="G59" t="str">
        <f>""</f>
        <v/>
      </c>
      <c r="H59" s="1">
        <v>39406</v>
      </c>
      <c r="I59" t="str">
        <f>"63917302"</f>
        <v>63917302</v>
      </c>
      <c r="J59" t="str">
        <f t="shared" si="16"/>
        <v>BP52205L</v>
      </c>
      <c r="K59" t="str">
        <f t="shared" si="17"/>
        <v>INNI</v>
      </c>
      <c r="L59" t="s">
        <v>36</v>
      </c>
      <c r="M59">
        <v>478.64</v>
      </c>
    </row>
    <row r="60" spans="1:13" x14ac:dyDescent="0.25">
      <c r="A60" t="str">
        <f t="shared" si="15"/>
        <v>E111</v>
      </c>
      <c r="B60">
        <v>1</v>
      </c>
      <c r="C60" t="str">
        <f t="shared" si="10"/>
        <v>32040</v>
      </c>
      <c r="D60" t="str">
        <f t="shared" si="11"/>
        <v>5610</v>
      </c>
      <c r="E60" t="str">
        <f t="shared" si="12"/>
        <v>850LOS</v>
      </c>
      <c r="F60" t="str">
        <f>""</f>
        <v/>
      </c>
      <c r="G60" t="str">
        <f>""</f>
        <v/>
      </c>
      <c r="H60" s="1">
        <v>39406</v>
      </c>
      <c r="I60" t="str">
        <f>"63917305"</f>
        <v>63917305</v>
      </c>
      <c r="J60" t="str">
        <f t="shared" si="16"/>
        <v>BP52205L</v>
      </c>
      <c r="K60" t="str">
        <f t="shared" si="17"/>
        <v>INNI</v>
      </c>
      <c r="L60" t="s">
        <v>36</v>
      </c>
      <c r="M60" s="2">
        <v>1901.55</v>
      </c>
    </row>
    <row r="61" spans="1:13" x14ac:dyDescent="0.25">
      <c r="A61" t="str">
        <f t="shared" si="15"/>
        <v>E111</v>
      </c>
      <c r="B61">
        <v>1</v>
      </c>
      <c r="C61" t="str">
        <f t="shared" si="10"/>
        <v>32040</v>
      </c>
      <c r="D61" t="str">
        <f t="shared" si="11"/>
        <v>5610</v>
      </c>
      <c r="E61" t="str">
        <f t="shared" si="12"/>
        <v>850LOS</v>
      </c>
      <c r="F61" t="str">
        <f>""</f>
        <v/>
      </c>
      <c r="G61" t="str">
        <f>""</f>
        <v/>
      </c>
      <c r="H61" s="1">
        <v>39427</v>
      </c>
      <c r="I61" t="str">
        <f>"64142601"</f>
        <v>64142601</v>
      </c>
      <c r="J61" t="str">
        <f t="shared" si="16"/>
        <v>BP52205L</v>
      </c>
      <c r="K61" t="str">
        <f t="shared" si="17"/>
        <v>INNI</v>
      </c>
      <c r="L61" t="s">
        <v>36</v>
      </c>
      <c r="M61">
        <v>149.15</v>
      </c>
    </row>
    <row r="62" spans="1:13" x14ac:dyDescent="0.25">
      <c r="A62" t="str">
        <f t="shared" si="15"/>
        <v>E111</v>
      </c>
      <c r="B62">
        <v>1</v>
      </c>
      <c r="C62" t="str">
        <f t="shared" si="10"/>
        <v>32040</v>
      </c>
      <c r="D62" t="str">
        <f t="shared" si="11"/>
        <v>5610</v>
      </c>
      <c r="E62" t="str">
        <f t="shared" si="12"/>
        <v>850LOS</v>
      </c>
      <c r="F62" t="str">
        <f>""</f>
        <v/>
      </c>
      <c r="G62" t="str">
        <f>""</f>
        <v/>
      </c>
      <c r="H62" s="1">
        <v>39427</v>
      </c>
      <c r="I62" t="str">
        <f>"64142602"</f>
        <v>64142602</v>
      </c>
      <c r="J62" t="str">
        <f t="shared" si="16"/>
        <v>BP52205L</v>
      </c>
      <c r="K62" t="str">
        <f t="shared" si="17"/>
        <v>INNI</v>
      </c>
      <c r="L62" t="s">
        <v>36</v>
      </c>
      <c r="M62">
        <v>215.65</v>
      </c>
    </row>
    <row r="63" spans="1:13" x14ac:dyDescent="0.25">
      <c r="A63" t="str">
        <f t="shared" si="15"/>
        <v>E111</v>
      </c>
      <c r="B63">
        <v>1</v>
      </c>
      <c r="C63" t="str">
        <f t="shared" si="10"/>
        <v>32040</v>
      </c>
      <c r="D63" t="str">
        <f t="shared" si="11"/>
        <v>5610</v>
      </c>
      <c r="E63" t="str">
        <f t="shared" si="12"/>
        <v>850LOS</v>
      </c>
      <c r="F63" t="str">
        <f>""</f>
        <v/>
      </c>
      <c r="G63" t="str">
        <f>""</f>
        <v/>
      </c>
      <c r="H63" s="1">
        <v>39427</v>
      </c>
      <c r="I63" t="str">
        <f>"64142603"</f>
        <v>64142603</v>
      </c>
      <c r="J63" t="str">
        <f t="shared" si="16"/>
        <v>BP52205L</v>
      </c>
      <c r="K63" t="str">
        <f t="shared" si="17"/>
        <v>INNI</v>
      </c>
      <c r="L63" t="s">
        <v>36</v>
      </c>
      <c r="M63">
        <v>452.49</v>
      </c>
    </row>
    <row r="64" spans="1:13" x14ac:dyDescent="0.25">
      <c r="A64" t="str">
        <f t="shared" si="15"/>
        <v>E111</v>
      </c>
      <c r="B64">
        <v>1</v>
      </c>
      <c r="C64" t="str">
        <f t="shared" si="10"/>
        <v>32040</v>
      </c>
      <c r="D64" t="str">
        <f t="shared" si="11"/>
        <v>5610</v>
      </c>
      <c r="E64" t="str">
        <f t="shared" si="12"/>
        <v>850LOS</v>
      </c>
      <c r="F64" t="str">
        <f>""</f>
        <v/>
      </c>
      <c r="G64" t="str">
        <f>""</f>
        <v/>
      </c>
      <c r="H64" s="1">
        <v>39435</v>
      </c>
      <c r="I64" t="str">
        <f>"64215201"</f>
        <v>64215201</v>
      </c>
      <c r="J64" t="str">
        <f t="shared" si="16"/>
        <v>BP52205L</v>
      </c>
      <c r="K64" t="str">
        <f t="shared" si="17"/>
        <v>INNI</v>
      </c>
      <c r="L64" t="s">
        <v>36</v>
      </c>
      <c r="M64">
        <v>360.86</v>
      </c>
    </row>
    <row r="65" spans="1:13" x14ac:dyDescent="0.25">
      <c r="A65" t="str">
        <f t="shared" si="15"/>
        <v>E111</v>
      </c>
      <c r="B65">
        <v>1</v>
      </c>
      <c r="C65" t="str">
        <f t="shared" si="10"/>
        <v>32040</v>
      </c>
      <c r="D65" t="str">
        <f t="shared" si="11"/>
        <v>5610</v>
      </c>
      <c r="E65" t="str">
        <f t="shared" si="12"/>
        <v>850LOS</v>
      </c>
      <c r="F65" t="str">
        <f>""</f>
        <v/>
      </c>
      <c r="G65" t="str">
        <f>""</f>
        <v/>
      </c>
      <c r="H65" s="1">
        <v>39435</v>
      </c>
      <c r="I65" t="str">
        <f>"64218301"</f>
        <v>64218301</v>
      </c>
      <c r="J65" t="str">
        <f t="shared" si="16"/>
        <v>BP52205L</v>
      </c>
      <c r="K65" t="str">
        <f t="shared" si="17"/>
        <v>INNI</v>
      </c>
      <c r="L65" t="s">
        <v>36</v>
      </c>
      <c r="M65">
        <v>700.12</v>
      </c>
    </row>
    <row r="66" spans="1:13" x14ac:dyDescent="0.25">
      <c r="A66" t="str">
        <f t="shared" si="15"/>
        <v>E111</v>
      </c>
      <c r="B66">
        <v>1</v>
      </c>
      <c r="C66" t="str">
        <f t="shared" si="10"/>
        <v>32040</v>
      </c>
      <c r="D66" t="str">
        <f t="shared" si="11"/>
        <v>5610</v>
      </c>
      <c r="E66" t="str">
        <f t="shared" si="12"/>
        <v>850LOS</v>
      </c>
      <c r="F66" t="str">
        <f>""</f>
        <v/>
      </c>
      <c r="G66" t="str">
        <f>""</f>
        <v/>
      </c>
      <c r="H66" s="1">
        <v>39435</v>
      </c>
      <c r="I66" t="str">
        <f>"64218302"</f>
        <v>64218302</v>
      </c>
      <c r="J66" t="str">
        <f t="shared" si="16"/>
        <v>BP52205L</v>
      </c>
      <c r="K66" t="str">
        <f t="shared" si="17"/>
        <v>INNI</v>
      </c>
      <c r="L66" t="s">
        <v>36</v>
      </c>
      <c r="M66">
        <v>736.56</v>
      </c>
    </row>
    <row r="67" spans="1:13" x14ac:dyDescent="0.25">
      <c r="A67" t="str">
        <f t="shared" si="15"/>
        <v>E111</v>
      </c>
      <c r="B67">
        <v>1</v>
      </c>
      <c r="C67" t="str">
        <f t="shared" si="10"/>
        <v>32040</v>
      </c>
      <c r="D67" t="str">
        <f t="shared" si="11"/>
        <v>5610</v>
      </c>
      <c r="E67" t="str">
        <f t="shared" si="12"/>
        <v>850LOS</v>
      </c>
      <c r="F67" t="str">
        <f>""</f>
        <v/>
      </c>
      <c r="G67" t="str">
        <f>""</f>
        <v/>
      </c>
      <c r="H67" s="1">
        <v>39447</v>
      </c>
      <c r="I67" t="str">
        <f>"64215202"</f>
        <v>64215202</v>
      </c>
      <c r="J67" t="str">
        <f t="shared" si="16"/>
        <v>BP52205L</v>
      </c>
      <c r="K67" t="str">
        <f t="shared" si="17"/>
        <v>INNI</v>
      </c>
      <c r="L67" t="s">
        <v>36</v>
      </c>
      <c r="M67">
        <v>283.29000000000002</v>
      </c>
    </row>
    <row r="68" spans="1:13" x14ac:dyDescent="0.25">
      <c r="A68" t="str">
        <f t="shared" si="15"/>
        <v>E111</v>
      </c>
      <c r="B68">
        <v>1</v>
      </c>
      <c r="C68" t="str">
        <f t="shared" si="10"/>
        <v>32040</v>
      </c>
      <c r="D68" t="str">
        <f t="shared" si="11"/>
        <v>5610</v>
      </c>
      <c r="E68" t="str">
        <f t="shared" si="12"/>
        <v>850LOS</v>
      </c>
      <c r="F68" t="str">
        <f>""</f>
        <v/>
      </c>
      <c r="G68" t="str">
        <f>""</f>
        <v/>
      </c>
      <c r="H68" s="1">
        <v>39451</v>
      </c>
      <c r="I68" t="str">
        <f>"64142604"</f>
        <v>64142604</v>
      </c>
      <c r="J68" t="str">
        <f t="shared" si="16"/>
        <v>BP52205L</v>
      </c>
      <c r="K68" t="str">
        <f t="shared" si="17"/>
        <v>INNI</v>
      </c>
      <c r="L68" t="s">
        <v>36</v>
      </c>
      <c r="M68">
        <v>103.05</v>
      </c>
    </row>
    <row r="69" spans="1:13" x14ac:dyDescent="0.25">
      <c r="A69" t="str">
        <f t="shared" si="15"/>
        <v>E111</v>
      </c>
      <c r="B69">
        <v>1</v>
      </c>
      <c r="C69" t="str">
        <f t="shared" si="10"/>
        <v>32040</v>
      </c>
      <c r="D69" t="str">
        <f t="shared" si="11"/>
        <v>5610</v>
      </c>
      <c r="E69" t="str">
        <f t="shared" si="12"/>
        <v>850LOS</v>
      </c>
      <c r="F69" t="str">
        <f>""</f>
        <v/>
      </c>
      <c r="G69" t="str">
        <f>""</f>
        <v/>
      </c>
      <c r="H69" s="1">
        <v>39471</v>
      </c>
      <c r="I69" t="str">
        <f>"64544401"</f>
        <v>64544401</v>
      </c>
      <c r="J69" t="str">
        <f t="shared" si="16"/>
        <v>BP52205L</v>
      </c>
      <c r="K69" t="str">
        <f t="shared" si="17"/>
        <v>INNI</v>
      </c>
      <c r="L69" t="s">
        <v>36</v>
      </c>
      <c r="M69" s="2">
        <v>1937.76</v>
      </c>
    </row>
    <row r="70" spans="1:13" x14ac:dyDescent="0.25">
      <c r="A70" t="str">
        <f t="shared" si="15"/>
        <v>E111</v>
      </c>
      <c r="B70">
        <v>1</v>
      </c>
      <c r="C70" t="str">
        <f t="shared" si="10"/>
        <v>32040</v>
      </c>
      <c r="D70" t="str">
        <f t="shared" si="11"/>
        <v>5610</v>
      </c>
      <c r="E70" t="str">
        <f t="shared" si="12"/>
        <v>850LOS</v>
      </c>
      <c r="F70" t="str">
        <f>""</f>
        <v/>
      </c>
      <c r="G70" t="str">
        <f>""</f>
        <v/>
      </c>
      <c r="H70" s="1">
        <v>39471</v>
      </c>
      <c r="I70" t="str">
        <f>"64544402"</f>
        <v>64544402</v>
      </c>
      <c r="J70" t="str">
        <f t="shared" si="16"/>
        <v>BP52205L</v>
      </c>
      <c r="K70" t="str">
        <f t="shared" si="17"/>
        <v>INNI</v>
      </c>
      <c r="L70" t="s">
        <v>36</v>
      </c>
      <c r="M70">
        <v>109.09</v>
      </c>
    </row>
    <row r="71" spans="1:13" x14ac:dyDescent="0.25">
      <c r="A71" t="str">
        <f t="shared" si="15"/>
        <v>E111</v>
      </c>
      <c r="B71">
        <v>1</v>
      </c>
      <c r="C71" t="str">
        <f t="shared" si="10"/>
        <v>32040</v>
      </c>
      <c r="D71" t="str">
        <f t="shared" si="11"/>
        <v>5610</v>
      </c>
      <c r="E71" t="str">
        <f t="shared" si="12"/>
        <v>850LOS</v>
      </c>
      <c r="F71" t="str">
        <f>""</f>
        <v/>
      </c>
      <c r="G71" t="str">
        <f>""</f>
        <v/>
      </c>
      <c r="H71" s="1">
        <v>39491</v>
      </c>
      <c r="I71" t="str">
        <f>"64544404"</f>
        <v>64544404</v>
      </c>
      <c r="J71" t="str">
        <f t="shared" si="16"/>
        <v>BP52205L</v>
      </c>
      <c r="K71" t="str">
        <f t="shared" si="17"/>
        <v>INNI</v>
      </c>
      <c r="L71" t="s">
        <v>36</v>
      </c>
      <c r="M71">
        <v>548.16</v>
      </c>
    </row>
    <row r="72" spans="1:13" x14ac:dyDescent="0.25">
      <c r="A72" t="str">
        <f t="shared" si="15"/>
        <v>E111</v>
      </c>
      <c r="B72">
        <v>1</v>
      </c>
      <c r="C72" t="str">
        <f t="shared" ref="C72:C96" si="18">"32040"</f>
        <v>32040</v>
      </c>
      <c r="D72" t="str">
        <f t="shared" ref="D72:D96" si="19">"5610"</f>
        <v>5610</v>
      </c>
      <c r="E72" t="str">
        <f t="shared" ref="E72:E103" si="20">"850LOS"</f>
        <v>850LOS</v>
      </c>
      <c r="F72" t="str">
        <f>""</f>
        <v/>
      </c>
      <c r="G72" t="str">
        <f>""</f>
        <v/>
      </c>
      <c r="H72" s="1">
        <v>39517</v>
      </c>
      <c r="I72" t="str">
        <f>"65104801"</f>
        <v>65104801</v>
      </c>
      <c r="J72" t="str">
        <f t="shared" si="16"/>
        <v>BP52205L</v>
      </c>
      <c r="K72" t="str">
        <f t="shared" si="17"/>
        <v>INNI</v>
      </c>
      <c r="L72" t="s">
        <v>36</v>
      </c>
      <c r="M72">
        <v>205.56</v>
      </c>
    </row>
    <row r="73" spans="1:13" x14ac:dyDescent="0.25">
      <c r="A73" t="str">
        <f t="shared" si="15"/>
        <v>E111</v>
      </c>
      <c r="B73">
        <v>1</v>
      </c>
      <c r="C73" t="str">
        <f t="shared" si="18"/>
        <v>32040</v>
      </c>
      <c r="D73" t="str">
        <f t="shared" si="19"/>
        <v>5610</v>
      </c>
      <c r="E73" t="str">
        <f t="shared" si="20"/>
        <v>850LOS</v>
      </c>
      <c r="F73" t="str">
        <f>""</f>
        <v/>
      </c>
      <c r="G73" t="str">
        <f>""</f>
        <v/>
      </c>
      <c r="H73" s="1">
        <v>39517</v>
      </c>
      <c r="I73" t="str">
        <f>"65104802"</f>
        <v>65104802</v>
      </c>
      <c r="J73" t="str">
        <f t="shared" si="16"/>
        <v>BP52205L</v>
      </c>
      <c r="K73" t="str">
        <f t="shared" si="17"/>
        <v>INNI</v>
      </c>
      <c r="L73" t="s">
        <v>36</v>
      </c>
      <c r="M73" s="2">
        <v>2494.33</v>
      </c>
    </row>
    <row r="74" spans="1:13" x14ac:dyDescent="0.25">
      <c r="A74" t="str">
        <f t="shared" si="15"/>
        <v>E111</v>
      </c>
      <c r="B74">
        <v>1</v>
      </c>
      <c r="C74" t="str">
        <f t="shared" si="18"/>
        <v>32040</v>
      </c>
      <c r="D74" t="str">
        <f t="shared" si="19"/>
        <v>5610</v>
      </c>
      <c r="E74" t="str">
        <f t="shared" si="20"/>
        <v>850LOS</v>
      </c>
      <c r="F74" t="str">
        <f>""</f>
        <v/>
      </c>
      <c r="G74" t="str">
        <f>""</f>
        <v/>
      </c>
      <c r="H74" s="1">
        <v>39517</v>
      </c>
      <c r="I74" t="str">
        <f>"65104803"</f>
        <v>65104803</v>
      </c>
      <c r="J74" t="str">
        <f t="shared" si="16"/>
        <v>BP52205L</v>
      </c>
      <c r="K74" t="str">
        <f t="shared" si="17"/>
        <v>INNI</v>
      </c>
      <c r="L74" t="s">
        <v>36</v>
      </c>
      <c r="M74" s="2">
        <v>2686.08</v>
      </c>
    </row>
    <row r="75" spans="1:13" x14ac:dyDescent="0.25">
      <c r="A75" t="str">
        <f t="shared" si="15"/>
        <v>E111</v>
      </c>
      <c r="B75">
        <v>1</v>
      </c>
      <c r="C75" t="str">
        <f t="shared" si="18"/>
        <v>32040</v>
      </c>
      <c r="D75" t="str">
        <f t="shared" si="19"/>
        <v>5610</v>
      </c>
      <c r="E75" t="str">
        <f t="shared" si="20"/>
        <v>850LOS</v>
      </c>
      <c r="F75" t="str">
        <f>""</f>
        <v/>
      </c>
      <c r="G75" t="str">
        <f>""</f>
        <v/>
      </c>
      <c r="H75" s="1">
        <v>39519</v>
      </c>
      <c r="I75" t="str">
        <f>"65112701"</f>
        <v>65112701</v>
      </c>
      <c r="J75" t="str">
        <f t="shared" si="16"/>
        <v>BP52205L</v>
      </c>
      <c r="K75" t="str">
        <f t="shared" si="17"/>
        <v>INNI</v>
      </c>
      <c r="L75" t="s">
        <v>36</v>
      </c>
      <c r="M75">
        <v>594.85</v>
      </c>
    </row>
    <row r="76" spans="1:13" x14ac:dyDescent="0.25">
      <c r="A76" t="str">
        <f t="shared" si="15"/>
        <v>E111</v>
      </c>
      <c r="B76">
        <v>1</v>
      </c>
      <c r="C76" t="str">
        <f t="shared" si="18"/>
        <v>32040</v>
      </c>
      <c r="D76" t="str">
        <f t="shared" si="19"/>
        <v>5610</v>
      </c>
      <c r="E76" t="str">
        <f t="shared" si="20"/>
        <v>850LOS</v>
      </c>
      <c r="F76" t="str">
        <f>""</f>
        <v/>
      </c>
      <c r="G76" t="str">
        <f>""</f>
        <v/>
      </c>
      <c r="H76" s="1">
        <v>39534</v>
      </c>
      <c r="I76" t="str">
        <f>"65213401"</f>
        <v>65213401</v>
      </c>
      <c r="J76" t="str">
        <f t="shared" si="16"/>
        <v>BP52205L</v>
      </c>
      <c r="K76" t="str">
        <f t="shared" si="17"/>
        <v>INNI</v>
      </c>
      <c r="L76" t="s">
        <v>36</v>
      </c>
      <c r="M76">
        <v>851.56</v>
      </c>
    </row>
    <row r="77" spans="1:13" x14ac:dyDescent="0.25">
      <c r="A77" t="str">
        <f t="shared" si="15"/>
        <v>E111</v>
      </c>
      <c r="B77">
        <v>1</v>
      </c>
      <c r="C77" t="str">
        <f t="shared" si="18"/>
        <v>32040</v>
      </c>
      <c r="D77" t="str">
        <f t="shared" si="19"/>
        <v>5610</v>
      </c>
      <c r="E77" t="str">
        <f t="shared" si="20"/>
        <v>850LOS</v>
      </c>
      <c r="F77" t="str">
        <f>""</f>
        <v/>
      </c>
      <c r="G77" t="str">
        <f>""</f>
        <v/>
      </c>
      <c r="H77" s="1">
        <v>39540</v>
      </c>
      <c r="I77" t="str">
        <f>"65144601"</f>
        <v>65144601</v>
      </c>
      <c r="J77" t="str">
        <f t="shared" si="16"/>
        <v>BP52205L</v>
      </c>
      <c r="K77" t="str">
        <f t="shared" si="17"/>
        <v>INNI</v>
      </c>
      <c r="L77" t="s">
        <v>36</v>
      </c>
      <c r="M77">
        <v>175.17</v>
      </c>
    </row>
    <row r="78" spans="1:13" x14ac:dyDescent="0.25">
      <c r="A78" t="str">
        <f t="shared" si="15"/>
        <v>E111</v>
      </c>
      <c r="B78">
        <v>1</v>
      </c>
      <c r="C78" t="str">
        <f t="shared" si="18"/>
        <v>32040</v>
      </c>
      <c r="D78" t="str">
        <f t="shared" si="19"/>
        <v>5610</v>
      </c>
      <c r="E78" t="str">
        <f t="shared" si="20"/>
        <v>850LOS</v>
      </c>
      <c r="F78" t="str">
        <f>""</f>
        <v/>
      </c>
      <c r="G78" t="str">
        <f>""</f>
        <v/>
      </c>
      <c r="H78" s="1">
        <v>39549</v>
      </c>
      <c r="I78" t="str">
        <f>"65310402"</f>
        <v>65310402</v>
      </c>
      <c r="J78" t="str">
        <f t="shared" si="16"/>
        <v>BP52205L</v>
      </c>
      <c r="K78" t="str">
        <f t="shared" si="17"/>
        <v>INNI</v>
      </c>
      <c r="L78" t="s">
        <v>36</v>
      </c>
      <c r="M78">
        <v>876.41</v>
      </c>
    </row>
    <row r="79" spans="1:13" x14ac:dyDescent="0.25">
      <c r="A79" t="str">
        <f t="shared" si="15"/>
        <v>E111</v>
      </c>
      <c r="B79">
        <v>1</v>
      </c>
      <c r="C79" t="str">
        <f t="shared" si="18"/>
        <v>32040</v>
      </c>
      <c r="D79" t="str">
        <f t="shared" si="19"/>
        <v>5610</v>
      </c>
      <c r="E79" t="str">
        <f t="shared" si="20"/>
        <v>850LOS</v>
      </c>
      <c r="F79" t="str">
        <f>""</f>
        <v/>
      </c>
      <c r="G79" t="str">
        <f>""</f>
        <v/>
      </c>
      <c r="H79" s="1">
        <v>39549</v>
      </c>
      <c r="I79" t="str">
        <f>"PCD00312"</f>
        <v>PCD00312</v>
      </c>
      <c r="J79" t="str">
        <f>"76478"</f>
        <v>76478</v>
      </c>
      <c r="K79" t="str">
        <f>"AS89"</f>
        <v>AS89</v>
      </c>
      <c r="L79" t="s">
        <v>932</v>
      </c>
      <c r="M79">
        <v>379.21</v>
      </c>
    </row>
    <row r="80" spans="1:13" x14ac:dyDescent="0.25">
      <c r="A80" t="str">
        <f t="shared" si="15"/>
        <v>E111</v>
      </c>
      <c r="B80">
        <v>1</v>
      </c>
      <c r="C80" t="str">
        <f t="shared" si="18"/>
        <v>32040</v>
      </c>
      <c r="D80" t="str">
        <f t="shared" si="19"/>
        <v>5610</v>
      </c>
      <c r="E80" t="str">
        <f t="shared" si="20"/>
        <v>850LOS</v>
      </c>
      <c r="F80" t="str">
        <f>""</f>
        <v/>
      </c>
      <c r="G80" t="str">
        <f>""</f>
        <v/>
      </c>
      <c r="H80" s="1">
        <v>39553</v>
      </c>
      <c r="I80" t="str">
        <f>"65104804"</f>
        <v>65104804</v>
      </c>
      <c r="J80" t="str">
        <f t="shared" ref="J80:J88" si="21">"BP52205L"</f>
        <v>BP52205L</v>
      </c>
      <c r="K80" t="str">
        <f t="shared" ref="K80:K88" si="22">"INNI"</f>
        <v>INNI</v>
      </c>
      <c r="L80" t="s">
        <v>36</v>
      </c>
      <c r="M80" s="2">
        <v>1247.1600000000001</v>
      </c>
    </row>
    <row r="81" spans="1:13" x14ac:dyDescent="0.25">
      <c r="A81" t="str">
        <f t="shared" si="15"/>
        <v>E111</v>
      </c>
      <c r="B81">
        <v>1</v>
      </c>
      <c r="C81" t="str">
        <f t="shared" si="18"/>
        <v>32040</v>
      </c>
      <c r="D81" t="str">
        <f t="shared" si="19"/>
        <v>5610</v>
      </c>
      <c r="E81" t="str">
        <f t="shared" si="20"/>
        <v>850LOS</v>
      </c>
      <c r="F81" t="str">
        <f>""</f>
        <v/>
      </c>
      <c r="G81" t="str">
        <f>""</f>
        <v/>
      </c>
      <c r="H81" s="1">
        <v>39560</v>
      </c>
      <c r="I81" t="str">
        <f>"65104805"</f>
        <v>65104805</v>
      </c>
      <c r="J81" t="str">
        <f t="shared" si="21"/>
        <v>BP52205L</v>
      </c>
      <c r="K81" t="str">
        <f t="shared" si="22"/>
        <v>INNI</v>
      </c>
      <c r="L81" t="s">
        <v>36</v>
      </c>
      <c r="M81">
        <v>520.71</v>
      </c>
    </row>
    <row r="82" spans="1:13" x14ac:dyDescent="0.25">
      <c r="A82" t="str">
        <f t="shared" si="15"/>
        <v>E111</v>
      </c>
      <c r="B82">
        <v>1</v>
      </c>
      <c r="C82" t="str">
        <f t="shared" si="18"/>
        <v>32040</v>
      </c>
      <c r="D82" t="str">
        <f t="shared" si="19"/>
        <v>5610</v>
      </c>
      <c r="E82" t="str">
        <f t="shared" si="20"/>
        <v>850LOS</v>
      </c>
      <c r="F82" t="str">
        <f>""</f>
        <v/>
      </c>
      <c r="G82" t="str">
        <f>""</f>
        <v/>
      </c>
      <c r="H82" s="1">
        <v>39560</v>
      </c>
      <c r="I82" t="str">
        <f>"65112705"</f>
        <v>65112705</v>
      </c>
      <c r="J82" t="str">
        <f t="shared" si="21"/>
        <v>BP52205L</v>
      </c>
      <c r="K82" t="str">
        <f t="shared" si="22"/>
        <v>INNI</v>
      </c>
      <c r="L82" t="s">
        <v>36</v>
      </c>
      <c r="M82">
        <v>193.98</v>
      </c>
    </row>
    <row r="83" spans="1:13" x14ac:dyDescent="0.25">
      <c r="A83" t="str">
        <f t="shared" si="15"/>
        <v>E111</v>
      </c>
      <c r="B83">
        <v>1</v>
      </c>
      <c r="C83" t="str">
        <f t="shared" si="18"/>
        <v>32040</v>
      </c>
      <c r="D83" t="str">
        <f t="shared" si="19"/>
        <v>5610</v>
      </c>
      <c r="E83" t="str">
        <f t="shared" si="20"/>
        <v>850LOS</v>
      </c>
      <c r="F83" t="str">
        <f>""</f>
        <v/>
      </c>
      <c r="G83" t="str">
        <f>""</f>
        <v/>
      </c>
      <c r="H83" s="1">
        <v>39560</v>
      </c>
      <c r="I83" t="str">
        <f>"65112706"</f>
        <v>65112706</v>
      </c>
      <c r="J83" t="str">
        <f t="shared" si="21"/>
        <v>BP52205L</v>
      </c>
      <c r="K83" t="str">
        <f t="shared" si="22"/>
        <v>INNI</v>
      </c>
      <c r="L83" t="s">
        <v>36</v>
      </c>
      <c r="M83">
        <v>360.85</v>
      </c>
    </row>
    <row r="84" spans="1:13" x14ac:dyDescent="0.25">
      <c r="A84" t="str">
        <f t="shared" si="15"/>
        <v>E111</v>
      </c>
      <c r="B84">
        <v>1</v>
      </c>
      <c r="C84" t="str">
        <f t="shared" si="18"/>
        <v>32040</v>
      </c>
      <c r="D84" t="str">
        <f t="shared" si="19"/>
        <v>5610</v>
      </c>
      <c r="E84" t="str">
        <f t="shared" si="20"/>
        <v>850LOS</v>
      </c>
      <c r="F84" t="str">
        <f>""</f>
        <v/>
      </c>
      <c r="G84" t="str">
        <f>""</f>
        <v/>
      </c>
      <c r="H84" s="1">
        <v>39560</v>
      </c>
      <c r="I84" t="str">
        <f>"65310403"</f>
        <v>65310403</v>
      </c>
      <c r="J84" t="str">
        <f t="shared" si="21"/>
        <v>BP52205L</v>
      </c>
      <c r="K84" t="str">
        <f t="shared" si="22"/>
        <v>INNI</v>
      </c>
      <c r="L84" t="s">
        <v>36</v>
      </c>
      <c r="M84" s="2">
        <v>2182.0100000000002</v>
      </c>
    </row>
    <row r="85" spans="1:13" x14ac:dyDescent="0.25">
      <c r="A85" t="str">
        <f t="shared" si="15"/>
        <v>E111</v>
      </c>
      <c r="B85">
        <v>1</v>
      </c>
      <c r="C85" t="str">
        <f t="shared" si="18"/>
        <v>32040</v>
      </c>
      <c r="D85" t="str">
        <f t="shared" si="19"/>
        <v>5610</v>
      </c>
      <c r="E85" t="str">
        <f t="shared" si="20"/>
        <v>850LOS</v>
      </c>
      <c r="F85" t="str">
        <f>""</f>
        <v/>
      </c>
      <c r="G85" t="str">
        <f>""</f>
        <v/>
      </c>
      <c r="H85" s="1">
        <v>39560</v>
      </c>
      <c r="I85" t="str">
        <f>"65310601"</f>
        <v>65310601</v>
      </c>
      <c r="J85" t="str">
        <f t="shared" si="21"/>
        <v>BP52205L</v>
      </c>
      <c r="K85" t="str">
        <f t="shared" si="22"/>
        <v>INNI</v>
      </c>
      <c r="L85" t="s">
        <v>36</v>
      </c>
      <c r="M85" s="2">
        <v>1395.89</v>
      </c>
    </row>
    <row r="86" spans="1:13" x14ac:dyDescent="0.25">
      <c r="A86" t="str">
        <f t="shared" ref="A86:A121" si="23">"E111"</f>
        <v>E111</v>
      </c>
      <c r="B86">
        <v>1</v>
      </c>
      <c r="C86" t="str">
        <f t="shared" si="18"/>
        <v>32040</v>
      </c>
      <c r="D86" t="str">
        <f t="shared" si="19"/>
        <v>5610</v>
      </c>
      <c r="E86" t="str">
        <f t="shared" si="20"/>
        <v>850LOS</v>
      </c>
      <c r="F86" t="str">
        <f>""</f>
        <v/>
      </c>
      <c r="G86" t="str">
        <f>""</f>
        <v/>
      </c>
      <c r="H86" s="1">
        <v>39560</v>
      </c>
      <c r="I86" t="str">
        <f>"65616201"</f>
        <v>65616201</v>
      </c>
      <c r="J86" t="str">
        <f t="shared" si="21"/>
        <v>BP52205L</v>
      </c>
      <c r="K86" t="str">
        <f t="shared" si="22"/>
        <v>INNI</v>
      </c>
      <c r="L86" t="s">
        <v>36</v>
      </c>
      <c r="M86">
        <v>610.57000000000005</v>
      </c>
    </row>
    <row r="87" spans="1:13" x14ac:dyDescent="0.25">
      <c r="A87" t="str">
        <f t="shared" si="23"/>
        <v>E111</v>
      </c>
      <c r="B87">
        <v>1</v>
      </c>
      <c r="C87" t="str">
        <f t="shared" si="18"/>
        <v>32040</v>
      </c>
      <c r="D87" t="str">
        <f t="shared" si="19"/>
        <v>5610</v>
      </c>
      <c r="E87" t="str">
        <f t="shared" si="20"/>
        <v>850LOS</v>
      </c>
      <c r="F87" t="str">
        <f>""</f>
        <v/>
      </c>
      <c r="G87" t="str">
        <f>""</f>
        <v/>
      </c>
      <c r="H87" s="1">
        <v>39560</v>
      </c>
      <c r="I87" t="str">
        <f>"65616202"</f>
        <v>65616202</v>
      </c>
      <c r="J87" t="str">
        <f t="shared" si="21"/>
        <v>BP52205L</v>
      </c>
      <c r="K87" t="str">
        <f t="shared" si="22"/>
        <v>INNI</v>
      </c>
      <c r="L87" t="s">
        <v>36</v>
      </c>
      <c r="M87">
        <v>426.08</v>
      </c>
    </row>
    <row r="88" spans="1:13" x14ac:dyDescent="0.25">
      <c r="A88" t="str">
        <f t="shared" si="23"/>
        <v>E111</v>
      </c>
      <c r="B88">
        <v>1</v>
      </c>
      <c r="C88" t="str">
        <f t="shared" si="18"/>
        <v>32040</v>
      </c>
      <c r="D88" t="str">
        <f t="shared" si="19"/>
        <v>5610</v>
      </c>
      <c r="E88" t="str">
        <f t="shared" si="20"/>
        <v>850LOS</v>
      </c>
      <c r="F88" t="str">
        <f>""</f>
        <v/>
      </c>
      <c r="G88" t="str">
        <f>""</f>
        <v/>
      </c>
      <c r="H88" s="1">
        <v>39570</v>
      </c>
      <c r="I88" t="str">
        <f>"65250102"</f>
        <v>65250102</v>
      </c>
      <c r="J88" t="str">
        <f t="shared" si="21"/>
        <v>BP52205L</v>
      </c>
      <c r="K88" t="str">
        <f t="shared" si="22"/>
        <v>INNI</v>
      </c>
      <c r="L88" t="s">
        <v>36</v>
      </c>
      <c r="M88" s="2">
        <v>20430.810000000001</v>
      </c>
    </row>
    <row r="89" spans="1:13" x14ac:dyDescent="0.25">
      <c r="A89" t="str">
        <f t="shared" si="23"/>
        <v>E111</v>
      </c>
      <c r="B89">
        <v>1</v>
      </c>
      <c r="C89" t="str">
        <f t="shared" si="18"/>
        <v>32040</v>
      </c>
      <c r="D89" t="str">
        <f t="shared" si="19"/>
        <v>5610</v>
      </c>
      <c r="E89" t="str">
        <f t="shared" si="20"/>
        <v>850LOS</v>
      </c>
      <c r="F89" t="str">
        <f>""</f>
        <v/>
      </c>
      <c r="G89" t="str">
        <f>""</f>
        <v/>
      </c>
      <c r="H89" s="1">
        <v>39577</v>
      </c>
      <c r="I89" t="str">
        <f>"PCD00316"</f>
        <v>PCD00316</v>
      </c>
      <c r="J89" t="str">
        <f>"77857"</f>
        <v>77857</v>
      </c>
      <c r="K89" t="str">
        <f>"AS89"</f>
        <v>AS89</v>
      </c>
      <c r="L89" t="s">
        <v>931</v>
      </c>
      <c r="M89">
        <v>165.04</v>
      </c>
    </row>
    <row r="90" spans="1:13" x14ac:dyDescent="0.25">
      <c r="A90" t="str">
        <f t="shared" si="23"/>
        <v>E111</v>
      </c>
      <c r="B90">
        <v>1</v>
      </c>
      <c r="C90" t="str">
        <f t="shared" si="18"/>
        <v>32040</v>
      </c>
      <c r="D90" t="str">
        <f t="shared" si="19"/>
        <v>5610</v>
      </c>
      <c r="E90" t="str">
        <f t="shared" si="20"/>
        <v>850LOS</v>
      </c>
      <c r="F90" t="str">
        <f>""</f>
        <v/>
      </c>
      <c r="G90" t="str">
        <f>""</f>
        <v/>
      </c>
      <c r="H90" s="1">
        <v>39581</v>
      </c>
      <c r="I90" t="str">
        <f>"65310404"</f>
        <v>65310404</v>
      </c>
      <c r="J90" t="str">
        <f t="shared" ref="J90:J96" si="24">"BP52205L"</f>
        <v>BP52205L</v>
      </c>
      <c r="K90" t="str">
        <f t="shared" ref="K90:K96" si="25">"INNI"</f>
        <v>INNI</v>
      </c>
      <c r="L90" t="s">
        <v>36</v>
      </c>
      <c r="M90">
        <v>429.09</v>
      </c>
    </row>
    <row r="91" spans="1:13" x14ac:dyDescent="0.25">
      <c r="A91" t="str">
        <f t="shared" si="23"/>
        <v>E111</v>
      </c>
      <c r="B91">
        <v>1</v>
      </c>
      <c r="C91" t="str">
        <f t="shared" si="18"/>
        <v>32040</v>
      </c>
      <c r="D91" t="str">
        <f t="shared" si="19"/>
        <v>5610</v>
      </c>
      <c r="E91" t="str">
        <f t="shared" si="20"/>
        <v>850LOS</v>
      </c>
      <c r="F91" t="str">
        <f>""</f>
        <v/>
      </c>
      <c r="G91" t="str">
        <f>""</f>
        <v/>
      </c>
      <c r="H91" s="1">
        <v>39605</v>
      </c>
      <c r="I91" t="str">
        <f>"65765501"</f>
        <v>65765501</v>
      </c>
      <c r="J91" t="str">
        <f t="shared" si="24"/>
        <v>BP52205L</v>
      </c>
      <c r="K91" t="str">
        <f t="shared" si="25"/>
        <v>INNI</v>
      </c>
      <c r="L91" t="s">
        <v>36</v>
      </c>
      <c r="M91">
        <v>497.34</v>
      </c>
    </row>
    <row r="92" spans="1:13" x14ac:dyDescent="0.25">
      <c r="A92" t="str">
        <f t="shared" si="23"/>
        <v>E111</v>
      </c>
      <c r="B92">
        <v>1</v>
      </c>
      <c r="C92" t="str">
        <f t="shared" si="18"/>
        <v>32040</v>
      </c>
      <c r="D92" t="str">
        <f t="shared" si="19"/>
        <v>5610</v>
      </c>
      <c r="E92" t="str">
        <f t="shared" si="20"/>
        <v>850LOS</v>
      </c>
      <c r="F92" t="str">
        <f>""</f>
        <v/>
      </c>
      <c r="G92" t="str">
        <f>""</f>
        <v/>
      </c>
      <c r="H92" s="1">
        <v>39626</v>
      </c>
      <c r="I92" t="str">
        <f>"65310602"</f>
        <v>65310602</v>
      </c>
      <c r="J92" t="str">
        <f t="shared" si="24"/>
        <v>BP52205L</v>
      </c>
      <c r="K92" t="str">
        <f t="shared" si="25"/>
        <v>INNI</v>
      </c>
      <c r="L92" t="s">
        <v>36</v>
      </c>
      <c r="M92" s="2">
        <v>2352</v>
      </c>
    </row>
    <row r="93" spans="1:13" x14ac:dyDescent="0.25">
      <c r="A93" t="str">
        <f t="shared" si="23"/>
        <v>E111</v>
      </c>
      <c r="B93">
        <v>1</v>
      </c>
      <c r="C93" t="str">
        <f t="shared" si="18"/>
        <v>32040</v>
      </c>
      <c r="D93" t="str">
        <f t="shared" si="19"/>
        <v>5610</v>
      </c>
      <c r="E93" t="str">
        <f t="shared" si="20"/>
        <v>850LOS</v>
      </c>
      <c r="F93" t="str">
        <f>""</f>
        <v/>
      </c>
      <c r="G93" t="str">
        <f>""</f>
        <v/>
      </c>
      <c r="H93" s="1">
        <v>39626</v>
      </c>
      <c r="I93" t="str">
        <f>"66162601"</f>
        <v>66162601</v>
      </c>
      <c r="J93" t="str">
        <f t="shared" si="24"/>
        <v>BP52205L</v>
      </c>
      <c r="K93" t="str">
        <f t="shared" si="25"/>
        <v>INNI</v>
      </c>
      <c r="L93" t="s">
        <v>36</v>
      </c>
      <c r="M93">
        <v>405.43</v>
      </c>
    </row>
    <row r="94" spans="1:13" x14ac:dyDescent="0.25">
      <c r="A94" t="str">
        <f t="shared" si="23"/>
        <v>E111</v>
      </c>
      <c r="B94">
        <v>1</v>
      </c>
      <c r="C94" t="str">
        <f t="shared" si="18"/>
        <v>32040</v>
      </c>
      <c r="D94" t="str">
        <f t="shared" si="19"/>
        <v>5610</v>
      </c>
      <c r="E94" t="str">
        <f t="shared" si="20"/>
        <v>850LOS</v>
      </c>
      <c r="F94" t="str">
        <f>""</f>
        <v/>
      </c>
      <c r="G94" t="str">
        <f>""</f>
        <v/>
      </c>
      <c r="H94" s="1">
        <v>39626</v>
      </c>
      <c r="I94" t="str">
        <f>"66162602"</f>
        <v>66162602</v>
      </c>
      <c r="J94" t="str">
        <f t="shared" si="24"/>
        <v>BP52205L</v>
      </c>
      <c r="K94" t="str">
        <f t="shared" si="25"/>
        <v>INNI</v>
      </c>
      <c r="L94" t="s">
        <v>36</v>
      </c>
      <c r="M94">
        <v>522.15</v>
      </c>
    </row>
    <row r="95" spans="1:13" x14ac:dyDescent="0.25">
      <c r="A95" t="str">
        <f t="shared" si="23"/>
        <v>E111</v>
      </c>
      <c r="B95">
        <v>1</v>
      </c>
      <c r="C95" t="str">
        <f t="shared" si="18"/>
        <v>32040</v>
      </c>
      <c r="D95" t="str">
        <f t="shared" si="19"/>
        <v>5610</v>
      </c>
      <c r="E95" t="str">
        <f t="shared" si="20"/>
        <v>850LOS</v>
      </c>
      <c r="F95" t="str">
        <f>""</f>
        <v/>
      </c>
      <c r="G95" t="str">
        <f>""</f>
        <v/>
      </c>
      <c r="H95" s="1">
        <v>39628</v>
      </c>
      <c r="I95" t="str">
        <f>"66111201"</f>
        <v>66111201</v>
      </c>
      <c r="J95" t="str">
        <f t="shared" si="24"/>
        <v>BP52205L</v>
      </c>
      <c r="K95" t="str">
        <f t="shared" si="25"/>
        <v>INNI</v>
      </c>
      <c r="L95" t="s">
        <v>36</v>
      </c>
      <c r="M95">
        <v>295.75</v>
      </c>
    </row>
    <row r="96" spans="1:13" x14ac:dyDescent="0.25">
      <c r="A96" t="str">
        <f t="shared" si="23"/>
        <v>E111</v>
      </c>
      <c r="B96">
        <v>1</v>
      </c>
      <c r="C96" t="str">
        <f t="shared" si="18"/>
        <v>32040</v>
      </c>
      <c r="D96" t="str">
        <f t="shared" si="19"/>
        <v>5610</v>
      </c>
      <c r="E96" t="str">
        <f t="shared" si="20"/>
        <v>850LOS</v>
      </c>
      <c r="F96" t="str">
        <f>""</f>
        <v/>
      </c>
      <c r="G96" t="str">
        <f>""</f>
        <v/>
      </c>
      <c r="H96" s="1">
        <v>39629</v>
      </c>
      <c r="I96" t="str">
        <f>"5310602A"</f>
        <v>5310602A</v>
      </c>
      <c r="J96" t="str">
        <f t="shared" si="24"/>
        <v>BP52205L</v>
      </c>
      <c r="K96" t="str">
        <f t="shared" si="25"/>
        <v>INNI</v>
      </c>
      <c r="L96" t="s">
        <v>36</v>
      </c>
      <c r="M96" s="2">
        <v>2352</v>
      </c>
    </row>
    <row r="97" spans="1:13" x14ac:dyDescent="0.25">
      <c r="A97" t="str">
        <f t="shared" si="23"/>
        <v>E111</v>
      </c>
      <c r="B97">
        <v>1</v>
      </c>
      <c r="C97" t="str">
        <f t="shared" ref="C97:C117" si="26">"43000"</f>
        <v>43000</v>
      </c>
      <c r="D97" t="str">
        <f t="shared" ref="D97:D121" si="27">"5740"</f>
        <v>5740</v>
      </c>
      <c r="E97" t="str">
        <f t="shared" si="20"/>
        <v>850LOS</v>
      </c>
      <c r="F97" t="str">
        <f>"PKOLOT"</f>
        <v>PKOLOT</v>
      </c>
      <c r="G97" t="str">
        <f>""</f>
        <v/>
      </c>
      <c r="H97" s="1">
        <v>39367</v>
      </c>
      <c r="I97" t="str">
        <f>"PCD00288"</f>
        <v>PCD00288</v>
      </c>
      <c r="J97" t="str">
        <f>"65898"</f>
        <v>65898</v>
      </c>
      <c r="K97" t="str">
        <f t="shared" ref="K97:K117" si="28">"AS89"</f>
        <v>AS89</v>
      </c>
      <c r="L97" t="s">
        <v>930</v>
      </c>
      <c r="M97">
        <v>207.23</v>
      </c>
    </row>
    <row r="98" spans="1:13" x14ac:dyDescent="0.25">
      <c r="A98" t="str">
        <f t="shared" si="23"/>
        <v>E111</v>
      </c>
      <c r="B98">
        <v>1</v>
      </c>
      <c r="C98" t="str">
        <f t="shared" si="26"/>
        <v>43000</v>
      </c>
      <c r="D98" t="str">
        <f t="shared" si="27"/>
        <v>5740</v>
      </c>
      <c r="E98" t="str">
        <f t="shared" si="20"/>
        <v>850LOS</v>
      </c>
      <c r="F98" t="str">
        <f>"PKOLOT"</f>
        <v>PKOLOT</v>
      </c>
      <c r="G98" t="str">
        <f>""</f>
        <v/>
      </c>
      <c r="H98" s="1">
        <v>39367</v>
      </c>
      <c r="I98" t="str">
        <f>"PCD00288"</f>
        <v>PCD00288</v>
      </c>
      <c r="J98" t="str">
        <f>"66341"</f>
        <v>66341</v>
      </c>
      <c r="K98" t="str">
        <f t="shared" si="28"/>
        <v>AS89</v>
      </c>
      <c r="L98" t="s">
        <v>922</v>
      </c>
      <c r="M98">
        <v>261.05</v>
      </c>
    </row>
    <row r="99" spans="1:13" x14ac:dyDescent="0.25">
      <c r="A99" t="str">
        <f t="shared" si="23"/>
        <v>E111</v>
      </c>
      <c r="B99">
        <v>1</v>
      </c>
      <c r="C99" t="str">
        <f t="shared" si="26"/>
        <v>43000</v>
      </c>
      <c r="D99" t="str">
        <f t="shared" si="27"/>
        <v>5740</v>
      </c>
      <c r="E99" t="str">
        <f t="shared" si="20"/>
        <v>850LOS</v>
      </c>
      <c r="F99" t="str">
        <f>"PKOLOT"</f>
        <v>PKOLOT</v>
      </c>
      <c r="G99" t="str">
        <f>""</f>
        <v/>
      </c>
      <c r="H99" s="1">
        <v>39577</v>
      </c>
      <c r="I99" t="str">
        <f>"PCD00316"</f>
        <v>PCD00316</v>
      </c>
      <c r="J99" t="str">
        <f>"78148"</f>
        <v>78148</v>
      </c>
      <c r="K99" t="str">
        <f t="shared" si="28"/>
        <v>AS89</v>
      </c>
      <c r="L99" t="s">
        <v>929</v>
      </c>
      <c r="M99">
        <v>156.85</v>
      </c>
    </row>
    <row r="100" spans="1:13" x14ac:dyDescent="0.25">
      <c r="A100" t="str">
        <f t="shared" si="23"/>
        <v>E111</v>
      </c>
      <c r="B100">
        <v>1</v>
      </c>
      <c r="C100" t="str">
        <f t="shared" si="26"/>
        <v>43000</v>
      </c>
      <c r="D100" t="str">
        <f t="shared" si="27"/>
        <v>5740</v>
      </c>
      <c r="E100" t="str">
        <f t="shared" si="20"/>
        <v>850LOS</v>
      </c>
      <c r="F100" t="str">
        <f>"PKOLOT"</f>
        <v>PKOLOT</v>
      </c>
      <c r="G100" t="str">
        <f>""</f>
        <v/>
      </c>
      <c r="H100" s="1">
        <v>39626</v>
      </c>
      <c r="I100" t="str">
        <f>"PCD00323"</f>
        <v>PCD00323</v>
      </c>
      <c r="J100" t="str">
        <f>"81574"</f>
        <v>81574</v>
      </c>
      <c r="K100" t="str">
        <f t="shared" si="28"/>
        <v>AS89</v>
      </c>
      <c r="L100" t="s">
        <v>928</v>
      </c>
      <c r="M100">
        <v>169.85</v>
      </c>
    </row>
    <row r="101" spans="1:13" x14ac:dyDescent="0.25">
      <c r="A101" t="str">
        <f t="shared" si="23"/>
        <v>E111</v>
      </c>
      <c r="B101">
        <v>1</v>
      </c>
      <c r="C101" t="str">
        <f t="shared" si="26"/>
        <v>43000</v>
      </c>
      <c r="D101" t="str">
        <f t="shared" si="27"/>
        <v>5740</v>
      </c>
      <c r="E101" t="str">
        <f t="shared" si="20"/>
        <v>850LOS</v>
      </c>
      <c r="F101" t="str">
        <f>""</f>
        <v/>
      </c>
      <c r="G101" t="str">
        <f>""</f>
        <v/>
      </c>
      <c r="H101" s="1">
        <v>39295</v>
      </c>
      <c r="I101" t="str">
        <f>"PCD00280"</f>
        <v>PCD00280</v>
      </c>
      <c r="J101" t="str">
        <f>"62543"</f>
        <v>62543</v>
      </c>
      <c r="K101" t="str">
        <f t="shared" si="28"/>
        <v>AS89</v>
      </c>
      <c r="L101" t="s">
        <v>915</v>
      </c>
      <c r="M101">
        <v>111.97</v>
      </c>
    </row>
    <row r="102" spans="1:13" x14ac:dyDescent="0.25">
      <c r="A102" t="str">
        <f t="shared" si="23"/>
        <v>E111</v>
      </c>
      <c r="B102">
        <v>1</v>
      </c>
      <c r="C102" t="str">
        <f t="shared" si="26"/>
        <v>43000</v>
      </c>
      <c r="D102" t="str">
        <f t="shared" si="27"/>
        <v>5740</v>
      </c>
      <c r="E102" t="str">
        <f t="shared" si="20"/>
        <v>850LOS</v>
      </c>
      <c r="F102" t="str">
        <f>""</f>
        <v/>
      </c>
      <c r="G102" t="str">
        <f>""</f>
        <v/>
      </c>
      <c r="H102" s="1">
        <v>39316</v>
      </c>
      <c r="I102" t="str">
        <f>"PCD00281"</f>
        <v>PCD00281</v>
      </c>
      <c r="J102" t="str">
        <f>"63754"</f>
        <v>63754</v>
      </c>
      <c r="K102" t="str">
        <f t="shared" si="28"/>
        <v>AS89</v>
      </c>
      <c r="L102" t="s">
        <v>926</v>
      </c>
      <c r="M102">
        <v>152.86000000000001</v>
      </c>
    </row>
    <row r="103" spans="1:13" x14ac:dyDescent="0.25">
      <c r="A103" t="str">
        <f t="shared" si="23"/>
        <v>E111</v>
      </c>
      <c r="B103">
        <v>1</v>
      </c>
      <c r="C103" t="str">
        <f t="shared" si="26"/>
        <v>43000</v>
      </c>
      <c r="D103" t="str">
        <f t="shared" si="27"/>
        <v>5740</v>
      </c>
      <c r="E103" t="str">
        <f t="shared" si="20"/>
        <v>850LOS</v>
      </c>
      <c r="F103" t="str">
        <f>""</f>
        <v/>
      </c>
      <c r="G103" t="str">
        <f>""</f>
        <v/>
      </c>
      <c r="H103" s="1">
        <v>39332</v>
      </c>
      <c r="I103" t="str">
        <f>"PCD00283"</f>
        <v>PCD00283</v>
      </c>
      <c r="J103" t="str">
        <f>"64600"</f>
        <v>64600</v>
      </c>
      <c r="K103" t="str">
        <f t="shared" si="28"/>
        <v>AS89</v>
      </c>
      <c r="L103" t="s">
        <v>925</v>
      </c>
      <c r="M103">
        <v>420.62</v>
      </c>
    </row>
    <row r="104" spans="1:13" x14ac:dyDescent="0.25">
      <c r="A104" t="str">
        <f t="shared" si="23"/>
        <v>E111</v>
      </c>
      <c r="B104">
        <v>1</v>
      </c>
      <c r="C104" t="str">
        <f t="shared" si="26"/>
        <v>43000</v>
      </c>
      <c r="D104" t="str">
        <f t="shared" si="27"/>
        <v>5740</v>
      </c>
      <c r="E104" t="str">
        <f t="shared" ref="E104:E116" si="29">"850LOS"</f>
        <v>850LOS</v>
      </c>
      <c r="F104" t="str">
        <f>""</f>
        <v/>
      </c>
      <c r="G104" t="str">
        <f>""</f>
        <v/>
      </c>
      <c r="H104" s="1">
        <v>39332</v>
      </c>
      <c r="I104" t="str">
        <f>"PCD00283"</f>
        <v>PCD00283</v>
      </c>
      <c r="J104" t="str">
        <f>"64865"</f>
        <v>64865</v>
      </c>
      <c r="K104" t="str">
        <f t="shared" si="28"/>
        <v>AS89</v>
      </c>
      <c r="L104" t="s">
        <v>910</v>
      </c>
      <c r="M104">
        <v>126.85</v>
      </c>
    </row>
    <row r="105" spans="1:13" x14ac:dyDescent="0.25">
      <c r="A105" t="str">
        <f t="shared" si="23"/>
        <v>E111</v>
      </c>
      <c r="B105">
        <v>1</v>
      </c>
      <c r="C105" t="str">
        <f t="shared" si="26"/>
        <v>43000</v>
      </c>
      <c r="D105" t="str">
        <f t="shared" si="27"/>
        <v>5740</v>
      </c>
      <c r="E105" t="str">
        <f t="shared" si="29"/>
        <v>850LOS</v>
      </c>
      <c r="F105" t="str">
        <f>""</f>
        <v/>
      </c>
      <c r="G105" t="str">
        <f>""</f>
        <v/>
      </c>
      <c r="H105" s="1">
        <v>39332</v>
      </c>
      <c r="I105" t="str">
        <f>"PCD00283"</f>
        <v>PCD00283</v>
      </c>
      <c r="J105" t="str">
        <f>"64866"</f>
        <v>64866</v>
      </c>
      <c r="K105" t="str">
        <f t="shared" si="28"/>
        <v>AS89</v>
      </c>
      <c r="L105" t="s">
        <v>924</v>
      </c>
      <c r="M105">
        <v>238.6</v>
      </c>
    </row>
    <row r="106" spans="1:13" x14ac:dyDescent="0.25">
      <c r="A106" t="str">
        <f t="shared" si="23"/>
        <v>E111</v>
      </c>
      <c r="B106">
        <v>1</v>
      </c>
      <c r="C106" t="str">
        <f t="shared" si="26"/>
        <v>43000</v>
      </c>
      <c r="D106" t="str">
        <f t="shared" si="27"/>
        <v>5740</v>
      </c>
      <c r="E106" t="str">
        <f t="shared" si="29"/>
        <v>850LOS</v>
      </c>
      <c r="F106" t="str">
        <f>""</f>
        <v/>
      </c>
      <c r="G106" t="str">
        <f>""</f>
        <v/>
      </c>
      <c r="H106" s="1">
        <v>39367</v>
      </c>
      <c r="I106" t="str">
        <f>"PCD00288"</f>
        <v>PCD00288</v>
      </c>
      <c r="J106" t="str">
        <f>"65726"</f>
        <v>65726</v>
      </c>
      <c r="K106" t="str">
        <f t="shared" si="28"/>
        <v>AS89</v>
      </c>
      <c r="L106" t="s">
        <v>923</v>
      </c>
      <c r="M106">
        <v>151.43</v>
      </c>
    </row>
    <row r="107" spans="1:13" x14ac:dyDescent="0.25">
      <c r="A107" t="str">
        <f t="shared" si="23"/>
        <v>E111</v>
      </c>
      <c r="B107">
        <v>1</v>
      </c>
      <c r="C107" t="str">
        <f t="shared" si="26"/>
        <v>43000</v>
      </c>
      <c r="D107" t="str">
        <f t="shared" si="27"/>
        <v>5740</v>
      </c>
      <c r="E107" t="str">
        <f t="shared" si="29"/>
        <v>850LOS</v>
      </c>
      <c r="F107" t="str">
        <f>""</f>
        <v/>
      </c>
      <c r="G107" t="str">
        <f>""</f>
        <v/>
      </c>
      <c r="H107" s="1">
        <v>39367</v>
      </c>
      <c r="I107" t="str">
        <f>"PCD00288"</f>
        <v>PCD00288</v>
      </c>
      <c r="J107" t="str">
        <f>"65818"</f>
        <v>65818</v>
      </c>
      <c r="K107" t="str">
        <f t="shared" si="28"/>
        <v>AS89</v>
      </c>
      <c r="L107" t="s">
        <v>901</v>
      </c>
      <c r="M107">
        <v>176.82</v>
      </c>
    </row>
    <row r="108" spans="1:13" x14ac:dyDescent="0.25">
      <c r="A108" t="str">
        <f t="shared" si="23"/>
        <v>E111</v>
      </c>
      <c r="B108">
        <v>1</v>
      </c>
      <c r="C108" t="str">
        <f t="shared" si="26"/>
        <v>43000</v>
      </c>
      <c r="D108" t="str">
        <f t="shared" si="27"/>
        <v>5740</v>
      </c>
      <c r="E108" t="str">
        <f t="shared" si="29"/>
        <v>850LOS</v>
      </c>
      <c r="F108" t="str">
        <f>""</f>
        <v/>
      </c>
      <c r="G108" t="str">
        <f>""</f>
        <v/>
      </c>
      <c r="H108" s="1">
        <v>39395</v>
      </c>
      <c r="I108" t="str">
        <f>"PCD00292"</f>
        <v>PCD00292</v>
      </c>
      <c r="J108" t="str">
        <f>"68796"</f>
        <v>68796</v>
      </c>
      <c r="K108" t="str">
        <f t="shared" si="28"/>
        <v>AS89</v>
      </c>
      <c r="L108" t="s">
        <v>921</v>
      </c>
      <c r="M108">
        <v>373.5</v>
      </c>
    </row>
    <row r="109" spans="1:13" x14ac:dyDescent="0.25">
      <c r="A109" t="str">
        <f t="shared" si="23"/>
        <v>E111</v>
      </c>
      <c r="B109">
        <v>1</v>
      </c>
      <c r="C109" t="str">
        <f t="shared" si="26"/>
        <v>43000</v>
      </c>
      <c r="D109" t="str">
        <f t="shared" si="27"/>
        <v>5740</v>
      </c>
      <c r="E109" t="str">
        <f t="shared" si="29"/>
        <v>850LOS</v>
      </c>
      <c r="F109" t="str">
        <f>""</f>
        <v/>
      </c>
      <c r="G109" t="str">
        <f>""</f>
        <v/>
      </c>
      <c r="H109" s="1">
        <v>39489</v>
      </c>
      <c r="I109" t="str">
        <f>"PCD00303"</f>
        <v>PCD00303</v>
      </c>
      <c r="J109" t="str">
        <f>"71933"</f>
        <v>71933</v>
      </c>
      <c r="K109" t="str">
        <f t="shared" si="28"/>
        <v>AS89</v>
      </c>
      <c r="L109" t="s">
        <v>920</v>
      </c>
      <c r="M109">
        <v>109.55</v>
      </c>
    </row>
    <row r="110" spans="1:13" x14ac:dyDescent="0.25">
      <c r="A110" t="str">
        <f t="shared" si="23"/>
        <v>E111</v>
      </c>
      <c r="B110">
        <v>1</v>
      </c>
      <c r="C110" t="str">
        <f t="shared" si="26"/>
        <v>43000</v>
      </c>
      <c r="D110" t="str">
        <f t="shared" si="27"/>
        <v>5740</v>
      </c>
      <c r="E110" t="str">
        <f t="shared" si="29"/>
        <v>850LOS</v>
      </c>
      <c r="F110" t="str">
        <f>""</f>
        <v/>
      </c>
      <c r="G110" t="str">
        <f>""</f>
        <v/>
      </c>
      <c r="H110" s="1">
        <v>39514</v>
      </c>
      <c r="I110" t="str">
        <f>"PCD00307"</f>
        <v>PCD00307</v>
      </c>
      <c r="J110" t="str">
        <f>"74450"</f>
        <v>74450</v>
      </c>
      <c r="K110" t="str">
        <f t="shared" si="28"/>
        <v>AS89</v>
      </c>
      <c r="L110" t="s">
        <v>919</v>
      </c>
      <c r="M110">
        <v>732.44</v>
      </c>
    </row>
    <row r="111" spans="1:13" x14ac:dyDescent="0.25">
      <c r="A111" t="str">
        <f t="shared" si="23"/>
        <v>E111</v>
      </c>
      <c r="B111">
        <v>1</v>
      </c>
      <c r="C111" t="str">
        <f t="shared" si="26"/>
        <v>43000</v>
      </c>
      <c r="D111" t="str">
        <f t="shared" si="27"/>
        <v>5740</v>
      </c>
      <c r="E111" t="str">
        <f t="shared" si="29"/>
        <v>850LOS</v>
      </c>
      <c r="F111" t="str">
        <f>""</f>
        <v/>
      </c>
      <c r="G111" t="str">
        <f>""</f>
        <v/>
      </c>
      <c r="H111" s="1">
        <v>39549</v>
      </c>
      <c r="I111" t="str">
        <f>"PCD00312"</f>
        <v>PCD00312</v>
      </c>
      <c r="J111" t="str">
        <f>"76149"</f>
        <v>76149</v>
      </c>
      <c r="K111" t="str">
        <f t="shared" si="28"/>
        <v>AS89</v>
      </c>
      <c r="L111" t="s">
        <v>918</v>
      </c>
      <c r="M111">
        <v>159.07</v>
      </c>
    </row>
    <row r="112" spans="1:13" x14ac:dyDescent="0.25">
      <c r="A112" t="str">
        <f t="shared" si="23"/>
        <v>E111</v>
      </c>
      <c r="B112">
        <v>1</v>
      </c>
      <c r="C112" t="str">
        <f t="shared" si="26"/>
        <v>43000</v>
      </c>
      <c r="D112" t="str">
        <f t="shared" si="27"/>
        <v>5740</v>
      </c>
      <c r="E112" t="str">
        <f t="shared" si="29"/>
        <v>850LOS</v>
      </c>
      <c r="F112" t="str">
        <f>""</f>
        <v/>
      </c>
      <c r="G112" t="str">
        <f>""</f>
        <v/>
      </c>
      <c r="H112" s="1">
        <v>39549</v>
      </c>
      <c r="I112" t="str">
        <f>"PCD00312"</f>
        <v>PCD00312</v>
      </c>
      <c r="J112" t="str">
        <f>"76432"</f>
        <v>76432</v>
      </c>
      <c r="K112" t="str">
        <f t="shared" si="28"/>
        <v>AS89</v>
      </c>
      <c r="L112" t="s">
        <v>835</v>
      </c>
      <c r="M112">
        <v>159.03</v>
      </c>
    </row>
    <row r="113" spans="1:13" x14ac:dyDescent="0.25">
      <c r="A113" t="str">
        <f t="shared" si="23"/>
        <v>E111</v>
      </c>
      <c r="B113">
        <v>1</v>
      </c>
      <c r="C113" t="str">
        <f t="shared" si="26"/>
        <v>43000</v>
      </c>
      <c r="D113" t="str">
        <f t="shared" si="27"/>
        <v>5740</v>
      </c>
      <c r="E113" t="str">
        <f t="shared" si="29"/>
        <v>850LOS</v>
      </c>
      <c r="F113" t="str">
        <f>""</f>
        <v/>
      </c>
      <c r="G113" t="str">
        <f>""</f>
        <v/>
      </c>
      <c r="H113" s="1">
        <v>39612</v>
      </c>
      <c r="I113" t="str">
        <f>"PCD00321"</f>
        <v>PCD00321</v>
      </c>
      <c r="J113" t="str">
        <f>"80337"</f>
        <v>80337</v>
      </c>
      <c r="K113" t="str">
        <f t="shared" si="28"/>
        <v>AS89</v>
      </c>
      <c r="L113" t="s">
        <v>917</v>
      </c>
      <c r="M113">
        <v>119.98</v>
      </c>
    </row>
    <row r="114" spans="1:13" x14ac:dyDescent="0.25">
      <c r="A114" t="str">
        <f t="shared" si="23"/>
        <v>E111</v>
      </c>
      <c r="B114">
        <v>1</v>
      </c>
      <c r="C114" t="str">
        <f t="shared" si="26"/>
        <v>43000</v>
      </c>
      <c r="D114" t="str">
        <f t="shared" si="27"/>
        <v>5740</v>
      </c>
      <c r="E114" t="str">
        <f t="shared" si="29"/>
        <v>850LOS</v>
      </c>
      <c r="F114" t="str">
        <f>""</f>
        <v/>
      </c>
      <c r="G114" t="str">
        <f>""</f>
        <v/>
      </c>
      <c r="H114" s="1">
        <v>39612</v>
      </c>
      <c r="I114" t="str">
        <f>"PCD00321"</f>
        <v>PCD00321</v>
      </c>
      <c r="J114" t="str">
        <f>"80380"</f>
        <v>80380</v>
      </c>
      <c r="K114" t="str">
        <f t="shared" si="28"/>
        <v>AS89</v>
      </c>
      <c r="L114" t="s">
        <v>913</v>
      </c>
      <c r="M114">
        <v>128.9</v>
      </c>
    </row>
    <row r="115" spans="1:13" x14ac:dyDescent="0.25">
      <c r="A115" t="str">
        <f t="shared" si="23"/>
        <v>E111</v>
      </c>
      <c r="B115">
        <v>1</v>
      </c>
      <c r="C115" t="str">
        <f t="shared" si="26"/>
        <v>43000</v>
      </c>
      <c r="D115" t="str">
        <f t="shared" si="27"/>
        <v>5740</v>
      </c>
      <c r="E115" t="str">
        <f t="shared" si="29"/>
        <v>850LOS</v>
      </c>
      <c r="F115" t="str">
        <f>""</f>
        <v/>
      </c>
      <c r="G115" t="str">
        <f>""</f>
        <v/>
      </c>
      <c r="H115" s="1">
        <v>39626</v>
      </c>
      <c r="I115" t="str">
        <f>"PCD00323"</f>
        <v>PCD00323</v>
      </c>
      <c r="J115" t="str">
        <f>"81450"</f>
        <v>81450</v>
      </c>
      <c r="K115" t="str">
        <f t="shared" si="28"/>
        <v>AS89</v>
      </c>
      <c r="L115" t="s">
        <v>778</v>
      </c>
      <c r="M115">
        <v>165.04</v>
      </c>
    </row>
    <row r="116" spans="1:13" x14ac:dyDescent="0.25">
      <c r="A116" t="str">
        <f t="shared" si="23"/>
        <v>E111</v>
      </c>
      <c r="B116">
        <v>1</v>
      </c>
      <c r="C116" t="str">
        <f t="shared" si="26"/>
        <v>43000</v>
      </c>
      <c r="D116" t="str">
        <f t="shared" si="27"/>
        <v>5740</v>
      </c>
      <c r="E116" t="str">
        <f t="shared" si="29"/>
        <v>850LOS</v>
      </c>
      <c r="F116" t="str">
        <f>""</f>
        <v/>
      </c>
      <c r="G116" t="str">
        <f>""</f>
        <v/>
      </c>
      <c r="H116" s="1">
        <v>39626</v>
      </c>
      <c r="I116" t="str">
        <f>"PCD00323"</f>
        <v>PCD00323</v>
      </c>
      <c r="J116" t="str">
        <f>"81718"</f>
        <v>81718</v>
      </c>
      <c r="K116" t="str">
        <f t="shared" si="28"/>
        <v>AS89</v>
      </c>
      <c r="L116" t="s">
        <v>916</v>
      </c>
      <c r="M116">
        <v>529.86</v>
      </c>
    </row>
    <row r="117" spans="1:13" x14ac:dyDescent="0.25">
      <c r="A117" t="str">
        <f t="shared" si="23"/>
        <v>E111</v>
      </c>
      <c r="B117">
        <v>1</v>
      </c>
      <c r="C117" t="str">
        <f t="shared" si="26"/>
        <v>43000</v>
      </c>
      <c r="D117" t="str">
        <f t="shared" si="27"/>
        <v>5740</v>
      </c>
      <c r="E117" t="str">
        <f>"850PKE"</f>
        <v>850PKE</v>
      </c>
      <c r="F117" t="str">
        <f>""</f>
        <v/>
      </c>
      <c r="G117" t="str">
        <f>""</f>
        <v/>
      </c>
      <c r="H117" s="1">
        <v>39514</v>
      </c>
      <c r="I117" t="str">
        <f>"PCD00307"</f>
        <v>PCD00307</v>
      </c>
      <c r="J117" t="str">
        <f>"73578"</f>
        <v>73578</v>
      </c>
      <c r="K117" t="str">
        <f t="shared" si="28"/>
        <v>AS89</v>
      </c>
      <c r="L117" t="s">
        <v>914</v>
      </c>
      <c r="M117" s="2">
        <v>1000</v>
      </c>
    </row>
    <row r="118" spans="1:13" x14ac:dyDescent="0.25">
      <c r="A118" t="str">
        <f t="shared" si="23"/>
        <v>E111</v>
      </c>
      <c r="B118">
        <v>1</v>
      </c>
      <c r="C118" t="str">
        <f>"43001"</f>
        <v>43001</v>
      </c>
      <c r="D118" t="str">
        <f t="shared" si="27"/>
        <v>5740</v>
      </c>
      <c r="E118" t="str">
        <f>"850LOS"</f>
        <v>850LOS</v>
      </c>
      <c r="F118" t="str">
        <f>""</f>
        <v/>
      </c>
      <c r="G118" t="str">
        <f>""</f>
        <v/>
      </c>
      <c r="H118" s="1">
        <v>39330</v>
      </c>
      <c r="I118" t="str">
        <f>"113834A"</f>
        <v>113834A</v>
      </c>
      <c r="J118" t="str">
        <f>""</f>
        <v/>
      </c>
      <c r="K118" t="str">
        <f>"INNI"</f>
        <v>INNI</v>
      </c>
      <c r="L118" t="s">
        <v>912</v>
      </c>
      <c r="M118">
        <v>433.6</v>
      </c>
    </row>
    <row r="119" spans="1:13" x14ac:dyDescent="0.25">
      <c r="A119" t="str">
        <f t="shared" si="23"/>
        <v>E111</v>
      </c>
      <c r="B119">
        <v>1</v>
      </c>
      <c r="C119" t="str">
        <f>"43001"</f>
        <v>43001</v>
      </c>
      <c r="D119" t="str">
        <f t="shared" si="27"/>
        <v>5740</v>
      </c>
      <c r="E119" t="str">
        <f>"850LOS"</f>
        <v>850LOS</v>
      </c>
      <c r="F119" t="str">
        <f>""</f>
        <v/>
      </c>
      <c r="G119" t="str">
        <f>""</f>
        <v/>
      </c>
      <c r="H119" s="1">
        <v>39332</v>
      </c>
      <c r="I119" t="str">
        <f>"PCD00283"</f>
        <v>PCD00283</v>
      </c>
      <c r="J119" t="str">
        <f>"64260"</f>
        <v>64260</v>
      </c>
      <c r="K119" t="str">
        <f t="shared" ref="K119:K128" si="30">"AS89"</f>
        <v>AS89</v>
      </c>
      <c r="L119" t="s">
        <v>911</v>
      </c>
      <c r="M119">
        <v>282.81</v>
      </c>
    </row>
    <row r="120" spans="1:13" x14ac:dyDescent="0.25">
      <c r="A120" t="str">
        <f t="shared" si="23"/>
        <v>E111</v>
      </c>
      <c r="B120">
        <v>1</v>
      </c>
      <c r="C120" t="str">
        <f>"43001"</f>
        <v>43001</v>
      </c>
      <c r="D120" t="str">
        <f t="shared" si="27"/>
        <v>5740</v>
      </c>
      <c r="E120" t="str">
        <f>"850LOS"</f>
        <v>850LOS</v>
      </c>
      <c r="F120" t="str">
        <f>""</f>
        <v/>
      </c>
      <c r="G120" t="str">
        <f>""</f>
        <v/>
      </c>
      <c r="H120" s="1">
        <v>39332</v>
      </c>
      <c r="I120" t="str">
        <f>"PCD00283"</f>
        <v>PCD00283</v>
      </c>
      <c r="J120" t="str">
        <f>"64977"</f>
        <v>64977</v>
      </c>
      <c r="K120" t="str">
        <f t="shared" si="30"/>
        <v>AS89</v>
      </c>
      <c r="L120" t="s">
        <v>909</v>
      </c>
      <c r="M120">
        <v>157.59</v>
      </c>
    </row>
    <row r="121" spans="1:13" x14ac:dyDescent="0.25">
      <c r="A121" t="str">
        <f t="shared" si="23"/>
        <v>E111</v>
      </c>
      <c r="B121">
        <v>1</v>
      </c>
      <c r="C121" t="str">
        <f>"43003"</f>
        <v>43003</v>
      </c>
      <c r="D121" t="str">
        <f t="shared" si="27"/>
        <v>5740</v>
      </c>
      <c r="E121" t="str">
        <f>"850LOS"</f>
        <v>850LOS</v>
      </c>
      <c r="F121" t="str">
        <f>""</f>
        <v/>
      </c>
      <c r="G121" t="str">
        <f>""</f>
        <v/>
      </c>
      <c r="H121" s="1">
        <v>39444</v>
      </c>
      <c r="I121" t="str">
        <f>"PCD00297"</f>
        <v>PCD00297</v>
      </c>
      <c r="J121" t="str">
        <f>"70399"</f>
        <v>70399</v>
      </c>
      <c r="K121" t="str">
        <f t="shared" si="30"/>
        <v>AS89</v>
      </c>
      <c r="L121" t="s">
        <v>908</v>
      </c>
      <c r="M121">
        <v>521.53</v>
      </c>
    </row>
    <row r="122" spans="1:13" x14ac:dyDescent="0.25">
      <c r="A122" t="str">
        <f>"E112"</f>
        <v>E112</v>
      </c>
      <c r="B122">
        <v>1</v>
      </c>
      <c r="C122" t="str">
        <f>"14185"</f>
        <v>14185</v>
      </c>
      <c r="D122" t="str">
        <f>"5620"</f>
        <v>5620</v>
      </c>
      <c r="E122" t="str">
        <f>"094OMS"</f>
        <v>094OMS</v>
      </c>
      <c r="F122" t="str">
        <f>""</f>
        <v/>
      </c>
      <c r="G122" t="str">
        <f>""</f>
        <v/>
      </c>
      <c r="H122" s="1">
        <v>39367</v>
      </c>
      <c r="I122" t="str">
        <f>"PCD00288"</f>
        <v>PCD00288</v>
      </c>
      <c r="J122" t="str">
        <f>"66445"</f>
        <v>66445</v>
      </c>
      <c r="K122" t="str">
        <f t="shared" si="30"/>
        <v>AS89</v>
      </c>
      <c r="L122" t="s">
        <v>906</v>
      </c>
      <c r="M122">
        <v>244.7</v>
      </c>
    </row>
    <row r="123" spans="1:13" x14ac:dyDescent="0.25">
      <c r="A123" t="str">
        <f t="shared" ref="A123:A128" si="31">"E117"</f>
        <v>E117</v>
      </c>
      <c r="B123">
        <v>1</v>
      </c>
      <c r="C123" t="str">
        <f>"14185"</f>
        <v>14185</v>
      </c>
      <c r="D123" t="str">
        <f>"5620"</f>
        <v>5620</v>
      </c>
      <c r="E123" t="str">
        <f>"094OMS"</f>
        <v>094OMS</v>
      </c>
      <c r="F123" t="str">
        <f>""</f>
        <v/>
      </c>
      <c r="G123" t="str">
        <f>""</f>
        <v/>
      </c>
      <c r="H123" s="1">
        <v>39295</v>
      </c>
      <c r="I123" t="str">
        <f>"PCD00280"</f>
        <v>PCD00280</v>
      </c>
      <c r="J123" t="str">
        <f>"63237"</f>
        <v>63237</v>
      </c>
      <c r="K123" t="str">
        <f t="shared" si="30"/>
        <v>AS89</v>
      </c>
      <c r="L123" t="s">
        <v>905</v>
      </c>
      <c r="M123">
        <v>771.72</v>
      </c>
    </row>
    <row r="124" spans="1:13" x14ac:dyDescent="0.25">
      <c r="A124" t="str">
        <f t="shared" si="31"/>
        <v>E117</v>
      </c>
      <c r="B124">
        <v>1</v>
      </c>
      <c r="C124" t="str">
        <f>"14185"</f>
        <v>14185</v>
      </c>
      <c r="D124" t="str">
        <f>"5620"</f>
        <v>5620</v>
      </c>
      <c r="E124" t="str">
        <f>"094OMS"</f>
        <v>094OMS</v>
      </c>
      <c r="F124" t="str">
        <f>""</f>
        <v/>
      </c>
      <c r="G124" t="str">
        <f>""</f>
        <v/>
      </c>
      <c r="H124" s="1">
        <v>39430</v>
      </c>
      <c r="I124" t="str">
        <f>"PCD00295"</f>
        <v>PCD00295</v>
      </c>
      <c r="J124" t="str">
        <f>"69300"</f>
        <v>69300</v>
      </c>
      <c r="K124" t="str">
        <f t="shared" si="30"/>
        <v>AS89</v>
      </c>
      <c r="L124" t="s">
        <v>904</v>
      </c>
      <c r="M124">
        <v>389.05</v>
      </c>
    </row>
    <row r="125" spans="1:13" x14ac:dyDescent="0.25">
      <c r="A125" t="str">
        <f t="shared" si="31"/>
        <v>E117</v>
      </c>
      <c r="B125">
        <v>1</v>
      </c>
      <c r="C125" t="str">
        <f>"14185"</f>
        <v>14185</v>
      </c>
      <c r="D125" t="str">
        <f>"5620"</f>
        <v>5620</v>
      </c>
      <c r="E125" t="str">
        <f>"094OMS"</f>
        <v>094OMS</v>
      </c>
      <c r="F125" t="str">
        <f>""</f>
        <v/>
      </c>
      <c r="G125" t="str">
        <f>""</f>
        <v/>
      </c>
      <c r="H125" s="1">
        <v>39528</v>
      </c>
      <c r="I125" t="str">
        <f>"PCD00309"</f>
        <v>PCD00309</v>
      </c>
      <c r="J125" t="str">
        <f>"75512"</f>
        <v>75512</v>
      </c>
      <c r="K125" t="str">
        <f t="shared" si="30"/>
        <v>AS89</v>
      </c>
      <c r="L125" t="s">
        <v>903</v>
      </c>
      <c r="M125">
        <v>590.70000000000005</v>
      </c>
    </row>
    <row r="126" spans="1:13" x14ac:dyDescent="0.25">
      <c r="A126" t="str">
        <f t="shared" si="31"/>
        <v>E117</v>
      </c>
      <c r="B126">
        <v>1</v>
      </c>
      <c r="C126" t="str">
        <f>"14185"</f>
        <v>14185</v>
      </c>
      <c r="D126" t="str">
        <f>"5620"</f>
        <v>5620</v>
      </c>
      <c r="E126" t="str">
        <f>"094OMS"</f>
        <v>094OMS</v>
      </c>
      <c r="F126" t="str">
        <f>""</f>
        <v/>
      </c>
      <c r="G126" t="str">
        <f>""</f>
        <v/>
      </c>
      <c r="H126" s="1">
        <v>39549</v>
      </c>
      <c r="I126" t="str">
        <f>"PCD00312"</f>
        <v>PCD00312</v>
      </c>
      <c r="J126" t="str">
        <f>"76992"</f>
        <v>76992</v>
      </c>
      <c r="K126" t="str">
        <f t="shared" si="30"/>
        <v>AS89</v>
      </c>
      <c r="L126" t="s">
        <v>902</v>
      </c>
      <c r="M126">
        <v>385.84</v>
      </c>
    </row>
    <row r="127" spans="1:13" x14ac:dyDescent="0.25">
      <c r="A127" t="str">
        <f t="shared" si="31"/>
        <v>E117</v>
      </c>
      <c r="B127">
        <v>1</v>
      </c>
      <c r="C127" t="str">
        <f>"32040"</f>
        <v>32040</v>
      </c>
      <c r="D127" t="str">
        <f>"5610"</f>
        <v>5610</v>
      </c>
      <c r="E127" t="str">
        <f t="shared" ref="E127:E133" si="32">"850LOS"</f>
        <v>850LOS</v>
      </c>
      <c r="F127" t="str">
        <f>""</f>
        <v/>
      </c>
      <c r="G127" t="str">
        <f>""</f>
        <v/>
      </c>
      <c r="H127" s="1">
        <v>39367</v>
      </c>
      <c r="I127" t="str">
        <f>"PCD00288"</f>
        <v>PCD00288</v>
      </c>
      <c r="J127" t="str">
        <f>"65843"</f>
        <v>65843</v>
      </c>
      <c r="K127" t="str">
        <f t="shared" si="30"/>
        <v>AS89</v>
      </c>
      <c r="L127" t="s">
        <v>901</v>
      </c>
      <c r="M127">
        <v>330.51</v>
      </c>
    </row>
    <row r="128" spans="1:13" x14ac:dyDescent="0.25">
      <c r="A128" t="str">
        <f t="shared" si="31"/>
        <v>E117</v>
      </c>
      <c r="B128">
        <v>1</v>
      </c>
      <c r="C128" t="str">
        <f t="shared" ref="C128:C133" si="33">"43000"</f>
        <v>43000</v>
      </c>
      <c r="D128" t="str">
        <f t="shared" ref="D128:D133" si="34">"5740"</f>
        <v>5740</v>
      </c>
      <c r="E128" t="str">
        <f t="shared" si="32"/>
        <v>850LOS</v>
      </c>
      <c r="F128" t="str">
        <f>""</f>
        <v/>
      </c>
      <c r="G128" t="str">
        <f>""</f>
        <v/>
      </c>
      <c r="H128" s="1">
        <v>39367</v>
      </c>
      <c r="I128" t="str">
        <f>"PCD00288"</f>
        <v>PCD00288</v>
      </c>
      <c r="J128" t="str">
        <f>"65793"</f>
        <v>65793</v>
      </c>
      <c r="K128" t="str">
        <f t="shared" si="30"/>
        <v>AS89</v>
      </c>
      <c r="L128" t="s">
        <v>900</v>
      </c>
      <c r="M128">
        <v>123.29</v>
      </c>
    </row>
    <row r="129" spans="1:13" x14ac:dyDescent="0.25">
      <c r="A129" t="str">
        <f>"E120"</f>
        <v>E120</v>
      </c>
      <c r="B129">
        <v>1</v>
      </c>
      <c r="C129" t="str">
        <f t="shared" si="33"/>
        <v>43000</v>
      </c>
      <c r="D129" t="str">
        <f t="shared" si="34"/>
        <v>5740</v>
      </c>
      <c r="E129" t="str">
        <f t="shared" si="32"/>
        <v>850LOS</v>
      </c>
      <c r="F129" t="str">
        <f>""</f>
        <v/>
      </c>
      <c r="G129" t="str">
        <f>""</f>
        <v/>
      </c>
      <c r="H129" s="1">
        <v>39269</v>
      </c>
      <c r="I129" t="str">
        <f>"219747"</f>
        <v>219747</v>
      </c>
      <c r="J129" t="str">
        <f>"F113816"</f>
        <v>F113816</v>
      </c>
      <c r="K129" t="str">
        <f>"INEI"</f>
        <v>INEI</v>
      </c>
      <c r="L129" t="s">
        <v>840</v>
      </c>
      <c r="M129" s="2">
        <v>2471.52</v>
      </c>
    </row>
    <row r="130" spans="1:13" x14ac:dyDescent="0.25">
      <c r="A130" t="str">
        <f>"E120"</f>
        <v>E120</v>
      </c>
      <c r="B130">
        <v>1</v>
      </c>
      <c r="C130" t="str">
        <f t="shared" si="33"/>
        <v>43000</v>
      </c>
      <c r="D130" t="str">
        <f t="shared" si="34"/>
        <v>5740</v>
      </c>
      <c r="E130" t="str">
        <f t="shared" si="32"/>
        <v>850LOS</v>
      </c>
      <c r="F130" t="str">
        <f>""</f>
        <v/>
      </c>
      <c r="G130" t="str">
        <f>""</f>
        <v/>
      </c>
      <c r="H130" s="1">
        <v>39336</v>
      </c>
      <c r="I130" t="str">
        <f>"19767"</f>
        <v>19767</v>
      </c>
      <c r="J130" t="str">
        <f>"F113812"</f>
        <v>F113812</v>
      </c>
      <c r="K130" t="str">
        <f>"INEI"</f>
        <v>INEI</v>
      </c>
      <c r="L130" t="s">
        <v>48</v>
      </c>
      <c r="M130" s="2">
        <v>2660.17</v>
      </c>
    </row>
    <row r="131" spans="1:13" x14ac:dyDescent="0.25">
      <c r="A131" t="str">
        <f>"E120"</f>
        <v>E120</v>
      </c>
      <c r="B131">
        <v>1</v>
      </c>
      <c r="C131" t="str">
        <f t="shared" si="33"/>
        <v>43000</v>
      </c>
      <c r="D131" t="str">
        <f t="shared" si="34"/>
        <v>5740</v>
      </c>
      <c r="E131" t="str">
        <f t="shared" si="32"/>
        <v>850LOS</v>
      </c>
      <c r="F131" t="str">
        <f>""</f>
        <v/>
      </c>
      <c r="G131" t="str">
        <f>""</f>
        <v/>
      </c>
      <c r="H131" s="1">
        <v>39336</v>
      </c>
      <c r="I131" t="str">
        <f>"19767"</f>
        <v>19767</v>
      </c>
      <c r="J131" t="str">
        <f>"F113812"</f>
        <v>F113812</v>
      </c>
      <c r="K131" t="str">
        <f>"INEI"</f>
        <v>INEI</v>
      </c>
      <c r="L131" t="s">
        <v>48</v>
      </c>
      <c r="M131">
        <v>554.99</v>
      </c>
    </row>
    <row r="132" spans="1:13" x14ac:dyDescent="0.25">
      <c r="A132" t="str">
        <f>"E120"</f>
        <v>E120</v>
      </c>
      <c r="B132">
        <v>1</v>
      </c>
      <c r="C132" t="str">
        <f t="shared" si="33"/>
        <v>43000</v>
      </c>
      <c r="D132" t="str">
        <f t="shared" si="34"/>
        <v>5740</v>
      </c>
      <c r="E132" t="str">
        <f t="shared" si="32"/>
        <v>850LOS</v>
      </c>
      <c r="F132" t="str">
        <f>""</f>
        <v/>
      </c>
      <c r="G132" t="str">
        <f>""</f>
        <v/>
      </c>
      <c r="H132" s="1">
        <v>39336</v>
      </c>
      <c r="I132" t="str">
        <f>"19767"</f>
        <v>19767</v>
      </c>
      <c r="J132" t="str">
        <f>"F113812"</f>
        <v>F113812</v>
      </c>
      <c r="K132" t="str">
        <f>"INEI"</f>
        <v>INEI</v>
      </c>
      <c r="L132" t="s">
        <v>48</v>
      </c>
      <c r="M132" s="2">
        <v>1319.63</v>
      </c>
    </row>
    <row r="133" spans="1:13" x14ac:dyDescent="0.25">
      <c r="A133" t="str">
        <f>"E120"</f>
        <v>E120</v>
      </c>
      <c r="B133">
        <v>1</v>
      </c>
      <c r="C133" t="str">
        <f t="shared" si="33"/>
        <v>43000</v>
      </c>
      <c r="D133" t="str">
        <f t="shared" si="34"/>
        <v>5740</v>
      </c>
      <c r="E133" t="str">
        <f t="shared" si="32"/>
        <v>850LOS</v>
      </c>
      <c r="F133" t="str">
        <f>""</f>
        <v/>
      </c>
      <c r="G133" t="str">
        <f>""</f>
        <v/>
      </c>
      <c r="H133" s="1">
        <v>39336</v>
      </c>
      <c r="I133" t="str">
        <f>"19767"</f>
        <v>19767</v>
      </c>
      <c r="J133" t="str">
        <f>"F113812"</f>
        <v>F113812</v>
      </c>
      <c r="K133" t="str">
        <f>"INEI"</f>
        <v>INEI</v>
      </c>
      <c r="L133" t="s">
        <v>48</v>
      </c>
      <c r="M133" s="2">
        <v>3891.99</v>
      </c>
    </row>
    <row r="134" spans="1:13" x14ac:dyDescent="0.25">
      <c r="A134" t="str">
        <f t="shared" ref="A134:A141" si="35">"E121"</f>
        <v>E121</v>
      </c>
      <c r="B134">
        <v>1</v>
      </c>
      <c r="C134" t="str">
        <f>"14185"</f>
        <v>14185</v>
      </c>
      <c r="D134" t="str">
        <f>"5620"</f>
        <v>5620</v>
      </c>
      <c r="E134" t="str">
        <f>"094OMS"</f>
        <v>094OMS</v>
      </c>
      <c r="F134" t="str">
        <f>""</f>
        <v/>
      </c>
      <c r="G134" t="str">
        <f>""</f>
        <v/>
      </c>
      <c r="H134" s="1">
        <v>39402</v>
      </c>
      <c r="I134" t="str">
        <f>"G0805075"</f>
        <v>G0805075</v>
      </c>
      <c r="J134" t="str">
        <f>"293904"</f>
        <v>293904</v>
      </c>
      <c r="K134" t="str">
        <f>"J096"</f>
        <v>J096</v>
      </c>
      <c r="L134" t="s">
        <v>897</v>
      </c>
      <c r="M134">
        <v>185.6</v>
      </c>
    </row>
    <row r="135" spans="1:13" x14ac:dyDescent="0.25">
      <c r="A135" t="str">
        <f t="shared" si="35"/>
        <v>E121</v>
      </c>
      <c r="B135">
        <v>1</v>
      </c>
      <c r="C135" t="str">
        <f t="shared" ref="C135:C142" si="36">"43000"</f>
        <v>43000</v>
      </c>
      <c r="D135" t="str">
        <f t="shared" ref="D135:D142" si="37">"5740"</f>
        <v>5740</v>
      </c>
      <c r="E135" t="str">
        <f t="shared" ref="E135:E142" si="38">"850LOS"</f>
        <v>850LOS</v>
      </c>
      <c r="F135" t="str">
        <f>"PKOLOT"</f>
        <v>PKOLOT</v>
      </c>
      <c r="G135" t="str">
        <f>""</f>
        <v/>
      </c>
      <c r="H135" s="1">
        <v>39395</v>
      </c>
      <c r="I135" t="str">
        <f>"PCD00292"</f>
        <v>PCD00292</v>
      </c>
      <c r="J135" t="str">
        <f>"68795"</f>
        <v>68795</v>
      </c>
      <c r="K135" t="str">
        <f>"AS89"</f>
        <v>AS89</v>
      </c>
      <c r="L135" t="s">
        <v>898</v>
      </c>
      <c r="M135">
        <v>108.4</v>
      </c>
    </row>
    <row r="136" spans="1:13" x14ac:dyDescent="0.25">
      <c r="A136" t="str">
        <f t="shared" si="35"/>
        <v>E121</v>
      </c>
      <c r="B136">
        <v>1</v>
      </c>
      <c r="C136" t="str">
        <f t="shared" si="36"/>
        <v>43000</v>
      </c>
      <c r="D136" t="str">
        <f t="shared" si="37"/>
        <v>5740</v>
      </c>
      <c r="E136" t="str">
        <f t="shared" si="38"/>
        <v>850LOS</v>
      </c>
      <c r="F136" t="str">
        <f>""</f>
        <v/>
      </c>
      <c r="G136" t="str">
        <f>""</f>
        <v/>
      </c>
      <c r="H136" s="1">
        <v>39354</v>
      </c>
      <c r="I136" t="str">
        <f>"SO203790"</f>
        <v>SO203790</v>
      </c>
      <c r="J136" t="str">
        <f>"B076226B"</f>
        <v>B076226B</v>
      </c>
      <c r="K136" t="str">
        <f>"INNI"</f>
        <v>INNI</v>
      </c>
      <c r="L136" t="s">
        <v>76</v>
      </c>
      <c r="M136">
        <v>185.6</v>
      </c>
    </row>
    <row r="137" spans="1:13" x14ac:dyDescent="0.25">
      <c r="A137" t="str">
        <f t="shared" si="35"/>
        <v>E121</v>
      </c>
      <c r="B137">
        <v>1</v>
      </c>
      <c r="C137" t="str">
        <f t="shared" si="36"/>
        <v>43000</v>
      </c>
      <c r="D137" t="str">
        <f t="shared" si="37"/>
        <v>5740</v>
      </c>
      <c r="E137" t="str">
        <f t="shared" si="38"/>
        <v>850LOS</v>
      </c>
      <c r="F137" t="str">
        <f>""</f>
        <v/>
      </c>
      <c r="G137" t="str">
        <f>""</f>
        <v/>
      </c>
      <c r="H137" s="1">
        <v>39507</v>
      </c>
      <c r="I137" t="str">
        <f>"NV296864"</f>
        <v>NV296864</v>
      </c>
      <c r="J137" t="str">
        <f>"B113857"</f>
        <v>B113857</v>
      </c>
      <c r="K137" t="str">
        <f>"INNI"</f>
        <v>INNI</v>
      </c>
      <c r="L137" t="s">
        <v>76</v>
      </c>
      <c r="M137">
        <v>303.74</v>
      </c>
    </row>
    <row r="138" spans="1:13" x14ac:dyDescent="0.25">
      <c r="A138" t="str">
        <f t="shared" si="35"/>
        <v>E121</v>
      </c>
      <c r="B138">
        <v>1</v>
      </c>
      <c r="C138" t="str">
        <f t="shared" si="36"/>
        <v>43000</v>
      </c>
      <c r="D138" t="str">
        <f t="shared" si="37"/>
        <v>5740</v>
      </c>
      <c r="E138" t="str">
        <f t="shared" si="38"/>
        <v>850LOS</v>
      </c>
      <c r="F138" t="str">
        <f>""</f>
        <v/>
      </c>
      <c r="G138" t="str">
        <f>""</f>
        <v/>
      </c>
      <c r="H138" s="1">
        <v>39521</v>
      </c>
      <c r="I138" t="str">
        <f>"125305"</f>
        <v>125305</v>
      </c>
      <c r="J138" t="str">
        <f>""</f>
        <v/>
      </c>
      <c r="K138" t="str">
        <f>"INNI"</f>
        <v>INNI</v>
      </c>
      <c r="L138" t="s">
        <v>76</v>
      </c>
      <c r="M138">
        <v>234.15</v>
      </c>
    </row>
    <row r="139" spans="1:13" x14ac:dyDescent="0.25">
      <c r="A139" t="str">
        <f t="shared" si="35"/>
        <v>E121</v>
      </c>
      <c r="B139">
        <v>1</v>
      </c>
      <c r="C139" t="str">
        <f t="shared" si="36"/>
        <v>43000</v>
      </c>
      <c r="D139" t="str">
        <f t="shared" si="37"/>
        <v>5740</v>
      </c>
      <c r="E139" t="str">
        <f t="shared" si="38"/>
        <v>850LOS</v>
      </c>
      <c r="F139" t="str">
        <f>""</f>
        <v/>
      </c>
      <c r="G139" t="str">
        <f>""</f>
        <v/>
      </c>
      <c r="H139" s="1">
        <v>39552</v>
      </c>
      <c r="I139" t="str">
        <f>"125305B"</f>
        <v>125305B</v>
      </c>
      <c r="J139" t="str">
        <f>""</f>
        <v/>
      </c>
      <c r="K139" t="str">
        <f>"INNI"</f>
        <v>INNI</v>
      </c>
      <c r="L139" t="s">
        <v>76</v>
      </c>
      <c r="M139">
        <v>126.4</v>
      </c>
    </row>
    <row r="140" spans="1:13" x14ac:dyDescent="0.25">
      <c r="A140" t="str">
        <f t="shared" si="35"/>
        <v>E121</v>
      </c>
      <c r="B140">
        <v>1</v>
      </c>
      <c r="C140" t="str">
        <f t="shared" si="36"/>
        <v>43000</v>
      </c>
      <c r="D140" t="str">
        <f t="shared" si="37"/>
        <v>5740</v>
      </c>
      <c r="E140" t="str">
        <f t="shared" si="38"/>
        <v>850LOS</v>
      </c>
      <c r="F140" t="str">
        <f>""</f>
        <v/>
      </c>
      <c r="G140" t="str">
        <f>""</f>
        <v/>
      </c>
      <c r="H140" s="1">
        <v>39577</v>
      </c>
      <c r="I140" t="str">
        <f>"PCD00316"</f>
        <v>PCD00316</v>
      </c>
      <c r="J140" t="str">
        <f>"78459"</f>
        <v>78459</v>
      </c>
      <c r="K140" t="str">
        <f>"AS89"</f>
        <v>AS89</v>
      </c>
      <c r="L140" t="s">
        <v>896</v>
      </c>
      <c r="M140">
        <v>915.98</v>
      </c>
    </row>
    <row r="141" spans="1:13" x14ac:dyDescent="0.25">
      <c r="A141" t="str">
        <f t="shared" si="35"/>
        <v>E121</v>
      </c>
      <c r="B141">
        <v>1</v>
      </c>
      <c r="C141" t="str">
        <f t="shared" si="36"/>
        <v>43000</v>
      </c>
      <c r="D141" t="str">
        <f t="shared" si="37"/>
        <v>5740</v>
      </c>
      <c r="E141" t="str">
        <f t="shared" si="38"/>
        <v>850LOS</v>
      </c>
      <c r="F141" t="str">
        <f>""</f>
        <v/>
      </c>
      <c r="G141" t="str">
        <f>""</f>
        <v/>
      </c>
      <c r="H141" s="1">
        <v>39629</v>
      </c>
      <c r="I141" t="str">
        <f>"NV298662"</f>
        <v>NV298662</v>
      </c>
      <c r="J141" t="str">
        <f>"B113857"</f>
        <v>B113857</v>
      </c>
      <c r="K141" t="str">
        <f>"INNI"</f>
        <v>INNI</v>
      </c>
      <c r="L141" t="s">
        <v>76</v>
      </c>
      <c r="M141">
        <v>130.46</v>
      </c>
    </row>
    <row r="142" spans="1:13" x14ac:dyDescent="0.25">
      <c r="A142" t="str">
        <f>"E132"</f>
        <v>E132</v>
      </c>
      <c r="B142">
        <v>1</v>
      </c>
      <c r="C142" t="str">
        <f t="shared" si="36"/>
        <v>43000</v>
      </c>
      <c r="D142" t="str">
        <f t="shared" si="37"/>
        <v>5740</v>
      </c>
      <c r="E142" t="str">
        <f t="shared" si="38"/>
        <v>850LOS</v>
      </c>
      <c r="F142" t="str">
        <f>""</f>
        <v/>
      </c>
      <c r="G142" t="str">
        <f>""</f>
        <v/>
      </c>
      <c r="H142" s="1">
        <v>39599</v>
      </c>
      <c r="I142" t="str">
        <f>"MSV00195"</f>
        <v>MSV00195</v>
      </c>
      <c r="J142" t="str">
        <f>""</f>
        <v/>
      </c>
      <c r="K142" t="str">
        <f>"MS01"</f>
        <v>MS01</v>
      </c>
      <c r="L142" t="s">
        <v>895</v>
      </c>
      <c r="M142">
        <v>110.4</v>
      </c>
    </row>
    <row r="143" spans="1:13" x14ac:dyDescent="0.25">
      <c r="A143" t="str">
        <f>"E133"</f>
        <v>E133</v>
      </c>
      <c r="B143">
        <v>1</v>
      </c>
      <c r="C143" t="str">
        <f t="shared" ref="C143:C150" si="39">"14185"</f>
        <v>14185</v>
      </c>
      <c r="D143" t="str">
        <f t="shared" ref="D143:D150" si="40">"5620"</f>
        <v>5620</v>
      </c>
      <c r="E143" t="str">
        <f t="shared" ref="E143:E150" si="41">"094OMS"</f>
        <v>094OMS</v>
      </c>
      <c r="F143" t="str">
        <f>""</f>
        <v/>
      </c>
      <c r="G143" t="str">
        <f>""</f>
        <v/>
      </c>
      <c r="H143" s="1">
        <v>39351</v>
      </c>
      <c r="I143" t="str">
        <f>"00031968"</f>
        <v>00031968</v>
      </c>
      <c r="J143" t="str">
        <f>"N171000N"</f>
        <v>N171000N</v>
      </c>
      <c r="K143" t="str">
        <f>"INEI"</f>
        <v>INEI</v>
      </c>
      <c r="L143" t="s">
        <v>78</v>
      </c>
      <c r="M143">
        <v>990</v>
      </c>
    </row>
    <row r="144" spans="1:13" x14ac:dyDescent="0.25">
      <c r="A144" t="str">
        <f>"E133"</f>
        <v>E133</v>
      </c>
      <c r="B144">
        <v>1</v>
      </c>
      <c r="C144" t="str">
        <f t="shared" si="39"/>
        <v>14185</v>
      </c>
      <c r="D144" t="str">
        <f t="shared" si="40"/>
        <v>5620</v>
      </c>
      <c r="E144" t="str">
        <f t="shared" si="41"/>
        <v>094OMS</v>
      </c>
      <c r="F144" t="str">
        <f>""</f>
        <v/>
      </c>
      <c r="G144" t="str">
        <f>""</f>
        <v/>
      </c>
      <c r="H144" s="1">
        <v>39450</v>
      </c>
      <c r="I144" t="str">
        <f>"00032779"</f>
        <v>00032779</v>
      </c>
      <c r="J144" t="str">
        <f>"N171000N"</f>
        <v>N171000N</v>
      </c>
      <c r="K144" t="str">
        <f>"INEI"</f>
        <v>INEI</v>
      </c>
      <c r="L144" t="s">
        <v>78</v>
      </c>
      <c r="M144">
        <v>990</v>
      </c>
    </row>
    <row r="145" spans="1:13" x14ac:dyDescent="0.25">
      <c r="A145" t="str">
        <f>"E133"</f>
        <v>E133</v>
      </c>
      <c r="B145">
        <v>1</v>
      </c>
      <c r="C145" t="str">
        <f t="shared" si="39"/>
        <v>14185</v>
      </c>
      <c r="D145" t="str">
        <f t="shared" si="40"/>
        <v>5620</v>
      </c>
      <c r="E145" t="str">
        <f t="shared" si="41"/>
        <v>094OMS</v>
      </c>
      <c r="F145" t="str">
        <f>""</f>
        <v/>
      </c>
      <c r="G145" t="str">
        <f>""</f>
        <v/>
      </c>
      <c r="H145" s="1">
        <v>39533</v>
      </c>
      <c r="I145" t="str">
        <f>"00033610"</f>
        <v>00033610</v>
      </c>
      <c r="J145" t="str">
        <f>"N171000N"</f>
        <v>N171000N</v>
      </c>
      <c r="K145" t="str">
        <f>"INEI"</f>
        <v>INEI</v>
      </c>
      <c r="L145" t="s">
        <v>78</v>
      </c>
      <c r="M145">
        <v>750</v>
      </c>
    </row>
    <row r="146" spans="1:13" x14ac:dyDescent="0.25">
      <c r="A146" t="str">
        <f>"E133"</f>
        <v>E133</v>
      </c>
      <c r="B146">
        <v>1</v>
      </c>
      <c r="C146" t="str">
        <f t="shared" si="39"/>
        <v>14185</v>
      </c>
      <c r="D146" t="str">
        <f t="shared" si="40"/>
        <v>5620</v>
      </c>
      <c r="E146" t="str">
        <f t="shared" si="41"/>
        <v>094OMS</v>
      </c>
      <c r="F146" t="str">
        <f>""</f>
        <v/>
      </c>
      <c r="G146" t="str">
        <f>""</f>
        <v/>
      </c>
      <c r="H146" s="1">
        <v>39622</v>
      </c>
      <c r="I146" t="str">
        <f>"00034340"</f>
        <v>00034340</v>
      </c>
      <c r="J146" t="str">
        <f>"N171000N"</f>
        <v>N171000N</v>
      </c>
      <c r="K146" t="str">
        <f>"INEI"</f>
        <v>INEI</v>
      </c>
      <c r="L146" t="s">
        <v>78</v>
      </c>
      <c r="M146">
        <v>750</v>
      </c>
    </row>
    <row r="147" spans="1:13" x14ac:dyDescent="0.25">
      <c r="A147" t="str">
        <f>"E133"</f>
        <v>E133</v>
      </c>
      <c r="B147">
        <v>1</v>
      </c>
      <c r="C147" t="str">
        <f t="shared" si="39"/>
        <v>14185</v>
      </c>
      <c r="D147" t="str">
        <f t="shared" si="40"/>
        <v>5620</v>
      </c>
      <c r="E147" t="str">
        <f t="shared" si="41"/>
        <v>094OMS</v>
      </c>
      <c r="F147" t="str">
        <f>""</f>
        <v/>
      </c>
      <c r="G147" t="str">
        <f>""</f>
        <v/>
      </c>
      <c r="H147" s="1">
        <v>39629</v>
      </c>
      <c r="I147" t="str">
        <f>"ACG01736"</f>
        <v>ACG01736</v>
      </c>
      <c r="J147" t="str">
        <f>"I0803657"</f>
        <v>I0803657</v>
      </c>
      <c r="K147" t="str">
        <f>"AS89"</f>
        <v>AS89</v>
      </c>
      <c r="L147" t="s">
        <v>894</v>
      </c>
      <c r="M147">
        <v>180</v>
      </c>
    </row>
    <row r="148" spans="1:13" x14ac:dyDescent="0.25">
      <c r="A148" t="str">
        <f>"E150"</f>
        <v>E150</v>
      </c>
      <c r="B148">
        <v>1</v>
      </c>
      <c r="C148" t="str">
        <f t="shared" si="39"/>
        <v>14185</v>
      </c>
      <c r="D148" t="str">
        <f t="shared" si="40"/>
        <v>5620</v>
      </c>
      <c r="E148" t="str">
        <f t="shared" si="41"/>
        <v>094OMS</v>
      </c>
      <c r="F148" t="str">
        <f>""</f>
        <v/>
      </c>
      <c r="G148" t="str">
        <f>""</f>
        <v/>
      </c>
      <c r="H148" s="1">
        <v>39386</v>
      </c>
      <c r="I148" t="str">
        <f>"MPG00331"</f>
        <v>MPG00331</v>
      </c>
      <c r="J148" t="str">
        <f>"CrownVic"</f>
        <v>CrownVic</v>
      </c>
      <c r="K148" t="str">
        <f>"AS89"</f>
        <v>AS89</v>
      </c>
      <c r="L148" t="s">
        <v>893</v>
      </c>
      <c r="M148" s="2">
        <v>41000</v>
      </c>
    </row>
    <row r="149" spans="1:13" x14ac:dyDescent="0.25">
      <c r="A149" t="str">
        <f>"E150"</f>
        <v>E150</v>
      </c>
      <c r="B149">
        <v>1</v>
      </c>
      <c r="C149" t="str">
        <f t="shared" si="39"/>
        <v>14185</v>
      </c>
      <c r="D149" t="str">
        <f t="shared" si="40"/>
        <v>5620</v>
      </c>
      <c r="E149" t="str">
        <f t="shared" si="41"/>
        <v>094OMS</v>
      </c>
      <c r="F149" t="str">
        <f>""</f>
        <v/>
      </c>
      <c r="G149" t="str">
        <f>""</f>
        <v/>
      </c>
      <c r="H149" s="1">
        <v>39386</v>
      </c>
      <c r="I149" t="str">
        <f>"MPG00331"</f>
        <v>MPG00331</v>
      </c>
      <c r="J149" t="str">
        <f>"PU"</f>
        <v>PU</v>
      </c>
      <c r="K149" t="str">
        <f>"AS89"</f>
        <v>AS89</v>
      </c>
      <c r="L149" t="s">
        <v>892</v>
      </c>
      <c r="M149" s="2">
        <v>16400</v>
      </c>
    </row>
    <row r="150" spans="1:13" x14ac:dyDescent="0.25">
      <c r="A150" t="str">
        <f>"E150"</f>
        <v>E150</v>
      </c>
      <c r="B150">
        <v>1</v>
      </c>
      <c r="C150" t="str">
        <f t="shared" si="39"/>
        <v>14185</v>
      </c>
      <c r="D150" t="str">
        <f t="shared" si="40"/>
        <v>5620</v>
      </c>
      <c r="E150" t="str">
        <f t="shared" si="41"/>
        <v>094OMS</v>
      </c>
      <c r="F150" t="str">
        <f>""</f>
        <v/>
      </c>
      <c r="G150" t="str">
        <f>""</f>
        <v/>
      </c>
      <c r="H150" s="1">
        <v>39486</v>
      </c>
      <c r="I150" t="str">
        <f>"113878"</f>
        <v>113878</v>
      </c>
      <c r="J150" t="str">
        <f>""</f>
        <v/>
      </c>
      <c r="K150" t="str">
        <f>"INNI"</f>
        <v>INNI</v>
      </c>
      <c r="L150" t="s">
        <v>92</v>
      </c>
      <c r="M150" s="2">
        <v>1400</v>
      </c>
    </row>
    <row r="151" spans="1:13" x14ac:dyDescent="0.25">
      <c r="A151" t="str">
        <f>"E150"</f>
        <v>E150</v>
      </c>
      <c r="B151">
        <v>1</v>
      </c>
      <c r="C151" t="str">
        <f>"43000"</f>
        <v>43000</v>
      </c>
      <c r="D151" t="str">
        <f>"5740"</f>
        <v>5740</v>
      </c>
      <c r="E151" t="str">
        <f>"850PKE"</f>
        <v>850PKE</v>
      </c>
      <c r="F151" t="str">
        <f>""</f>
        <v/>
      </c>
      <c r="G151" t="str">
        <f>""</f>
        <v/>
      </c>
      <c r="H151" s="1">
        <v>39486</v>
      </c>
      <c r="I151" t="str">
        <f>"113878"</f>
        <v>113878</v>
      </c>
      <c r="J151" t="str">
        <f>""</f>
        <v/>
      </c>
      <c r="K151" t="str">
        <f>"INNI"</f>
        <v>INNI</v>
      </c>
      <c r="L151" t="s">
        <v>92</v>
      </c>
      <c r="M151">
        <v>700</v>
      </c>
    </row>
    <row r="152" spans="1:13" x14ac:dyDescent="0.25">
      <c r="A152" t="str">
        <f>"E157"</f>
        <v>E157</v>
      </c>
      <c r="B152">
        <v>1</v>
      </c>
      <c r="C152" t="str">
        <f>"31040"</f>
        <v>31040</v>
      </c>
      <c r="D152" t="str">
        <f>"5620"</f>
        <v>5620</v>
      </c>
      <c r="E152" t="str">
        <f>"094OMS"</f>
        <v>094OMS</v>
      </c>
      <c r="F152" t="str">
        <f>""</f>
        <v/>
      </c>
      <c r="G152" t="str">
        <f>""</f>
        <v/>
      </c>
      <c r="H152" s="1">
        <v>39520</v>
      </c>
      <c r="I152" t="str">
        <f>"G0809038"</f>
        <v>G0809038</v>
      </c>
      <c r="J152" t="str">
        <f>"N124193"</f>
        <v>N124193</v>
      </c>
      <c r="K152" t="str">
        <f>"J096"</f>
        <v>J096</v>
      </c>
      <c r="L152" t="s">
        <v>891</v>
      </c>
      <c r="M152">
        <v>250</v>
      </c>
    </row>
    <row r="153" spans="1:13" x14ac:dyDescent="0.25">
      <c r="A153" t="str">
        <f>"E157"</f>
        <v>E157</v>
      </c>
      <c r="B153">
        <v>1</v>
      </c>
      <c r="C153" t="str">
        <f>"43000"</f>
        <v>43000</v>
      </c>
      <c r="D153" t="str">
        <f>"5740"</f>
        <v>5740</v>
      </c>
      <c r="E153" t="str">
        <f>"850LOS"</f>
        <v>850LOS</v>
      </c>
      <c r="F153" t="str">
        <f>""</f>
        <v/>
      </c>
      <c r="G153" t="str">
        <f>""</f>
        <v/>
      </c>
      <c r="H153" s="1">
        <v>39520</v>
      </c>
      <c r="I153" t="str">
        <f>"G0809038"</f>
        <v>G0809038</v>
      </c>
      <c r="J153" t="str">
        <f>"N124193"</f>
        <v>N124193</v>
      </c>
      <c r="K153" t="str">
        <f>"J096"</f>
        <v>J096</v>
      </c>
      <c r="L153" t="s">
        <v>891</v>
      </c>
      <c r="M153">
        <v>250</v>
      </c>
    </row>
    <row r="154" spans="1:13" x14ac:dyDescent="0.25">
      <c r="A154" t="str">
        <f t="shared" ref="A154:A160" si="42">"E162"</f>
        <v>E162</v>
      </c>
      <c r="B154">
        <v>1</v>
      </c>
      <c r="C154" t="str">
        <f>"14185"</f>
        <v>14185</v>
      </c>
      <c r="D154" t="str">
        <f>"5620"</f>
        <v>5620</v>
      </c>
      <c r="E154" t="str">
        <f>"094OMS"</f>
        <v>094OMS</v>
      </c>
      <c r="F154" t="str">
        <f>""</f>
        <v/>
      </c>
      <c r="G154" t="str">
        <f>""</f>
        <v/>
      </c>
      <c r="H154" s="1">
        <v>39316</v>
      </c>
      <c r="I154" t="str">
        <f>"PCD00281"</f>
        <v>PCD00281</v>
      </c>
      <c r="J154" t="str">
        <f>"63926"</f>
        <v>63926</v>
      </c>
      <c r="K154" t="str">
        <f>"AS89"</f>
        <v>AS89</v>
      </c>
      <c r="L154" t="s">
        <v>890</v>
      </c>
      <c r="M154">
        <v>473.17</v>
      </c>
    </row>
    <row r="155" spans="1:13" x14ac:dyDescent="0.25">
      <c r="A155" t="str">
        <f t="shared" si="42"/>
        <v>E162</v>
      </c>
      <c r="B155">
        <v>1</v>
      </c>
      <c r="C155" t="str">
        <f>"14185"</f>
        <v>14185</v>
      </c>
      <c r="D155" t="str">
        <f>"5620"</f>
        <v>5620</v>
      </c>
      <c r="E155" t="str">
        <f>"094OMS"</f>
        <v>094OMS</v>
      </c>
      <c r="F155" t="str">
        <f>""</f>
        <v/>
      </c>
      <c r="G155" t="str">
        <f>""</f>
        <v/>
      </c>
      <c r="H155" s="1">
        <v>39367</v>
      </c>
      <c r="I155" t="str">
        <f>"PCD00288"</f>
        <v>PCD00288</v>
      </c>
      <c r="J155" t="str">
        <f>"66566"</f>
        <v>66566</v>
      </c>
      <c r="K155" t="str">
        <f>"AS89"</f>
        <v>AS89</v>
      </c>
      <c r="L155" t="s">
        <v>889</v>
      </c>
      <c r="M155">
        <v>148.44999999999999</v>
      </c>
    </row>
    <row r="156" spans="1:13" x14ac:dyDescent="0.25">
      <c r="A156" t="str">
        <f t="shared" si="42"/>
        <v>E162</v>
      </c>
      <c r="B156">
        <v>1</v>
      </c>
      <c r="C156" t="str">
        <f>"14185"</f>
        <v>14185</v>
      </c>
      <c r="D156" t="str">
        <f>"5620"</f>
        <v>5620</v>
      </c>
      <c r="E156" t="str">
        <f>"094OMS"</f>
        <v>094OMS</v>
      </c>
      <c r="F156" t="str">
        <f>""</f>
        <v/>
      </c>
      <c r="G156" t="str">
        <f>""</f>
        <v/>
      </c>
      <c r="H156" s="1">
        <v>39556</v>
      </c>
      <c r="I156" t="str">
        <f>"PCD00313"</f>
        <v>PCD00313</v>
      </c>
      <c r="J156" t="str">
        <f>"77344"</f>
        <v>77344</v>
      </c>
      <c r="K156" t="str">
        <f>"AS89"</f>
        <v>AS89</v>
      </c>
      <c r="L156" t="s">
        <v>888</v>
      </c>
      <c r="M156">
        <v>433.6</v>
      </c>
    </row>
    <row r="157" spans="1:13" x14ac:dyDescent="0.25">
      <c r="A157" t="str">
        <f t="shared" si="42"/>
        <v>E162</v>
      </c>
      <c r="B157">
        <v>1</v>
      </c>
      <c r="C157" t="str">
        <f>"14185"</f>
        <v>14185</v>
      </c>
      <c r="D157" t="str">
        <f>"5620"</f>
        <v>5620</v>
      </c>
      <c r="E157" t="str">
        <f>"094OMS"</f>
        <v>094OMS</v>
      </c>
      <c r="F157" t="str">
        <f>""</f>
        <v/>
      </c>
      <c r="G157" t="str">
        <f>""</f>
        <v/>
      </c>
      <c r="H157" s="1">
        <v>39581</v>
      </c>
      <c r="I157" t="str">
        <f>"125314"</f>
        <v>125314</v>
      </c>
      <c r="J157" t="str">
        <f>""</f>
        <v/>
      </c>
      <c r="K157" t="str">
        <f>"INNI"</f>
        <v>INNI</v>
      </c>
      <c r="L157" t="s">
        <v>887</v>
      </c>
      <c r="M157">
        <v>726.28</v>
      </c>
    </row>
    <row r="158" spans="1:13" x14ac:dyDescent="0.25">
      <c r="A158" t="str">
        <f t="shared" si="42"/>
        <v>E162</v>
      </c>
      <c r="B158">
        <v>1</v>
      </c>
      <c r="C158" t="str">
        <f>"32040"</f>
        <v>32040</v>
      </c>
      <c r="D158" t="str">
        <f>"5610"</f>
        <v>5610</v>
      </c>
      <c r="E158" t="str">
        <f>"850LOS"</f>
        <v>850LOS</v>
      </c>
      <c r="F158" t="str">
        <f>""</f>
        <v/>
      </c>
      <c r="G158" t="str">
        <f>""</f>
        <v/>
      </c>
      <c r="H158" s="1">
        <v>39577</v>
      </c>
      <c r="I158" t="str">
        <f>"PCD00316"</f>
        <v>PCD00316</v>
      </c>
      <c r="J158" t="str">
        <f>"78863"</f>
        <v>78863</v>
      </c>
      <c r="K158" t="str">
        <f>"AS89"</f>
        <v>AS89</v>
      </c>
      <c r="L158" t="s">
        <v>886</v>
      </c>
      <c r="M158">
        <v>522.05999999999995</v>
      </c>
    </row>
    <row r="159" spans="1:13" x14ac:dyDescent="0.25">
      <c r="A159" t="str">
        <f t="shared" si="42"/>
        <v>E162</v>
      </c>
      <c r="B159">
        <v>1</v>
      </c>
      <c r="C159" t="str">
        <f>"43000"</f>
        <v>43000</v>
      </c>
      <c r="D159" t="str">
        <f>"5740"</f>
        <v>5740</v>
      </c>
      <c r="E159" t="str">
        <f>"850LOS"</f>
        <v>850LOS</v>
      </c>
      <c r="F159" t="str">
        <f>""</f>
        <v/>
      </c>
      <c r="G159" t="str">
        <f>""</f>
        <v/>
      </c>
      <c r="H159" s="1">
        <v>39465</v>
      </c>
      <c r="I159" t="str">
        <f>"PCD00300"</f>
        <v>PCD00300</v>
      </c>
      <c r="J159" t="str">
        <f>"71779"</f>
        <v>71779</v>
      </c>
      <c r="K159" t="str">
        <f>"AS89"</f>
        <v>AS89</v>
      </c>
      <c r="L159" t="s">
        <v>885</v>
      </c>
      <c r="M159">
        <v>300.27</v>
      </c>
    </row>
    <row r="160" spans="1:13" x14ac:dyDescent="0.25">
      <c r="A160" t="str">
        <f t="shared" si="42"/>
        <v>E162</v>
      </c>
      <c r="B160">
        <v>1</v>
      </c>
      <c r="C160" t="str">
        <f>"43000"</f>
        <v>43000</v>
      </c>
      <c r="D160" t="str">
        <f>"5740"</f>
        <v>5740</v>
      </c>
      <c r="E160" t="str">
        <f>"850LOS"</f>
        <v>850LOS</v>
      </c>
      <c r="F160" t="str">
        <f>""</f>
        <v/>
      </c>
      <c r="G160" t="str">
        <f>""</f>
        <v/>
      </c>
      <c r="H160" s="1">
        <v>39625</v>
      </c>
      <c r="I160" t="str">
        <f>"125330"</f>
        <v>125330</v>
      </c>
      <c r="J160" t="str">
        <f>""</f>
        <v/>
      </c>
      <c r="K160" t="str">
        <f>"INNI"</f>
        <v>INNI</v>
      </c>
      <c r="L160" t="s">
        <v>116</v>
      </c>
      <c r="M160">
        <v>327</v>
      </c>
    </row>
    <row r="161" spans="1:13" x14ac:dyDescent="0.25">
      <c r="A161" t="str">
        <f t="shared" ref="A161:A166" si="43">"E163"</f>
        <v>E163</v>
      </c>
      <c r="B161">
        <v>1</v>
      </c>
      <c r="C161" t="str">
        <f>"14185"</f>
        <v>14185</v>
      </c>
      <c r="D161" t="str">
        <f>"5620"</f>
        <v>5620</v>
      </c>
      <c r="E161" t="str">
        <f>"094OMS"</f>
        <v>094OMS</v>
      </c>
      <c r="F161" t="str">
        <f>""</f>
        <v/>
      </c>
      <c r="G161" t="str">
        <f>""</f>
        <v/>
      </c>
      <c r="H161" s="1">
        <v>39489</v>
      </c>
      <c r="I161" t="str">
        <f>"PCD00303"</f>
        <v>PCD00303</v>
      </c>
      <c r="J161" t="str">
        <f>"73349"</f>
        <v>73349</v>
      </c>
      <c r="K161" t="str">
        <f>"AS89"</f>
        <v>AS89</v>
      </c>
      <c r="L161" t="s">
        <v>883</v>
      </c>
      <c r="M161">
        <v>100.27</v>
      </c>
    </row>
    <row r="162" spans="1:13" x14ac:dyDescent="0.25">
      <c r="A162" t="str">
        <f t="shared" si="43"/>
        <v>E163</v>
      </c>
      <c r="B162">
        <v>1</v>
      </c>
      <c r="C162" t="str">
        <f>"43000"</f>
        <v>43000</v>
      </c>
      <c r="D162" t="str">
        <f t="shared" ref="D162:D178" si="44">"5740"</f>
        <v>5740</v>
      </c>
      <c r="E162" t="str">
        <f>"850LOS"</f>
        <v>850LOS</v>
      </c>
      <c r="F162" t="str">
        <f>""</f>
        <v/>
      </c>
      <c r="G162" t="str">
        <f>""</f>
        <v/>
      </c>
      <c r="H162" s="1">
        <v>39316</v>
      </c>
      <c r="I162" t="str">
        <f>"00048559"</f>
        <v>00048559</v>
      </c>
      <c r="J162" t="str">
        <f>""</f>
        <v/>
      </c>
      <c r="K162" t="str">
        <f>"INNI"</f>
        <v>INNI</v>
      </c>
      <c r="L162" t="s">
        <v>565</v>
      </c>
      <c r="M162">
        <v>800</v>
      </c>
    </row>
    <row r="163" spans="1:13" x14ac:dyDescent="0.25">
      <c r="A163" t="str">
        <f t="shared" si="43"/>
        <v>E163</v>
      </c>
      <c r="B163">
        <v>1</v>
      </c>
      <c r="C163" t="str">
        <f>"43000"</f>
        <v>43000</v>
      </c>
      <c r="D163" t="str">
        <f t="shared" si="44"/>
        <v>5740</v>
      </c>
      <c r="E163" t="str">
        <f>"850LOS"</f>
        <v>850LOS</v>
      </c>
      <c r="F163" t="str">
        <f>""</f>
        <v/>
      </c>
      <c r="G163" t="str">
        <f>""</f>
        <v/>
      </c>
      <c r="H163" s="1">
        <v>39345</v>
      </c>
      <c r="I163" t="str">
        <f>"00049328"</f>
        <v>00049328</v>
      </c>
      <c r="J163" t="str">
        <f>""</f>
        <v/>
      </c>
      <c r="K163" t="str">
        <f>"INNI"</f>
        <v>INNI</v>
      </c>
      <c r="L163" t="s">
        <v>565</v>
      </c>
      <c r="M163">
        <v>800</v>
      </c>
    </row>
    <row r="164" spans="1:13" x14ac:dyDescent="0.25">
      <c r="A164" t="str">
        <f t="shared" si="43"/>
        <v>E163</v>
      </c>
      <c r="B164">
        <v>1</v>
      </c>
      <c r="C164" t="str">
        <f>"43000"</f>
        <v>43000</v>
      </c>
      <c r="D164" t="str">
        <f t="shared" si="44"/>
        <v>5740</v>
      </c>
      <c r="E164" t="str">
        <f>"850LOS"</f>
        <v>850LOS</v>
      </c>
      <c r="F164" t="str">
        <f>""</f>
        <v/>
      </c>
      <c r="G164" t="str">
        <f>""</f>
        <v/>
      </c>
      <c r="H164" s="1">
        <v>39346</v>
      </c>
      <c r="I164" t="str">
        <f>"PCD00285"</f>
        <v>PCD00285</v>
      </c>
      <c r="J164" t="str">
        <f>"65462"</f>
        <v>65462</v>
      </c>
      <c r="K164" t="str">
        <f>"AS89"</f>
        <v>AS89</v>
      </c>
      <c r="L164" t="s">
        <v>884</v>
      </c>
      <c r="M164">
        <v>621.66999999999996</v>
      </c>
    </row>
    <row r="165" spans="1:13" x14ac:dyDescent="0.25">
      <c r="A165" t="str">
        <f t="shared" si="43"/>
        <v>E163</v>
      </c>
      <c r="B165">
        <v>1</v>
      </c>
      <c r="C165" t="str">
        <f>"43000"</f>
        <v>43000</v>
      </c>
      <c r="D165" t="str">
        <f t="shared" si="44"/>
        <v>5740</v>
      </c>
      <c r="E165" t="str">
        <f>"850PKE"</f>
        <v>850PKE</v>
      </c>
      <c r="F165" t="str">
        <f>""</f>
        <v/>
      </c>
      <c r="G165" t="str">
        <f>""</f>
        <v/>
      </c>
      <c r="H165" s="1">
        <v>39479</v>
      </c>
      <c r="I165" t="str">
        <f>"PCD00302"</f>
        <v>PCD00302</v>
      </c>
      <c r="J165" t="str">
        <f>"73321"</f>
        <v>73321</v>
      </c>
      <c r="K165" t="str">
        <f>"AS89"</f>
        <v>AS89</v>
      </c>
      <c r="L165" t="s">
        <v>883</v>
      </c>
      <c r="M165">
        <v>162.6</v>
      </c>
    </row>
    <row r="166" spans="1:13" x14ac:dyDescent="0.25">
      <c r="A166" t="str">
        <f t="shared" si="43"/>
        <v>E163</v>
      </c>
      <c r="B166">
        <v>1</v>
      </c>
      <c r="C166" t="str">
        <f>"43003"</f>
        <v>43003</v>
      </c>
      <c r="D166" t="str">
        <f t="shared" si="44"/>
        <v>5740</v>
      </c>
      <c r="E166" t="str">
        <f t="shared" ref="E166:E176" si="45">"850LOS"</f>
        <v>850LOS</v>
      </c>
      <c r="F166" t="str">
        <f>""</f>
        <v/>
      </c>
      <c r="G166" t="str">
        <f>""</f>
        <v/>
      </c>
      <c r="H166" s="1">
        <v>39281</v>
      </c>
      <c r="I166" t="str">
        <f>"113829"</f>
        <v>113829</v>
      </c>
      <c r="J166" t="str">
        <f>""</f>
        <v/>
      </c>
      <c r="K166" t="str">
        <f>"INNI"</f>
        <v>INNI</v>
      </c>
      <c r="L166" t="s">
        <v>565</v>
      </c>
      <c r="M166" s="2">
        <v>1200</v>
      </c>
    </row>
    <row r="167" spans="1:13" x14ac:dyDescent="0.25">
      <c r="A167" t="str">
        <f t="shared" ref="A167:A176" si="46">"E166"</f>
        <v>E166</v>
      </c>
      <c r="B167">
        <v>1</v>
      </c>
      <c r="C167" t="str">
        <f t="shared" ref="C167:C178" si="47">"43000"</f>
        <v>43000</v>
      </c>
      <c r="D167" t="str">
        <f t="shared" si="44"/>
        <v>5740</v>
      </c>
      <c r="E167" t="str">
        <f t="shared" si="45"/>
        <v>850LOS</v>
      </c>
      <c r="F167" t="str">
        <f>""</f>
        <v/>
      </c>
      <c r="G167" t="str">
        <f>""</f>
        <v/>
      </c>
      <c r="H167" s="1">
        <v>39295</v>
      </c>
      <c r="I167" t="str">
        <f>"PCD00280"</f>
        <v>PCD00280</v>
      </c>
      <c r="J167" t="str">
        <f>"62862"</f>
        <v>62862</v>
      </c>
      <c r="K167" t="str">
        <f>"AS89"</f>
        <v>AS89</v>
      </c>
      <c r="L167" t="s">
        <v>881</v>
      </c>
      <c r="M167">
        <v>104.34</v>
      </c>
    </row>
    <row r="168" spans="1:13" x14ac:dyDescent="0.25">
      <c r="A168" t="str">
        <f t="shared" si="46"/>
        <v>E166</v>
      </c>
      <c r="B168">
        <v>1</v>
      </c>
      <c r="C168" t="str">
        <f t="shared" si="47"/>
        <v>43000</v>
      </c>
      <c r="D168" t="str">
        <f t="shared" si="44"/>
        <v>5740</v>
      </c>
      <c r="E168" t="str">
        <f t="shared" si="45"/>
        <v>850LOS</v>
      </c>
      <c r="F168" t="str">
        <f>""</f>
        <v/>
      </c>
      <c r="G168" t="str">
        <f>""</f>
        <v/>
      </c>
      <c r="H168" s="1">
        <v>39316</v>
      </c>
      <c r="I168" t="str">
        <f>"PCD00281"</f>
        <v>PCD00281</v>
      </c>
      <c r="J168" t="str">
        <f>"63822"</f>
        <v>63822</v>
      </c>
      <c r="K168" t="str">
        <f>"AS89"</f>
        <v>AS89</v>
      </c>
      <c r="L168" t="s">
        <v>880</v>
      </c>
      <c r="M168">
        <v>176.49</v>
      </c>
    </row>
    <row r="169" spans="1:13" x14ac:dyDescent="0.25">
      <c r="A169" t="str">
        <f t="shared" si="46"/>
        <v>E166</v>
      </c>
      <c r="B169">
        <v>1</v>
      </c>
      <c r="C169" t="str">
        <f t="shared" si="47"/>
        <v>43000</v>
      </c>
      <c r="D169" t="str">
        <f t="shared" si="44"/>
        <v>5740</v>
      </c>
      <c r="E169" t="str">
        <f t="shared" si="45"/>
        <v>850LOS</v>
      </c>
      <c r="F169" t="str">
        <f>""</f>
        <v/>
      </c>
      <c r="G169" t="str">
        <f>""</f>
        <v/>
      </c>
      <c r="H169" s="1">
        <v>39332</v>
      </c>
      <c r="I169" t="str">
        <f>"PCD00283"</f>
        <v>PCD00283</v>
      </c>
      <c r="J169" t="str">
        <f>"64612"</f>
        <v>64612</v>
      </c>
      <c r="K169" t="str">
        <f>"AS89"</f>
        <v>AS89</v>
      </c>
      <c r="L169" t="s">
        <v>879</v>
      </c>
      <c r="M169">
        <v>105.19</v>
      </c>
    </row>
    <row r="170" spans="1:13" x14ac:dyDescent="0.25">
      <c r="A170" t="str">
        <f t="shared" si="46"/>
        <v>E166</v>
      </c>
      <c r="B170">
        <v>1</v>
      </c>
      <c r="C170" t="str">
        <f t="shared" si="47"/>
        <v>43000</v>
      </c>
      <c r="D170" t="str">
        <f t="shared" si="44"/>
        <v>5740</v>
      </c>
      <c r="E170" t="str">
        <f t="shared" si="45"/>
        <v>850LOS</v>
      </c>
      <c r="F170" t="str">
        <f>""</f>
        <v/>
      </c>
      <c r="G170" t="str">
        <f>""</f>
        <v/>
      </c>
      <c r="H170" s="1">
        <v>39332</v>
      </c>
      <c r="I170" t="str">
        <f>"PCD00283"</f>
        <v>PCD00283</v>
      </c>
      <c r="J170" t="str">
        <f>"65110"</f>
        <v>65110</v>
      </c>
      <c r="K170" t="str">
        <f>"AS89"</f>
        <v>AS89</v>
      </c>
      <c r="L170" t="s">
        <v>878</v>
      </c>
      <c r="M170">
        <v>128.96</v>
      </c>
    </row>
    <row r="171" spans="1:13" x14ac:dyDescent="0.25">
      <c r="A171" t="str">
        <f t="shared" si="46"/>
        <v>E166</v>
      </c>
      <c r="B171">
        <v>1</v>
      </c>
      <c r="C171" t="str">
        <f t="shared" si="47"/>
        <v>43000</v>
      </c>
      <c r="D171" t="str">
        <f t="shared" si="44"/>
        <v>5740</v>
      </c>
      <c r="E171" t="str">
        <f t="shared" si="45"/>
        <v>850LOS</v>
      </c>
      <c r="F171" t="str">
        <f>""</f>
        <v/>
      </c>
      <c r="G171" t="str">
        <f>""</f>
        <v/>
      </c>
      <c r="H171" s="1">
        <v>39332</v>
      </c>
      <c r="I171" t="str">
        <f>"PCD00283"</f>
        <v>PCD00283</v>
      </c>
      <c r="J171" t="str">
        <f>"65176"</f>
        <v>65176</v>
      </c>
      <c r="K171" t="str">
        <f>"AS89"</f>
        <v>AS89</v>
      </c>
      <c r="L171" t="s">
        <v>877</v>
      </c>
      <c r="M171">
        <v>140.25</v>
      </c>
    </row>
    <row r="172" spans="1:13" x14ac:dyDescent="0.25">
      <c r="A172" t="str">
        <f t="shared" si="46"/>
        <v>E166</v>
      </c>
      <c r="B172">
        <v>1</v>
      </c>
      <c r="C172" t="str">
        <f t="shared" si="47"/>
        <v>43000</v>
      </c>
      <c r="D172" t="str">
        <f t="shared" si="44"/>
        <v>5740</v>
      </c>
      <c r="E172" t="str">
        <f t="shared" si="45"/>
        <v>850LOS</v>
      </c>
      <c r="F172" t="str">
        <f>""</f>
        <v/>
      </c>
      <c r="G172" t="str">
        <f>""</f>
        <v/>
      </c>
      <c r="H172" s="1">
        <v>39407</v>
      </c>
      <c r="I172" t="str">
        <f>"78695"</f>
        <v>78695</v>
      </c>
      <c r="J172" t="str">
        <f>"B076383B"</f>
        <v>B076383B</v>
      </c>
      <c r="K172" t="str">
        <f>"INNI"</f>
        <v>INNI</v>
      </c>
      <c r="L172" t="s">
        <v>140</v>
      </c>
      <c r="M172">
        <v>465.04</v>
      </c>
    </row>
    <row r="173" spans="1:13" x14ac:dyDescent="0.25">
      <c r="A173" t="str">
        <f t="shared" si="46"/>
        <v>E166</v>
      </c>
      <c r="B173">
        <v>1</v>
      </c>
      <c r="C173" t="str">
        <f t="shared" si="47"/>
        <v>43000</v>
      </c>
      <c r="D173" t="str">
        <f t="shared" si="44"/>
        <v>5740</v>
      </c>
      <c r="E173" t="str">
        <f t="shared" si="45"/>
        <v>850LOS</v>
      </c>
      <c r="F173" t="str">
        <f>""</f>
        <v/>
      </c>
      <c r="G173" t="str">
        <f>""</f>
        <v/>
      </c>
      <c r="H173" s="1">
        <v>39407</v>
      </c>
      <c r="I173" t="str">
        <f>"78696"</f>
        <v>78696</v>
      </c>
      <c r="J173" t="str">
        <f>"B076383B"</f>
        <v>B076383B</v>
      </c>
      <c r="K173" t="str">
        <f>"INNI"</f>
        <v>INNI</v>
      </c>
      <c r="L173" t="s">
        <v>140</v>
      </c>
      <c r="M173">
        <v>663.95</v>
      </c>
    </row>
    <row r="174" spans="1:13" x14ac:dyDescent="0.25">
      <c r="A174" t="str">
        <f t="shared" si="46"/>
        <v>E166</v>
      </c>
      <c r="B174">
        <v>1</v>
      </c>
      <c r="C174" t="str">
        <f t="shared" si="47"/>
        <v>43000</v>
      </c>
      <c r="D174" t="str">
        <f t="shared" si="44"/>
        <v>5740</v>
      </c>
      <c r="E174" t="str">
        <f t="shared" si="45"/>
        <v>850LOS</v>
      </c>
      <c r="F174" t="str">
        <f>""</f>
        <v/>
      </c>
      <c r="G174" t="str">
        <f>""</f>
        <v/>
      </c>
      <c r="H174" s="1">
        <v>39513</v>
      </c>
      <c r="I174" t="str">
        <f>"81271"</f>
        <v>81271</v>
      </c>
      <c r="J174" t="str">
        <f>"B076383B"</f>
        <v>B076383B</v>
      </c>
      <c r="K174" t="str">
        <f>"INNI"</f>
        <v>INNI</v>
      </c>
      <c r="L174" t="s">
        <v>140</v>
      </c>
      <c r="M174" s="2">
        <v>1128.99</v>
      </c>
    </row>
    <row r="175" spans="1:13" x14ac:dyDescent="0.25">
      <c r="A175" t="str">
        <f t="shared" si="46"/>
        <v>E166</v>
      </c>
      <c r="B175">
        <v>1</v>
      </c>
      <c r="C175" t="str">
        <f t="shared" si="47"/>
        <v>43000</v>
      </c>
      <c r="D175" t="str">
        <f t="shared" si="44"/>
        <v>5740</v>
      </c>
      <c r="E175" t="str">
        <f t="shared" si="45"/>
        <v>850LOS</v>
      </c>
      <c r="F175" t="str">
        <f>""</f>
        <v/>
      </c>
      <c r="G175" t="str">
        <f>""</f>
        <v/>
      </c>
      <c r="H175" s="1">
        <v>39582</v>
      </c>
      <c r="I175" t="str">
        <f>"83113"</f>
        <v>83113</v>
      </c>
      <c r="J175" t="str">
        <f>"B076383B"</f>
        <v>B076383B</v>
      </c>
      <c r="K175" t="str">
        <f>"INNI"</f>
        <v>INNI</v>
      </c>
      <c r="L175" t="s">
        <v>140</v>
      </c>
      <c r="M175">
        <v>663.95</v>
      </c>
    </row>
    <row r="176" spans="1:13" x14ac:dyDescent="0.25">
      <c r="A176" t="str">
        <f t="shared" si="46"/>
        <v>E166</v>
      </c>
      <c r="B176">
        <v>1</v>
      </c>
      <c r="C176" t="str">
        <f t="shared" si="47"/>
        <v>43000</v>
      </c>
      <c r="D176" t="str">
        <f t="shared" si="44"/>
        <v>5740</v>
      </c>
      <c r="E176" t="str">
        <f t="shared" si="45"/>
        <v>850LOS</v>
      </c>
      <c r="F176" t="str">
        <f>""</f>
        <v/>
      </c>
      <c r="G176" t="str">
        <f>""</f>
        <v/>
      </c>
      <c r="H176" s="1">
        <v>39627</v>
      </c>
      <c r="I176" t="str">
        <f>"84670B"</f>
        <v>84670B</v>
      </c>
      <c r="J176" t="str">
        <f>"B076383B"</f>
        <v>B076383B</v>
      </c>
      <c r="K176" t="str">
        <f>"INNI"</f>
        <v>INNI</v>
      </c>
      <c r="L176" t="s">
        <v>140</v>
      </c>
      <c r="M176" s="2">
        <v>1073.8900000000001</v>
      </c>
    </row>
    <row r="177" spans="1:13" x14ac:dyDescent="0.25">
      <c r="A177" t="str">
        <f>"E170"</f>
        <v>E170</v>
      </c>
      <c r="B177">
        <v>1</v>
      </c>
      <c r="C177" t="str">
        <f t="shared" si="47"/>
        <v>43000</v>
      </c>
      <c r="D177" t="str">
        <f t="shared" si="44"/>
        <v>5740</v>
      </c>
      <c r="E177" t="str">
        <f>"850PKE"</f>
        <v>850PKE</v>
      </c>
      <c r="F177" t="str">
        <f>""</f>
        <v/>
      </c>
      <c r="G177" t="str">
        <f>""</f>
        <v/>
      </c>
      <c r="H177" s="1">
        <v>39367</v>
      </c>
      <c r="I177" t="str">
        <f>"PCD00288"</f>
        <v>PCD00288</v>
      </c>
      <c r="J177" t="str">
        <f>"66471"</f>
        <v>66471</v>
      </c>
      <c r="K177" t="str">
        <f>"AS89"</f>
        <v>AS89</v>
      </c>
      <c r="L177" t="s">
        <v>876</v>
      </c>
      <c r="M177" s="2">
        <v>1129.81</v>
      </c>
    </row>
    <row r="178" spans="1:13" x14ac:dyDescent="0.25">
      <c r="A178" t="str">
        <f>"E171"</f>
        <v>E171</v>
      </c>
      <c r="B178">
        <v>1</v>
      </c>
      <c r="C178" t="str">
        <f t="shared" si="47"/>
        <v>43000</v>
      </c>
      <c r="D178" t="str">
        <f t="shared" si="44"/>
        <v>5740</v>
      </c>
      <c r="E178" t="str">
        <f>"850PKE"</f>
        <v>850PKE</v>
      </c>
      <c r="F178" t="str">
        <f>""</f>
        <v/>
      </c>
      <c r="G178" t="str">
        <f>""</f>
        <v/>
      </c>
      <c r="H178" s="1">
        <v>39479</v>
      </c>
      <c r="I178" t="str">
        <f>"PCD00302"</f>
        <v>PCD00302</v>
      </c>
      <c r="J178" t="str">
        <f>"73278"</f>
        <v>73278</v>
      </c>
      <c r="K178" t="str">
        <f>"AS89"</f>
        <v>AS89</v>
      </c>
      <c r="L178" t="s">
        <v>875</v>
      </c>
      <c r="M178" s="2">
        <v>1000</v>
      </c>
    </row>
    <row r="179" spans="1:13" x14ac:dyDescent="0.25">
      <c r="A179" t="str">
        <f>"E190"</f>
        <v>E190</v>
      </c>
      <c r="B179">
        <v>1</v>
      </c>
      <c r="C179" t="str">
        <f>"14185"</f>
        <v>14185</v>
      </c>
      <c r="D179" t="str">
        <f>"5620"</f>
        <v>5620</v>
      </c>
      <c r="E179" t="str">
        <f>"094OMS"</f>
        <v>094OMS</v>
      </c>
      <c r="F179" t="str">
        <f>""</f>
        <v/>
      </c>
      <c r="G179" t="str">
        <f>""</f>
        <v/>
      </c>
      <c r="H179" s="1">
        <v>39490</v>
      </c>
      <c r="I179" t="str">
        <f>"113875"</f>
        <v>113875</v>
      </c>
      <c r="J179" t="str">
        <f>""</f>
        <v/>
      </c>
      <c r="K179" t="str">
        <f>"INNI"</f>
        <v>INNI</v>
      </c>
      <c r="L179" t="s">
        <v>179</v>
      </c>
      <c r="M179" s="2">
        <v>4801.25</v>
      </c>
    </row>
    <row r="180" spans="1:13" x14ac:dyDescent="0.25">
      <c r="A180" t="str">
        <f>"E190"</f>
        <v>E190</v>
      </c>
      <c r="B180">
        <v>1</v>
      </c>
      <c r="C180" t="str">
        <f>"14185"</f>
        <v>14185</v>
      </c>
      <c r="D180" t="str">
        <f>"5620"</f>
        <v>5620</v>
      </c>
      <c r="E180" t="str">
        <f>"094OMS"</f>
        <v>094OMS</v>
      </c>
      <c r="F180" t="str">
        <f>""</f>
        <v/>
      </c>
      <c r="G180" t="str">
        <f>""</f>
        <v/>
      </c>
      <c r="H180" s="1">
        <v>39577</v>
      </c>
      <c r="I180" t="str">
        <f>"PCD00316"</f>
        <v>PCD00316</v>
      </c>
      <c r="J180" t="str">
        <f>"78112"</f>
        <v>78112</v>
      </c>
      <c r="K180" t="str">
        <f>"AS89"</f>
        <v>AS89</v>
      </c>
      <c r="L180" t="s">
        <v>874</v>
      </c>
      <c r="M180">
        <v>548.38</v>
      </c>
    </row>
    <row r="181" spans="1:13" x14ac:dyDescent="0.25">
      <c r="A181" t="str">
        <f>"E190"</f>
        <v>E190</v>
      </c>
      <c r="B181">
        <v>1</v>
      </c>
      <c r="C181" t="str">
        <f>"43000"</f>
        <v>43000</v>
      </c>
      <c r="D181" t="str">
        <f>"5740"</f>
        <v>5740</v>
      </c>
      <c r="E181" t="str">
        <f>"850LOS"</f>
        <v>850LOS</v>
      </c>
      <c r="F181" t="str">
        <f>""</f>
        <v/>
      </c>
      <c r="G181" t="str">
        <f>""</f>
        <v/>
      </c>
      <c r="H181" s="1">
        <v>39521</v>
      </c>
      <c r="I181" t="str">
        <f>"EL328586"</f>
        <v>EL328586</v>
      </c>
      <c r="J181" t="str">
        <f>""</f>
        <v/>
      </c>
      <c r="K181" t="str">
        <f>"INNI"</f>
        <v>INNI</v>
      </c>
      <c r="L181" t="s">
        <v>569</v>
      </c>
      <c r="M181">
        <v>160</v>
      </c>
    </row>
    <row r="182" spans="1:13" x14ac:dyDescent="0.25">
      <c r="A182" t="str">
        <f t="shared" ref="A182:A188" si="48">"E191"</f>
        <v>E191</v>
      </c>
      <c r="B182">
        <v>1</v>
      </c>
      <c r="C182" t="str">
        <f t="shared" ref="C182:C187" si="49">"14185"</f>
        <v>14185</v>
      </c>
      <c r="D182" t="str">
        <f t="shared" ref="D182:D187" si="50">"5620"</f>
        <v>5620</v>
      </c>
      <c r="E182" t="str">
        <f t="shared" ref="E182:E187" si="51">"094OMS"</f>
        <v>094OMS</v>
      </c>
      <c r="F182" t="str">
        <f>""</f>
        <v/>
      </c>
      <c r="G182" t="str">
        <f>""</f>
        <v/>
      </c>
      <c r="H182" s="1">
        <v>39274</v>
      </c>
      <c r="I182" t="str">
        <f>"113828A"</f>
        <v>113828A</v>
      </c>
      <c r="J182" t="str">
        <f>""</f>
        <v/>
      </c>
      <c r="K182" t="str">
        <f>"INNI"</f>
        <v>INNI</v>
      </c>
      <c r="L182" t="s">
        <v>873</v>
      </c>
      <c r="M182">
        <v>450</v>
      </c>
    </row>
    <row r="183" spans="1:13" x14ac:dyDescent="0.25">
      <c r="A183" t="str">
        <f t="shared" si="48"/>
        <v>E191</v>
      </c>
      <c r="B183">
        <v>1</v>
      </c>
      <c r="C183" t="str">
        <f t="shared" si="49"/>
        <v>14185</v>
      </c>
      <c r="D183" t="str">
        <f t="shared" si="50"/>
        <v>5620</v>
      </c>
      <c r="E183" t="str">
        <f t="shared" si="51"/>
        <v>094OMS</v>
      </c>
      <c r="F183" t="str">
        <f>""</f>
        <v/>
      </c>
      <c r="G183" t="str">
        <f>""</f>
        <v/>
      </c>
      <c r="H183" s="1">
        <v>39357</v>
      </c>
      <c r="I183" t="str">
        <f>"113844"</f>
        <v>113844</v>
      </c>
      <c r="J183" t="str">
        <f>""</f>
        <v/>
      </c>
      <c r="K183" t="str">
        <f>"INNI"</f>
        <v>INNI</v>
      </c>
      <c r="L183" t="s">
        <v>181</v>
      </c>
      <c r="M183">
        <v>200</v>
      </c>
    </row>
    <row r="184" spans="1:13" x14ac:dyDescent="0.25">
      <c r="A184" t="str">
        <f t="shared" si="48"/>
        <v>E191</v>
      </c>
      <c r="B184">
        <v>1</v>
      </c>
      <c r="C184" t="str">
        <f t="shared" si="49"/>
        <v>14185</v>
      </c>
      <c r="D184" t="str">
        <f t="shared" si="50"/>
        <v>5620</v>
      </c>
      <c r="E184" t="str">
        <f t="shared" si="51"/>
        <v>094OMS</v>
      </c>
      <c r="F184" t="str">
        <f>""</f>
        <v/>
      </c>
      <c r="G184" t="str">
        <f>""</f>
        <v/>
      </c>
      <c r="H184" s="1">
        <v>39549</v>
      </c>
      <c r="I184" t="str">
        <f>"PCD00312"</f>
        <v>PCD00312</v>
      </c>
      <c r="J184" t="str">
        <f>"76322"</f>
        <v>76322</v>
      </c>
      <c r="K184" t="str">
        <f>"AS89"</f>
        <v>AS89</v>
      </c>
      <c r="L184" t="s">
        <v>872</v>
      </c>
      <c r="M184">
        <v>850</v>
      </c>
    </row>
    <row r="185" spans="1:13" x14ac:dyDescent="0.25">
      <c r="A185" t="str">
        <f t="shared" si="48"/>
        <v>E191</v>
      </c>
      <c r="B185">
        <v>1</v>
      </c>
      <c r="C185" t="str">
        <f t="shared" si="49"/>
        <v>14185</v>
      </c>
      <c r="D185" t="str">
        <f t="shared" si="50"/>
        <v>5620</v>
      </c>
      <c r="E185" t="str">
        <f t="shared" si="51"/>
        <v>094OMS</v>
      </c>
      <c r="F185" t="str">
        <f>""</f>
        <v/>
      </c>
      <c r="G185" t="str">
        <f>""</f>
        <v/>
      </c>
      <c r="H185" s="1">
        <v>39549</v>
      </c>
      <c r="I185" t="str">
        <f>"PCD00312"</f>
        <v>PCD00312</v>
      </c>
      <c r="J185" t="str">
        <f>"76788"</f>
        <v>76788</v>
      </c>
      <c r="K185" t="str">
        <f>"AS89"</f>
        <v>AS89</v>
      </c>
      <c r="L185" t="s">
        <v>871</v>
      </c>
      <c r="M185">
        <v>150</v>
      </c>
    </row>
    <row r="186" spans="1:13" x14ac:dyDescent="0.25">
      <c r="A186" t="str">
        <f t="shared" si="48"/>
        <v>E191</v>
      </c>
      <c r="B186">
        <v>1</v>
      </c>
      <c r="C186" t="str">
        <f t="shared" si="49"/>
        <v>14185</v>
      </c>
      <c r="D186" t="str">
        <f t="shared" si="50"/>
        <v>5620</v>
      </c>
      <c r="E186" t="str">
        <f t="shared" si="51"/>
        <v>094OMS</v>
      </c>
      <c r="F186" t="str">
        <f>""</f>
        <v/>
      </c>
      <c r="G186" t="str">
        <f>""</f>
        <v/>
      </c>
      <c r="H186" s="1">
        <v>39577</v>
      </c>
      <c r="I186" t="str">
        <f>"PCD00316"</f>
        <v>PCD00316</v>
      </c>
      <c r="J186" t="str">
        <f>"77558"</f>
        <v>77558</v>
      </c>
      <c r="K186" t="str">
        <f>"AS89"</f>
        <v>AS89</v>
      </c>
      <c r="L186" t="s">
        <v>870</v>
      </c>
      <c r="M186">
        <v>342</v>
      </c>
    </row>
    <row r="187" spans="1:13" x14ac:dyDescent="0.25">
      <c r="A187" t="str">
        <f t="shared" si="48"/>
        <v>E191</v>
      </c>
      <c r="B187">
        <v>1</v>
      </c>
      <c r="C187" t="str">
        <f t="shared" si="49"/>
        <v>14185</v>
      </c>
      <c r="D187" t="str">
        <f t="shared" si="50"/>
        <v>5620</v>
      </c>
      <c r="E187" t="str">
        <f t="shared" si="51"/>
        <v>094OMS</v>
      </c>
      <c r="F187" t="str">
        <f>""</f>
        <v/>
      </c>
      <c r="G187" t="str">
        <f>""</f>
        <v/>
      </c>
      <c r="H187" s="1">
        <v>39612</v>
      </c>
      <c r="I187" t="str">
        <f>"125319"</f>
        <v>125319</v>
      </c>
      <c r="J187" t="str">
        <f>""</f>
        <v/>
      </c>
      <c r="K187" t="str">
        <f>"INNI"</f>
        <v>INNI</v>
      </c>
      <c r="L187" t="s">
        <v>181</v>
      </c>
      <c r="M187">
        <v>750</v>
      </c>
    </row>
    <row r="188" spans="1:13" x14ac:dyDescent="0.25">
      <c r="A188" t="str">
        <f t="shared" si="48"/>
        <v>E191</v>
      </c>
      <c r="B188">
        <v>1</v>
      </c>
      <c r="C188" t="str">
        <f>"43000"</f>
        <v>43000</v>
      </c>
      <c r="D188" t="str">
        <f>"5740"</f>
        <v>5740</v>
      </c>
      <c r="E188" t="str">
        <f>"850LOS"</f>
        <v>850LOS</v>
      </c>
      <c r="F188" t="str">
        <f>""</f>
        <v/>
      </c>
      <c r="G188" t="str">
        <f>""</f>
        <v/>
      </c>
      <c r="H188" s="1">
        <v>39395</v>
      </c>
      <c r="I188" t="str">
        <f>"PCD00292"</f>
        <v>PCD00292</v>
      </c>
      <c r="J188" t="str">
        <f>"67647"</f>
        <v>67647</v>
      </c>
      <c r="K188" t="str">
        <f>"AS89"</f>
        <v>AS89</v>
      </c>
      <c r="L188" t="s">
        <v>869</v>
      </c>
      <c r="M188">
        <v>299</v>
      </c>
    </row>
    <row r="189" spans="1:13" x14ac:dyDescent="0.25">
      <c r="A189" t="str">
        <f>"E192"</f>
        <v>E192</v>
      </c>
      <c r="B189">
        <v>1</v>
      </c>
      <c r="C189" t="str">
        <f t="shared" ref="C189:C195" si="52">"14185"</f>
        <v>14185</v>
      </c>
      <c r="D189" t="str">
        <f t="shared" ref="D189:D195" si="53">"5620"</f>
        <v>5620</v>
      </c>
      <c r="E189" t="str">
        <f t="shared" ref="E189:E195" si="54">"094OMS"</f>
        <v>094OMS</v>
      </c>
      <c r="F189" t="str">
        <f>""</f>
        <v/>
      </c>
      <c r="G189" t="str">
        <f>""</f>
        <v/>
      </c>
      <c r="H189" s="1">
        <v>39435</v>
      </c>
      <c r="I189" t="str">
        <f>"113867"</f>
        <v>113867</v>
      </c>
      <c r="J189" t="str">
        <f>""</f>
        <v/>
      </c>
      <c r="K189" t="str">
        <f>"INNI"</f>
        <v>INNI</v>
      </c>
      <c r="L189" t="s">
        <v>190</v>
      </c>
      <c r="M189">
        <v>100</v>
      </c>
    </row>
    <row r="190" spans="1:13" x14ac:dyDescent="0.25">
      <c r="A190" t="str">
        <f>"E192"</f>
        <v>E192</v>
      </c>
      <c r="B190">
        <v>1</v>
      </c>
      <c r="C190" t="str">
        <f t="shared" si="52"/>
        <v>14185</v>
      </c>
      <c r="D190" t="str">
        <f t="shared" si="53"/>
        <v>5620</v>
      </c>
      <c r="E190" t="str">
        <f t="shared" si="54"/>
        <v>094OMS</v>
      </c>
      <c r="F190" t="str">
        <f>""</f>
        <v/>
      </c>
      <c r="G190" t="str">
        <f>""</f>
        <v/>
      </c>
      <c r="H190" s="1">
        <v>39521</v>
      </c>
      <c r="I190" t="str">
        <f>"PCD00308"</f>
        <v>PCD00308</v>
      </c>
      <c r="J190" t="str">
        <f>"74937"</f>
        <v>74937</v>
      </c>
      <c r="K190" t="str">
        <f>"AS89"</f>
        <v>AS89</v>
      </c>
      <c r="L190" t="s">
        <v>868</v>
      </c>
      <c r="M190">
        <v>100</v>
      </c>
    </row>
    <row r="191" spans="1:13" x14ac:dyDescent="0.25">
      <c r="A191" t="str">
        <f t="shared" ref="A191:A197" si="55">"E193"</f>
        <v>E193</v>
      </c>
      <c r="B191">
        <v>1</v>
      </c>
      <c r="C191" t="str">
        <f t="shared" si="52"/>
        <v>14185</v>
      </c>
      <c r="D191" t="str">
        <f t="shared" si="53"/>
        <v>5620</v>
      </c>
      <c r="E191" t="str">
        <f t="shared" si="54"/>
        <v>094OMS</v>
      </c>
      <c r="F191" t="str">
        <f>""</f>
        <v/>
      </c>
      <c r="G191" t="str">
        <f>""</f>
        <v/>
      </c>
      <c r="H191" s="1">
        <v>39322</v>
      </c>
      <c r="I191" t="str">
        <f>"113836"</f>
        <v>113836</v>
      </c>
      <c r="J191" t="str">
        <f>""</f>
        <v/>
      </c>
      <c r="K191" t="str">
        <f>"INNI"</f>
        <v>INNI</v>
      </c>
      <c r="L191" t="s">
        <v>194</v>
      </c>
      <c r="M191">
        <v>385</v>
      </c>
    </row>
    <row r="192" spans="1:13" x14ac:dyDescent="0.25">
      <c r="A192" t="str">
        <f t="shared" si="55"/>
        <v>E193</v>
      </c>
      <c r="B192">
        <v>1</v>
      </c>
      <c r="C192" t="str">
        <f t="shared" si="52"/>
        <v>14185</v>
      </c>
      <c r="D192" t="str">
        <f t="shared" si="53"/>
        <v>5620</v>
      </c>
      <c r="E192" t="str">
        <f t="shared" si="54"/>
        <v>094OMS</v>
      </c>
      <c r="F192" t="str">
        <f>""</f>
        <v/>
      </c>
      <c r="G192" t="str">
        <f>""</f>
        <v/>
      </c>
      <c r="H192" s="1">
        <v>39352</v>
      </c>
      <c r="I192" t="str">
        <f>"113843"</f>
        <v>113843</v>
      </c>
      <c r="J192" t="str">
        <f>""</f>
        <v/>
      </c>
      <c r="K192" t="str">
        <f>"INNI"</f>
        <v>INNI</v>
      </c>
      <c r="L192" t="s">
        <v>188</v>
      </c>
      <c r="M192">
        <v>200</v>
      </c>
    </row>
    <row r="193" spans="1:13" x14ac:dyDescent="0.25">
      <c r="A193" t="str">
        <f t="shared" si="55"/>
        <v>E193</v>
      </c>
      <c r="B193">
        <v>1</v>
      </c>
      <c r="C193" t="str">
        <f t="shared" si="52"/>
        <v>14185</v>
      </c>
      <c r="D193" t="str">
        <f t="shared" si="53"/>
        <v>5620</v>
      </c>
      <c r="E193" t="str">
        <f t="shared" si="54"/>
        <v>094OMS</v>
      </c>
      <c r="F193" t="str">
        <f>""</f>
        <v/>
      </c>
      <c r="G193" t="str">
        <f>""</f>
        <v/>
      </c>
      <c r="H193" s="1">
        <v>39489</v>
      </c>
      <c r="I193" t="str">
        <f>"PCD00303"</f>
        <v>PCD00303</v>
      </c>
      <c r="J193" t="str">
        <f>"73441"</f>
        <v>73441</v>
      </c>
      <c r="K193" t="str">
        <f>"AS89"</f>
        <v>AS89</v>
      </c>
      <c r="L193" t="s">
        <v>867</v>
      </c>
      <c r="M193">
        <v>330</v>
      </c>
    </row>
    <row r="194" spans="1:13" x14ac:dyDescent="0.25">
      <c r="A194" t="str">
        <f t="shared" si="55"/>
        <v>E193</v>
      </c>
      <c r="B194">
        <v>1</v>
      </c>
      <c r="C194" t="str">
        <f t="shared" si="52"/>
        <v>14185</v>
      </c>
      <c r="D194" t="str">
        <f t="shared" si="53"/>
        <v>5620</v>
      </c>
      <c r="E194" t="str">
        <f t="shared" si="54"/>
        <v>094OMS</v>
      </c>
      <c r="F194" t="str">
        <f>""</f>
        <v/>
      </c>
      <c r="G194" t="str">
        <f>""</f>
        <v/>
      </c>
      <c r="H194" s="1">
        <v>39587</v>
      </c>
      <c r="I194" t="str">
        <f>"125311"</f>
        <v>125311</v>
      </c>
      <c r="J194" t="str">
        <f>""</f>
        <v/>
      </c>
      <c r="K194" t="str">
        <f>"INNI"</f>
        <v>INNI</v>
      </c>
      <c r="L194" t="s">
        <v>188</v>
      </c>
      <c r="M194">
        <v>100</v>
      </c>
    </row>
    <row r="195" spans="1:13" x14ac:dyDescent="0.25">
      <c r="A195" t="str">
        <f t="shared" si="55"/>
        <v>E193</v>
      </c>
      <c r="B195">
        <v>1</v>
      </c>
      <c r="C195" t="str">
        <f t="shared" si="52"/>
        <v>14185</v>
      </c>
      <c r="D195" t="str">
        <f t="shared" si="53"/>
        <v>5620</v>
      </c>
      <c r="E195" t="str">
        <f t="shared" si="54"/>
        <v>094OMS</v>
      </c>
      <c r="F195" t="str">
        <f>""</f>
        <v/>
      </c>
      <c r="G195" t="str">
        <f>""</f>
        <v/>
      </c>
      <c r="H195" s="1">
        <v>39629</v>
      </c>
      <c r="I195" t="str">
        <f>"125331"</f>
        <v>125331</v>
      </c>
      <c r="J195" t="str">
        <f>""</f>
        <v/>
      </c>
      <c r="K195" t="str">
        <f>"INNI"</f>
        <v>INNI</v>
      </c>
      <c r="L195" t="s">
        <v>192</v>
      </c>
      <c r="M195">
        <v>300</v>
      </c>
    </row>
    <row r="196" spans="1:13" x14ac:dyDescent="0.25">
      <c r="A196" t="str">
        <f t="shared" si="55"/>
        <v>E193</v>
      </c>
      <c r="B196">
        <v>1</v>
      </c>
      <c r="C196" t="str">
        <f>"43000"</f>
        <v>43000</v>
      </c>
      <c r="D196" t="str">
        <f>"5740"</f>
        <v>5740</v>
      </c>
      <c r="E196" t="str">
        <f>"850LOS"</f>
        <v>850LOS</v>
      </c>
      <c r="F196" t="str">
        <f>""</f>
        <v/>
      </c>
      <c r="G196" t="str">
        <f>""</f>
        <v/>
      </c>
      <c r="H196" s="1">
        <v>39577</v>
      </c>
      <c r="I196" t="str">
        <f>"PCD00316"</f>
        <v>PCD00316</v>
      </c>
      <c r="J196" t="str">
        <f>"78346"</f>
        <v>78346</v>
      </c>
      <c r="K196" t="str">
        <f>"AS89"</f>
        <v>AS89</v>
      </c>
      <c r="L196" t="s">
        <v>866</v>
      </c>
      <c r="M196">
        <v>635</v>
      </c>
    </row>
    <row r="197" spans="1:13" x14ac:dyDescent="0.25">
      <c r="A197" t="str">
        <f t="shared" si="55"/>
        <v>E193</v>
      </c>
      <c r="B197">
        <v>1</v>
      </c>
      <c r="C197" t="str">
        <f>"43001"</f>
        <v>43001</v>
      </c>
      <c r="D197" t="str">
        <f>"5740"</f>
        <v>5740</v>
      </c>
      <c r="E197" t="str">
        <f>"850LOS"</f>
        <v>850LOS</v>
      </c>
      <c r="F197" t="str">
        <f>""</f>
        <v/>
      </c>
      <c r="G197" t="str">
        <f>""</f>
        <v/>
      </c>
      <c r="H197" s="1">
        <v>39524</v>
      </c>
      <c r="I197" t="str">
        <f>"T47458"</f>
        <v>T47458</v>
      </c>
      <c r="J197" t="str">
        <f>""</f>
        <v/>
      </c>
      <c r="K197" t="str">
        <f t="shared" ref="K197:K206" si="56">"INNI"</f>
        <v>INNI</v>
      </c>
      <c r="L197" t="s">
        <v>865</v>
      </c>
      <c r="M197">
        <v>425</v>
      </c>
    </row>
    <row r="198" spans="1:13" x14ac:dyDescent="0.25">
      <c r="A198" t="str">
        <f t="shared" ref="A198:A218" si="57">"E210"</f>
        <v>E210</v>
      </c>
      <c r="B198">
        <v>1</v>
      </c>
      <c r="C198" t="str">
        <f>"14185"</f>
        <v>14185</v>
      </c>
      <c r="D198" t="str">
        <f t="shared" ref="D198:D203" si="58">"5620"</f>
        <v>5620</v>
      </c>
      <c r="E198" t="str">
        <f>"094OMS"</f>
        <v>094OMS</v>
      </c>
      <c r="F198" t="str">
        <f>""</f>
        <v/>
      </c>
      <c r="G198" t="str">
        <f>""</f>
        <v/>
      </c>
      <c r="H198" s="1">
        <v>39339</v>
      </c>
      <c r="I198" t="str">
        <f>"113840"</f>
        <v>113840</v>
      </c>
      <c r="J198" t="str">
        <f>""</f>
        <v/>
      </c>
      <c r="K198" t="str">
        <f t="shared" si="56"/>
        <v>INNI</v>
      </c>
      <c r="L198" t="s">
        <v>568</v>
      </c>
      <c r="M198">
        <v>119.24</v>
      </c>
    </row>
    <row r="199" spans="1:13" x14ac:dyDescent="0.25">
      <c r="A199" t="str">
        <f t="shared" si="57"/>
        <v>E210</v>
      </c>
      <c r="B199">
        <v>1</v>
      </c>
      <c r="C199" t="str">
        <f>"14185"</f>
        <v>14185</v>
      </c>
      <c r="D199" t="str">
        <f t="shared" si="58"/>
        <v>5620</v>
      </c>
      <c r="E199" t="str">
        <f>"094OMS"</f>
        <v>094OMS</v>
      </c>
      <c r="F199" t="str">
        <f>""</f>
        <v/>
      </c>
      <c r="G199" t="str">
        <f>""</f>
        <v/>
      </c>
      <c r="H199" s="1">
        <v>39343</v>
      </c>
      <c r="I199" t="str">
        <f>"113841A"</f>
        <v>113841A</v>
      </c>
      <c r="J199" t="str">
        <f>""</f>
        <v/>
      </c>
      <c r="K199" t="str">
        <f t="shared" si="56"/>
        <v>INNI</v>
      </c>
      <c r="L199" t="s">
        <v>323</v>
      </c>
      <c r="M199">
        <v>423</v>
      </c>
    </row>
    <row r="200" spans="1:13" x14ac:dyDescent="0.25">
      <c r="A200" t="str">
        <f t="shared" si="57"/>
        <v>E210</v>
      </c>
      <c r="B200">
        <v>1</v>
      </c>
      <c r="C200" t="str">
        <f>"14185"</f>
        <v>14185</v>
      </c>
      <c r="D200" t="str">
        <f t="shared" si="58"/>
        <v>5620</v>
      </c>
      <c r="E200" t="str">
        <f>"094OMS"</f>
        <v>094OMS</v>
      </c>
      <c r="F200" t="str">
        <f>""</f>
        <v/>
      </c>
      <c r="G200" t="str">
        <f>""</f>
        <v/>
      </c>
      <c r="H200" s="1">
        <v>39391</v>
      </c>
      <c r="I200" t="str">
        <f>"113856"</f>
        <v>113856</v>
      </c>
      <c r="J200" t="str">
        <f>""</f>
        <v/>
      </c>
      <c r="K200" t="str">
        <f t="shared" si="56"/>
        <v>INNI</v>
      </c>
      <c r="L200" t="s">
        <v>266</v>
      </c>
      <c r="M200">
        <v>216.8</v>
      </c>
    </row>
    <row r="201" spans="1:13" x14ac:dyDescent="0.25">
      <c r="A201" t="str">
        <f t="shared" si="57"/>
        <v>E210</v>
      </c>
      <c r="B201">
        <v>1</v>
      </c>
      <c r="C201" t="str">
        <f>"14185"</f>
        <v>14185</v>
      </c>
      <c r="D201" t="str">
        <f t="shared" si="58"/>
        <v>5620</v>
      </c>
      <c r="E201" t="str">
        <f>"094OMS"</f>
        <v>094OMS</v>
      </c>
      <c r="F201" t="str">
        <f>""</f>
        <v/>
      </c>
      <c r="G201" t="str">
        <f>""</f>
        <v/>
      </c>
      <c r="H201" s="1">
        <v>39524</v>
      </c>
      <c r="I201" t="str">
        <f>"125306A"</f>
        <v>125306A</v>
      </c>
      <c r="J201" t="str">
        <f>""</f>
        <v/>
      </c>
      <c r="K201" t="str">
        <f t="shared" si="56"/>
        <v>INNI</v>
      </c>
      <c r="L201" t="s">
        <v>864</v>
      </c>
      <c r="M201">
        <v>432.57</v>
      </c>
    </row>
    <row r="202" spans="1:13" x14ac:dyDescent="0.25">
      <c r="A202" t="str">
        <f t="shared" si="57"/>
        <v>E210</v>
      </c>
      <c r="B202">
        <v>1</v>
      </c>
      <c r="C202" t="str">
        <f>"14185"</f>
        <v>14185</v>
      </c>
      <c r="D202" t="str">
        <f t="shared" si="58"/>
        <v>5620</v>
      </c>
      <c r="E202" t="str">
        <f>"094OMS"</f>
        <v>094OMS</v>
      </c>
      <c r="F202" t="str">
        <f>""</f>
        <v/>
      </c>
      <c r="G202" t="str">
        <f>""</f>
        <v/>
      </c>
      <c r="H202" s="1">
        <v>39611</v>
      </c>
      <c r="I202" t="str">
        <f>"125324"</f>
        <v>125324</v>
      </c>
      <c r="J202" t="str">
        <f>""</f>
        <v/>
      </c>
      <c r="K202" t="str">
        <f t="shared" si="56"/>
        <v>INNI</v>
      </c>
      <c r="L202" t="s">
        <v>863</v>
      </c>
      <c r="M202">
        <v>400</v>
      </c>
    </row>
    <row r="203" spans="1:13" x14ac:dyDescent="0.25">
      <c r="A203" t="str">
        <f t="shared" si="57"/>
        <v>E210</v>
      </c>
      <c r="B203">
        <v>1</v>
      </c>
      <c r="C203" t="str">
        <f>"14676"</f>
        <v>14676</v>
      </c>
      <c r="D203" t="str">
        <f t="shared" si="58"/>
        <v>5620</v>
      </c>
      <c r="E203" t="str">
        <f>"011EQP"</f>
        <v>011EQP</v>
      </c>
      <c r="F203" t="str">
        <f>""</f>
        <v/>
      </c>
      <c r="G203" t="str">
        <f>""</f>
        <v/>
      </c>
      <c r="H203" s="1">
        <v>39311</v>
      </c>
      <c r="I203" t="str">
        <f>"11988"</f>
        <v>11988</v>
      </c>
      <c r="J203" t="str">
        <f>""</f>
        <v/>
      </c>
      <c r="K203" t="str">
        <f t="shared" si="56"/>
        <v>INNI</v>
      </c>
      <c r="L203" t="s">
        <v>33</v>
      </c>
      <c r="M203">
        <v>113.4</v>
      </c>
    </row>
    <row r="204" spans="1:13" x14ac:dyDescent="0.25">
      <c r="A204" t="str">
        <f t="shared" si="57"/>
        <v>E210</v>
      </c>
      <c r="B204">
        <v>1</v>
      </c>
      <c r="C204" t="str">
        <f>"43000"</f>
        <v>43000</v>
      </c>
      <c r="D204" t="str">
        <f t="shared" ref="D204:D218" si="59">"5740"</f>
        <v>5740</v>
      </c>
      <c r="E204" t="str">
        <f t="shared" ref="E204:E218" si="60">"850LOS"</f>
        <v>850LOS</v>
      </c>
      <c r="F204" t="str">
        <f>""</f>
        <v/>
      </c>
      <c r="G204" t="str">
        <f>""</f>
        <v/>
      </c>
      <c r="H204" s="1">
        <v>39372</v>
      </c>
      <c r="I204" t="str">
        <f>"113850"</f>
        <v>113850</v>
      </c>
      <c r="J204" t="str">
        <f>""</f>
        <v/>
      </c>
      <c r="K204" t="str">
        <f t="shared" si="56"/>
        <v>INNI</v>
      </c>
      <c r="L204" t="s">
        <v>92</v>
      </c>
      <c r="M204" s="2">
        <v>23400</v>
      </c>
    </row>
    <row r="205" spans="1:13" x14ac:dyDescent="0.25">
      <c r="A205" t="str">
        <f t="shared" si="57"/>
        <v>E210</v>
      </c>
      <c r="B205">
        <v>1</v>
      </c>
      <c r="C205" t="str">
        <f>"43000"</f>
        <v>43000</v>
      </c>
      <c r="D205" t="str">
        <f t="shared" si="59"/>
        <v>5740</v>
      </c>
      <c r="E205" t="str">
        <f t="shared" si="60"/>
        <v>850LOS</v>
      </c>
      <c r="F205" t="str">
        <f>""</f>
        <v/>
      </c>
      <c r="G205" t="str">
        <f>""</f>
        <v/>
      </c>
      <c r="H205" s="1">
        <v>39400</v>
      </c>
      <c r="I205" t="str">
        <f>"113858"</f>
        <v>113858</v>
      </c>
      <c r="J205" t="str">
        <f>""</f>
        <v/>
      </c>
      <c r="K205" t="str">
        <f t="shared" si="56"/>
        <v>INNI</v>
      </c>
      <c r="L205" t="s">
        <v>565</v>
      </c>
      <c r="M205">
        <v>800</v>
      </c>
    </row>
    <row r="206" spans="1:13" x14ac:dyDescent="0.25">
      <c r="A206" t="str">
        <f t="shared" si="57"/>
        <v>E210</v>
      </c>
      <c r="B206">
        <v>1</v>
      </c>
      <c r="C206" t="str">
        <f>"43000"</f>
        <v>43000</v>
      </c>
      <c r="D206" t="str">
        <f t="shared" si="59"/>
        <v>5740</v>
      </c>
      <c r="E206" t="str">
        <f t="shared" si="60"/>
        <v>850LOS</v>
      </c>
      <c r="F206" t="str">
        <f>""</f>
        <v/>
      </c>
      <c r="G206" t="str">
        <f>""</f>
        <v/>
      </c>
      <c r="H206" s="1">
        <v>39433</v>
      </c>
      <c r="I206" t="str">
        <f>"113869"</f>
        <v>113869</v>
      </c>
      <c r="J206" t="str">
        <f>""</f>
        <v/>
      </c>
      <c r="K206" t="str">
        <f t="shared" si="56"/>
        <v>INNI</v>
      </c>
      <c r="L206" t="s">
        <v>565</v>
      </c>
      <c r="M206">
        <v>800</v>
      </c>
    </row>
    <row r="207" spans="1:13" x14ac:dyDescent="0.25">
      <c r="A207" t="str">
        <f t="shared" si="57"/>
        <v>E210</v>
      </c>
      <c r="B207">
        <v>1</v>
      </c>
      <c r="C207" t="str">
        <f>"43002"</f>
        <v>43002</v>
      </c>
      <c r="D207" t="str">
        <f t="shared" si="59"/>
        <v>5740</v>
      </c>
      <c r="E207" t="str">
        <f t="shared" si="60"/>
        <v>850LOS</v>
      </c>
      <c r="F207" t="str">
        <f>""</f>
        <v/>
      </c>
      <c r="G207" t="str">
        <f>""</f>
        <v/>
      </c>
      <c r="H207" s="1">
        <v>39538</v>
      </c>
      <c r="I207" t="str">
        <f>"G0809021"</f>
        <v>G0809021</v>
      </c>
      <c r="J207" t="str">
        <f>"G0714095"</f>
        <v>G0714095</v>
      </c>
      <c r="K207" t="str">
        <f>"J079"</f>
        <v>J079</v>
      </c>
      <c r="L207" t="s">
        <v>862</v>
      </c>
      <c r="M207" s="2">
        <v>5625</v>
      </c>
    </row>
    <row r="208" spans="1:13" x14ac:dyDescent="0.25">
      <c r="A208" t="str">
        <f t="shared" si="57"/>
        <v>E210</v>
      </c>
      <c r="B208">
        <v>1</v>
      </c>
      <c r="C208" t="str">
        <f t="shared" ref="C208:C218" si="61">"43003"</f>
        <v>43003</v>
      </c>
      <c r="D208" t="str">
        <f t="shared" si="59"/>
        <v>5740</v>
      </c>
      <c r="E208" t="str">
        <f t="shared" si="60"/>
        <v>850LOS</v>
      </c>
      <c r="F208" t="str">
        <f>""</f>
        <v/>
      </c>
      <c r="G208" t="str">
        <f>""</f>
        <v/>
      </c>
      <c r="H208" s="1">
        <v>39373</v>
      </c>
      <c r="I208" t="str">
        <f>"00050000"</f>
        <v>00050000</v>
      </c>
      <c r="J208" t="str">
        <f>""</f>
        <v/>
      </c>
      <c r="K208" t="str">
        <f>"INNI"</f>
        <v>INNI</v>
      </c>
      <c r="L208" t="s">
        <v>565</v>
      </c>
      <c r="M208">
        <v>800</v>
      </c>
    </row>
    <row r="209" spans="1:13" x14ac:dyDescent="0.25">
      <c r="A209" t="str">
        <f t="shared" si="57"/>
        <v>E210</v>
      </c>
      <c r="B209">
        <v>1</v>
      </c>
      <c r="C209" t="str">
        <f t="shared" si="61"/>
        <v>43003</v>
      </c>
      <c r="D209" t="str">
        <f t="shared" si="59"/>
        <v>5740</v>
      </c>
      <c r="E209" t="str">
        <f t="shared" si="60"/>
        <v>850LOS</v>
      </c>
      <c r="F209" t="str">
        <f>""</f>
        <v/>
      </c>
      <c r="G209" t="str">
        <f>""</f>
        <v/>
      </c>
      <c r="H209" s="1">
        <v>39491</v>
      </c>
      <c r="I209" t="str">
        <f>"113880"</f>
        <v>113880</v>
      </c>
      <c r="J209" t="str">
        <f>""</f>
        <v/>
      </c>
      <c r="K209" t="str">
        <f>"INNI"</f>
        <v>INNI</v>
      </c>
      <c r="L209" t="s">
        <v>565</v>
      </c>
      <c r="M209" s="2">
        <v>1600</v>
      </c>
    </row>
    <row r="210" spans="1:13" x14ac:dyDescent="0.25">
      <c r="A210" t="str">
        <f t="shared" si="57"/>
        <v>E210</v>
      </c>
      <c r="B210">
        <v>1</v>
      </c>
      <c r="C210" t="str">
        <f t="shared" si="61"/>
        <v>43003</v>
      </c>
      <c r="D210" t="str">
        <f t="shared" si="59"/>
        <v>5740</v>
      </c>
      <c r="E210" t="str">
        <f t="shared" si="60"/>
        <v>850LOS</v>
      </c>
      <c r="F210" t="str">
        <f>""</f>
        <v/>
      </c>
      <c r="G210" t="str">
        <f>""</f>
        <v/>
      </c>
      <c r="H210" s="1">
        <v>39505</v>
      </c>
      <c r="I210" t="str">
        <f>"G0808110"</f>
        <v>G0808110</v>
      </c>
      <c r="J210" t="str">
        <f>""</f>
        <v/>
      </c>
      <c r="K210" t="str">
        <f>"J096"</f>
        <v>J096</v>
      </c>
      <c r="L210" t="s">
        <v>861</v>
      </c>
      <c r="M210">
        <v>800</v>
      </c>
    </row>
    <row r="211" spans="1:13" x14ac:dyDescent="0.25">
      <c r="A211" t="str">
        <f t="shared" si="57"/>
        <v>E210</v>
      </c>
      <c r="B211">
        <v>1</v>
      </c>
      <c r="C211" t="str">
        <f t="shared" si="61"/>
        <v>43003</v>
      </c>
      <c r="D211" t="str">
        <f t="shared" si="59"/>
        <v>5740</v>
      </c>
      <c r="E211" t="str">
        <f t="shared" si="60"/>
        <v>850LOS</v>
      </c>
      <c r="F211" t="str">
        <f>""</f>
        <v/>
      </c>
      <c r="G211" t="str">
        <f>""</f>
        <v/>
      </c>
      <c r="H211" s="1">
        <v>39505</v>
      </c>
      <c r="I211" t="str">
        <f>"G0808110"</f>
        <v>G0808110</v>
      </c>
      <c r="J211" t="str">
        <f>""</f>
        <v/>
      </c>
      <c r="K211" t="str">
        <f>"J096"</f>
        <v>J096</v>
      </c>
      <c r="L211" t="s">
        <v>860</v>
      </c>
      <c r="M211">
        <v>800</v>
      </c>
    </row>
    <row r="212" spans="1:13" x14ac:dyDescent="0.25">
      <c r="A212" t="str">
        <f t="shared" si="57"/>
        <v>E210</v>
      </c>
      <c r="B212">
        <v>1</v>
      </c>
      <c r="C212" t="str">
        <f t="shared" si="61"/>
        <v>43003</v>
      </c>
      <c r="D212" t="str">
        <f t="shared" si="59"/>
        <v>5740</v>
      </c>
      <c r="E212" t="str">
        <f t="shared" si="60"/>
        <v>850LOS</v>
      </c>
      <c r="F212" t="str">
        <f>""</f>
        <v/>
      </c>
      <c r="G212" t="str">
        <f>""</f>
        <v/>
      </c>
      <c r="H212" s="1">
        <v>39505</v>
      </c>
      <c r="I212" t="str">
        <f>"G0808110"</f>
        <v>G0808110</v>
      </c>
      <c r="J212" t="str">
        <f>""</f>
        <v/>
      </c>
      <c r="K212" t="str">
        <f>"J096"</f>
        <v>J096</v>
      </c>
      <c r="L212" t="s">
        <v>859</v>
      </c>
      <c r="M212">
        <v>800</v>
      </c>
    </row>
    <row r="213" spans="1:13" x14ac:dyDescent="0.25">
      <c r="A213" t="str">
        <f t="shared" si="57"/>
        <v>E210</v>
      </c>
      <c r="B213">
        <v>1</v>
      </c>
      <c r="C213" t="str">
        <f t="shared" si="61"/>
        <v>43003</v>
      </c>
      <c r="D213" t="str">
        <f t="shared" si="59"/>
        <v>5740</v>
      </c>
      <c r="E213" t="str">
        <f t="shared" si="60"/>
        <v>850LOS</v>
      </c>
      <c r="F213" t="str">
        <f>""</f>
        <v/>
      </c>
      <c r="G213" t="str">
        <f>""</f>
        <v/>
      </c>
      <c r="H213" s="1">
        <v>39505</v>
      </c>
      <c r="I213" t="str">
        <f>"G0808110"</f>
        <v>G0808110</v>
      </c>
      <c r="J213" t="str">
        <f>""</f>
        <v/>
      </c>
      <c r="K213" t="str">
        <f>"J096"</f>
        <v>J096</v>
      </c>
      <c r="L213" t="s">
        <v>858</v>
      </c>
      <c r="M213">
        <v>800</v>
      </c>
    </row>
    <row r="214" spans="1:13" x14ac:dyDescent="0.25">
      <c r="A214" t="str">
        <f t="shared" si="57"/>
        <v>E210</v>
      </c>
      <c r="B214">
        <v>1</v>
      </c>
      <c r="C214" t="str">
        <f t="shared" si="61"/>
        <v>43003</v>
      </c>
      <c r="D214" t="str">
        <f t="shared" si="59"/>
        <v>5740</v>
      </c>
      <c r="E214" t="str">
        <f t="shared" si="60"/>
        <v>850LOS</v>
      </c>
      <c r="F214" t="str">
        <f>""</f>
        <v/>
      </c>
      <c r="G214" t="str">
        <f>""</f>
        <v/>
      </c>
      <c r="H214" s="1">
        <v>39521</v>
      </c>
      <c r="I214" t="str">
        <f>"00053663"</f>
        <v>00053663</v>
      </c>
      <c r="J214" t="str">
        <f>""</f>
        <v/>
      </c>
      <c r="K214" t="str">
        <f>"INNI"</f>
        <v>INNI</v>
      </c>
      <c r="L214" t="s">
        <v>565</v>
      </c>
      <c r="M214">
        <v>800</v>
      </c>
    </row>
    <row r="215" spans="1:13" x14ac:dyDescent="0.25">
      <c r="A215" t="str">
        <f t="shared" si="57"/>
        <v>E210</v>
      </c>
      <c r="B215">
        <v>1</v>
      </c>
      <c r="C215" t="str">
        <f t="shared" si="61"/>
        <v>43003</v>
      </c>
      <c r="D215" t="str">
        <f t="shared" si="59"/>
        <v>5740</v>
      </c>
      <c r="E215" t="str">
        <f t="shared" si="60"/>
        <v>850LOS</v>
      </c>
      <c r="F215" t="str">
        <f>""</f>
        <v/>
      </c>
      <c r="G215" t="str">
        <f>""</f>
        <v/>
      </c>
      <c r="H215" s="1">
        <v>39552</v>
      </c>
      <c r="I215" t="str">
        <f>"125313"</f>
        <v>125313</v>
      </c>
      <c r="J215" t="str">
        <f>""</f>
        <v/>
      </c>
      <c r="K215" t="str">
        <f>"INNI"</f>
        <v>INNI</v>
      </c>
      <c r="L215" t="s">
        <v>565</v>
      </c>
      <c r="M215">
        <v>800</v>
      </c>
    </row>
    <row r="216" spans="1:13" x14ac:dyDescent="0.25">
      <c r="A216" t="str">
        <f t="shared" si="57"/>
        <v>E210</v>
      </c>
      <c r="B216">
        <v>1</v>
      </c>
      <c r="C216" t="str">
        <f t="shared" si="61"/>
        <v>43003</v>
      </c>
      <c r="D216" t="str">
        <f t="shared" si="59"/>
        <v>5740</v>
      </c>
      <c r="E216" t="str">
        <f t="shared" si="60"/>
        <v>850LOS</v>
      </c>
      <c r="F216" t="str">
        <f>""</f>
        <v/>
      </c>
      <c r="G216" t="str">
        <f>""</f>
        <v/>
      </c>
      <c r="H216" s="1">
        <v>39583</v>
      </c>
      <c r="I216" t="str">
        <f>"125318"</f>
        <v>125318</v>
      </c>
      <c r="J216" t="str">
        <f>""</f>
        <v/>
      </c>
      <c r="K216" t="str">
        <f>"INNI"</f>
        <v>INNI</v>
      </c>
      <c r="L216" t="s">
        <v>565</v>
      </c>
      <c r="M216">
        <v>700</v>
      </c>
    </row>
    <row r="217" spans="1:13" x14ac:dyDescent="0.25">
      <c r="A217" t="str">
        <f t="shared" si="57"/>
        <v>E210</v>
      </c>
      <c r="B217">
        <v>1</v>
      </c>
      <c r="C217" t="str">
        <f t="shared" si="61"/>
        <v>43003</v>
      </c>
      <c r="D217" t="str">
        <f t="shared" si="59"/>
        <v>5740</v>
      </c>
      <c r="E217" t="str">
        <f t="shared" si="60"/>
        <v>850LOS</v>
      </c>
      <c r="F217" t="str">
        <f>""</f>
        <v/>
      </c>
      <c r="G217" t="str">
        <f>""</f>
        <v/>
      </c>
      <c r="H217" s="1">
        <v>39622</v>
      </c>
      <c r="I217" t="str">
        <f>"125328"</f>
        <v>125328</v>
      </c>
      <c r="J217" t="str">
        <f>""</f>
        <v/>
      </c>
      <c r="K217" t="str">
        <f>"INNI"</f>
        <v>INNI</v>
      </c>
      <c r="L217" t="s">
        <v>565</v>
      </c>
      <c r="M217">
        <v>700</v>
      </c>
    </row>
    <row r="218" spans="1:13" x14ac:dyDescent="0.25">
      <c r="A218" t="str">
        <f t="shared" si="57"/>
        <v>E210</v>
      </c>
      <c r="B218">
        <v>1</v>
      </c>
      <c r="C218" t="str">
        <f t="shared" si="61"/>
        <v>43003</v>
      </c>
      <c r="D218" t="str">
        <f t="shared" si="59"/>
        <v>5740</v>
      </c>
      <c r="E218" t="str">
        <f t="shared" si="60"/>
        <v>850LOS</v>
      </c>
      <c r="F218" t="str">
        <f>""</f>
        <v/>
      </c>
      <c r="G218" t="str">
        <f>""</f>
        <v/>
      </c>
      <c r="H218" s="1">
        <v>39629</v>
      </c>
      <c r="I218" t="str">
        <f>"125332"</f>
        <v>125332</v>
      </c>
      <c r="J218" t="str">
        <f>""</f>
        <v/>
      </c>
      <c r="K218" t="str">
        <f>"INNI"</f>
        <v>INNI</v>
      </c>
      <c r="L218" t="s">
        <v>565</v>
      </c>
      <c r="M218">
        <v>700</v>
      </c>
    </row>
    <row r="219" spans="1:13" x14ac:dyDescent="0.25">
      <c r="A219" t="str">
        <f>"E216"</f>
        <v>E216</v>
      </c>
      <c r="B219">
        <v>1</v>
      </c>
      <c r="C219" t="str">
        <f>"14185"</f>
        <v>14185</v>
      </c>
      <c r="D219" t="str">
        <f>"5620"</f>
        <v>5620</v>
      </c>
      <c r="E219" t="str">
        <f>"094OMS"</f>
        <v>094OMS</v>
      </c>
      <c r="F219" t="str">
        <f>""</f>
        <v/>
      </c>
      <c r="G219" t="str">
        <f>""</f>
        <v/>
      </c>
      <c r="H219" s="1">
        <v>39269</v>
      </c>
      <c r="I219" t="str">
        <f>"17675A"</f>
        <v>17675A</v>
      </c>
      <c r="J219" t="str">
        <f>"N076270C"</f>
        <v>N076270C</v>
      </c>
      <c r="K219" t="str">
        <f>"INEI"</f>
        <v>INEI</v>
      </c>
      <c r="L219" t="s">
        <v>226</v>
      </c>
      <c r="M219" s="2">
        <v>4227.6000000000004</v>
      </c>
    </row>
    <row r="220" spans="1:13" x14ac:dyDescent="0.25">
      <c r="A220" t="str">
        <f>"E216"</f>
        <v>E216</v>
      </c>
      <c r="B220">
        <v>1</v>
      </c>
      <c r="C220" t="str">
        <f>"31040"</f>
        <v>31040</v>
      </c>
      <c r="D220" t="str">
        <f>"5620"</f>
        <v>5620</v>
      </c>
      <c r="E220" t="str">
        <f>"094OMS"</f>
        <v>094OMS</v>
      </c>
      <c r="F220" t="str">
        <f>""</f>
        <v/>
      </c>
      <c r="G220" t="str">
        <f>""</f>
        <v/>
      </c>
      <c r="H220" s="1">
        <v>39360</v>
      </c>
      <c r="I220" t="str">
        <f>"208913"</f>
        <v>208913</v>
      </c>
      <c r="J220" t="str">
        <f>"N113831"</f>
        <v>N113831</v>
      </c>
      <c r="K220" t="str">
        <f>"INEI"</f>
        <v>INEI</v>
      </c>
      <c r="L220" t="s">
        <v>33</v>
      </c>
      <c r="M220" s="2">
        <v>1756.08</v>
      </c>
    </row>
    <row r="221" spans="1:13" x14ac:dyDescent="0.25">
      <c r="A221" t="str">
        <f>"E216"</f>
        <v>E216</v>
      </c>
      <c r="B221">
        <v>1</v>
      </c>
      <c r="C221" t="str">
        <f t="shared" ref="C221:C234" si="62">"43000"</f>
        <v>43000</v>
      </c>
      <c r="D221" t="str">
        <f t="shared" ref="D221:D247" si="63">"5740"</f>
        <v>5740</v>
      </c>
      <c r="E221" t="str">
        <f t="shared" ref="E221:E247" si="64">"850LOS"</f>
        <v>850LOS</v>
      </c>
      <c r="F221" t="str">
        <f>""</f>
        <v/>
      </c>
      <c r="G221" t="str">
        <f>""</f>
        <v/>
      </c>
      <c r="H221" s="1">
        <v>39478</v>
      </c>
      <c r="I221" t="str">
        <f>"115755M"</f>
        <v>115755M</v>
      </c>
      <c r="J221" t="str">
        <f>"B064718D"</f>
        <v>B064718D</v>
      </c>
      <c r="K221" t="str">
        <f>"INNI"</f>
        <v>INNI</v>
      </c>
      <c r="L221" t="s">
        <v>229</v>
      </c>
      <c r="M221" s="2">
        <v>20746.95</v>
      </c>
    </row>
    <row r="222" spans="1:13" x14ac:dyDescent="0.25">
      <c r="A222" t="str">
        <f t="shared" ref="A222:A247" si="65">"E217"</f>
        <v>E217</v>
      </c>
      <c r="B222">
        <v>1</v>
      </c>
      <c r="C222" t="str">
        <f t="shared" si="62"/>
        <v>43000</v>
      </c>
      <c r="D222" t="str">
        <f t="shared" si="63"/>
        <v>5740</v>
      </c>
      <c r="E222" t="str">
        <f t="shared" si="64"/>
        <v>850LOS</v>
      </c>
      <c r="F222" t="str">
        <f>""</f>
        <v/>
      </c>
      <c r="G222" t="str">
        <f>""</f>
        <v/>
      </c>
      <c r="H222" s="1">
        <v>39310</v>
      </c>
      <c r="I222" t="str">
        <f>"CMG00549"</f>
        <v>CMG00549</v>
      </c>
      <c r="J222" t="str">
        <f>""</f>
        <v/>
      </c>
      <c r="K222" t="str">
        <f t="shared" ref="K222:K247" si="66">"J089"</f>
        <v>J089</v>
      </c>
      <c r="L222" t="s">
        <v>856</v>
      </c>
      <c r="M222">
        <v>440.48</v>
      </c>
    </row>
    <row r="223" spans="1:13" x14ac:dyDescent="0.25">
      <c r="A223" t="str">
        <f t="shared" si="65"/>
        <v>E217</v>
      </c>
      <c r="B223">
        <v>1</v>
      </c>
      <c r="C223" t="str">
        <f t="shared" si="62"/>
        <v>43000</v>
      </c>
      <c r="D223" t="str">
        <f t="shared" si="63"/>
        <v>5740</v>
      </c>
      <c r="E223" t="str">
        <f t="shared" si="64"/>
        <v>850LOS</v>
      </c>
      <c r="F223" t="str">
        <f>""</f>
        <v/>
      </c>
      <c r="G223" t="str">
        <f>""</f>
        <v/>
      </c>
      <c r="H223" s="1">
        <v>39349</v>
      </c>
      <c r="I223" t="str">
        <f>"CMG00551"</f>
        <v>CMG00551</v>
      </c>
      <c r="J223" t="str">
        <f>""</f>
        <v/>
      </c>
      <c r="K223" t="str">
        <f t="shared" si="66"/>
        <v>J089</v>
      </c>
      <c r="L223" t="s">
        <v>856</v>
      </c>
      <c r="M223">
        <v>440.48</v>
      </c>
    </row>
    <row r="224" spans="1:13" x14ac:dyDescent="0.25">
      <c r="A224" t="str">
        <f t="shared" si="65"/>
        <v>E217</v>
      </c>
      <c r="B224">
        <v>1</v>
      </c>
      <c r="C224" t="str">
        <f t="shared" si="62"/>
        <v>43000</v>
      </c>
      <c r="D224" t="str">
        <f t="shared" si="63"/>
        <v>5740</v>
      </c>
      <c r="E224" t="str">
        <f t="shared" si="64"/>
        <v>850LOS</v>
      </c>
      <c r="F224" t="str">
        <f>""</f>
        <v/>
      </c>
      <c r="G224" t="str">
        <f>""</f>
        <v/>
      </c>
      <c r="H224" s="1">
        <v>39353</v>
      </c>
      <c r="I224" t="str">
        <f>"CMG00552"</f>
        <v>CMG00552</v>
      </c>
      <c r="J224" t="str">
        <f>""</f>
        <v/>
      </c>
      <c r="K224" t="str">
        <f t="shared" si="66"/>
        <v>J089</v>
      </c>
      <c r="L224" t="s">
        <v>855</v>
      </c>
      <c r="M224">
        <v>310.14999999999998</v>
      </c>
    </row>
    <row r="225" spans="1:13" x14ac:dyDescent="0.25">
      <c r="A225" t="str">
        <f t="shared" si="65"/>
        <v>E217</v>
      </c>
      <c r="B225">
        <v>1</v>
      </c>
      <c r="C225" t="str">
        <f t="shared" si="62"/>
        <v>43000</v>
      </c>
      <c r="D225" t="str">
        <f t="shared" si="63"/>
        <v>5740</v>
      </c>
      <c r="E225" t="str">
        <f t="shared" si="64"/>
        <v>850LOS</v>
      </c>
      <c r="F225" t="str">
        <f>""</f>
        <v/>
      </c>
      <c r="G225" t="str">
        <f>""</f>
        <v/>
      </c>
      <c r="H225" s="1">
        <v>39386</v>
      </c>
      <c r="I225" t="str">
        <f>"G0804198"</f>
        <v>G0804198</v>
      </c>
      <c r="J225" t="str">
        <f>""</f>
        <v/>
      </c>
      <c r="K225" t="str">
        <f t="shared" si="66"/>
        <v>J089</v>
      </c>
      <c r="L225" t="s">
        <v>854</v>
      </c>
      <c r="M225" s="2">
        <v>4525.96</v>
      </c>
    </row>
    <row r="226" spans="1:13" x14ac:dyDescent="0.25">
      <c r="A226" t="str">
        <f t="shared" si="65"/>
        <v>E217</v>
      </c>
      <c r="B226">
        <v>1</v>
      </c>
      <c r="C226" t="str">
        <f t="shared" si="62"/>
        <v>43000</v>
      </c>
      <c r="D226" t="str">
        <f t="shared" si="63"/>
        <v>5740</v>
      </c>
      <c r="E226" t="str">
        <f t="shared" si="64"/>
        <v>850LOS</v>
      </c>
      <c r="F226" t="str">
        <f>""</f>
        <v/>
      </c>
      <c r="G226" t="str">
        <f>""</f>
        <v/>
      </c>
      <c r="H226" s="1">
        <v>39412</v>
      </c>
      <c r="I226" t="str">
        <f>"G0805141"</f>
        <v>G0805141</v>
      </c>
      <c r="J226" t="str">
        <f>""</f>
        <v/>
      </c>
      <c r="K226" t="str">
        <f t="shared" si="66"/>
        <v>J089</v>
      </c>
      <c r="L226" t="s">
        <v>853</v>
      </c>
      <c r="M226">
        <v>828.27</v>
      </c>
    </row>
    <row r="227" spans="1:13" x14ac:dyDescent="0.25">
      <c r="A227" t="str">
        <f t="shared" si="65"/>
        <v>E217</v>
      </c>
      <c r="B227">
        <v>1</v>
      </c>
      <c r="C227" t="str">
        <f t="shared" si="62"/>
        <v>43000</v>
      </c>
      <c r="D227" t="str">
        <f t="shared" si="63"/>
        <v>5740</v>
      </c>
      <c r="E227" t="str">
        <f t="shared" si="64"/>
        <v>850LOS</v>
      </c>
      <c r="F227" t="str">
        <f>""</f>
        <v/>
      </c>
      <c r="G227" t="str">
        <f>""</f>
        <v/>
      </c>
      <c r="H227" s="1">
        <v>39437</v>
      </c>
      <c r="I227" t="str">
        <f>"G0806085"</f>
        <v>G0806085</v>
      </c>
      <c r="J227" t="str">
        <f>""</f>
        <v/>
      </c>
      <c r="K227" t="str">
        <f t="shared" si="66"/>
        <v>J089</v>
      </c>
      <c r="L227" t="s">
        <v>852</v>
      </c>
      <c r="M227">
        <v>578.75</v>
      </c>
    </row>
    <row r="228" spans="1:13" x14ac:dyDescent="0.25">
      <c r="A228" t="str">
        <f t="shared" si="65"/>
        <v>E217</v>
      </c>
      <c r="B228">
        <v>1</v>
      </c>
      <c r="C228" t="str">
        <f t="shared" si="62"/>
        <v>43000</v>
      </c>
      <c r="D228" t="str">
        <f t="shared" si="63"/>
        <v>5740</v>
      </c>
      <c r="E228" t="str">
        <f t="shared" si="64"/>
        <v>850LOS</v>
      </c>
      <c r="F228" t="str">
        <f>""</f>
        <v/>
      </c>
      <c r="G228" t="str">
        <f>""</f>
        <v/>
      </c>
      <c r="H228" s="1">
        <v>39472</v>
      </c>
      <c r="I228" t="str">
        <f>"G0807112"</f>
        <v>G0807112</v>
      </c>
      <c r="J228" t="str">
        <f>""</f>
        <v/>
      </c>
      <c r="K228" t="str">
        <f t="shared" si="66"/>
        <v>J089</v>
      </c>
      <c r="L228" t="s">
        <v>851</v>
      </c>
      <c r="M228">
        <v>448.73</v>
      </c>
    </row>
    <row r="229" spans="1:13" x14ac:dyDescent="0.25">
      <c r="A229" t="str">
        <f t="shared" si="65"/>
        <v>E217</v>
      </c>
      <c r="B229">
        <v>1</v>
      </c>
      <c r="C229" t="str">
        <f t="shared" si="62"/>
        <v>43000</v>
      </c>
      <c r="D229" t="str">
        <f t="shared" si="63"/>
        <v>5740</v>
      </c>
      <c r="E229" t="str">
        <f t="shared" si="64"/>
        <v>850LOS</v>
      </c>
      <c r="F229" t="str">
        <f>""</f>
        <v/>
      </c>
      <c r="G229" t="str">
        <f>""</f>
        <v/>
      </c>
      <c r="H229" s="1">
        <v>39506</v>
      </c>
      <c r="I229" t="str">
        <f>"G0808138"</f>
        <v>G0808138</v>
      </c>
      <c r="J229" t="str">
        <f>"PARKING"</f>
        <v>PARKING</v>
      </c>
      <c r="K229" t="str">
        <f t="shared" si="66"/>
        <v>J089</v>
      </c>
      <c r="L229" t="s">
        <v>850</v>
      </c>
      <c r="M229" s="2">
        <v>1276.28</v>
      </c>
    </row>
    <row r="230" spans="1:13" x14ac:dyDescent="0.25">
      <c r="A230" t="str">
        <f t="shared" si="65"/>
        <v>E217</v>
      </c>
      <c r="B230">
        <v>1</v>
      </c>
      <c r="C230" t="str">
        <f t="shared" si="62"/>
        <v>43000</v>
      </c>
      <c r="D230" t="str">
        <f t="shared" si="63"/>
        <v>5740</v>
      </c>
      <c r="E230" t="str">
        <f t="shared" si="64"/>
        <v>850LOS</v>
      </c>
      <c r="F230" t="str">
        <f>""</f>
        <v/>
      </c>
      <c r="G230" t="str">
        <f>""</f>
        <v/>
      </c>
      <c r="H230" s="1">
        <v>39531</v>
      </c>
      <c r="I230" t="str">
        <f>"G0809144"</f>
        <v>G0809144</v>
      </c>
      <c r="J230" t="str">
        <f>""</f>
        <v/>
      </c>
      <c r="K230" t="str">
        <f t="shared" si="66"/>
        <v>J089</v>
      </c>
      <c r="L230" t="s">
        <v>849</v>
      </c>
      <c r="M230">
        <v>521.88</v>
      </c>
    </row>
    <row r="231" spans="1:13" x14ac:dyDescent="0.25">
      <c r="A231" t="str">
        <f t="shared" si="65"/>
        <v>E217</v>
      </c>
      <c r="B231">
        <v>1</v>
      </c>
      <c r="C231" t="str">
        <f t="shared" si="62"/>
        <v>43000</v>
      </c>
      <c r="D231" t="str">
        <f t="shared" si="63"/>
        <v>5740</v>
      </c>
      <c r="E231" t="str">
        <f t="shared" si="64"/>
        <v>850LOS</v>
      </c>
      <c r="F231" t="str">
        <f>""</f>
        <v/>
      </c>
      <c r="G231" t="str">
        <f>""</f>
        <v/>
      </c>
      <c r="H231" s="1">
        <v>39543</v>
      </c>
      <c r="I231" t="str">
        <f>"G0810219"</f>
        <v>G0810219</v>
      </c>
      <c r="J231" t="str">
        <f>""</f>
        <v/>
      </c>
      <c r="K231" t="str">
        <f t="shared" si="66"/>
        <v>J089</v>
      </c>
      <c r="L231" t="s">
        <v>857</v>
      </c>
      <c r="M231">
        <v>669.41</v>
      </c>
    </row>
    <row r="232" spans="1:13" x14ac:dyDescent="0.25">
      <c r="A232" t="str">
        <f t="shared" si="65"/>
        <v>E217</v>
      </c>
      <c r="B232">
        <v>1</v>
      </c>
      <c r="C232" t="str">
        <f t="shared" si="62"/>
        <v>43000</v>
      </c>
      <c r="D232" t="str">
        <f t="shared" si="63"/>
        <v>5740</v>
      </c>
      <c r="E232" t="str">
        <f t="shared" si="64"/>
        <v>850LOS</v>
      </c>
      <c r="F232" t="str">
        <f>""</f>
        <v/>
      </c>
      <c r="G232" t="str">
        <f>""</f>
        <v/>
      </c>
      <c r="H232" s="1">
        <v>39587</v>
      </c>
      <c r="I232" t="str">
        <f>"G0811062"</f>
        <v>G0811062</v>
      </c>
      <c r="J232" t="str">
        <f>""</f>
        <v/>
      </c>
      <c r="K232" t="str">
        <f t="shared" si="66"/>
        <v>J089</v>
      </c>
      <c r="L232" t="s">
        <v>847</v>
      </c>
      <c r="M232" s="2">
        <v>1287.6600000000001</v>
      </c>
    </row>
    <row r="233" spans="1:13" x14ac:dyDescent="0.25">
      <c r="A233" t="str">
        <f t="shared" si="65"/>
        <v>E217</v>
      </c>
      <c r="B233">
        <v>1</v>
      </c>
      <c r="C233" t="str">
        <f t="shared" si="62"/>
        <v>43000</v>
      </c>
      <c r="D233" t="str">
        <f t="shared" si="63"/>
        <v>5740</v>
      </c>
      <c r="E233" t="str">
        <f t="shared" si="64"/>
        <v>850LOS</v>
      </c>
      <c r="F233" t="str">
        <f>""</f>
        <v/>
      </c>
      <c r="G233" t="str">
        <f>""</f>
        <v/>
      </c>
      <c r="H233" s="1">
        <v>39616</v>
      </c>
      <c r="I233" t="str">
        <f>"CMG00571"</f>
        <v>CMG00571</v>
      </c>
      <c r="J233" t="str">
        <f>""</f>
        <v/>
      </c>
      <c r="K233" t="str">
        <f t="shared" si="66"/>
        <v>J089</v>
      </c>
      <c r="L233" t="s">
        <v>846</v>
      </c>
      <c r="M233">
        <v>507.27</v>
      </c>
    </row>
    <row r="234" spans="1:13" x14ac:dyDescent="0.25">
      <c r="A234" t="str">
        <f t="shared" si="65"/>
        <v>E217</v>
      </c>
      <c r="B234">
        <v>1</v>
      </c>
      <c r="C234" t="str">
        <f t="shared" si="62"/>
        <v>43000</v>
      </c>
      <c r="D234" t="str">
        <f t="shared" si="63"/>
        <v>5740</v>
      </c>
      <c r="E234" t="str">
        <f t="shared" si="64"/>
        <v>850LOS</v>
      </c>
      <c r="F234" t="str">
        <f>""</f>
        <v/>
      </c>
      <c r="G234" t="str">
        <f>""</f>
        <v/>
      </c>
      <c r="H234" s="1">
        <v>39629</v>
      </c>
      <c r="I234" t="str">
        <f>"CMG00573"</f>
        <v>CMG00573</v>
      </c>
      <c r="J234" t="str">
        <f>""</f>
        <v/>
      </c>
      <c r="K234" t="str">
        <f t="shared" si="66"/>
        <v>J089</v>
      </c>
      <c r="L234" t="s">
        <v>845</v>
      </c>
      <c r="M234">
        <v>888.82</v>
      </c>
    </row>
    <row r="235" spans="1:13" x14ac:dyDescent="0.25">
      <c r="A235" t="str">
        <f t="shared" si="65"/>
        <v>E217</v>
      </c>
      <c r="B235">
        <v>1</v>
      </c>
      <c r="C235" t="str">
        <f t="shared" ref="C235:C247" si="67">"43003"</f>
        <v>43003</v>
      </c>
      <c r="D235" t="str">
        <f t="shared" si="63"/>
        <v>5740</v>
      </c>
      <c r="E235" t="str">
        <f t="shared" si="64"/>
        <v>850LOS</v>
      </c>
      <c r="F235" t="str">
        <f t="shared" ref="F235:F247" si="68">"PKGPAY"</f>
        <v>PKGPAY</v>
      </c>
      <c r="G235" t="str">
        <f>""</f>
        <v/>
      </c>
      <c r="H235" s="1">
        <v>39310</v>
      </c>
      <c r="I235" t="str">
        <f>"CMG00549"</f>
        <v>CMG00549</v>
      </c>
      <c r="J235" t="str">
        <f>""</f>
        <v/>
      </c>
      <c r="K235" t="str">
        <f t="shared" si="66"/>
        <v>J089</v>
      </c>
      <c r="L235" t="s">
        <v>856</v>
      </c>
      <c r="M235">
        <v>283.47000000000003</v>
      </c>
    </row>
    <row r="236" spans="1:13" x14ac:dyDescent="0.25">
      <c r="A236" t="str">
        <f t="shared" si="65"/>
        <v>E217</v>
      </c>
      <c r="B236">
        <v>1</v>
      </c>
      <c r="C236" t="str">
        <f t="shared" si="67"/>
        <v>43003</v>
      </c>
      <c r="D236" t="str">
        <f t="shared" si="63"/>
        <v>5740</v>
      </c>
      <c r="E236" t="str">
        <f t="shared" si="64"/>
        <v>850LOS</v>
      </c>
      <c r="F236" t="str">
        <f t="shared" si="68"/>
        <v>PKGPAY</v>
      </c>
      <c r="G236" t="str">
        <f>""</f>
        <v/>
      </c>
      <c r="H236" s="1">
        <v>39349</v>
      </c>
      <c r="I236" t="str">
        <f>"CMG00551"</f>
        <v>CMG00551</v>
      </c>
      <c r="J236" t="str">
        <f>""</f>
        <v/>
      </c>
      <c r="K236" t="str">
        <f t="shared" si="66"/>
        <v>J089</v>
      </c>
      <c r="L236" t="s">
        <v>856</v>
      </c>
      <c r="M236">
        <v>283.47000000000003</v>
      </c>
    </row>
    <row r="237" spans="1:13" x14ac:dyDescent="0.25">
      <c r="A237" t="str">
        <f t="shared" si="65"/>
        <v>E217</v>
      </c>
      <c r="B237">
        <v>1</v>
      </c>
      <c r="C237" t="str">
        <f t="shared" si="67"/>
        <v>43003</v>
      </c>
      <c r="D237" t="str">
        <f t="shared" si="63"/>
        <v>5740</v>
      </c>
      <c r="E237" t="str">
        <f t="shared" si="64"/>
        <v>850LOS</v>
      </c>
      <c r="F237" t="str">
        <f t="shared" si="68"/>
        <v>PKGPAY</v>
      </c>
      <c r="G237" t="str">
        <f>""</f>
        <v/>
      </c>
      <c r="H237" s="1">
        <v>39353</v>
      </c>
      <c r="I237" t="str">
        <f>"CMG00552"</f>
        <v>CMG00552</v>
      </c>
      <c r="J237" t="str">
        <f>""</f>
        <v/>
      </c>
      <c r="K237" t="str">
        <f t="shared" si="66"/>
        <v>J089</v>
      </c>
      <c r="L237" t="s">
        <v>855</v>
      </c>
      <c r="M237">
        <v>312.39</v>
      </c>
    </row>
    <row r="238" spans="1:13" x14ac:dyDescent="0.25">
      <c r="A238" t="str">
        <f t="shared" si="65"/>
        <v>E217</v>
      </c>
      <c r="B238">
        <v>1</v>
      </c>
      <c r="C238" t="str">
        <f t="shared" si="67"/>
        <v>43003</v>
      </c>
      <c r="D238" t="str">
        <f t="shared" si="63"/>
        <v>5740</v>
      </c>
      <c r="E238" t="str">
        <f t="shared" si="64"/>
        <v>850LOS</v>
      </c>
      <c r="F238" t="str">
        <f t="shared" si="68"/>
        <v>PKGPAY</v>
      </c>
      <c r="G238" t="str">
        <f>""</f>
        <v/>
      </c>
      <c r="H238" s="1">
        <v>39386</v>
      </c>
      <c r="I238" t="str">
        <f>"G0804198"</f>
        <v>G0804198</v>
      </c>
      <c r="J238" t="str">
        <f>""</f>
        <v/>
      </c>
      <c r="K238" t="str">
        <f t="shared" si="66"/>
        <v>J089</v>
      </c>
      <c r="L238" t="s">
        <v>854</v>
      </c>
      <c r="M238">
        <v>218.74</v>
      </c>
    </row>
    <row r="239" spans="1:13" x14ac:dyDescent="0.25">
      <c r="A239" t="str">
        <f t="shared" si="65"/>
        <v>E217</v>
      </c>
      <c r="B239">
        <v>1</v>
      </c>
      <c r="C239" t="str">
        <f t="shared" si="67"/>
        <v>43003</v>
      </c>
      <c r="D239" t="str">
        <f t="shared" si="63"/>
        <v>5740</v>
      </c>
      <c r="E239" t="str">
        <f t="shared" si="64"/>
        <v>850LOS</v>
      </c>
      <c r="F239" t="str">
        <f t="shared" si="68"/>
        <v>PKGPAY</v>
      </c>
      <c r="G239" t="str">
        <f>""</f>
        <v/>
      </c>
      <c r="H239" s="1">
        <v>39412</v>
      </c>
      <c r="I239" t="str">
        <f>"G0805141"</f>
        <v>G0805141</v>
      </c>
      <c r="J239" t="str">
        <f>""</f>
        <v/>
      </c>
      <c r="K239" t="str">
        <f t="shared" si="66"/>
        <v>J089</v>
      </c>
      <c r="L239" t="s">
        <v>853</v>
      </c>
      <c r="M239">
        <v>488.88</v>
      </c>
    </row>
    <row r="240" spans="1:13" x14ac:dyDescent="0.25">
      <c r="A240" t="str">
        <f t="shared" si="65"/>
        <v>E217</v>
      </c>
      <c r="B240">
        <v>1</v>
      </c>
      <c r="C240" t="str">
        <f t="shared" si="67"/>
        <v>43003</v>
      </c>
      <c r="D240" t="str">
        <f t="shared" si="63"/>
        <v>5740</v>
      </c>
      <c r="E240" t="str">
        <f t="shared" si="64"/>
        <v>850LOS</v>
      </c>
      <c r="F240" t="str">
        <f t="shared" si="68"/>
        <v>PKGPAY</v>
      </c>
      <c r="G240" t="str">
        <f>""</f>
        <v/>
      </c>
      <c r="H240" s="1">
        <v>39437</v>
      </c>
      <c r="I240" t="str">
        <f>"G0806085"</f>
        <v>G0806085</v>
      </c>
      <c r="J240" t="str">
        <f>""</f>
        <v/>
      </c>
      <c r="K240" t="str">
        <f t="shared" si="66"/>
        <v>J089</v>
      </c>
      <c r="L240" t="s">
        <v>852</v>
      </c>
      <c r="M240">
        <v>693.24</v>
      </c>
    </row>
    <row r="241" spans="1:13" x14ac:dyDescent="0.25">
      <c r="A241" t="str">
        <f t="shared" si="65"/>
        <v>E217</v>
      </c>
      <c r="B241">
        <v>1</v>
      </c>
      <c r="C241" t="str">
        <f t="shared" si="67"/>
        <v>43003</v>
      </c>
      <c r="D241" t="str">
        <f t="shared" si="63"/>
        <v>5740</v>
      </c>
      <c r="E241" t="str">
        <f t="shared" si="64"/>
        <v>850LOS</v>
      </c>
      <c r="F241" t="str">
        <f t="shared" si="68"/>
        <v>PKGPAY</v>
      </c>
      <c r="G241" t="str">
        <f>""</f>
        <v/>
      </c>
      <c r="H241" s="1">
        <v>39472</v>
      </c>
      <c r="I241" t="str">
        <f>"G0807112"</f>
        <v>G0807112</v>
      </c>
      <c r="J241" t="str">
        <f>""</f>
        <v/>
      </c>
      <c r="K241" t="str">
        <f t="shared" si="66"/>
        <v>J089</v>
      </c>
      <c r="L241" t="s">
        <v>851</v>
      </c>
      <c r="M241">
        <v>409.29</v>
      </c>
    </row>
    <row r="242" spans="1:13" x14ac:dyDescent="0.25">
      <c r="A242" t="str">
        <f t="shared" si="65"/>
        <v>E217</v>
      </c>
      <c r="B242">
        <v>1</v>
      </c>
      <c r="C242" t="str">
        <f t="shared" si="67"/>
        <v>43003</v>
      </c>
      <c r="D242" t="str">
        <f t="shared" si="63"/>
        <v>5740</v>
      </c>
      <c r="E242" t="str">
        <f t="shared" si="64"/>
        <v>850LOS</v>
      </c>
      <c r="F242" t="str">
        <f t="shared" si="68"/>
        <v>PKGPAY</v>
      </c>
      <c r="G242" t="str">
        <f>""</f>
        <v/>
      </c>
      <c r="H242" s="1">
        <v>39506</v>
      </c>
      <c r="I242" t="str">
        <f>"G0808138"</f>
        <v>G0808138</v>
      </c>
      <c r="J242" t="str">
        <f>"PSTATION"</f>
        <v>PSTATION</v>
      </c>
      <c r="K242" t="str">
        <f t="shared" si="66"/>
        <v>J089</v>
      </c>
      <c r="L242" t="s">
        <v>850</v>
      </c>
      <c r="M242">
        <v>404.33</v>
      </c>
    </row>
    <row r="243" spans="1:13" x14ac:dyDescent="0.25">
      <c r="A243" t="str">
        <f t="shared" si="65"/>
        <v>E217</v>
      </c>
      <c r="B243">
        <v>1</v>
      </c>
      <c r="C243" t="str">
        <f t="shared" si="67"/>
        <v>43003</v>
      </c>
      <c r="D243" t="str">
        <f t="shared" si="63"/>
        <v>5740</v>
      </c>
      <c r="E243" t="str">
        <f t="shared" si="64"/>
        <v>850LOS</v>
      </c>
      <c r="F243" t="str">
        <f t="shared" si="68"/>
        <v>PKGPAY</v>
      </c>
      <c r="G243" t="str">
        <f>""</f>
        <v/>
      </c>
      <c r="H243" s="1">
        <v>39531</v>
      </c>
      <c r="I243" t="str">
        <f>"G0809144"</f>
        <v>G0809144</v>
      </c>
      <c r="J243" t="str">
        <f>""</f>
        <v/>
      </c>
      <c r="K243" t="str">
        <f t="shared" si="66"/>
        <v>J089</v>
      </c>
      <c r="L243" t="s">
        <v>849</v>
      </c>
      <c r="M243">
        <v>585.44000000000005</v>
      </c>
    </row>
    <row r="244" spans="1:13" x14ac:dyDescent="0.25">
      <c r="A244" t="str">
        <f t="shared" si="65"/>
        <v>E217</v>
      </c>
      <c r="B244">
        <v>1</v>
      </c>
      <c r="C244" t="str">
        <f t="shared" si="67"/>
        <v>43003</v>
      </c>
      <c r="D244" t="str">
        <f t="shared" si="63"/>
        <v>5740</v>
      </c>
      <c r="E244" t="str">
        <f t="shared" si="64"/>
        <v>850LOS</v>
      </c>
      <c r="F244" t="str">
        <f t="shared" si="68"/>
        <v>PKGPAY</v>
      </c>
      <c r="G244" t="str">
        <f>""</f>
        <v/>
      </c>
      <c r="H244" s="1">
        <v>39543</v>
      </c>
      <c r="I244" t="str">
        <f>"G0810219"</f>
        <v>G0810219</v>
      </c>
      <c r="J244" t="str">
        <f>""</f>
        <v/>
      </c>
      <c r="K244" t="str">
        <f t="shared" si="66"/>
        <v>J089</v>
      </c>
      <c r="L244" t="s">
        <v>848</v>
      </c>
      <c r="M244">
        <v>694.1</v>
      </c>
    </row>
    <row r="245" spans="1:13" x14ac:dyDescent="0.25">
      <c r="A245" t="str">
        <f t="shared" si="65"/>
        <v>E217</v>
      </c>
      <c r="B245">
        <v>1</v>
      </c>
      <c r="C245" t="str">
        <f t="shared" si="67"/>
        <v>43003</v>
      </c>
      <c r="D245" t="str">
        <f t="shared" si="63"/>
        <v>5740</v>
      </c>
      <c r="E245" t="str">
        <f t="shared" si="64"/>
        <v>850LOS</v>
      </c>
      <c r="F245" t="str">
        <f t="shared" si="68"/>
        <v>PKGPAY</v>
      </c>
      <c r="G245" t="str">
        <f>""</f>
        <v/>
      </c>
      <c r="H245" s="1">
        <v>39587</v>
      </c>
      <c r="I245" t="str">
        <f>"G0811062"</f>
        <v>G0811062</v>
      </c>
      <c r="J245" t="str">
        <f>""</f>
        <v/>
      </c>
      <c r="K245" t="str">
        <f t="shared" si="66"/>
        <v>J089</v>
      </c>
      <c r="L245" t="s">
        <v>847</v>
      </c>
      <c r="M245">
        <v>643.30999999999995</v>
      </c>
    </row>
    <row r="246" spans="1:13" x14ac:dyDescent="0.25">
      <c r="A246" t="str">
        <f t="shared" si="65"/>
        <v>E217</v>
      </c>
      <c r="B246">
        <v>1</v>
      </c>
      <c r="C246" t="str">
        <f t="shared" si="67"/>
        <v>43003</v>
      </c>
      <c r="D246" t="str">
        <f t="shared" si="63"/>
        <v>5740</v>
      </c>
      <c r="E246" t="str">
        <f t="shared" si="64"/>
        <v>850LOS</v>
      </c>
      <c r="F246" t="str">
        <f t="shared" si="68"/>
        <v>PKGPAY</v>
      </c>
      <c r="G246" t="str">
        <f>""</f>
        <v/>
      </c>
      <c r="H246" s="1">
        <v>39616</v>
      </c>
      <c r="I246" t="str">
        <f>"CMG00571"</f>
        <v>CMG00571</v>
      </c>
      <c r="J246" t="str">
        <f>""</f>
        <v/>
      </c>
      <c r="K246" t="str">
        <f t="shared" si="66"/>
        <v>J089</v>
      </c>
      <c r="L246" t="s">
        <v>846</v>
      </c>
      <c r="M246">
        <v>708.48</v>
      </c>
    </row>
    <row r="247" spans="1:13" x14ac:dyDescent="0.25">
      <c r="A247" t="str">
        <f t="shared" si="65"/>
        <v>E217</v>
      </c>
      <c r="B247">
        <v>1</v>
      </c>
      <c r="C247" t="str">
        <f t="shared" si="67"/>
        <v>43003</v>
      </c>
      <c r="D247" t="str">
        <f t="shared" si="63"/>
        <v>5740</v>
      </c>
      <c r="E247" t="str">
        <f t="shared" si="64"/>
        <v>850LOS</v>
      </c>
      <c r="F247" t="str">
        <f t="shared" si="68"/>
        <v>PKGPAY</v>
      </c>
      <c r="G247" t="str">
        <f>""</f>
        <v/>
      </c>
      <c r="H247" s="1">
        <v>39629</v>
      </c>
      <c r="I247" t="str">
        <f>"CMG00573"</f>
        <v>CMG00573</v>
      </c>
      <c r="J247" t="str">
        <f>""</f>
        <v/>
      </c>
      <c r="K247" t="str">
        <f t="shared" si="66"/>
        <v>J089</v>
      </c>
      <c r="L247" t="s">
        <v>845</v>
      </c>
      <c r="M247">
        <v>543.35</v>
      </c>
    </row>
    <row r="248" spans="1:13" x14ac:dyDescent="0.25">
      <c r="A248" t="str">
        <f>"E230"</f>
        <v>E230</v>
      </c>
      <c r="B248">
        <v>1</v>
      </c>
      <c r="C248" t="str">
        <f>"14185"</f>
        <v>14185</v>
      </c>
      <c r="D248" t="str">
        <f>"5620"</f>
        <v>5620</v>
      </c>
      <c r="E248" t="str">
        <f>"094OMS"</f>
        <v>094OMS</v>
      </c>
      <c r="F248" t="str">
        <f>""</f>
        <v/>
      </c>
      <c r="G248" t="str">
        <f>""</f>
        <v/>
      </c>
      <c r="H248" s="1">
        <v>39367</v>
      </c>
      <c r="I248" t="str">
        <f>"PCD00288"</f>
        <v>PCD00288</v>
      </c>
      <c r="J248" t="str">
        <f>"66183"</f>
        <v>66183</v>
      </c>
      <c r="K248" t="str">
        <f>"AS89"</f>
        <v>AS89</v>
      </c>
      <c r="L248" t="s">
        <v>844</v>
      </c>
      <c r="M248">
        <v>460.7</v>
      </c>
    </row>
    <row r="249" spans="1:13" x14ac:dyDescent="0.25">
      <c r="A249" t="str">
        <f>"E232"</f>
        <v>E232</v>
      </c>
      <c r="B249">
        <v>1</v>
      </c>
      <c r="C249" t="str">
        <f>"14185"</f>
        <v>14185</v>
      </c>
      <c r="D249" t="str">
        <f>"5620"</f>
        <v>5620</v>
      </c>
      <c r="E249" t="str">
        <f>"094OMS"</f>
        <v>094OMS</v>
      </c>
      <c r="F249" t="str">
        <f>""</f>
        <v/>
      </c>
      <c r="G249" t="str">
        <f>""</f>
        <v/>
      </c>
      <c r="H249" s="1">
        <v>39506</v>
      </c>
      <c r="I249" t="str">
        <f>"PRK00031"</f>
        <v>PRK00031</v>
      </c>
      <c r="J249" t="str">
        <f>"4481"</f>
        <v>4481</v>
      </c>
      <c r="K249" t="str">
        <f>"AS89"</f>
        <v>AS89</v>
      </c>
      <c r="L249" t="s">
        <v>378</v>
      </c>
      <c r="M249">
        <v>100</v>
      </c>
    </row>
    <row r="250" spans="1:13" x14ac:dyDescent="0.25">
      <c r="A250" t="str">
        <f>"E240"</f>
        <v>E240</v>
      </c>
      <c r="B250">
        <v>1</v>
      </c>
      <c r="C250" t="str">
        <f>"43001"</f>
        <v>43001</v>
      </c>
      <c r="D250" t="str">
        <f>"5740"</f>
        <v>5740</v>
      </c>
      <c r="E250" t="str">
        <f>"850LOS"</f>
        <v>850LOS</v>
      </c>
      <c r="F250" t="str">
        <f>""</f>
        <v/>
      </c>
      <c r="G250" t="str">
        <f>""</f>
        <v/>
      </c>
      <c r="H250" s="1">
        <v>39444</v>
      </c>
      <c r="I250" t="str">
        <f>"PCD00297"</f>
        <v>PCD00297</v>
      </c>
      <c r="J250" t="str">
        <f>"70974"</f>
        <v>70974</v>
      </c>
      <c r="K250" t="str">
        <f>"AS89"</f>
        <v>AS89</v>
      </c>
      <c r="L250" t="s">
        <v>843</v>
      </c>
      <c r="M250">
        <v>708.87</v>
      </c>
    </row>
    <row r="251" spans="1:13" x14ac:dyDescent="0.25">
      <c r="A251" t="str">
        <f>"E240"</f>
        <v>E240</v>
      </c>
      <c r="B251">
        <v>1</v>
      </c>
      <c r="C251" t="str">
        <f>"43001"</f>
        <v>43001</v>
      </c>
      <c r="D251" t="str">
        <f>"5740"</f>
        <v>5740</v>
      </c>
      <c r="E251" t="str">
        <f>"850LOS"</f>
        <v>850LOS</v>
      </c>
      <c r="F251" t="str">
        <f>""</f>
        <v/>
      </c>
      <c r="G251" t="str">
        <f>""</f>
        <v/>
      </c>
      <c r="H251" s="1">
        <v>39479</v>
      </c>
      <c r="I251" t="str">
        <f>"PCD00302"</f>
        <v>PCD00302</v>
      </c>
      <c r="J251" t="str">
        <f>"71903"</f>
        <v>71903</v>
      </c>
      <c r="K251" t="str">
        <f>"AS89"</f>
        <v>AS89</v>
      </c>
      <c r="L251" t="s">
        <v>842</v>
      </c>
      <c r="M251">
        <v>708.87</v>
      </c>
    </row>
    <row r="252" spans="1:13" x14ac:dyDescent="0.25">
      <c r="A252" t="str">
        <f>"E240"</f>
        <v>E240</v>
      </c>
      <c r="B252">
        <v>1</v>
      </c>
      <c r="C252" t="str">
        <f>"55070"</f>
        <v>55070</v>
      </c>
      <c r="D252" t="str">
        <f>"5740"</f>
        <v>5740</v>
      </c>
      <c r="E252" t="str">
        <f>"120ZAA"</f>
        <v>120ZAA</v>
      </c>
      <c r="F252" t="str">
        <f>""</f>
        <v/>
      </c>
      <c r="G252" t="str">
        <f>""</f>
        <v/>
      </c>
      <c r="H252" s="1">
        <v>39615</v>
      </c>
      <c r="I252" t="str">
        <f>"81487194"</f>
        <v>81487194</v>
      </c>
      <c r="J252" t="str">
        <f>"FT48201"</f>
        <v>FT48201</v>
      </c>
      <c r="K252" t="str">
        <f>"INEI"</f>
        <v>INEI</v>
      </c>
      <c r="L252" t="s">
        <v>841</v>
      </c>
      <c r="M252">
        <v>646.05999999999995</v>
      </c>
    </row>
    <row r="253" spans="1:13" x14ac:dyDescent="0.25">
      <c r="A253" t="str">
        <f t="shared" ref="A253:A266" si="69">"E247"</f>
        <v>E247</v>
      </c>
      <c r="B253">
        <v>1</v>
      </c>
      <c r="C253" t="str">
        <f t="shared" ref="C253:C266" si="70">"14185"</f>
        <v>14185</v>
      </c>
      <c r="D253" t="str">
        <f t="shared" ref="D253:D266" si="71">"5620"</f>
        <v>5620</v>
      </c>
      <c r="E253" t="str">
        <f t="shared" ref="E253:E266" si="72">"094OMS"</f>
        <v>094OMS</v>
      </c>
      <c r="F253" t="str">
        <f>""</f>
        <v/>
      </c>
      <c r="G253" t="str">
        <f>""</f>
        <v/>
      </c>
      <c r="H253" s="1">
        <v>39436</v>
      </c>
      <c r="I253" t="str">
        <f>"I0085996"</f>
        <v>I0085996</v>
      </c>
      <c r="J253" t="str">
        <f t="shared" ref="J253:J259" si="73">"B113862"</f>
        <v>B113862</v>
      </c>
      <c r="K253" t="str">
        <f t="shared" ref="K253:K266" si="74">"INNI"</f>
        <v>INNI</v>
      </c>
      <c r="L253" t="s">
        <v>839</v>
      </c>
      <c r="M253">
        <v>363.92</v>
      </c>
    </row>
    <row r="254" spans="1:13" x14ac:dyDescent="0.25">
      <c r="A254" t="str">
        <f t="shared" si="69"/>
        <v>E247</v>
      </c>
      <c r="B254">
        <v>1</v>
      </c>
      <c r="C254" t="str">
        <f t="shared" si="70"/>
        <v>14185</v>
      </c>
      <c r="D254" t="str">
        <f t="shared" si="71"/>
        <v>5620</v>
      </c>
      <c r="E254" t="str">
        <f t="shared" si="72"/>
        <v>094OMS</v>
      </c>
      <c r="F254" t="str">
        <f>""</f>
        <v/>
      </c>
      <c r="G254" t="str">
        <f>""</f>
        <v/>
      </c>
      <c r="H254" s="1">
        <v>39436</v>
      </c>
      <c r="I254" t="str">
        <f>"I0085997"</f>
        <v>I0085997</v>
      </c>
      <c r="J254" t="str">
        <f t="shared" si="73"/>
        <v>B113862</v>
      </c>
      <c r="K254" t="str">
        <f t="shared" si="74"/>
        <v>INNI</v>
      </c>
      <c r="L254" t="s">
        <v>839</v>
      </c>
      <c r="M254">
        <v>168.23</v>
      </c>
    </row>
    <row r="255" spans="1:13" x14ac:dyDescent="0.25">
      <c r="A255" t="str">
        <f t="shared" si="69"/>
        <v>E247</v>
      </c>
      <c r="B255">
        <v>1</v>
      </c>
      <c r="C255" t="str">
        <f t="shared" si="70"/>
        <v>14185</v>
      </c>
      <c r="D255" t="str">
        <f t="shared" si="71"/>
        <v>5620</v>
      </c>
      <c r="E255" t="str">
        <f t="shared" si="72"/>
        <v>094OMS</v>
      </c>
      <c r="F255" t="str">
        <f>""</f>
        <v/>
      </c>
      <c r="G255" t="str">
        <f>""</f>
        <v/>
      </c>
      <c r="H255" s="1">
        <v>39436</v>
      </c>
      <c r="I255" t="str">
        <f>"I0085998"</f>
        <v>I0085998</v>
      </c>
      <c r="J255" t="str">
        <f t="shared" si="73"/>
        <v>B113862</v>
      </c>
      <c r="K255" t="str">
        <f t="shared" si="74"/>
        <v>INNI</v>
      </c>
      <c r="L255" t="s">
        <v>839</v>
      </c>
      <c r="M255">
        <v>175.2</v>
      </c>
    </row>
    <row r="256" spans="1:13" x14ac:dyDescent="0.25">
      <c r="A256" t="str">
        <f t="shared" si="69"/>
        <v>E247</v>
      </c>
      <c r="B256">
        <v>1</v>
      </c>
      <c r="C256" t="str">
        <f t="shared" si="70"/>
        <v>14185</v>
      </c>
      <c r="D256" t="str">
        <f t="shared" si="71"/>
        <v>5620</v>
      </c>
      <c r="E256" t="str">
        <f t="shared" si="72"/>
        <v>094OMS</v>
      </c>
      <c r="F256" t="str">
        <f>""</f>
        <v/>
      </c>
      <c r="G256" t="str">
        <f>""</f>
        <v/>
      </c>
      <c r="H256" s="1">
        <v>39436</v>
      </c>
      <c r="I256" t="str">
        <f>"I0085999"</f>
        <v>I0085999</v>
      </c>
      <c r="J256" t="str">
        <f t="shared" si="73"/>
        <v>B113862</v>
      </c>
      <c r="K256" t="str">
        <f t="shared" si="74"/>
        <v>INNI</v>
      </c>
      <c r="L256" t="s">
        <v>839</v>
      </c>
      <c r="M256">
        <v>310.55</v>
      </c>
    </row>
    <row r="257" spans="1:13" x14ac:dyDescent="0.25">
      <c r="A257" t="str">
        <f t="shared" si="69"/>
        <v>E247</v>
      </c>
      <c r="B257">
        <v>1</v>
      </c>
      <c r="C257" t="str">
        <f t="shared" si="70"/>
        <v>14185</v>
      </c>
      <c r="D257" t="str">
        <f t="shared" si="71"/>
        <v>5620</v>
      </c>
      <c r="E257" t="str">
        <f t="shared" si="72"/>
        <v>094OMS</v>
      </c>
      <c r="F257" t="str">
        <f>""</f>
        <v/>
      </c>
      <c r="G257" t="str">
        <f>""</f>
        <v/>
      </c>
      <c r="H257" s="1">
        <v>39436</v>
      </c>
      <c r="I257" t="str">
        <f>"I0086000"</f>
        <v>I0086000</v>
      </c>
      <c r="J257" t="str">
        <f t="shared" si="73"/>
        <v>B113862</v>
      </c>
      <c r="K257" t="str">
        <f t="shared" si="74"/>
        <v>INNI</v>
      </c>
      <c r="L257" t="s">
        <v>839</v>
      </c>
      <c r="M257">
        <v>276.27</v>
      </c>
    </row>
    <row r="258" spans="1:13" x14ac:dyDescent="0.25">
      <c r="A258" t="str">
        <f t="shared" si="69"/>
        <v>E247</v>
      </c>
      <c r="B258">
        <v>1</v>
      </c>
      <c r="C258" t="str">
        <f t="shared" si="70"/>
        <v>14185</v>
      </c>
      <c r="D258" t="str">
        <f t="shared" si="71"/>
        <v>5620</v>
      </c>
      <c r="E258" t="str">
        <f t="shared" si="72"/>
        <v>094OMS</v>
      </c>
      <c r="F258" t="str">
        <f>""</f>
        <v/>
      </c>
      <c r="G258" t="str">
        <f>""</f>
        <v/>
      </c>
      <c r="H258" s="1">
        <v>39436</v>
      </c>
      <c r="I258" t="str">
        <f>"I0086001"</f>
        <v>I0086001</v>
      </c>
      <c r="J258" t="str">
        <f t="shared" si="73"/>
        <v>B113862</v>
      </c>
      <c r="K258" t="str">
        <f t="shared" si="74"/>
        <v>INNI</v>
      </c>
      <c r="L258" t="s">
        <v>839</v>
      </c>
      <c r="M258">
        <v>214.52</v>
      </c>
    </row>
    <row r="259" spans="1:13" x14ac:dyDescent="0.25">
      <c r="A259" t="str">
        <f t="shared" si="69"/>
        <v>E247</v>
      </c>
      <c r="B259">
        <v>1</v>
      </c>
      <c r="C259" t="str">
        <f t="shared" si="70"/>
        <v>14185</v>
      </c>
      <c r="D259" t="str">
        <f t="shared" si="71"/>
        <v>5620</v>
      </c>
      <c r="E259" t="str">
        <f t="shared" si="72"/>
        <v>094OMS</v>
      </c>
      <c r="F259" t="str">
        <f>""</f>
        <v/>
      </c>
      <c r="G259" t="str">
        <f>""</f>
        <v/>
      </c>
      <c r="H259" s="1">
        <v>39451</v>
      </c>
      <c r="I259" t="str">
        <f>"I0086118"</f>
        <v>I0086118</v>
      </c>
      <c r="J259" t="str">
        <f t="shared" si="73"/>
        <v>B113862</v>
      </c>
      <c r="K259" t="str">
        <f t="shared" si="74"/>
        <v>INNI</v>
      </c>
      <c r="L259" t="s">
        <v>839</v>
      </c>
      <c r="M259">
        <v>155.44</v>
      </c>
    </row>
    <row r="260" spans="1:13" x14ac:dyDescent="0.25">
      <c r="A260" t="str">
        <f t="shared" si="69"/>
        <v>E247</v>
      </c>
      <c r="B260">
        <v>1</v>
      </c>
      <c r="C260" t="str">
        <f t="shared" si="70"/>
        <v>14185</v>
      </c>
      <c r="D260" t="str">
        <f t="shared" si="71"/>
        <v>5620</v>
      </c>
      <c r="E260" t="str">
        <f t="shared" si="72"/>
        <v>094OMS</v>
      </c>
      <c r="F260" t="str">
        <f>""</f>
        <v/>
      </c>
      <c r="G260" t="str">
        <f>""</f>
        <v/>
      </c>
      <c r="H260" s="1">
        <v>39503</v>
      </c>
      <c r="I260" t="str">
        <f>"I0086838"</f>
        <v>I0086838</v>
      </c>
      <c r="J260" t="str">
        <f t="shared" ref="J260:J266" si="75">"B125301"</f>
        <v>B125301</v>
      </c>
      <c r="K260" t="str">
        <f t="shared" si="74"/>
        <v>INNI</v>
      </c>
      <c r="L260" t="s">
        <v>838</v>
      </c>
      <c r="M260">
        <v>203.85</v>
      </c>
    </row>
    <row r="261" spans="1:13" x14ac:dyDescent="0.25">
      <c r="A261" t="str">
        <f t="shared" si="69"/>
        <v>E247</v>
      </c>
      <c r="B261">
        <v>1</v>
      </c>
      <c r="C261" t="str">
        <f t="shared" si="70"/>
        <v>14185</v>
      </c>
      <c r="D261" t="str">
        <f t="shared" si="71"/>
        <v>5620</v>
      </c>
      <c r="E261" t="str">
        <f t="shared" si="72"/>
        <v>094OMS</v>
      </c>
      <c r="F261" t="str">
        <f>""</f>
        <v/>
      </c>
      <c r="G261" t="str">
        <f>""</f>
        <v/>
      </c>
      <c r="H261" s="1">
        <v>39535</v>
      </c>
      <c r="I261" t="str">
        <f>"I0087263"</f>
        <v>I0087263</v>
      </c>
      <c r="J261" t="str">
        <f t="shared" si="75"/>
        <v>B125301</v>
      </c>
      <c r="K261" t="str">
        <f t="shared" si="74"/>
        <v>INNI</v>
      </c>
      <c r="L261" t="s">
        <v>838</v>
      </c>
      <c r="M261">
        <v>236.99</v>
      </c>
    </row>
    <row r="262" spans="1:13" x14ac:dyDescent="0.25">
      <c r="A262" t="str">
        <f t="shared" si="69"/>
        <v>E247</v>
      </c>
      <c r="B262">
        <v>1</v>
      </c>
      <c r="C262" t="str">
        <f t="shared" si="70"/>
        <v>14185</v>
      </c>
      <c r="D262" t="str">
        <f t="shared" si="71"/>
        <v>5620</v>
      </c>
      <c r="E262" t="str">
        <f t="shared" si="72"/>
        <v>094OMS</v>
      </c>
      <c r="F262" t="str">
        <f>""</f>
        <v/>
      </c>
      <c r="G262" t="str">
        <f>""</f>
        <v/>
      </c>
      <c r="H262" s="1">
        <v>39546</v>
      </c>
      <c r="I262" t="str">
        <f>"100440"</f>
        <v>100440</v>
      </c>
      <c r="J262" t="str">
        <f t="shared" si="75"/>
        <v>B125301</v>
      </c>
      <c r="K262" t="str">
        <f t="shared" si="74"/>
        <v>INNI</v>
      </c>
      <c r="L262" t="s">
        <v>838</v>
      </c>
      <c r="M262">
        <v>155.44</v>
      </c>
    </row>
    <row r="263" spans="1:13" x14ac:dyDescent="0.25">
      <c r="A263" t="str">
        <f t="shared" si="69"/>
        <v>E247</v>
      </c>
      <c r="B263">
        <v>1</v>
      </c>
      <c r="C263" t="str">
        <f t="shared" si="70"/>
        <v>14185</v>
      </c>
      <c r="D263" t="str">
        <f t="shared" si="71"/>
        <v>5620</v>
      </c>
      <c r="E263" t="str">
        <f t="shared" si="72"/>
        <v>094OMS</v>
      </c>
      <c r="F263" t="str">
        <f>""</f>
        <v/>
      </c>
      <c r="G263" t="str">
        <f>""</f>
        <v/>
      </c>
      <c r="H263" s="1">
        <v>39556</v>
      </c>
      <c r="I263" t="str">
        <f>"I0087532"</f>
        <v>I0087532</v>
      </c>
      <c r="J263" t="str">
        <f t="shared" si="75"/>
        <v>B125301</v>
      </c>
      <c r="K263" t="str">
        <f t="shared" si="74"/>
        <v>INNI</v>
      </c>
      <c r="L263" t="s">
        <v>838</v>
      </c>
      <c r="M263">
        <v>241.6</v>
      </c>
    </row>
    <row r="264" spans="1:13" x14ac:dyDescent="0.25">
      <c r="A264" t="str">
        <f t="shared" si="69"/>
        <v>E247</v>
      </c>
      <c r="B264">
        <v>1</v>
      </c>
      <c r="C264" t="str">
        <f t="shared" si="70"/>
        <v>14185</v>
      </c>
      <c r="D264" t="str">
        <f t="shared" si="71"/>
        <v>5620</v>
      </c>
      <c r="E264" t="str">
        <f t="shared" si="72"/>
        <v>094OMS</v>
      </c>
      <c r="F264" t="str">
        <f>""</f>
        <v/>
      </c>
      <c r="G264" t="str">
        <f>""</f>
        <v/>
      </c>
      <c r="H264" s="1">
        <v>39615</v>
      </c>
      <c r="I264" t="str">
        <f>"I0088312"</f>
        <v>I0088312</v>
      </c>
      <c r="J264" t="str">
        <f t="shared" si="75"/>
        <v>B125301</v>
      </c>
      <c r="K264" t="str">
        <f t="shared" si="74"/>
        <v>INNI</v>
      </c>
      <c r="L264" t="s">
        <v>838</v>
      </c>
      <c r="M264">
        <v>303.47000000000003</v>
      </c>
    </row>
    <row r="265" spans="1:13" x14ac:dyDescent="0.25">
      <c r="A265" t="str">
        <f t="shared" si="69"/>
        <v>E247</v>
      </c>
      <c r="B265">
        <v>1</v>
      </c>
      <c r="C265" t="str">
        <f t="shared" si="70"/>
        <v>14185</v>
      </c>
      <c r="D265" t="str">
        <f t="shared" si="71"/>
        <v>5620</v>
      </c>
      <c r="E265" t="str">
        <f t="shared" si="72"/>
        <v>094OMS</v>
      </c>
      <c r="F265" t="str">
        <f>""</f>
        <v/>
      </c>
      <c r="G265" t="str">
        <f>""</f>
        <v/>
      </c>
      <c r="H265" s="1">
        <v>39615</v>
      </c>
      <c r="I265" t="str">
        <f>"I0088314"</f>
        <v>I0088314</v>
      </c>
      <c r="J265" t="str">
        <f t="shared" si="75"/>
        <v>B125301</v>
      </c>
      <c r="K265" t="str">
        <f t="shared" si="74"/>
        <v>INNI</v>
      </c>
      <c r="L265" t="s">
        <v>838</v>
      </c>
      <c r="M265">
        <v>271.39999999999998</v>
      </c>
    </row>
    <row r="266" spans="1:13" x14ac:dyDescent="0.25">
      <c r="A266" t="str">
        <f t="shared" si="69"/>
        <v>E247</v>
      </c>
      <c r="B266">
        <v>1</v>
      </c>
      <c r="C266" t="str">
        <f t="shared" si="70"/>
        <v>14185</v>
      </c>
      <c r="D266" t="str">
        <f t="shared" si="71"/>
        <v>5620</v>
      </c>
      <c r="E266" t="str">
        <f t="shared" si="72"/>
        <v>094OMS</v>
      </c>
      <c r="F266" t="str">
        <f>""</f>
        <v/>
      </c>
      <c r="G266" t="str">
        <f>""</f>
        <v/>
      </c>
      <c r="H266" s="1">
        <v>39629</v>
      </c>
      <c r="I266" t="str">
        <f>"I0088705"</f>
        <v>I0088705</v>
      </c>
      <c r="J266" t="str">
        <f t="shared" si="75"/>
        <v>B125301</v>
      </c>
      <c r="K266" t="str">
        <f t="shared" si="74"/>
        <v>INNI</v>
      </c>
      <c r="L266" t="s">
        <v>838</v>
      </c>
      <c r="M266">
        <v>414.14</v>
      </c>
    </row>
    <row r="267" spans="1:13" x14ac:dyDescent="0.25">
      <c r="A267" t="str">
        <f t="shared" ref="A267:A272" si="76">"E255"</f>
        <v>E255</v>
      </c>
      <c r="B267">
        <v>1</v>
      </c>
      <c r="C267" t="str">
        <f>"32040"</f>
        <v>32040</v>
      </c>
      <c r="D267" t="str">
        <f>"5610"</f>
        <v>5610</v>
      </c>
      <c r="E267" t="str">
        <f t="shared" ref="E267:E273" si="77">"850LOS"</f>
        <v>850LOS</v>
      </c>
      <c r="F267" t="str">
        <f>""</f>
        <v/>
      </c>
      <c r="G267" t="str">
        <f>""</f>
        <v/>
      </c>
      <c r="H267" s="1">
        <v>39489</v>
      </c>
      <c r="I267" t="str">
        <f>"PCD00303"</f>
        <v>PCD00303</v>
      </c>
      <c r="J267" t="str">
        <f>"72738"</f>
        <v>72738</v>
      </c>
      <c r="K267" t="str">
        <f t="shared" ref="K267:K272" si="78">"AS89"</f>
        <v>AS89</v>
      </c>
      <c r="L267" t="s">
        <v>837</v>
      </c>
      <c r="M267">
        <v>236.68</v>
      </c>
    </row>
    <row r="268" spans="1:13" x14ac:dyDescent="0.25">
      <c r="A268" t="str">
        <f t="shared" si="76"/>
        <v>E255</v>
      </c>
      <c r="B268">
        <v>1</v>
      </c>
      <c r="C268" t="str">
        <f t="shared" ref="C268:C273" si="79">"43000"</f>
        <v>43000</v>
      </c>
      <c r="D268" t="str">
        <f t="shared" ref="D268:D273" si="80">"5740"</f>
        <v>5740</v>
      </c>
      <c r="E268" t="str">
        <f t="shared" si="77"/>
        <v>850LOS</v>
      </c>
      <c r="F268" t="str">
        <f>"PKOLOT"</f>
        <v>PKOLOT</v>
      </c>
      <c r="G268" t="str">
        <f>""</f>
        <v/>
      </c>
      <c r="H268" s="1">
        <v>39528</v>
      </c>
      <c r="I268" t="str">
        <f>"PCD00309"</f>
        <v>PCD00309</v>
      </c>
      <c r="J268" t="str">
        <f>"75358"</f>
        <v>75358</v>
      </c>
      <c r="K268" t="str">
        <f t="shared" si="78"/>
        <v>AS89</v>
      </c>
      <c r="L268" t="s">
        <v>836</v>
      </c>
      <c r="M268">
        <v>195.92</v>
      </c>
    </row>
    <row r="269" spans="1:13" x14ac:dyDescent="0.25">
      <c r="A269" t="str">
        <f t="shared" si="76"/>
        <v>E255</v>
      </c>
      <c r="B269">
        <v>1</v>
      </c>
      <c r="C269" t="str">
        <f t="shared" si="79"/>
        <v>43000</v>
      </c>
      <c r="D269" t="str">
        <f t="shared" si="80"/>
        <v>5740</v>
      </c>
      <c r="E269" t="str">
        <f t="shared" si="77"/>
        <v>850LOS</v>
      </c>
      <c r="F269" t="str">
        <f>""</f>
        <v/>
      </c>
      <c r="G269" t="str">
        <f>""</f>
        <v/>
      </c>
      <c r="H269" s="1">
        <v>39549</v>
      </c>
      <c r="I269" t="str">
        <f>"PCD00312"</f>
        <v>PCD00312</v>
      </c>
      <c r="J269" t="str">
        <f>"76433"</f>
        <v>76433</v>
      </c>
      <c r="K269" t="str">
        <f t="shared" si="78"/>
        <v>AS89</v>
      </c>
      <c r="L269" t="s">
        <v>835</v>
      </c>
      <c r="M269">
        <v>129.22999999999999</v>
      </c>
    </row>
    <row r="270" spans="1:13" x14ac:dyDescent="0.25">
      <c r="A270" t="str">
        <f t="shared" si="76"/>
        <v>E255</v>
      </c>
      <c r="B270">
        <v>1</v>
      </c>
      <c r="C270" t="str">
        <f t="shared" si="79"/>
        <v>43000</v>
      </c>
      <c r="D270" t="str">
        <f t="shared" si="80"/>
        <v>5740</v>
      </c>
      <c r="E270" t="str">
        <f t="shared" si="77"/>
        <v>850LOS</v>
      </c>
      <c r="F270" t="str">
        <f>""</f>
        <v/>
      </c>
      <c r="G270" t="str">
        <f>""</f>
        <v/>
      </c>
      <c r="H270" s="1">
        <v>39549</v>
      </c>
      <c r="I270" t="str">
        <f>"PCD00312"</f>
        <v>PCD00312</v>
      </c>
      <c r="J270" t="str">
        <f>"76434"</f>
        <v>76434</v>
      </c>
      <c r="K270" t="str">
        <f t="shared" si="78"/>
        <v>AS89</v>
      </c>
      <c r="L270" t="s">
        <v>834</v>
      </c>
      <c r="M270">
        <v>249.32</v>
      </c>
    </row>
    <row r="271" spans="1:13" x14ac:dyDescent="0.25">
      <c r="A271" t="str">
        <f t="shared" si="76"/>
        <v>E255</v>
      </c>
      <c r="B271">
        <v>1</v>
      </c>
      <c r="C271" t="str">
        <f t="shared" si="79"/>
        <v>43000</v>
      </c>
      <c r="D271" t="str">
        <f t="shared" si="80"/>
        <v>5740</v>
      </c>
      <c r="E271" t="str">
        <f t="shared" si="77"/>
        <v>850LOS</v>
      </c>
      <c r="F271" t="str">
        <f>""</f>
        <v/>
      </c>
      <c r="G271" t="str">
        <f>""</f>
        <v/>
      </c>
      <c r="H271" s="1">
        <v>39549</v>
      </c>
      <c r="I271" t="str">
        <f>"PCD00312"</f>
        <v>PCD00312</v>
      </c>
      <c r="J271" t="str">
        <f>"76547"</f>
        <v>76547</v>
      </c>
      <c r="K271" t="str">
        <f t="shared" si="78"/>
        <v>AS89</v>
      </c>
      <c r="L271" t="s">
        <v>833</v>
      </c>
      <c r="M271">
        <v>329.26</v>
      </c>
    </row>
    <row r="272" spans="1:13" x14ac:dyDescent="0.25">
      <c r="A272" t="str">
        <f t="shared" si="76"/>
        <v>E255</v>
      </c>
      <c r="B272">
        <v>1</v>
      </c>
      <c r="C272" t="str">
        <f t="shared" si="79"/>
        <v>43000</v>
      </c>
      <c r="D272" t="str">
        <f t="shared" si="80"/>
        <v>5740</v>
      </c>
      <c r="E272" t="str">
        <f t="shared" si="77"/>
        <v>850LOS</v>
      </c>
      <c r="F272" t="str">
        <f>""</f>
        <v/>
      </c>
      <c r="G272" t="str">
        <f>""</f>
        <v/>
      </c>
      <c r="H272" s="1">
        <v>39556</v>
      </c>
      <c r="I272" t="str">
        <f>"PCD00313"</f>
        <v>PCD00313</v>
      </c>
      <c r="J272" t="str">
        <f>"77150"</f>
        <v>77150</v>
      </c>
      <c r="K272" t="str">
        <f t="shared" si="78"/>
        <v>AS89</v>
      </c>
      <c r="L272" t="s">
        <v>832</v>
      </c>
      <c r="M272">
        <v>144.12</v>
      </c>
    </row>
    <row r="273" spans="1:13" x14ac:dyDescent="0.25">
      <c r="A273" t="str">
        <f>"E256"</f>
        <v>E256</v>
      </c>
      <c r="B273">
        <v>1</v>
      </c>
      <c r="C273" t="str">
        <f t="shared" si="79"/>
        <v>43000</v>
      </c>
      <c r="D273" t="str">
        <f t="shared" si="80"/>
        <v>5740</v>
      </c>
      <c r="E273" t="str">
        <f t="shared" si="77"/>
        <v>850LOS</v>
      </c>
      <c r="F273" t="str">
        <f>"PKOLOT"</f>
        <v>PKOLOT</v>
      </c>
      <c r="G273" t="str">
        <f>""</f>
        <v/>
      </c>
      <c r="H273" s="1">
        <v>39426</v>
      </c>
      <c r="I273" t="str">
        <f>"70135A"</f>
        <v>70135A</v>
      </c>
      <c r="J273" t="str">
        <f>"B108874"</f>
        <v>B108874</v>
      </c>
      <c r="K273" t="str">
        <f>"INNI"</f>
        <v>INNI</v>
      </c>
      <c r="L273" t="s">
        <v>831</v>
      </c>
      <c r="M273">
        <v>140</v>
      </c>
    </row>
    <row r="274" spans="1:13" x14ac:dyDescent="0.25">
      <c r="A274" t="str">
        <f t="shared" ref="A274:A319" si="81">"E257"</f>
        <v>E257</v>
      </c>
      <c r="B274">
        <v>1</v>
      </c>
      <c r="C274" t="str">
        <f t="shared" ref="C274:C311" si="82">"14185"</f>
        <v>14185</v>
      </c>
      <c r="D274" t="str">
        <f t="shared" ref="D274:D311" si="83">"5620"</f>
        <v>5620</v>
      </c>
      <c r="E274" t="str">
        <f t="shared" ref="E274:E311" si="84">"094OMS"</f>
        <v>094OMS</v>
      </c>
      <c r="F274" t="str">
        <f>""</f>
        <v/>
      </c>
      <c r="G274" t="str">
        <f>""</f>
        <v/>
      </c>
      <c r="H274" s="1">
        <v>39295</v>
      </c>
      <c r="I274" t="str">
        <f>"PCD00280"</f>
        <v>PCD00280</v>
      </c>
      <c r="J274" t="str">
        <f>"62751"</f>
        <v>62751</v>
      </c>
      <c r="K274" t="str">
        <f t="shared" ref="K274:K305" si="85">"AS89"</f>
        <v>AS89</v>
      </c>
      <c r="L274" t="s">
        <v>830</v>
      </c>
      <c r="M274">
        <v>258.02</v>
      </c>
    </row>
    <row r="275" spans="1:13" x14ac:dyDescent="0.25">
      <c r="A275" t="str">
        <f t="shared" si="81"/>
        <v>E257</v>
      </c>
      <c r="B275">
        <v>1</v>
      </c>
      <c r="C275" t="str">
        <f t="shared" si="82"/>
        <v>14185</v>
      </c>
      <c r="D275" t="str">
        <f t="shared" si="83"/>
        <v>5620</v>
      </c>
      <c r="E275" t="str">
        <f t="shared" si="84"/>
        <v>094OMS</v>
      </c>
      <c r="F275" t="str">
        <f>""</f>
        <v/>
      </c>
      <c r="G275" t="str">
        <f>""</f>
        <v/>
      </c>
      <c r="H275" s="1">
        <v>39295</v>
      </c>
      <c r="I275" t="str">
        <f>"PCD00280"</f>
        <v>PCD00280</v>
      </c>
      <c r="J275" t="str">
        <f>"62914"</f>
        <v>62914</v>
      </c>
      <c r="K275" t="str">
        <f t="shared" si="85"/>
        <v>AS89</v>
      </c>
      <c r="L275" t="s">
        <v>829</v>
      </c>
      <c r="M275">
        <v>348.97</v>
      </c>
    </row>
    <row r="276" spans="1:13" x14ac:dyDescent="0.25">
      <c r="A276" t="str">
        <f t="shared" si="81"/>
        <v>E257</v>
      </c>
      <c r="B276">
        <v>1</v>
      </c>
      <c r="C276" t="str">
        <f t="shared" si="82"/>
        <v>14185</v>
      </c>
      <c r="D276" t="str">
        <f t="shared" si="83"/>
        <v>5620</v>
      </c>
      <c r="E276" t="str">
        <f t="shared" si="84"/>
        <v>094OMS</v>
      </c>
      <c r="F276" t="str">
        <f>""</f>
        <v/>
      </c>
      <c r="G276" t="str">
        <f>""</f>
        <v/>
      </c>
      <c r="H276" s="1">
        <v>39295</v>
      </c>
      <c r="I276" t="str">
        <f>"PCD00280"</f>
        <v>PCD00280</v>
      </c>
      <c r="J276" t="str">
        <f>"63392"</f>
        <v>63392</v>
      </c>
      <c r="K276" t="str">
        <f t="shared" si="85"/>
        <v>AS89</v>
      </c>
      <c r="L276" t="s">
        <v>828</v>
      </c>
      <c r="M276">
        <v>820.79</v>
      </c>
    </row>
    <row r="277" spans="1:13" x14ac:dyDescent="0.25">
      <c r="A277" t="str">
        <f t="shared" si="81"/>
        <v>E257</v>
      </c>
      <c r="B277">
        <v>1</v>
      </c>
      <c r="C277" t="str">
        <f t="shared" si="82"/>
        <v>14185</v>
      </c>
      <c r="D277" t="str">
        <f t="shared" si="83"/>
        <v>5620</v>
      </c>
      <c r="E277" t="str">
        <f t="shared" si="84"/>
        <v>094OMS</v>
      </c>
      <c r="F277" t="str">
        <f>""</f>
        <v/>
      </c>
      <c r="G277" t="str">
        <f>""</f>
        <v/>
      </c>
      <c r="H277" s="1">
        <v>39316</v>
      </c>
      <c r="I277" t="str">
        <f>"PCD00281"</f>
        <v>PCD00281</v>
      </c>
      <c r="J277" t="str">
        <f>"63844"</f>
        <v>63844</v>
      </c>
      <c r="K277" t="str">
        <f t="shared" si="85"/>
        <v>AS89</v>
      </c>
      <c r="L277" t="s">
        <v>805</v>
      </c>
      <c r="M277">
        <v>329.91</v>
      </c>
    </row>
    <row r="278" spans="1:13" x14ac:dyDescent="0.25">
      <c r="A278" t="str">
        <f t="shared" si="81"/>
        <v>E257</v>
      </c>
      <c r="B278">
        <v>1</v>
      </c>
      <c r="C278" t="str">
        <f t="shared" si="82"/>
        <v>14185</v>
      </c>
      <c r="D278" t="str">
        <f t="shared" si="83"/>
        <v>5620</v>
      </c>
      <c r="E278" t="str">
        <f t="shared" si="84"/>
        <v>094OMS</v>
      </c>
      <c r="F278" t="str">
        <f>""</f>
        <v/>
      </c>
      <c r="G278" t="str">
        <f>""</f>
        <v/>
      </c>
      <c r="H278" s="1">
        <v>39324</v>
      </c>
      <c r="I278" t="str">
        <f>"PCD00282"</f>
        <v>PCD00282</v>
      </c>
      <c r="J278" t="str">
        <f>"64196"</f>
        <v>64196</v>
      </c>
      <c r="K278" t="str">
        <f t="shared" si="85"/>
        <v>AS89</v>
      </c>
      <c r="L278" t="s">
        <v>827</v>
      </c>
      <c r="M278">
        <v>105.41</v>
      </c>
    </row>
    <row r="279" spans="1:13" x14ac:dyDescent="0.25">
      <c r="A279" t="str">
        <f t="shared" si="81"/>
        <v>E257</v>
      </c>
      <c r="B279">
        <v>1</v>
      </c>
      <c r="C279" t="str">
        <f t="shared" si="82"/>
        <v>14185</v>
      </c>
      <c r="D279" t="str">
        <f t="shared" si="83"/>
        <v>5620</v>
      </c>
      <c r="E279" t="str">
        <f t="shared" si="84"/>
        <v>094OMS</v>
      </c>
      <c r="F279" t="str">
        <f>""</f>
        <v/>
      </c>
      <c r="G279" t="str">
        <f>""</f>
        <v/>
      </c>
      <c r="H279" s="1">
        <v>39345</v>
      </c>
      <c r="I279" t="str">
        <f>"PCD00284"</f>
        <v>PCD00284</v>
      </c>
      <c r="J279" t="str">
        <f>"64748"</f>
        <v>64748</v>
      </c>
      <c r="K279" t="str">
        <f t="shared" si="85"/>
        <v>AS89</v>
      </c>
      <c r="L279" t="s">
        <v>826</v>
      </c>
      <c r="M279">
        <v>231.4</v>
      </c>
    </row>
    <row r="280" spans="1:13" x14ac:dyDescent="0.25">
      <c r="A280" t="str">
        <f t="shared" si="81"/>
        <v>E257</v>
      </c>
      <c r="B280">
        <v>1</v>
      </c>
      <c r="C280" t="str">
        <f t="shared" si="82"/>
        <v>14185</v>
      </c>
      <c r="D280" t="str">
        <f t="shared" si="83"/>
        <v>5620</v>
      </c>
      <c r="E280" t="str">
        <f t="shared" si="84"/>
        <v>094OMS</v>
      </c>
      <c r="F280" t="str">
        <f>""</f>
        <v/>
      </c>
      <c r="G280" t="str">
        <f>""</f>
        <v/>
      </c>
      <c r="H280" s="1">
        <v>39345</v>
      </c>
      <c r="I280" t="str">
        <f>"PCD00284"</f>
        <v>PCD00284</v>
      </c>
      <c r="J280" t="str">
        <f>"64949"</f>
        <v>64949</v>
      </c>
      <c r="K280" t="str">
        <f t="shared" si="85"/>
        <v>AS89</v>
      </c>
      <c r="L280" t="s">
        <v>825</v>
      </c>
      <c r="M280">
        <v>230.5</v>
      </c>
    </row>
    <row r="281" spans="1:13" x14ac:dyDescent="0.25">
      <c r="A281" t="str">
        <f t="shared" si="81"/>
        <v>E257</v>
      </c>
      <c r="B281">
        <v>1</v>
      </c>
      <c r="C281" t="str">
        <f t="shared" si="82"/>
        <v>14185</v>
      </c>
      <c r="D281" t="str">
        <f t="shared" si="83"/>
        <v>5620</v>
      </c>
      <c r="E281" t="str">
        <f t="shared" si="84"/>
        <v>094OMS</v>
      </c>
      <c r="F281" t="str">
        <f>""</f>
        <v/>
      </c>
      <c r="G281" t="str">
        <f>""</f>
        <v/>
      </c>
      <c r="H281" s="1">
        <v>39345</v>
      </c>
      <c r="I281" t="str">
        <f>"PCD00284"</f>
        <v>PCD00284</v>
      </c>
      <c r="J281" t="str">
        <f>"65203"</f>
        <v>65203</v>
      </c>
      <c r="K281" t="str">
        <f t="shared" si="85"/>
        <v>AS89</v>
      </c>
      <c r="L281" t="s">
        <v>803</v>
      </c>
      <c r="M281">
        <v>183.39</v>
      </c>
    </row>
    <row r="282" spans="1:13" x14ac:dyDescent="0.25">
      <c r="A282" t="str">
        <f t="shared" si="81"/>
        <v>E257</v>
      </c>
      <c r="B282">
        <v>1</v>
      </c>
      <c r="C282" t="str">
        <f t="shared" si="82"/>
        <v>14185</v>
      </c>
      <c r="D282" t="str">
        <f t="shared" si="83"/>
        <v>5620</v>
      </c>
      <c r="E282" t="str">
        <f t="shared" si="84"/>
        <v>094OMS</v>
      </c>
      <c r="F282" t="str">
        <f>""</f>
        <v/>
      </c>
      <c r="G282" t="str">
        <f>""</f>
        <v/>
      </c>
      <c r="H282" s="1">
        <v>39367</v>
      </c>
      <c r="I282" t="str">
        <f>"PCD00288"</f>
        <v>PCD00288</v>
      </c>
      <c r="J282" t="str">
        <f>"66745"</f>
        <v>66745</v>
      </c>
      <c r="K282" t="str">
        <f t="shared" si="85"/>
        <v>AS89</v>
      </c>
      <c r="L282" t="s">
        <v>802</v>
      </c>
      <c r="M282">
        <v>141</v>
      </c>
    </row>
    <row r="283" spans="1:13" x14ac:dyDescent="0.25">
      <c r="A283" t="str">
        <f t="shared" si="81"/>
        <v>E257</v>
      </c>
      <c r="B283">
        <v>1</v>
      </c>
      <c r="C283" t="str">
        <f t="shared" si="82"/>
        <v>14185</v>
      </c>
      <c r="D283" t="str">
        <f t="shared" si="83"/>
        <v>5620</v>
      </c>
      <c r="E283" t="str">
        <f t="shared" si="84"/>
        <v>094OMS</v>
      </c>
      <c r="F283" t="str">
        <f>""</f>
        <v/>
      </c>
      <c r="G283" t="str">
        <f>""</f>
        <v/>
      </c>
      <c r="H283" s="1">
        <v>39395</v>
      </c>
      <c r="I283" t="str">
        <f>"PCD00292"</f>
        <v>PCD00292</v>
      </c>
      <c r="J283" t="str">
        <f>"67686"</f>
        <v>67686</v>
      </c>
      <c r="K283" t="str">
        <f t="shared" si="85"/>
        <v>AS89</v>
      </c>
      <c r="L283" t="s">
        <v>824</v>
      </c>
      <c r="M283">
        <v>201.02</v>
      </c>
    </row>
    <row r="284" spans="1:13" x14ac:dyDescent="0.25">
      <c r="A284" t="str">
        <f t="shared" si="81"/>
        <v>E257</v>
      </c>
      <c r="B284">
        <v>1</v>
      </c>
      <c r="C284" t="str">
        <f t="shared" si="82"/>
        <v>14185</v>
      </c>
      <c r="D284" t="str">
        <f t="shared" si="83"/>
        <v>5620</v>
      </c>
      <c r="E284" t="str">
        <f t="shared" si="84"/>
        <v>094OMS</v>
      </c>
      <c r="F284" t="str">
        <f>""</f>
        <v/>
      </c>
      <c r="G284" t="str">
        <f>""</f>
        <v/>
      </c>
      <c r="H284" s="1">
        <v>39430</v>
      </c>
      <c r="I284" t="str">
        <f>"PCD00295"</f>
        <v>PCD00295</v>
      </c>
      <c r="J284" t="str">
        <f>"69974"</f>
        <v>69974</v>
      </c>
      <c r="K284" t="str">
        <f t="shared" si="85"/>
        <v>AS89</v>
      </c>
      <c r="L284" t="s">
        <v>822</v>
      </c>
      <c r="M284">
        <v>139.91</v>
      </c>
    </row>
    <row r="285" spans="1:13" x14ac:dyDescent="0.25">
      <c r="A285" t="str">
        <f t="shared" si="81"/>
        <v>E257</v>
      </c>
      <c r="B285">
        <v>1</v>
      </c>
      <c r="C285" t="str">
        <f t="shared" si="82"/>
        <v>14185</v>
      </c>
      <c r="D285" t="str">
        <f t="shared" si="83"/>
        <v>5620</v>
      </c>
      <c r="E285" t="str">
        <f t="shared" si="84"/>
        <v>094OMS</v>
      </c>
      <c r="F285" t="str">
        <f>""</f>
        <v/>
      </c>
      <c r="G285" t="str">
        <f>""</f>
        <v/>
      </c>
      <c r="H285" s="1">
        <v>39430</v>
      </c>
      <c r="I285" t="str">
        <f>"PCD00295"</f>
        <v>PCD00295</v>
      </c>
      <c r="J285" t="str">
        <f>"69975"</f>
        <v>69975</v>
      </c>
      <c r="K285" t="str">
        <f t="shared" si="85"/>
        <v>AS89</v>
      </c>
      <c r="L285" t="s">
        <v>822</v>
      </c>
      <c r="M285">
        <v>121.95</v>
      </c>
    </row>
    <row r="286" spans="1:13" x14ac:dyDescent="0.25">
      <c r="A286" t="str">
        <f t="shared" si="81"/>
        <v>E257</v>
      </c>
      <c r="B286">
        <v>1</v>
      </c>
      <c r="C286" t="str">
        <f t="shared" si="82"/>
        <v>14185</v>
      </c>
      <c r="D286" t="str">
        <f t="shared" si="83"/>
        <v>5620</v>
      </c>
      <c r="E286" t="str">
        <f t="shared" si="84"/>
        <v>094OMS</v>
      </c>
      <c r="F286" t="str">
        <f>""</f>
        <v/>
      </c>
      <c r="G286" t="str">
        <f>""</f>
        <v/>
      </c>
      <c r="H286" s="1">
        <v>39430</v>
      </c>
      <c r="I286" t="str">
        <f>"PCD00295"</f>
        <v>PCD00295</v>
      </c>
      <c r="J286" t="str">
        <f>"69976"</f>
        <v>69976</v>
      </c>
      <c r="K286" t="str">
        <f t="shared" si="85"/>
        <v>AS89</v>
      </c>
      <c r="L286" t="s">
        <v>822</v>
      </c>
      <c r="M286">
        <v>168.23</v>
      </c>
    </row>
    <row r="287" spans="1:13" x14ac:dyDescent="0.25">
      <c r="A287" t="str">
        <f t="shared" si="81"/>
        <v>E257</v>
      </c>
      <c r="B287">
        <v>1</v>
      </c>
      <c r="C287" t="str">
        <f t="shared" si="82"/>
        <v>14185</v>
      </c>
      <c r="D287" t="str">
        <f t="shared" si="83"/>
        <v>5620</v>
      </c>
      <c r="E287" t="str">
        <f t="shared" si="84"/>
        <v>094OMS</v>
      </c>
      <c r="F287" t="str">
        <f>""</f>
        <v/>
      </c>
      <c r="G287" t="str">
        <f>""</f>
        <v/>
      </c>
      <c r="H287" s="1">
        <v>39444</v>
      </c>
      <c r="I287" t="str">
        <f>"PCD00297"</f>
        <v>PCD00297</v>
      </c>
      <c r="J287" t="str">
        <f>"70395"</f>
        <v>70395</v>
      </c>
      <c r="K287" t="str">
        <f t="shared" si="85"/>
        <v>AS89</v>
      </c>
      <c r="L287" t="s">
        <v>821</v>
      </c>
      <c r="M287">
        <v>798.73</v>
      </c>
    </row>
    <row r="288" spans="1:13" x14ac:dyDescent="0.25">
      <c r="A288" t="str">
        <f t="shared" si="81"/>
        <v>E257</v>
      </c>
      <c r="B288">
        <v>1</v>
      </c>
      <c r="C288" t="str">
        <f t="shared" si="82"/>
        <v>14185</v>
      </c>
      <c r="D288" t="str">
        <f t="shared" si="83"/>
        <v>5620</v>
      </c>
      <c r="E288" t="str">
        <f t="shared" si="84"/>
        <v>094OMS</v>
      </c>
      <c r="F288" t="str">
        <f>""</f>
        <v/>
      </c>
      <c r="G288" t="str">
        <f>""</f>
        <v/>
      </c>
      <c r="H288" s="1">
        <v>39451</v>
      </c>
      <c r="I288" t="str">
        <f>"PCD00298"</f>
        <v>PCD00298</v>
      </c>
      <c r="J288" t="str">
        <f>"70973"</f>
        <v>70973</v>
      </c>
      <c r="K288" t="str">
        <f t="shared" si="85"/>
        <v>AS89</v>
      </c>
      <c r="L288" t="s">
        <v>820</v>
      </c>
      <c r="M288">
        <v>193.69</v>
      </c>
    </row>
    <row r="289" spans="1:13" x14ac:dyDescent="0.25">
      <c r="A289" t="str">
        <f t="shared" si="81"/>
        <v>E257</v>
      </c>
      <c r="B289">
        <v>1</v>
      </c>
      <c r="C289" t="str">
        <f t="shared" si="82"/>
        <v>14185</v>
      </c>
      <c r="D289" t="str">
        <f t="shared" si="83"/>
        <v>5620</v>
      </c>
      <c r="E289" t="str">
        <f t="shared" si="84"/>
        <v>094OMS</v>
      </c>
      <c r="F289" t="str">
        <f>""</f>
        <v/>
      </c>
      <c r="G289" t="str">
        <f>""</f>
        <v/>
      </c>
      <c r="H289" s="1">
        <v>39451</v>
      </c>
      <c r="I289" t="str">
        <f>"PCD00298"</f>
        <v>PCD00298</v>
      </c>
      <c r="J289" t="str">
        <f>"71170"</f>
        <v>71170</v>
      </c>
      <c r="K289" t="str">
        <f t="shared" si="85"/>
        <v>AS89</v>
      </c>
      <c r="L289" t="s">
        <v>819</v>
      </c>
      <c r="M289">
        <v>112.11</v>
      </c>
    </row>
    <row r="290" spans="1:13" x14ac:dyDescent="0.25">
      <c r="A290" t="str">
        <f t="shared" si="81"/>
        <v>E257</v>
      </c>
      <c r="B290">
        <v>1</v>
      </c>
      <c r="C290" t="str">
        <f t="shared" si="82"/>
        <v>14185</v>
      </c>
      <c r="D290" t="str">
        <f t="shared" si="83"/>
        <v>5620</v>
      </c>
      <c r="E290" t="str">
        <f t="shared" si="84"/>
        <v>094OMS</v>
      </c>
      <c r="F290" t="str">
        <f>""</f>
        <v/>
      </c>
      <c r="G290" t="str">
        <f>""</f>
        <v/>
      </c>
      <c r="H290" s="1">
        <v>39489</v>
      </c>
      <c r="I290" t="str">
        <f>"PCD00303"</f>
        <v>PCD00303</v>
      </c>
      <c r="J290" t="str">
        <f>"71757"</f>
        <v>71757</v>
      </c>
      <c r="K290" t="str">
        <f t="shared" si="85"/>
        <v>AS89</v>
      </c>
      <c r="L290" t="s">
        <v>818</v>
      </c>
      <c r="M290">
        <v>654.13</v>
      </c>
    </row>
    <row r="291" spans="1:13" x14ac:dyDescent="0.25">
      <c r="A291" t="str">
        <f t="shared" si="81"/>
        <v>E257</v>
      </c>
      <c r="B291">
        <v>1</v>
      </c>
      <c r="C291" t="str">
        <f t="shared" si="82"/>
        <v>14185</v>
      </c>
      <c r="D291" t="str">
        <f t="shared" si="83"/>
        <v>5620</v>
      </c>
      <c r="E291" t="str">
        <f t="shared" si="84"/>
        <v>094OMS</v>
      </c>
      <c r="F291" t="str">
        <f>""</f>
        <v/>
      </c>
      <c r="G291" t="str">
        <f>""</f>
        <v/>
      </c>
      <c r="H291" s="1">
        <v>39489</v>
      </c>
      <c r="I291" t="str">
        <f>"PCD00303"</f>
        <v>PCD00303</v>
      </c>
      <c r="J291" t="str">
        <f>"72328"</f>
        <v>72328</v>
      </c>
      <c r="K291" t="str">
        <f t="shared" si="85"/>
        <v>AS89</v>
      </c>
      <c r="L291" t="s">
        <v>817</v>
      </c>
      <c r="M291">
        <v>798.69</v>
      </c>
    </row>
    <row r="292" spans="1:13" x14ac:dyDescent="0.25">
      <c r="A292" t="str">
        <f t="shared" si="81"/>
        <v>E257</v>
      </c>
      <c r="B292">
        <v>1</v>
      </c>
      <c r="C292" t="str">
        <f t="shared" si="82"/>
        <v>14185</v>
      </c>
      <c r="D292" t="str">
        <f t="shared" si="83"/>
        <v>5620</v>
      </c>
      <c r="E292" t="str">
        <f t="shared" si="84"/>
        <v>094OMS</v>
      </c>
      <c r="F292" t="str">
        <f>""</f>
        <v/>
      </c>
      <c r="G292" t="str">
        <f>""</f>
        <v/>
      </c>
      <c r="H292" s="1">
        <v>39489</v>
      </c>
      <c r="I292" t="str">
        <f>"PCD00303"</f>
        <v>PCD00303</v>
      </c>
      <c r="J292" t="str">
        <f>"72329"</f>
        <v>72329</v>
      </c>
      <c r="K292" t="str">
        <f t="shared" si="85"/>
        <v>AS89</v>
      </c>
      <c r="L292" t="s">
        <v>817</v>
      </c>
      <c r="M292">
        <v>798.69</v>
      </c>
    </row>
    <row r="293" spans="1:13" x14ac:dyDescent="0.25">
      <c r="A293" t="str">
        <f t="shared" si="81"/>
        <v>E257</v>
      </c>
      <c r="B293">
        <v>1</v>
      </c>
      <c r="C293" t="str">
        <f t="shared" si="82"/>
        <v>14185</v>
      </c>
      <c r="D293" t="str">
        <f t="shared" si="83"/>
        <v>5620</v>
      </c>
      <c r="E293" t="str">
        <f t="shared" si="84"/>
        <v>094OMS</v>
      </c>
      <c r="F293" t="str">
        <f>""</f>
        <v/>
      </c>
      <c r="G293" t="str">
        <f>""</f>
        <v/>
      </c>
      <c r="H293" s="1">
        <v>39489</v>
      </c>
      <c r="I293" t="str">
        <f>"PCD00303"</f>
        <v>PCD00303</v>
      </c>
      <c r="J293" t="str">
        <f>"73250"</f>
        <v>73250</v>
      </c>
      <c r="K293" t="str">
        <f t="shared" si="85"/>
        <v>AS89</v>
      </c>
      <c r="L293" t="s">
        <v>816</v>
      </c>
      <c r="M293">
        <v>184.34</v>
      </c>
    </row>
    <row r="294" spans="1:13" x14ac:dyDescent="0.25">
      <c r="A294" t="str">
        <f t="shared" si="81"/>
        <v>E257</v>
      </c>
      <c r="B294">
        <v>1</v>
      </c>
      <c r="C294" t="str">
        <f t="shared" si="82"/>
        <v>14185</v>
      </c>
      <c r="D294" t="str">
        <f t="shared" si="83"/>
        <v>5620</v>
      </c>
      <c r="E294" t="str">
        <f t="shared" si="84"/>
        <v>094OMS</v>
      </c>
      <c r="F294" t="str">
        <f>""</f>
        <v/>
      </c>
      <c r="G294" t="str">
        <f>""</f>
        <v/>
      </c>
      <c r="H294" s="1">
        <v>39489</v>
      </c>
      <c r="I294" t="str">
        <f>"PCD00303"</f>
        <v>PCD00303</v>
      </c>
      <c r="J294" t="str">
        <f>"73440"</f>
        <v>73440</v>
      </c>
      <c r="K294" t="str">
        <f t="shared" si="85"/>
        <v>AS89</v>
      </c>
      <c r="L294" t="s">
        <v>815</v>
      </c>
      <c r="M294" s="2">
        <v>1012.24</v>
      </c>
    </row>
    <row r="295" spans="1:13" x14ac:dyDescent="0.25">
      <c r="A295" t="str">
        <f t="shared" si="81"/>
        <v>E257</v>
      </c>
      <c r="B295">
        <v>1</v>
      </c>
      <c r="C295" t="str">
        <f t="shared" si="82"/>
        <v>14185</v>
      </c>
      <c r="D295" t="str">
        <f t="shared" si="83"/>
        <v>5620</v>
      </c>
      <c r="E295" t="str">
        <f t="shared" si="84"/>
        <v>094OMS</v>
      </c>
      <c r="F295" t="str">
        <f>""</f>
        <v/>
      </c>
      <c r="G295" t="str">
        <f>""</f>
        <v/>
      </c>
      <c r="H295" s="1">
        <v>39521</v>
      </c>
      <c r="I295" t="str">
        <f>"PCD00308"</f>
        <v>PCD00308</v>
      </c>
      <c r="J295" t="str">
        <f>"74484"</f>
        <v>74484</v>
      </c>
      <c r="K295" t="str">
        <f t="shared" si="85"/>
        <v>AS89</v>
      </c>
      <c r="L295" t="s">
        <v>814</v>
      </c>
      <c r="M295">
        <v>588.57000000000005</v>
      </c>
    </row>
    <row r="296" spans="1:13" x14ac:dyDescent="0.25">
      <c r="A296" t="str">
        <f t="shared" si="81"/>
        <v>E257</v>
      </c>
      <c r="B296">
        <v>1</v>
      </c>
      <c r="C296" t="str">
        <f t="shared" si="82"/>
        <v>14185</v>
      </c>
      <c r="D296" t="str">
        <f t="shared" si="83"/>
        <v>5620</v>
      </c>
      <c r="E296" t="str">
        <f t="shared" si="84"/>
        <v>094OMS</v>
      </c>
      <c r="F296" t="str">
        <f>""</f>
        <v/>
      </c>
      <c r="G296" t="str">
        <f>""</f>
        <v/>
      </c>
      <c r="H296" s="1">
        <v>39521</v>
      </c>
      <c r="I296" t="str">
        <f>"PCD00308"</f>
        <v>PCD00308</v>
      </c>
      <c r="J296" t="str">
        <f>"74485"</f>
        <v>74485</v>
      </c>
      <c r="K296" t="str">
        <f t="shared" si="85"/>
        <v>AS89</v>
      </c>
      <c r="L296" t="s">
        <v>814</v>
      </c>
      <c r="M296">
        <v>142.09</v>
      </c>
    </row>
    <row r="297" spans="1:13" x14ac:dyDescent="0.25">
      <c r="A297" t="str">
        <f t="shared" si="81"/>
        <v>E257</v>
      </c>
      <c r="B297">
        <v>1</v>
      </c>
      <c r="C297" t="str">
        <f t="shared" si="82"/>
        <v>14185</v>
      </c>
      <c r="D297" t="str">
        <f t="shared" si="83"/>
        <v>5620</v>
      </c>
      <c r="E297" t="str">
        <f t="shared" si="84"/>
        <v>094OMS</v>
      </c>
      <c r="F297" t="str">
        <f>""</f>
        <v/>
      </c>
      <c r="G297" t="str">
        <f>""</f>
        <v/>
      </c>
      <c r="H297" s="1">
        <v>39521</v>
      </c>
      <c r="I297" t="str">
        <f>"PCD00308"</f>
        <v>PCD00308</v>
      </c>
      <c r="J297" t="str">
        <f>"74487"</f>
        <v>74487</v>
      </c>
      <c r="K297" t="str">
        <f t="shared" si="85"/>
        <v>AS89</v>
      </c>
      <c r="L297" t="s">
        <v>814</v>
      </c>
      <c r="M297">
        <v>268.91000000000003</v>
      </c>
    </row>
    <row r="298" spans="1:13" x14ac:dyDescent="0.25">
      <c r="A298" t="str">
        <f t="shared" si="81"/>
        <v>E257</v>
      </c>
      <c r="B298">
        <v>1</v>
      </c>
      <c r="C298" t="str">
        <f t="shared" si="82"/>
        <v>14185</v>
      </c>
      <c r="D298" t="str">
        <f t="shared" si="83"/>
        <v>5620</v>
      </c>
      <c r="E298" t="str">
        <f t="shared" si="84"/>
        <v>094OMS</v>
      </c>
      <c r="F298" t="str">
        <f>""</f>
        <v/>
      </c>
      <c r="G298" t="str">
        <f>""</f>
        <v/>
      </c>
      <c r="H298" s="1">
        <v>39528</v>
      </c>
      <c r="I298" t="str">
        <f t="shared" ref="I298:I304" si="86">"PCD00309"</f>
        <v>PCD00309</v>
      </c>
      <c r="J298" t="str">
        <f>"75251"</f>
        <v>75251</v>
      </c>
      <c r="K298" t="str">
        <f t="shared" si="85"/>
        <v>AS89</v>
      </c>
      <c r="L298" t="s">
        <v>813</v>
      </c>
      <c r="M298">
        <v>392.91</v>
      </c>
    </row>
    <row r="299" spans="1:13" x14ac:dyDescent="0.25">
      <c r="A299" t="str">
        <f t="shared" si="81"/>
        <v>E257</v>
      </c>
      <c r="B299">
        <v>1</v>
      </c>
      <c r="C299" t="str">
        <f t="shared" si="82"/>
        <v>14185</v>
      </c>
      <c r="D299" t="str">
        <f t="shared" si="83"/>
        <v>5620</v>
      </c>
      <c r="E299" t="str">
        <f t="shared" si="84"/>
        <v>094OMS</v>
      </c>
      <c r="F299" t="str">
        <f>""</f>
        <v/>
      </c>
      <c r="G299" t="str">
        <f>""</f>
        <v/>
      </c>
      <c r="H299" s="1">
        <v>39528</v>
      </c>
      <c r="I299" t="str">
        <f t="shared" si="86"/>
        <v>PCD00309</v>
      </c>
      <c r="J299" t="str">
        <f>"75252"</f>
        <v>75252</v>
      </c>
      <c r="K299" t="str">
        <f t="shared" si="85"/>
        <v>AS89</v>
      </c>
      <c r="L299" t="s">
        <v>813</v>
      </c>
      <c r="M299">
        <v>153.18</v>
      </c>
    </row>
    <row r="300" spans="1:13" x14ac:dyDescent="0.25">
      <c r="A300" t="str">
        <f t="shared" si="81"/>
        <v>E257</v>
      </c>
      <c r="B300">
        <v>1</v>
      </c>
      <c r="C300" t="str">
        <f t="shared" si="82"/>
        <v>14185</v>
      </c>
      <c r="D300" t="str">
        <f t="shared" si="83"/>
        <v>5620</v>
      </c>
      <c r="E300" t="str">
        <f t="shared" si="84"/>
        <v>094OMS</v>
      </c>
      <c r="F300" t="str">
        <f>""</f>
        <v/>
      </c>
      <c r="G300" t="str">
        <f>""</f>
        <v/>
      </c>
      <c r="H300" s="1">
        <v>39528</v>
      </c>
      <c r="I300" t="str">
        <f t="shared" si="86"/>
        <v>PCD00309</v>
      </c>
      <c r="J300" t="str">
        <f>"75253"</f>
        <v>75253</v>
      </c>
      <c r="K300" t="str">
        <f t="shared" si="85"/>
        <v>AS89</v>
      </c>
      <c r="L300" t="s">
        <v>813</v>
      </c>
      <c r="M300">
        <v>157.88</v>
      </c>
    </row>
    <row r="301" spans="1:13" x14ac:dyDescent="0.25">
      <c r="A301" t="str">
        <f t="shared" si="81"/>
        <v>E257</v>
      </c>
      <c r="B301">
        <v>1</v>
      </c>
      <c r="C301" t="str">
        <f t="shared" si="82"/>
        <v>14185</v>
      </c>
      <c r="D301" t="str">
        <f t="shared" si="83"/>
        <v>5620</v>
      </c>
      <c r="E301" t="str">
        <f t="shared" si="84"/>
        <v>094OMS</v>
      </c>
      <c r="F301" t="str">
        <f>""</f>
        <v/>
      </c>
      <c r="G301" t="str">
        <f>""</f>
        <v/>
      </c>
      <c r="H301" s="1">
        <v>39528</v>
      </c>
      <c r="I301" t="str">
        <f t="shared" si="86"/>
        <v>PCD00309</v>
      </c>
      <c r="J301" t="str">
        <f>"75254"</f>
        <v>75254</v>
      </c>
      <c r="K301" t="str">
        <f t="shared" si="85"/>
        <v>AS89</v>
      </c>
      <c r="L301" t="s">
        <v>813</v>
      </c>
      <c r="M301">
        <v>712.21</v>
      </c>
    </row>
    <row r="302" spans="1:13" x14ac:dyDescent="0.25">
      <c r="A302" t="str">
        <f t="shared" si="81"/>
        <v>E257</v>
      </c>
      <c r="B302">
        <v>1</v>
      </c>
      <c r="C302" t="str">
        <f t="shared" si="82"/>
        <v>14185</v>
      </c>
      <c r="D302" t="str">
        <f t="shared" si="83"/>
        <v>5620</v>
      </c>
      <c r="E302" t="str">
        <f t="shared" si="84"/>
        <v>094OMS</v>
      </c>
      <c r="F302" t="str">
        <f>""</f>
        <v/>
      </c>
      <c r="G302" t="str">
        <f>""</f>
        <v/>
      </c>
      <c r="H302" s="1">
        <v>39528</v>
      </c>
      <c r="I302" t="str">
        <f t="shared" si="86"/>
        <v>PCD00309</v>
      </c>
      <c r="J302" t="str">
        <f>"75255"</f>
        <v>75255</v>
      </c>
      <c r="K302" t="str">
        <f t="shared" si="85"/>
        <v>AS89</v>
      </c>
      <c r="L302" t="s">
        <v>813</v>
      </c>
      <c r="M302">
        <v>107.21</v>
      </c>
    </row>
    <row r="303" spans="1:13" x14ac:dyDescent="0.25">
      <c r="A303" t="str">
        <f t="shared" si="81"/>
        <v>E257</v>
      </c>
      <c r="B303">
        <v>1</v>
      </c>
      <c r="C303" t="str">
        <f t="shared" si="82"/>
        <v>14185</v>
      </c>
      <c r="D303" t="str">
        <f t="shared" si="83"/>
        <v>5620</v>
      </c>
      <c r="E303" t="str">
        <f t="shared" si="84"/>
        <v>094OMS</v>
      </c>
      <c r="F303" t="str">
        <f>""</f>
        <v/>
      </c>
      <c r="G303" t="str">
        <f>""</f>
        <v/>
      </c>
      <c r="H303" s="1">
        <v>39528</v>
      </c>
      <c r="I303" t="str">
        <f t="shared" si="86"/>
        <v>PCD00309</v>
      </c>
      <c r="J303" t="str">
        <f>"75256"</f>
        <v>75256</v>
      </c>
      <c r="K303" t="str">
        <f t="shared" si="85"/>
        <v>AS89</v>
      </c>
      <c r="L303" t="s">
        <v>813</v>
      </c>
      <c r="M303">
        <v>213.65</v>
      </c>
    </row>
    <row r="304" spans="1:13" x14ac:dyDescent="0.25">
      <c r="A304" t="str">
        <f t="shared" si="81"/>
        <v>E257</v>
      </c>
      <c r="B304">
        <v>1</v>
      </c>
      <c r="C304" t="str">
        <f t="shared" si="82"/>
        <v>14185</v>
      </c>
      <c r="D304" t="str">
        <f t="shared" si="83"/>
        <v>5620</v>
      </c>
      <c r="E304" t="str">
        <f t="shared" si="84"/>
        <v>094OMS</v>
      </c>
      <c r="F304" t="str">
        <f>""</f>
        <v/>
      </c>
      <c r="G304" t="str">
        <f>""</f>
        <v/>
      </c>
      <c r="H304" s="1">
        <v>39528</v>
      </c>
      <c r="I304" t="str">
        <f t="shared" si="86"/>
        <v>PCD00309</v>
      </c>
      <c r="J304" t="str">
        <f>"75257"</f>
        <v>75257</v>
      </c>
      <c r="K304" t="str">
        <f t="shared" si="85"/>
        <v>AS89</v>
      </c>
      <c r="L304" t="s">
        <v>813</v>
      </c>
      <c r="M304">
        <v>122.4</v>
      </c>
    </row>
    <row r="305" spans="1:13" x14ac:dyDescent="0.25">
      <c r="A305" t="str">
        <f t="shared" si="81"/>
        <v>E257</v>
      </c>
      <c r="B305">
        <v>1</v>
      </c>
      <c r="C305" t="str">
        <f t="shared" si="82"/>
        <v>14185</v>
      </c>
      <c r="D305" t="str">
        <f t="shared" si="83"/>
        <v>5620</v>
      </c>
      <c r="E305" t="str">
        <f t="shared" si="84"/>
        <v>094OMS</v>
      </c>
      <c r="F305" t="str">
        <f>""</f>
        <v/>
      </c>
      <c r="G305" t="str">
        <f>""</f>
        <v/>
      </c>
      <c r="H305" s="1">
        <v>39549</v>
      </c>
      <c r="I305" t="str">
        <f>"PCD00312"</f>
        <v>PCD00312</v>
      </c>
      <c r="J305" t="str">
        <f>"76139"</f>
        <v>76139</v>
      </c>
      <c r="K305" t="str">
        <f t="shared" si="85"/>
        <v>AS89</v>
      </c>
      <c r="L305" t="s">
        <v>812</v>
      </c>
      <c r="M305">
        <v>575.36</v>
      </c>
    </row>
    <row r="306" spans="1:13" x14ac:dyDescent="0.25">
      <c r="A306" t="str">
        <f t="shared" si="81"/>
        <v>E257</v>
      </c>
      <c r="B306">
        <v>1</v>
      </c>
      <c r="C306" t="str">
        <f t="shared" si="82"/>
        <v>14185</v>
      </c>
      <c r="D306" t="str">
        <f t="shared" si="83"/>
        <v>5620</v>
      </c>
      <c r="E306" t="str">
        <f t="shared" si="84"/>
        <v>094OMS</v>
      </c>
      <c r="F306" t="str">
        <f>""</f>
        <v/>
      </c>
      <c r="G306" t="str">
        <f>""</f>
        <v/>
      </c>
      <c r="H306" s="1">
        <v>39577</v>
      </c>
      <c r="I306" t="str">
        <f t="shared" ref="I306:I312" si="87">"PCD00316"</f>
        <v>PCD00316</v>
      </c>
      <c r="J306" t="str">
        <f>"77833"</f>
        <v>77833</v>
      </c>
      <c r="K306" t="str">
        <f t="shared" ref="K306:K327" si="88">"AS89"</f>
        <v>AS89</v>
      </c>
      <c r="L306" t="s">
        <v>811</v>
      </c>
      <c r="M306">
        <v>137.77000000000001</v>
      </c>
    </row>
    <row r="307" spans="1:13" x14ac:dyDescent="0.25">
      <c r="A307" t="str">
        <f t="shared" si="81"/>
        <v>E257</v>
      </c>
      <c r="B307">
        <v>1</v>
      </c>
      <c r="C307" t="str">
        <f t="shared" si="82"/>
        <v>14185</v>
      </c>
      <c r="D307" t="str">
        <f t="shared" si="83"/>
        <v>5620</v>
      </c>
      <c r="E307" t="str">
        <f t="shared" si="84"/>
        <v>094OMS</v>
      </c>
      <c r="F307" t="str">
        <f>""</f>
        <v/>
      </c>
      <c r="G307" t="str">
        <f>""</f>
        <v/>
      </c>
      <c r="H307" s="1">
        <v>39577</v>
      </c>
      <c r="I307" t="str">
        <f t="shared" si="87"/>
        <v>PCD00316</v>
      </c>
      <c r="J307" t="str">
        <f>"78104"</f>
        <v>78104</v>
      </c>
      <c r="K307" t="str">
        <f t="shared" si="88"/>
        <v>AS89</v>
      </c>
      <c r="L307" t="s">
        <v>810</v>
      </c>
      <c r="M307">
        <v>108.88</v>
      </c>
    </row>
    <row r="308" spans="1:13" x14ac:dyDescent="0.25">
      <c r="A308" t="str">
        <f t="shared" si="81"/>
        <v>E257</v>
      </c>
      <c r="B308">
        <v>1</v>
      </c>
      <c r="C308" t="str">
        <f t="shared" si="82"/>
        <v>14185</v>
      </c>
      <c r="D308" t="str">
        <f t="shared" si="83"/>
        <v>5620</v>
      </c>
      <c r="E308" t="str">
        <f t="shared" si="84"/>
        <v>094OMS</v>
      </c>
      <c r="F308" t="str">
        <f>""</f>
        <v/>
      </c>
      <c r="G308" t="str">
        <f>""</f>
        <v/>
      </c>
      <c r="H308" s="1">
        <v>39577</v>
      </c>
      <c r="I308" t="str">
        <f t="shared" si="87"/>
        <v>PCD00316</v>
      </c>
      <c r="J308" t="str">
        <f>"78107"</f>
        <v>78107</v>
      </c>
      <c r="K308" t="str">
        <f t="shared" si="88"/>
        <v>AS89</v>
      </c>
      <c r="L308" t="s">
        <v>810</v>
      </c>
      <c r="M308">
        <v>131.16999999999999</v>
      </c>
    </row>
    <row r="309" spans="1:13" x14ac:dyDescent="0.25">
      <c r="A309" t="str">
        <f t="shared" si="81"/>
        <v>E257</v>
      </c>
      <c r="B309">
        <v>1</v>
      </c>
      <c r="C309" t="str">
        <f t="shared" si="82"/>
        <v>14185</v>
      </c>
      <c r="D309" t="str">
        <f t="shared" si="83"/>
        <v>5620</v>
      </c>
      <c r="E309" t="str">
        <f t="shared" si="84"/>
        <v>094OMS</v>
      </c>
      <c r="F309" t="str">
        <f>""</f>
        <v/>
      </c>
      <c r="G309" t="str">
        <f>""</f>
        <v/>
      </c>
      <c r="H309" s="1">
        <v>39577</v>
      </c>
      <c r="I309" t="str">
        <f t="shared" si="87"/>
        <v>PCD00316</v>
      </c>
      <c r="J309" t="str">
        <f>"78108"</f>
        <v>78108</v>
      </c>
      <c r="K309" t="str">
        <f t="shared" si="88"/>
        <v>AS89</v>
      </c>
      <c r="L309" t="s">
        <v>810</v>
      </c>
      <c r="M309">
        <v>702.41</v>
      </c>
    </row>
    <row r="310" spans="1:13" x14ac:dyDescent="0.25">
      <c r="A310" t="str">
        <f t="shared" si="81"/>
        <v>E257</v>
      </c>
      <c r="B310">
        <v>1</v>
      </c>
      <c r="C310" t="str">
        <f t="shared" si="82"/>
        <v>14185</v>
      </c>
      <c r="D310" t="str">
        <f t="shared" si="83"/>
        <v>5620</v>
      </c>
      <c r="E310" t="str">
        <f t="shared" si="84"/>
        <v>094OMS</v>
      </c>
      <c r="F310" t="str">
        <f>""</f>
        <v/>
      </c>
      <c r="G310" t="str">
        <f>""</f>
        <v/>
      </c>
      <c r="H310" s="1">
        <v>39577</v>
      </c>
      <c r="I310" t="str">
        <f t="shared" si="87"/>
        <v>PCD00316</v>
      </c>
      <c r="J310" t="str">
        <f>"78109"</f>
        <v>78109</v>
      </c>
      <c r="K310" t="str">
        <f t="shared" si="88"/>
        <v>AS89</v>
      </c>
      <c r="L310" t="s">
        <v>810</v>
      </c>
      <c r="M310">
        <v>303.23</v>
      </c>
    </row>
    <row r="311" spans="1:13" x14ac:dyDescent="0.25">
      <c r="A311" t="str">
        <f t="shared" si="81"/>
        <v>E257</v>
      </c>
      <c r="B311">
        <v>1</v>
      </c>
      <c r="C311" t="str">
        <f t="shared" si="82"/>
        <v>14185</v>
      </c>
      <c r="D311" t="str">
        <f t="shared" si="83"/>
        <v>5620</v>
      </c>
      <c r="E311" t="str">
        <f t="shared" si="84"/>
        <v>094OMS</v>
      </c>
      <c r="F311" t="str">
        <f>""</f>
        <v/>
      </c>
      <c r="G311" t="str">
        <f>""</f>
        <v/>
      </c>
      <c r="H311" s="1">
        <v>39577</v>
      </c>
      <c r="I311" t="str">
        <f t="shared" si="87"/>
        <v>PCD00316</v>
      </c>
      <c r="J311" t="str">
        <f>"78672"</f>
        <v>78672</v>
      </c>
      <c r="K311" t="str">
        <f t="shared" si="88"/>
        <v>AS89</v>
      </c>
      <c r="L311" t="s">
        <v>809</v>
      </c>
      <c r="M311">
        <v>238.24</v>
      </c>
    </row>
    <row r="312" spans="1:13" x14ac:dyDescent="0.25">
      <c r="A312" t="str">
        <f t="shared" si="81"/>
        <v>E257</v>
      </c>
      <c r="B312">
        <v>1</v>
      </c>
      <c r="C312" t="str">
        <f>"32040"</f>
        <v>32040</v>
      </c>
      <c r="D312" t="str">
        <f>"5610"</f>
        <v>5610</v>
      </c>
      <c r="E312" t="str">
        <f>"850LOS"</f>
        <v>850LOS</v>
      </c>
      <c r="F312" t="str">
        <f>""</f>
        <v/>
      </c>
      <c r="G312" t="str">
        <f>""</f>
        <v/>
      </c>
      <c r="H312" s="1">
        <v>39577</v>
      </c>
      <c r="I312" t="str">
        <f t="shared" si="87"/>
        <v>PCD00316</v>
      </c>
      <c r="J312" t="str">
        <f>"78805"</f>
        <v>78805</v>
      </c>
      <c r="K312" t="str">
        <f t="shared" si="88"/>
        <v>AS89</v>
      </c>
      <c r="L312" t="s">
        <v>808</v>
      </c>
      <c r="M312">
        <v>163.86</v>
      </c>
    </row>
    <row r="313" spans="1:13" x14ac:dyDescent="0.25">
      <c r="A313" t="str">
        <f t="shared" si="81"/>
        <v>E257</v>
      </c>
      <c r="B313">
        <v>1</v>
      </c>
      <c r="C313" t="str">
        <f>"32040"</f>
        <v>32040</v>
      </c>
      <c r="D313" t="str">
        <f>"5610"</f>
        <v>5610</v>
      </c>
      <c r="E313" t="str">
        <f>"850LOS"</f>
        <v>850LOS</v>
      </c>
      <c r="F313" t="str">
        <f>""</f>
        <v/>
      </c>
      <c r="G313" t="str">
        <f>""</f>
        <v/>
      </c>
      <c r="H313" s="1">
        <v>39612</v>
      </c>
      <c r="I313" t="str">
        <f>"PCD00321"</f>
        <v>PCD00321</v>
      </c>
      <c r="J313" t="str">
        <f>"79151"</f>
        <v>79151</v>
      </c>
      <c r="K313" t="str">
        <f t="shared" si="88"/>
        <v>AS89</v>
      </c>
      <c r="L313" t="s">
        <v>807</v>
      </c>
      <c r="M313">
        <v>268.49</v>
      </c>
    </row>
    <row r="314" spans="1:13" x14ac:dyDescent="0.25">
      <c r="A314" t="str">
        <f t="shared" si="81"/>
        <v>E257</v>
      </c>
      <c r="B314">
        <v>1</v>
      </c>
      <c r="C314" t="str">
        <f t="shared" ref="C314:C319" si="89">"43000"</f>
        <v>43000</v>
      </c>
      <c r="D314" t="str">
        <f t="shared" ref="D314:D319" si="90">"5740"</f>
        <v>5740</v>
      </c>
      <c r="E314" t="str">
        <f>"850LOS"</f>
        <v>850LOS</v>
      </c>
      <c r="F314" t="str">
        <f>"PKOLOT"</f>
        <v>PKOLOT</v>
      </c>
      <c r="G314" t="str">
        <f>""</f>
        <v/>
      </c>
      <c r="H314" s="1">
        <v>39395</v>
      </c>
      <c r="I314" t="str">
        <f>"PCD00292"</f>
        <v>PCD00292</v>
      </c>
      <c r="J314" t="str">
        <f>"67632"</f>
        <v>67632</v>
      </c>
      <c r="K314" t="str">
        <f t="shared" si="88"/>
        <v>AS89</v>
      </c>
      <c r="L314" t="s">
        <v>806</v>
      </c>
      <c r="M314">
        <v>137.35</v>
      </c>
    </row>
    <row r="315" spans="1:13" x14ac:dyDescent="0.25">
      <c r="A315" t="str">
        <f t="shared" si="81"/>
        <v>E257</v>
      </c>
      <c r="B315">
        <v>1</v>
      </c>
      <c r="C315" t="str">
        <f t="shared" si="89"/>
        <v>43000</v>
      </c>
      <c r="D315" t="str">
        <f t="shared" si="90"/>
        <v>5740</v>
      </c>
      <c r="E315" t="str">
        <f>"850PKE"</f>
        <v>850PKE</v>
      </c>
      <c r="F315" t="str">
        <f>""</f>
        <v/>
      </c>
      <c r="G315" t="str">
        <f>""</f>
        <v/>
      </c>
      <c r="H315" s="1">
        <v>39316</v>
      </c>
      <c r="I315" t="str">
        <f>"PCD00281"</f>
        <v>PCD00281</v>
      </c>
      <c r="J315" t="str">
        <f>"63880"</f>
        <v>63880</v>
      </c>
      <c r="K315" t="str">
        <f t="shared" si="88"/>
        <v>AS89</v>
      </c>
      <c r="L315" t="s">
        <v>805</v>
      </c>
      <c r="M315">
        <v>126.85</v>
      </c>
    </row>
    <row r="316" spans="1:13" x14ac:dyDescent="0.25">
      <c r="A316" t="str">
        <f t="shared" si="81"/>
        <v>E257</v>
      </c>
      <c r="B316">
        <v>1</v>
      </c>
      <c r="C316" t="str">
        <f t="shared" si="89"/>
        <v>43000</v>
      </c>
      <c r="D316" t="str">
        <f t="shared" si="90"/>
        <v>5740</v>
      </c>
      <c r="E316" t="str">
        <f>"850PKE"</f>
        <v>850PKE</v>
      </c>
      <c r="F316" t="str">
        <f>""</f>
        <v/>
      </c>
      <c r="G316" t="str">
        <f>""</f>
        <v/>
      </c>
      <c r="H316" s="1">
        <v>39324</v>
      </c>
      <c r="I316" t="str">
        <f>"PCD00282"</f>
        <v>PCD00282</v>
      </c>
      <c r="J316" t="str">
        <f>"64364"</f>
        <v>64364</v>
      </c>
      <c r="K316" t="str">
        <f t="shared" si="88"/>
        <v>AS89</v>
      </c>
      <c r="L316" t="s">
        <v>804</v>
      </c>
      <c r="M316">
        <v>196.38</v>
      </c>
    </row>
    <row r="317" spans="1:13" x14ac:dyDescent="0.25">
      <c r="A317" t="str">
        <f t="shared" si="81"/>
        <v>E257</v>
      </c>
      <c r="B317">
        <v>1</v>
      </c>
      <c r="C317" t="str">
        <f t="shared" si="89"/>
        <v>43000</v>
      </c>
      <c r="D317" t="str">
        <f t="shared" si="90"/>
        <v>5740</v>
      </c>
      <c r="E317" t="str">
        <f>"850PKE"</f>
        <v>850PKE</v>
      </c>
      <c r="F317" t="str">
        <f>""</f>
        <v/>
      </c>
      <c r="G317" t="str">
        <f>""</f>
        <v/>
      </c>
      <c r="H317" s="1">
        <v>39395</v>
      </c>
      <c r="I317" t="str">
        <f>"PCD00292"</f>
        <v>PCD00292</v>
      </c>
      <c r="J317" t="str">
        <f>"68614"</f>
        <v>68614</v>
      </c>
      <c r="K317" t="str">
        <f t="shared" si="88"/>
        <v>AS89</v>
      </c>
      <c r="L317" t="s">
        <v>801</v>
      </c>
      <c r="M317">
        <v>306.55</v>
      </c>
    </row>
    <row r="318" spans="1:13" x14ac:dyDescent="0.25">
      <c r="A318" t="str">
        <f t="shared" si="81"/>
        <v>E257</v>
      </c>
      <c r="B318">
        <v>1</v>
      </c>
      <c r="C318" t="str">
        <f t="shared" si="89"/>
        <v>43000</v>
      </c>
      <c r="D318" t="str">
        <f t="shared" si="90"/>
        <v>5740</v>
      </c>
      <c r="E318" t="str">
        <f>"850PKE"</f>
        <v>850PKE</v>
      </c>
      <c r="F318" t="str">
        <f>""</f>
        <v/>
      </c>
      <c r="G318" t="str">
        <f>""</f>
        <v/>
      </c>
      <c r="H318" s="1">
        <v>39619</v>
      </c>
      <c r="I318" t="str">
        <f>"PCD00322"</f>
        <v>PCD00322</v>
      </c>
      <c r="J318" t="str">
        <f>"80691"</f>
        <v>80691</v>
      </c>
      <c r="K318" t="str">
        <f t="shared" si="88"/>
        <v>AS89</v>
      </c>
      <c r="L318" t="s">
        <v>800</v>
      </c>
      <c r="M318">
        <v>240.85</v>
      </c>
    </row>
    <row r="319" spans="1:13" x14ac:dyDescent="0.25">
      <c r="A319" t="str">
        <f t="shared" si="81"/>
        <v>E257</v>
      </c>
      <c r="B319">
        <v>1</v>
      </c>
      <c r="C319" t="str">
        <f t="shared" si="89"/>
        <v>43000</v>
      </c>
      <c r="D319" t="str">
        <f t="shared" si="90"/>
        <v>5740</v>
      </c>
      <c r="E319" t="str">
        <f>"850PKE"</f>
        <v>850PKE</v>
      </c>
      <c r="F319" t="str">
        <f>""</f>
        <v/>
      </c>
      <c r="G319" t="str">
        <f>""</f>
        <v/>
      </c>
      <c r="H319" s="1">
        <v>39626</v>
      </c>
      <c r="I319" t="str">
        <f>"PCD00323"</f>
        <v>PCD00323</v>
      </c>
      <c r="J319" t="str">
        <f>"81074"</f>
        <v>81074</v>
      </c>
      <c r="K319" t="str">
        <f t="shared" si="88"/>
        <v>AS89</v>
      </c>
      <c r="L319" t="s">
        <v>799</v>
      </c>
      <c r="M319">
        <v>140.59</v>
      </c>
    </row>
    <row r="320" spans="1:13" x14ac:dyDescent="0.25">
      <c r="A320" t="str">
        <f t="shared" ref="A320:A328" si="91">"E261"</f>
        <v>E261</v>
      </c>
      <c r="B320">
        <v>1</v>
      </c>
      <c r="C320" t="str">
        <f>"14185"</f>
        <v>14185</v>
      </c>
      <c r="D320" t="str">
        <f>"5620"</f>
        <v>5620</v>
      </c>
      <c r="E320" t="str">
        <f>"094OMS"</f>
        <v>094OMS</v>
      </c>
      <c r="F320" t="str">
        <f>""</f>
        <v/>
      </c>
      <c r="G320" t="str">
        <f>""</f>
        <v/>
      </c>
      <c r="H320" s="1">
        <v>39367</v>
      </c>
      <c r="I320" t="str">
        <f>"PCD00288"</f>
        <v>PCD00288</v>
      </c>
      <c r="J320" t="str">
        <f>"66184"</f>
        <v>66184</v>
      </c>
      <c r="K320" t="str">
        <f t="shared" si="88"/>
        <v>AS89</v>
      </c>
      <c r="L320" t="s">
        <v>798</v>
      </c>
      <c r="M320">
        <v>481.37</v>
      </c>
    </row>
    <row r="321" spans="1:13" x14ac:dyDescent="0.25">
      <c r="A321" t="str">
        <f t="shared" si="91"/>
        <v>E261</v>
      </c>
      <c r="B321">
        <v>1</v>
      </c>
      <c r="C321" t="str">
        <f>"14185"</f>
        <v>14185</v>
      </c>
      <c r="D321" t="str">
        <f>"5620"</f>
        <v>5620</v>
      </c>
      <c r="E321" t="str">
        <f>"094OMS"</f>
        <v>094OMS</v>
      </c>
      <c r="F321" t="str">
        <f>""</f>
        <v/>
      </c>
      <c r="G321" t="str">
        <f>""</f>
        <v/>
      </c>
      <c r="H321" s="1">
        <v>39367</v>
      </c>
      <c r="I321" t="str">
        <f>"PCD00288"</f>
        <v>PCD00288</v>
      </c>
      <c r="J321" t="str">
        <f>"66185"</f>
        <v>66185</v>
      </c>
      <c r="K321" t="str">
        <f t="shared" si="88"/>
        <v>AS89</v>
      </c>
      <c r="L321" t="s">
        <v>797</v>
      </c>
      <c r="M321">
        <v>148.63</v>
      </c>
    </row>
    <row r="322" spans="1:13" x14ac:dyDescent="0.25">
      <c r="A322" t="str">
        <f t="shared" si="91"/>
        <v>E261</v>
      </c>
      <c r="B322">
        <v>1</v>
      </c>
      <c r="C322" t="str">
        <f>"14185"</f>
        <v>14185</v>
      </c>
      <c r="D322" t="str">
        <f>"5620"</f>
        <v>5620</v>
      </c>
      <c r="E322" t="str">
        <f>"094OMS"</f>
        <v>094OMS</v>
      </c>
      <c r="F322" t="str">
        <f>""</f>
        <v/>
      </c>
      <c r="G322" t="str">
        <f>""</f>
        <v/>
      </c>
      <c r="H322" s="1">
        <v>39367</v>
      </c>
      <c r="I322" t="str">
        <f>"PCD00288"</f>
        <v>PCD00288</v>
      </c>
      <c r="J322" t="str">
        <f>"66186"</f>
        <v>66186</v>
      </c>
      <c r="K322" t="str">
        <f t="shared" si="88"/>
        <v>AS89</v>
      </c>
      <c r="L322" t="s">
        <v>796</v>
      </c>
      <c r="M322">
        <v>229.29</v>
      </c>
    </row>
    <row r="323" spans="1:13" x14ac:dyDescent="0.25">
      <c r="A323" t="str">
        <f t="shared" si="91"/>
        <v>E261</v>
      </c>
      <c r="B323">
        <v>1</v>
      </c>
      <c r="C323" t="str">
        <f>"14185"</f>
        <v>14185</v>
      </c>
      <c r="D323" t="str">
        <f>"5620"</f>
        <v>5620</v>
      </c>
      <c r="E323" t="str">
        <f>"094OMS"</f>
        <v>094OMS</v>
      </c>
      <c r="F323" t="str">
        <f>""</f>
        <v/>
      </c>
      <c r="G323" t="str">
        <f>""</f>
        <v/>
      </c>
      <c r="H323" s="1">
        <v>39430</v>
      </c>
      <c r="I323" t="str">
        <f>"PCD00295"</f>
        <v>PCD00295</v>
      </c>
      <c r="J323" t="str">
        <f>"69957"</f>
        <v>69957</v>
      </c>
      <c r="K323" t="str">
        <f t="shared" si="88"/>
        <v>AS89</v>
      </c>
      <c r="L323" t="s">
        <v>795</v>
      </c>
      <c r="M323">
        <v>250</v>
      </c>
    </row>
    <row r="324" spans="1:13" x14ac:dyDescent="0.25">
      <c r="A324" t="str">
        <f t="shared" si="91"/>
        <v>E261</v>
      </c>
      <c r="B324">
        <v>1</v>
      </c>
      <c r="C324" t="str">
        <f>"14185"</f>
        <v>14185</v>
      </c>
      <c r="D324" t="str">
        <f>"5620"</f>
        <v>5620</v>
      </c>
      <c r="E324" t="str">
        <f>"094OMS"</f>
        <v>094OMS</v>
      </c>
      <c r="F324" t="str">
        <f>""</f>
        <v/>
      </c>
      <c r="G324" t="str">
        <f>""</f>
        <v/>
      </c>
      <c r="H324" s="1">
        <v>39521</v>
      </c>
      <c r="I324" t="str">
        <f>"PCD00308"</f>
        <v>PCD00308</v>
      </c>
      <c r="J324" t="str">
        <f>"74046"</f>
        <v>74046</v>
      </c>
      <c r="K324" t="str">
        <f t="shared" si="88"/>
        <v>AS89</v>
      </c>
      <c r="L324" t="s">
        <v>794</v>
      </c>
      <c r="M324">
        <v>244.29</v>
      </c>
    </row>
    <row r="325" spans="1:13" x14ac:dyDescent="0.25">
      <c r="A325" t="str">
        <f t="shared" si="91"/>
        <v>E261</v>
      </c>
      <c r="B325">
        <v>1</v>
      </c>
      <c r="C325" t="str">
        <f>"43000"</f>
        <v>43000</v>
      </c>
      <c r="D325" t="str">
        <f>"5740"</f>
        <v>5740</v>
      </c>
      <c r="E325" t="str">
        <f>"850PKE"</f>
        <v>850PKE</v>
      </c>
      <c r="F325" t="str">
        <f>""</f>
        <v/>
      </c>
      <c r="G325" t="str">
        <f>""</f>
        <v/>
      </c>
      <c r="H325" s="1">
        <v>39374</v>
      </c>
      <c r="I325" t="str">
        <f>"PCD00289"</f>
        <v>PCD00289</v>
      </c>
      <c r="J325" t="str">
        <f>"67555"</f>
        <v>67555</v>
      </c>
      <c r="K325" t="str">
        <f t="shared" si="88"/>
        <v>AS89</v>
      </c>
      <c r="L325" t="s">
        <v>793</v>
      </c>
      <c r="M325">
        <v>244.5</v>
      </c>
    </row>
    <row r="326" spans="1:13" x14ac:dyDescent="0.25">
      <c r="A326" t="str">
        <f t="shared" si="91"/>
        <v>E261</v>
      </c>
      <c r="B326">
        <v>1</v>
      </c>
      <c r="C326" t="str">
        <f>"43000"</f>
        <v>43000</v>
      </c>
      <c r="D326" t="str">
        <f>"5740"</f>
        <v>5740</v>
      </c>
      <c r="E326" t="str">
        <f>"850PKE"</f>
        <v>850PKE</v>
      </c>
      <c r="F326" t="str">
        <f>""</f>
        <v/>
      </c>
      <c r="G326" t="str">
        <f>""</f>
        <v/>
      </c>
      <c r="H326" s="1">
        <v>39549</v>
      </c>
      <c r="I326" t="str">
        <f>"PCD00312"</f>
        <v>PCD00312</v>
      </c>
      <c r="J326" t="str">
        <f>"75662"</f>
        <v>75662</v>
      </c>
      <c r="K326" t="str">
        <f t="shared" si="88"/>
        <v>AS89</v>
      </c>
      <c r="L326" t="s">
        <v>792</v>
      </c>
      <c r="M326">
        <v>244.29</v>
      </c>
    </row>
    <row r="327" spans="1:13" x14ac:dyDescent="0.25">
      <c r="A327" t="str">
        <f t="shared" si="91"/>
        <v>E261</v>
      </c>
      <c r="B327">
        <v>1</v>
      </c>
      <c r="C327" t="str">
        <f>"43000"</f>
        <v>43000</v>
      </c>
      <c r="D327" t="str">
        <f>"5740"</f>
        <v>5740</v>
      </c>
      <c r="E327" t="str">
        <f>"850PKE"</f>
        <v>850PKE</v>
      </c>
      <c r="F327" t="str">
        <f>""</f>
        <v/>
      </c>
      <c r="G327" t="str">
        <f>""</f>
        <v/>
      </c>
      <c r="H327" s="1">
        <v>39549</v>
      </c>
      <c r="I327" t="str">
        <f>"PCD00312"</f>
        <v>PCD00312</v>
      </c>
      <c r="J327" t="str">
        <f>"75789"</f>
        <v>75789</v>
      </c>
      <c r="K327" t="str">
        <f t="shared" si="88"/>
        <v>AS89</v>
      </c>
      <c r="L327" t="s">
        <v>791</v>
      </c>
      <c r="M327">
        <v>145.11000000000001</v>
      </c>
    </row>
    <row r="328" spans="1:13" x14ac:dyDescent="0.25">
      <c r="A328" t="str">
        <f t="shared" si="91"/>
        <v>E261</v>
      </c>
      <c r="B328">
        <v>1</v>
      </c>
      <c r="C328" t="str">
        <f>"43001"</f>
        <v>43001</v>
      </c>
      <c r="D328" t="str">
        <f>"5740"</f>
        <v>5740</v>
      </c>
      <c r="E328" t="str">
        <f>"850LOS"</f>
        <v>850LOS</v>
      </c>
      <c r="F328" t="str">
        <f>""</f>
        <v/>
      </c>
      <c r="G328" t="str">
        <f>""</f>
        <v/>
      </c>
      <c r="H328" s="1">
        <v>39559</v>
      </c>
      <c r="I328" t="str">
        <f>"85040858"</f>
        <v>85040858</v>
      </c>
      <c r="J328" t="str">
        <f>"D124520"</f>
        <v>D124520</v>
      </c>
      <c r="K328" t="str">
        <f>"INEI"</f>
        <v>INEI</v>
      </c>
      <c r="L328" t="s">
        <v>281</v>
      </c>
      <c r="M328">
        <v>248.1</v>
      </c>
    </row>
    <row r="329" spans="1:13" x14ac:dyDescent="0.25">
      <c r="A329" t="str">
        <f>"E263"</f>
        <v>E263</v>
      </c>
      <c r="B329">
        <v>1</v>
      </c>
      <c r="C329" t="str">
        <f>"14185"</f>
        <v>14185</v>
      </c>
      <c r="D329" t="str">
        <f>"5620"</f>
        <v>5620</v>
      </c>
      <c r="E329" t="str">
        <f>"094OMS"</f>
        <v>094OMS</v>
      </c>
      <c r="F329" t="str">
        <f>""</f>
        <v/>
      </c>
      <c r="G329" t="str">
        <f>""</f>
        <v/>
      </c>
      <c r="H329" s="1">
        <v>39372</v>
      </c>
      <c r="I329" t="str">
        <f>"113833"</f>
        <v>113833</v>
      </c>
      <c r="J329" t="str">
        <f>""</f>
        <v/>
      </c>
      <c r="K329" t="str">
        <f>"INNI"</f>
        <v>INNI</v>
      </c>
      <c r="L329" t="s">
        <v>446</v>
      </c>
      <c r="M329">
        <v>280.5</v>
      </c>
    </row>
    <row r="330" spans="1:13" x14ac:dyDescent="0.25">
      <c r="A330" t="str">
        <f>"E263"</f>
        <v>E263</v>
      </c>
      <c r="B330">
        <v>1</v>
      </c>
      <c r="C330" t="str">
        <f>"43000"</f>
        <v>43000</v>
      </c>
      <c r="D330" t="str">
        <f>"5740"</f>
        <v>5740</v>
      </c>
      <c r="E330" t="str">
        <f>"850LOS"</f>
        <v>850LOS</v>
      </c>
      <c r="F330" t="str">
        <f>""</f>
        <v/>
      </c>
      <c r="G330" t="str">
        <f>""</f>
        <v/>
      </c>
      <c r="H330" s="1">
        <v>39372</v>
      </c>
      <c r="I330" t="str">
        <f>"113833"</f>
        <v>113833</v>
      </c>
      <c r="J330" t="str">
        <f>""</f>
        <v/>
      </c>
      <c r="K330" t="str">
        <f>"INNI"</f>
        <v>INNI</v>
      </c>
      <c r="L330" t="s">
        <v>446</v>
      </c>
      <c r="M330">
        <v>280.5</v>
      </c>
    </row>
    <row r="331" spans="1:13" x14ac:dyDescent="0.25">
      <c r="A331" t="str">
        <f>"E263"</f>
        <v>E263</v>
      </c>
      <c r="B331">
        <v>1</v>
      </c>
      <c r="C331" t="str">
        <f>"43000"</f>
        <v>43000</v>
      </c>
      <c r="D331" t="str">
        <f>"5740"</f>
        <v>5740</v>
      </c>
      <c r="E331" t="str">
        <f>"850LOS"</f>
        <v>850LOS</v>
      </c>
      <c r="F331" t="str">
        <f>""</f>
        <v/>
      </c>
      <c r="G331" t="str">
        <f>""</f>
        <v/>
      </c>
      <c r="H331" s="1">
        <v>39514</v>
      </c>
      <c r="I331" t="str">
        <f>"125303"</f>
        <v>125303</v>
      </c>
      <c r="J331" t="str">
        <f>""</f>
        <v/>
      </c>
      <c r="K331" t="str">
        <f>"INNI"</f>
        <v>INNI</v>
      </c>
      <c r="L331" t="s">
        <v>446</v>
      </c>
      <c r="M331">
        <v>155.01</v>
      </c>
    </row>
    <row r="332" spans="1:13" x14ac:dyDescent="0.25">
      <c r="A332" t="str">
        <f>"E263"</f>
        <v>E263</v>
      </c>
      <c r="B332">
        <v>1</v>
      </c>
      <c r="C332" t="str">
        <f>"55729"</f>
        <v>55729</v>
      </c>
      <c r="D332" t="str">
        <f>"5740"</f>
        <v>5740</v>
      </c>
      <c r="E332" t="str">
        <f>"111ZAA"</f>
        <v>111ZAA</v>
      </c>
      <c r="F332" t="str">
        <f>""</f>
        <v/>
      </c>
      <c r="G332" t="str">
        <f>""</f>
        <v/>
      </c>
      <c r="H332" s="1">
        <v>39483</v>
      </c>
      <c r="I332" t="str">
        <f>"T47448"</f>
        <v>T47448</v>
      </c>
      <c r="J332" t="str">
        <f>""</f>
        <v/>
      </c>
      <c r="K332" t="str">
        <f>"INNI"</f>
        <v>INNI</v>
      </c>
      <c r="L332" t="s">
        <v>446</v>
      </c>
      <c r="M332">
        <v>111.09</v>
      </c>
    </row>
    <row r="333" spans="1:13" x14ac:dyDescent="0.25">
      <c r="A333" t="str">
        <f>"E266"</f>
        <v>E266</v>
      </c>
      <c r="B333">
        <v>1</v>
      </c>
      <c r="C333" t="str">
        <f>"78020"</f>
        <v>78020</v>
      </c>
      <c r="D333" t="str">
        <f>"5740"</f>
        <v>5740</v>
      </c>
      <c r="E333" t="str">
        <f>"850GAR"</f>
        <v>850GAR</v>
      </c>
      <c r="F333" t="str">
        <f>""</f>
        <v/>
      </c>
      <c r="G333" t="str">
        <f>""</f>
        <v/>
      </c>
      <c r="H333" s="1">
        <v>39629</v>
      </c>
      <c r="I333" t="str">
        <f>"G0814318"</f>
        <v>G0814318</v>
      </c>
      <c r="J333" t="str">
        <f>""</f>
        <v/>
      </c>
      <c r="K333" t="str">
        <f>"J079"</f>
        <v>J079</v>
      </c>
      <c r="L333" t="s">
        <v>754</v>
      </c>
      <c r="M333" s="2">
        <v>3677.82</v>
      </c>
    </row>
    <row r="334" spans="1:13" x14ac:dyDescent="0.25">
      <c r="A334" t="str">
        <f>"E267"</f>
        <v>E267</v>
      </c>
      <c r="B334">
        <v>1</v>
      </c>
      <c r="C334" t="str">
        <f>"32040"</f>
        <v>32040</v>
      </c>
      <c r="D334" t="str">
        <f>"5610"</f>
        <v>5610</v>
      </c>
      <c r="E334" t="str">
        <f>"850LOS"</f>
        <v>850LOS</v>
      </c>
      <c r="F334" t="str">
        <f>""</f>
        <v/>
      </c>
      <c r="G334" t="str">
        <f>""</f>
        <v/>
      </c>
      <c r="H334" s="1">
        <v>39629</v>
      </c>
      <c r="I334" t="str">
        <f>"G0814220"</f>
        <v>G0814220</v>
      </c>
      <c r="J334" t="str">
        <f>""</f>
        <v/>
      </c>
      <c r="K334" t="str">
        <f>"J096"</f>
        <v>J096</v>
      </c>
      <c r="L334" t="s">
        <v>790</v>
      </c>
      <c r="M334" s="2">
        <v>2681</v>
      </c>
    </row>
    <row r="335" spans="1:13" x14ac:dyDescent="0.25">
      <c r="A335" t="str">
        <f>"E267"</f>
        <v>E267</v>
      </c>
      <c r="B335">
        <v>1</v>
      </c>
      <c r="C335" t="str">
        <f>"43000"</f>
        <v>43000</v>
      </c>
      <c r="D335" t="str">
        <f>"5740"</f>
        <v>5740</v>
      </c>
      <c r="E335" t="str">
        <f>"850LOS"</f>
        <v>850LOS</v>
      </c>
      <c r="F335" t="str">
        <f>""</f>
        <v/>
      </c>
      <c r="G335" t="str">
        <f>""</f>
        <v/>
      </c>
      <c r="H335" s="1">
        <v>39629</v>
      </c>
      <c r="I335" t="str">
        <f>"G0814220"</f>
        <v>G0814220</v>
      </c>
      <c r="J335" t="str">
        <f>""</f>
        <v/>
      </c>
      <c r="K335" t="str">
        <f>"J096"</f>
        <v>J096</v>
      </c>
      <c r="L335" t="s">
        <v>790</v>
      </c>
      <c r="M335" s="2">
        <v>27186</v>
      </c>
    </row>
    <row r="336" spans="1:13" x14ac:dyDescent="0.25">
      <c r="A336" t="str">
        <f>"E271"</f>
        <v>E271</v>
      </c>
      <c r="B336">
        <v>1</v>
      </c>
      <c r="C336" t="str">
        <f>"31040"</f>
        <v>31040</v>
      </c>
      <c r="D336" t="str">
        <f>"5620"</f>
        <v>5620</v>
      </c>
      <c r="E336" t="str">
        <f>"094OMS"</f>
        <v>094OMS</v>
      </c>
      <c r="F336" t="str">
        <f>""</f>
        <v/>
      </c>
      <c r="G336" t="str">
        <f>""</f>
        <v/>
      </c>
      <c r="H336" s="1">
        <v>39619</v>
      </c>
      <c r="I336" t="str">
        <f>"G0812171"</f>
        <v>G0812171</v>
      </c>
      <c r="J336" t="str">
        <f>""</f>
        <v/>
      </c>
      <c r="K336" t="str">
        <f>"J096"</f>
        <v>J096</v>
      </c>
      <c r="L336" t="s">
        <v>789</v>
      </c>
      <c r="M336" s="2">
        <v>2283</v>
      </c>
    </row>
    <row r="337" spans="1:13" x14ac:dyDescent="0.25">
      <c r="A337" t="str">
        <f>"E276"</f>
        <v>E276</v>
      </c>
      <c r="B337">
        <v>1</v>
      </c>
      <c r="C337" t="str">
        <f>"43000"</f>
        <v>43000</v>
      </c>
      <c r="D337" t="str">
        <f>"5740"</f>
        <v>5740</v>
      </c>
      <c r="E337" t="str">
        <f t="shared" ref="E337:E347" si="92">"850LOS"</f>
        <v>850LOS</v>
      </c>
      <c r="F337" t="str">
        <f>""</f>
        <v/>
      </c>
      <c r="G337" t="str">
        <f>""</f>
        <v/>
      </c>
      <c r="H337" s="1">
        <v>39624</v>
      </c>
      <c r="I337" t="str">
        <f>"G0812218"</f>
        <v>G0812218</v>
      </c>
      <c r="J337" t="str">
        <f>""</f>
        <v/>
      </c>
      <c r="K337" t="str">
        <f>"J096"</f>
        <v>J096</v>
      </c>
      <c r="L337" t="s">
        <v>788</v>
      </c>
      <c r="M337" s="2">
        <v>10200</v>
      </c>
    </row>
    <row r="338" spans="1:13" x14ac:dyDescent="0.25">
      <c r="A338" t="str">
        <f>"E279"</f>
        <v>E279</v>
      </c>
      <c r="B338">
        <v>1</v>
      </c>
      <c r="C338" t="str">
        <f>"43004"</f>
        <v>43004</v>
      </c>
      <c r="D338" t="str">
        <f>"5740"</f>
        <v>5740</v>
      </c>
      <c r="E338" t="str">
        <f t="shared" si="92"/>
        <v>850LOS</v>
      </c>
      <c r="F338" t="str">
        <f>""</f>
        <v/>
      </c>
      <c r="G338" t="str">
        <f>""</f>
        <v/>
      </c>
      <c r="H338" s="1">
        <v>39339</v>
      </c>
      <c r="I338" t="str">
        <f>"2750397"</f>
        <v>2750397</v>
      </c>
      <c r="J338" t="str">
        <f>"B113803"</f>
        <v>B113803</v>
      </c>
      <c r="K338" t="str">
        <f t="shared" ref="K338:K363" si="93">"INNI"</f>
        <v>INNI</v>
      </c>
      <c r="L338" t="s">
        <v>330</v>
      </c>
      <c r="M338" s="2">
        <v>29220</v>
      </c>
    </row>
    <row r="339" spans="1:13" x14ac:dyDescent="0.25">
      <c r="A339" t="str">
        <f>"E279"</f>
        <v>E279</v>
      </c>
      <c r="B339">
        <v>1</v>
      </c>
      <c r="C339" t="str">
        <f>"43004"</f>
        <v>43004</v>
      </c>
      <c r="D339" t="str">
        <f>"5740"</f>
        <v>5740</v>
      </c>
      <c r="E339" t="str">
        <f t="shared" si="92"/>
        <v>850LOS</v>
      </c>
      <c r="F339" t="str">
        <f>""</f>
        <v/>
      </c>
      <c r="G339" t="str">
        <f>""</f>
        <v/>
      </c>
      <c r="H339" s="1">
        <v>39484</v>
      </c>
      <c r="I339" t="str">
        <f>"2850070"</f>
        <v>2850070</v>
      </c>
      <c r="J339" t="str">
        <f>"B113803A"</f>
        <v>B113803A</v>
      </c>
      <c r="K339" t="str">
        <f t="shared" si="93"/>
        <v>INNI</v>
      </c>
      <c r="L339" t="s">
        <v>330</v>
      </c>
      <c r="M339" s="2">
        <v>59340</v>
      </c>
    </row>
    <row r="340" spans="1:13" x14ac:dyDescent="0.25">
      <c r="A340" t="str">
        <f>"E279"</f>
        <v>E279</v>
      </c>
      <c r="B340">
        <v>1</v>
      </c>
      <c r="C340" t="str">
        <f>"43004"</f>
        <v>43004</v>
      </c>
      <c r="D340" t="str">
        <f>"5740"</f>
        <v>5740</v>
      </c>
      <c r="E340" t="str">
        <f t="shared" si="92"/>
        <v>850LOS</v>
      </c>
      <c r="F340" t="str">
        <f>""</f>
        <v/>
      </c>
      <c r="G340" t="str">
        <f>""</f>
        <v/>
      </c>
      <c r="H340" s="1">
        <v>39538</v>
      </c>
      <c r="I340" t="str">
        <f>"2850191"</f>
        <v>2850191</v>
      </c>
      <c r="J340" t="str">
        <f>"B113803A"</f>
        <v>B113803A</v>
      </c>
      <c r="K340" t="str">
        <f t="shared" si="93"/>
        <v>INNI</v>
      </c>
      <c r="L340" t="s">
        <v>330</v>
      </c>
      <c r="M340" s="2">
        <v>5520</v>
      </c>
    </row>
    <row r="341" spans="1:13" x14ac:dyDescent="0.25">
      <c r="A341" t="str">
        <f>"E279"</f>
        <v>E279</v>
      </c>
      <c r="B341">
        <v>1</v>
      </c>
      <c r="C341" t="str">
        <f>"43004"</f>
        <v>43004</v>
      </c>
      <c r="D341" t="str">
        <f>"5740"</f>
        <v>5740</v>
      </c>
      <c r="E341" t="str">
        <f t="shared" si="92"/>
        <v>850LOS</v>
      </c>
      <c r="F341" t="str">
        <f>""</f>
        <v/>
      </c>
      <c r="G341" t="str">
        <f>""</f>
        <v/>
      </c>
      <c r="H341" s="1">
        <v>39626</v>
      </c>
      <c r="I341" t="str">
        <f>"2850380"</f>
        <v>2850380</v>
      </c>
      <c r="J341" t="str">
        <f>"B113803A"</f>
        <v>B113803A</v>
      </c>
      <c r="K341" t="str">
        <f t="shared" si="93"/>
        <v>INNI</v>
      </c>
      <c r="L341" t="s">
        <v>330</v>
      </c>
      <c r="M341" s="2">
        <v>6420</v>
      </c>
    </row>
    <row r="342" spans="1:13" x14ac:dyDescent="0.25">
      <c r="A342" t="str">
        <f t="shared" ref="A342:A347" si="94">"E303"</f>
        <v>E303</v>
      </c>
      <c r="B342">
        <v>1</v>
      </c>
      <c r="C342" t="str">
        <f t="shared" ref="C342:C347" si="95">"32040"</f>
        <v>32040</v>
      </c>
      <c r="D342" t="str">
        <f t="shared" ref="D342:D347" si="96">"5610"</f>
        <v>5610</v>
      </c>
      <c r="E342" t="str">
        <f t="shared" si="92"/>
        <v>850LOS</v>
      </c>
      <c r="F342" t="str">
        <f>""</f>
        <v/>
      </c>
      <c r="G342" t="str">
        <f>""</f>
        <v/>
      </c>
      <c r="H342" s="1">
        <v>39308</v>
      </c>
      <c r="I342" t="str">
        <f>"62430507"</f>
        <v>62430507</v>
      </c>
      <c r="J342" t="str">
        <f t="shared" ref="J342:J347" si="97">"BP52205L"</f>
        <v>BP52205L</v>
      </c>
      <c r="K342" t="str">
        <f t="shared" si="93"/>
        <v>INNI</v>
      </c>
      <c r="L342" t="s">
        <v>36</v>
      </c>
      <c r="M342">
        <v>135.51</v>
      </c>
    </row>
    <row r="343" spans="1:13" x14ac:dyDescent="0.25">
      <c r="A343" t="str">
        <f t="shared" si="94"/>
        <v>E303</v>
      </c>
      <c r="B343">
        <v>1</v>
      </c>
      <c r="C343" t="str">
        <f t="shared" si="95"/>
        <v>32040</v>
      </c>
      <c r="D343" t="str">
        <f t="shared" si="96"/>
        <v>5610</v>
      </c>
      <c r="E343" t="str">
        <f t="shared" si="92"/>
        <v>850LOS</v>
      </c>
      <c r="F343" t="str">
        <f>""</f>
        <v/>
      </c>
      <c r="G343" t="str">
        <f>""</f>
        <v/>
      </c>
      <c r="H343" s="1">
        <v>39308</v>
      </c>
      <c r="I343" t="str">
        <f>"62474901"</f>
        <v>62474901</v>
      </c>
      <c r="J343" t="str">
        <f t="shared" si="97"/>
        <v>BP52205L</v>
      </c>
      <c r="K343" t="str">
        <f t="shared" si="93"/>
        <v>INNI</v>
      </c>
      <c r="L343" t="s">
        <v>36</v>
      </c>
      <c r="M343" s="2">
        <v>3176.14</v>
      </c>
    </row>
    <row r="344" spans="1:13" x14ac:dyDescent="0.25">
      <c r="A344" t="str">
        <f t="shared" si="94"/>
        <v>E303</v>
      </c>
      <c r="B344">
        <v>1</v>
      </c>
      <c r="C344" t="str">
        <f t="shared" si="95"/>
        <v>32040</v>
      </c>
      <c r="D344" t="str">
        <f t="shared" si="96"/>
        <v>5610</v>
      </c>
      <c r="E344" t="str">
        <f t="shared" si="92"/>
        <v>850LOS</v>
      </c>
      <c r="F344" t="str">
        <f>""</f>
        <v/>
      </c>
      <c r="G344" t="str">
        <f>""</f>
        <v/>
      </c>
      <c r="H344" s="1">
        <v>39308</v>
      </c>
      <c r="I344" t="str">
        <f>"6281702"</f>
        <v>6281702</v>
      </c>
      <c r="J344" t="str">
        <f t="shared" si="97"/>
        <v>BP52205L</v>
      </c>
      <c r="K344" t="str">
        <f t="shared" si="93"/>
        <v>INNI</v>
      </c>
      <c r="L344" t="s">
        <v>36</v>
      </c>
      <c r="M344">
        <v>134.03</v>
      </c>
    </row>
    <row r="345" spans="1:13" x14ac:dyDescent="0.25">
      <c r="A345" t="str">
        <f t="shared" si="94"/>
        <v>E303</v>
      </c>
      <c r="B345">
        <v>1</v>
      </c>
      <c r="C345" t="str">
        <f t="shared" si="95"/>
        <v>32040</v>
      </c>
      <c r="D345" t="str">
        <f t="shared" si="96"/>
        <v>5610</v>
      </c>
      <c r="E345" t="str">
        <f t="shared" si="92"/>
        <v>850LOS</v>
      </c>
      <c r="F345" t="str">
        <f>""</f>
        <v/>
      </c>
      <c r="G345" t="str">
        <f>""</f>
        <v/>
      </c>
      <c r="H345" s="1">
        <v>39308</v>
      </c>
      <c r="I345" t="str">
        <f>"62851701"</f>
        <v>62851701</v>
      </c>
      <c r="J345" t="str">
        <f t="shared" si="97"/>
        <v>BP52205L</v>
      </c>
      <c r="K345" t="str">
        <f t="shared" si="93"/>
        <v>INNI</v>
      </c>
      <c r="L345" t="s">
        <v>36</v>
      </c>
      <c r="M345">
        <v>958.79</v>
      </c>
    </row>
    <row r="346" spans="1:13" x14ac:dyDescent="0.25">
      <c r="A346" t="str">
        <f t="shared" si="94"/>
        <v>E303</v>
      </c>
      <c r="B346">
        <v>1</v>
      </c>
      <c r="C346" t="str">
        <f t="shared" si="95"/>
        <v>32040</v>
      </c>
      <c r="D346" t="str">
        <f t="shared" si="96"/>
        <v>5610</v>
      </c>
      <c r="E346" t="str">
        <f t="shared" si="92"/>
        <v>850LOS</v>
      </c>
      <c r="F346" t="str">
        <f>""</f>
        <v/>
      </c>
      <c r="G346" t="str">
        <f>""</f>
        <v/>
      </c>
      <c r="H346" s="1">
        <v>39310</v>
      </c>
      <c r="I346" t="str">
        <f>"62381801"</f>
        <v>62381801</v>
      </c>
      <c r="J346" t="str">
        <f t="shared" si="97"/>
        <v>BP52205L</v>
      </c>
      <c r="K346" t="str">
        <f t="shared" si="93"/>
        <v>INNI</v>
      </c>
      <c r="L346" t="s">
        <v>36</v>
      </c>
      <c r="M346" s="2">
        <v>1789.56</v>
      </c>
    </row>
    <row r="347" spans="1:13" x14ac:dyDescent="0.25">
      <c r="A347" t="str">
        <f t="shared" si="94"/>
        <v>E303</v>
      </c>
      <c r="B347">
        <v>1</v>
      </c>
      <c r="C347" t="str">
        <f t="shared" si="95"/>
        <v>32040</v>
      </c>
      <c r="D347" t="str">
        <f t="shared" si="96"/>
        <v>5610</v>
      </c>
      <c r="E347" t="str">
        <f t="shared" si="92"/>
        <v>850LOS</v>
      </c>
      <c r="F347" t="str">
        <f>""</f>
        <v/>
      </c>
      <c r="G347" t="str">
        <f>""</f>
        <v/>
      </c>
      <c r="H347" s="1">
        <v>39325</v>
      </c>
      <c r="I347" t="str">
        <f>"63082901"</f>
        <v>63082901</v>
      </c>
      <c r="J347" t="str">
        <f t="shared" si="97"/>
        <v>BP52205L</v>
      </c>
      <c r="K347" t="str">
        <f t="shared" si="93"/>
        <v>INNI</v>
      </c>
      <c r="L347" t="s">
        <v>36</v>
      </c>
      <c r="M347">
        <v>536.62</v>
      </c>
    </row>
    <row r="348" spans="1:13" x14ac:dyDescent="0.25">
      <c r="A348" t="str">
        <f t="shared" ref="A348:A365" si="98">"E351"</f>
        <v>E351</v>
      </c>
      <c r="B348">
        <v>1</v>
      </c>
      <c r="C348" t="str">
        <f t="shared" ref="C348:C362" si="99">"14185"</f>
        <v>14185</v>
      </c>
      <c r="D348" t="str">
        <f t="shared" ref="D348:D362" si="100">"5620"</f>
        <v>5620</v>
      </c>
      <c r="E348" t="str">
        <f t="shared" ref="E348:E362" si="101">"094OMS"</f>
        <v>094OMS</v>
      </c>
      <c r="F348" t="str">
        <f>""</f>
        <v/>
      </c>
      <c r="G348" t="str">
        <f>""</f>
        <v/>
      </c>
      <c r="H348" s="1">
        <v>39301</v>
      </c>
      <c r="I348" t="str">
        <f>"V96942"</f>
        <v>V96942</v>
      </c>
      <c r="J348" t="str">
        <f>""</f>
        <v/>
      </c>
      <c r="K348" t="str">
        <f t="shared" si="93"/>
        <v>INNI</v>
      </c>
      <c r="L348" t="s">
        <v>336</v>
      </c>
      <c r="M348">
        <v>138</v>
      </c>
    </row>
    <row r="349" spans="1:13" x14ac:dyDescent="0.25">
      <c r="A349" t="str">
        <f t="shared" si="98"/>
        <v>E351</v>
      </c>
      <c r="B349">
        <v>1</v>
      </c>
      <c r="C349" t="str">
        <f t="shared" si="99"/>
        <v>14185</v>
      </c>
      <c r="D349" t="str">
        <f t="shared" si="100"/>
        <v>5620</v>
      </c>
      <c r="E349" t="str">
        <f t="shared" si="101"/>
        <v>094OMS</v>
      </c>
      <c r="F349" t="str">
        <f>""</f>
        <v/>
      </c>
      <c r="G349" t="str">
        <f>""</f>
        <v/>
      </c>
      <c r="H349" s="1">
        <v>39301</v>
      </c>
      <c r="I349" t="str">
        <f>"V96942"</f>
        <v>V96942</v>
      </c>
      <c r="J349" t="str">
        <f>""</f>
        <v/>
      </c>
      <c r="K349" t="str">
        <f t="shared" si="93"/>
        <v>INNI</v>
      </c>
      <c r="L349" t="s">
        <v>336</v>
      </c>
      <c r="M349">
        <v>201.84</v>
      </c>
    </row>
    <row r="350" spans="1:13" x14ac:dyDescent="0.25">
      <c r="A350" t="str">
        <f t="shared" si="98"/>
        <v>E351</v>
      </c>
      <c r="B350">
        <v>1</v>
      </c>
      <c r="C350" t="str">
        <f t="shared" si="99"/>
        <v>14185</v>
      </c>
      <c r="D350" t="str">
        <f t="shared" si="100"/>
        <v>5620</v>
      </c>
      <c r="E350" t="str">
        <f t="shared" si="101"/>
        <v>094OMS</v>
      </c>
      <c r="F350" t="str">
        <f>""</f>
        <v/>
      </c>
      <c r="G350" t="str">
        <f>""</f>
        <v/>
      </c>
      <c r="H350" s="1">
        <v>39311</v>
      </c>
      <c r="I350" t="str">
        <f>"V96943"</f>
        <v>V96943</v>
      </c>
      <c r="J350" t="str">
        <f>""</f>
        <v/>
      </c>
      <c r="K350" t="str">
        <f t="shared" si="93"/>
        <v>INNI</v>
      </c>
      <c r="L350" t="s">
        <v>284</v>
      </c>
      <c r="M350">
        <v>322.60000000000002</v>
      </c>
    </row>
    <row r="351" spans="1:13" x14ac:dyDescent="0.25">
      <c r="A351" t="str">
        <f t="shared" si="98"/>
        <v>E351</v>
      </c>
      <c r="B351">
        <v>1</v>
      </c>
      <c r="C351" t="str">
        <f t="shared" si="99"/>
        <v>14185</v>
      </c>
      <c r="D351" t="str">
        <f t="shared" si="100"/>
        <v>5620</v>
      </c>
      <c r="E351" t="str">
        <f t="shared" si="101"/>
        <v>094OMS</v>
      </c>
      <c r="F351" t="str">
        <f>""</f>
        <v/>
      </c>
      <c r="G351" t="str">
        <f>""</f>
        <v/>
      </c>
      <c r="H351" s="1">
        <v>39315</v>
      </c>
      <c r="I351" t="str">
        <f>"V96944"</f>
        <v>V96944</v>
      </c>
      <c r="J351" t="str">
        <f>""</f>
        <v/>
      </c>
      <c r="K351" t="str">
        <f t="shared" si="93"/>
        <v>INNI</v>
      </c>
      <c r="L351" t="s">
        <v>335</v>
      </c>
      <c r="M351">
        <v>703.04</v>
      </c>
    </row>
    <row r="352" spans="1:13" x14ac:dyDescent="0.25">
      <c r="A352" t="str">
        <f t="shared" si="98"/>
        <v>E351</v>
      </c>
      <c r="B352">
        <v>1</v>
      </c>
      <c r="C352" t="str">
        <f t="shared" si="99"/>
        <v>14185</v>
      </c>
      <c r="D352" t="str">
        <f t="shared" si="100"/>
        <v>5620</v>
      </c>
      <c r="E352" t="str">
        <f t="shared" si="101"/>
        <v>094OMS</v>
      </c>
      <c r="F352" t="str">
        <f>""</f>
        <v/>
      </c>
      <c r="G352" t="str">
        <f>""</f>
        <v/>
      </c>
      <c r="H352" s="1">
        <v>39342</v>
      </c>
      <c r="I352" t="str">
        <f>"V90259"</f>
        <v>V90259</v>
      </c>
      <c r="J352" t="str">
        <f>""</f>
        <v/>
      </c>
      <c r="K352" t="str">
        <f t="shared" si="93"/>
        <v>INNI</v>
      </c>
      <c r="L352" t="s">
        <v>197</v>
      </c>
      <c r="M352">
        <v>361.92</v>
      </c>
    </row>
    <row r="353" spans="1:13" x14ac:dyDescent="0.25">
      <c r="A353" t="str">
        <f t="shared" si="98"/>
        <v>E351</v>
      </c>
      <c r="B353">
        <v>1</v>
      </c>
      <c r="C353" t="str">
        <f t="shared" si="99"/>
        <v>14185</v>
      </c>
      <c r="D353" t="str">
        <f t="shared" si="100"/>
        <v>5620</v>
      </c>
      <c r="E353" t="str">
        <f t="shared" si="101"/>
        <v>094OMS</v>
      </c>
      <c r="F353" t="str">
        <f>""</f>
        <v/>
      </c>
      <c r="G353" t="str">
        <f>""</f>
        <v/>
      </c>
      <c r="H353" s="1">
        <v>39342</v>
      </c>
      <c r="I353" t="str">
        <f>"V90260"</f>
        <v>V90260</v>
      </c>
      <c r="J353" t="str">
        <f>""</f>
        <v/>
      </c>
      <c r="K353" t="str">
        <f t="shared" si="93"/>
        <v>INNI</v>
      </c>
      <c r="L353" t="s">
        <v>338</v>
      </c>
      <c r="M353">
        <v>144</v>
      </c>
    </row>
    <row r="354" spans="1:13" x14ac:dyDescent="0.25">
      <c r="A354" t="str">
        <f t="shared" si="98"/>
        <v>E351</v>
      </c>
      <c r="B354">
        <v>1</v>
      </c>
      <c r="C354" t="str">
        <f t="shared" si="99"/>
        <v>14185</v>
      </c>
      <c r="D354" t="str">
        <f t="shared" si="100"/>
        <v>5620</v>
      </c>
      <c r="E354" t="str">
        <f t="shared" si="101"/>
        <v>094OMS</v>
      </c>
      <c r="F354" t="str">
        <f>""</f>
        <v/>
      </c>
      <c r="G354" t="str">
        <f>""</f>
        <v/>
      </c>
      <c r="H354" s="1">
        <v>39386</v>
      </c>
      <c r="I354" t="str">
        <f>"V96945"</f>
        <v>V96945</v>
      </c>
      <c r="J354" t="str">
        <f>""</f>
        <v/>
      </c>
      <c r="K354" t="str">
        <f t="shared" si="93"/>
        <v>INNI</v>
      </c>
      <c r="L354" t="s">
        <v>337</v>
      </c>
      <c r="M354">
        <v>182.98</v>
      </c>
    </row>
    <row r="355" spans="1:13" x14ac:dyDescent="0.25">
      <c r="A355" t="str">
        <f t="shared" si="98"/>
        <v>E351</v>
      </c>
      <c r="B355">
        <v>1</v>
      </c>
      <c r="C355" t="str">
        <f t="shared" si="99"/>
        <v>14185</v>
      </c>
      <c r="D355" t="str">
        <f t="shared" si="100"/>
        <v>5620</v>
      </c>
      <c r="E355" t="str">
        <f t="shared" si="101"/>
        <v>094OMS</v>
      </c>
      <c r="F355" t="str">
        <f>""</f>
        <v/>
      </c>
      <c r="G355" t="str">
        <f>""</f>
        <v/>
      </c>
      <c r="H355" s="1">
        <v>39386</v>
      </c>
      <c r="I355" t="str">
        <f>"V96946"</f>
        <v>V96946</v>
      </c>
      <c r="J355" t="str">
        <f>""</f>
        <v/>
      </c>
      <c r="K355" t="str">
        <f t="shared" si="93"/>
        <v>INNI</v>
      </c>
      <c r="L355" t="s">
        <v>335</v>
      </c>
      <c r="M355">
        <v>187.98</v>
      </c>
    </row>
    <row r="356" spans="1:13" x14ac:dyDescent="0.25">
      <c r="A356" t="str">
        <f t="shared" si="98"/>
        <v>E351</v>
      </c>
      <c r="B356">
        <v>1</v>
      </c>
      <c r="C356" t="str">
        <f t="shared" si="99"/>
        <v>14185</v>
      </c>
      <c r="D356" t="str">
        <f t="shared" si="100"/>
        <v>5620</v>
      </c>
      <c r="E356" t="str">
        <f t="shared" si="101"/>
        <v>094OMS</v>
      </c>
      <c r="F356" t="str">
        <f>""</f>
        <v/>
      </c>
      <c r="G356" t="str">
        <f>""</f>
        <v/>
      </c>
      <c r="H356" s="1">
        <v>39569</v>
      </c>
      <c r="I356" t="str">
        <f>"V96950"</f>
        <v>V96950</v>
      </c>
      <c r="J356" t="str">
        <f>""</f>
        <v/>
      </c>
      <c r="K356" t="str">
        <f t="shared" si="93"/>
        <v>INNI</v>
      </c>
      <c r="L356" t="s">
        <v>338</v>
      </c>
      <c r="M356" s="2">
        <v>2056.1</v>
      </c>
    </row>
    <row r="357" spans="1:13" x14ac:dyDescent="0.25">
      <c r="A357" t="str">
        <f t="shared" si="98"/>
        <v>E351</v>
      </c>
      <c r="B357">
        <v>1</v>
      </c>
      <c r="C357" t="str">
        <f t="shared" si="99"/>
        <v>14185</v>
      </c>
      <c r="D357" t="str">
        <f t="shared" si="100"/>
        <v>5620</v>
      </c>
      <c r="E357" t="str">
        <f t="shared" si="101"/>
        <v>094OMS</v>
      </c>
      <c r="F357" t="str">
        <f>""</f>
        <v/>
      </c>
      <c r="G357" t="str">
        <f>""</f>
        <v/>
      </c>
      <c r="H357" s="1">
        <v>39570</v>
      </c>
      <c r="I357" t="str">
        <f>"V96948"</f>
        <v>V96948</v>
      </c>
      <c r="J357" t="str">
        <f>""</f>
        <v/>
      </c>
      <c r="K357" t="str">
        <f t="shared" si="93"/>
        <v>INNI</v>
      </c>
      <c r="L357" t="s">
        <v>335</v>
      </c>
      <c r="M357">
        <v>212</v>
      </c>
    </row>
    <row r="358" spans="1:13" x14ac:dyDescent="0.25">
      <c r="A358" t="str">
        <f t="shared" si="98"/>
        <v>E351</v>
      </c>
      <c r="B358">
        <v>1</v>
      </c>
      <c r="C358" t="str">
        <f t="shared" si="99"/>
        <v>14185</v>
      </c>
      <c r="D358" t="str">
        <f t="shared" si="100"/>
        <v>5620</v>
      </c>
      <c r="E358" t="str">
        <f t="shared" si="101"/>
        <v>094OMS</v>
      </c>
      <c r="F358" t="str">
        <f>""</f>
        <v/>
      </c>
      <c r="G358" t="str">
        <f>""</f>
        <v/>
      </c>
      <c r="H358" s="1">
        <v>39574</v>
      </c>
      <c r="I358" t="str">
        <f>"V96949"</f>
        <v>V96949</v>
      </c>
      <c r="J358" t="str">
        <f>""</f>
        <v/>
      </c>
      <c r="K358" t="str">
        <f t="shared" si="93"/>
        <v>INNI</v>
      </c>
      <c r="L358" t="s">
        <v>334</v>
      </c>
      <c r="M358">
        <v>735.85</v>
      </c>
    </row>
    <row r="359" spans="1:13" x14ac:dyDescent="0.25">
      <c r="A359" t="str">
        <f t="shared" si="98"/>
        <v>E351</v>
      </c>
      <c r="B359">
        <v>1</v>
      </c>
      <c r="C359" t="str">
        <f t="shared" si="99"/>
        <v>14185</v>
      </c>
      <c r="D359" t="str">
        <f t="shared" si="100"/>
        <v>5620</v>
      </c>
      <c r="E359" t="str">
        <f t="shared" si="101"/>
        <v>094OMS</v>
      </c>
      <c r="F359" t="str">
        <f>""</f>
        <v/>
      </c>
      <c r="G359" t="str">
        <f>""</f>
        <v/>
      </c>
      <c r="H359" s="1">
        <v>39611</v>
      </c>
      <c r="I359" t="str">
        <f>"V90267"</f>
        <v>V90267</v>
      </c>
      <c r="J359" t="str">
        <f>""</f>
        <v/>
      </c>
      <c r="K359" t="str">
        <f t="shared" si="93"/>
        <v>INNI</v>
      </c>
      <c r="L359" t="s">
        <v>340</v>
      </c>
      <c r="M359">
        <v>351.84</v>
      </c>
    </row>
    <row r="360" spans="1:13" x14ac:dyDescent="0.25">
      <c r="A360" t="str">
        <f t="shared" si="98"/>
        <v>E351</v>
      </c>
      <c r="B360">
        <v>1</v>
      </c>
      <c r="C360" t="str">
        <f t="shared" si="99"/>
        <v>14185</v>
      </c>
      <c r="D360" t="str">
        <f t="shared" si="100"/>
        <v>5620</v>
      </c>
      <c r="E360" t="str">
        <f t="shared" si="101"/>
        <v>094OMS</v>
      </c>
      <c r="F360" t="str">
        <f>""</f>
        <v/>
      </c>
      <c r="G360" t="str">
        <f>""</f>
        <v/>
      </c>
      <c r="H360" s="1">
        <v>39617</v>
      </c>
      <c r="I360" t="str">
        <f>"V90265"</f>
        <v>V90265</v>
      </c>
      <c r="J360" t="str">
        <f>""</f>
        <v/>
      </c>
      <c r="K360" t="str">
        <f t="shared" si="93"/>
        <v>INNI</v>
      </c>
      <c r="L360" t="s">
        <v>785</v>
      </c>
      <c r="M360">
        <v>421.5</v>
      </c>
    </row>
    <row r="361" spans="1:13" x14ac:dyDescent="0.25">
      <c r="A361" t="str">
        <f t="shared" si="98"/>
        <v>E351</v>
      </c>
      <c r="B361">
        <v>1</v>
      </c>
      <c r="C361" t="str">
        <f t="shared" si="99"/>
        <v>14185</v>
      </c>
      <c r="D361" t="str">
        <f t="shared" si="100"/>
        <v>5620</v>
      </c>
      <c r="E361" t="str">
        <f t="shared" si="101"/>
        <v>094OMS</v>
      </c>
      <c r="F361" t="str">
        <f>""</f>
        <v/>
      </c>
      <c r="G361" t="str">
        <f>""</f>
        <v/>
      </c>
      <c r="H361" s="1">
        <v>39617</v>
      </c>
      <c r="I361" t="str">
        <f>"V90268"</f>
        <v>V90268</v>
      </c>
      <c r="J361" t="str">
        <f>""</f>
        <v/>
      </c>
      <c r="K361" t="str">
        <f t="shared" si="93"/>
        <v>INNI</v>
      </c>
      <c r="L361" t="s">
        <v>478</v>
      </c>
      <c r="M361">
        <v>120</v>
      </c>
    </row>
    <row r="362" spans="1:13" x14ac:dyDescent="0.25">
      <c r="A362" t="str">
        <f t="shared" si="98"/>
        <v>E351</v>
      </c>
      <c r="B362">
        <v>1</v>
      </c>
      <c r="C362" t="str">
        <f t="shared" si="99"/>
        <v>14185</v>
      </c>
      <c r="D362" t="str">
        <f t="shared" si="100"/>
        <v>5620</v>
      </c>
      <c r="E362" t="str">
        <f t="shared" si="101"/>
        <v>094OMS</v>
      </c>
      <c r="F362" t="str">
        <f>""</f>
        <v/>
      </c>
      <c r="G362" t="str">
        <f>""</f>
        <v/>
      </c>
      <c r="H362" s="1">
        <v>39629</v>
      </c>
      <c r="I362" t="str">
        <f>"V90272"</f>
        <v>V90272</v>
      </c>
      <c r="J362" t="str">
        <f>""</f>
        <v/>
      </c>
      <c r="K362" t="str">
        <f t="shared" si="93"/>
        <v>INNI</v>
      </c>
      <c r="L362" t="s">
        <v>336</v>
      </c>
      <c r="M362">
        <v>157.4</v>
      </c>
    </row>
    <row r="363" spans="1:13" x14ac:dyDescent="0.25">
      <c r="A363" t="str">
        <f t="shared" si="98"/>
        <v>E351</v>
      </c>
      <c r="B363">
        <v>1</v>
      </c>
      <c r="C363" t="str">
        <f>"43000"</f>
        <v>43000</v>
      </c>
      <c r="D363" t="str">
        <f>"5740"</f>
        <v>5740</v>
      </c>
      <c r="E363" t="str">
        <f>"850LOS"</f>
        <v>850LOS</v>
      </c>
      <c r="F363" t="str">
        <f>""</f>
        <v/>
      </c>
      <c r="G363" t="str">
        <f>""</f>
        <v/>
      </c>
      <c r="H363" s="1">
        <v>39422</v>
      </c>
      <c r="I363" t="str">
        <f>"V90261"</f>
        <v>V90261</v>
      </c>
      <c r="J363" t="str">
        <f>""</f>
        <v/>
      </c>
      <c r="K363" t="str">
        <f t="shared" si="93"/>
        <v>INNI</v>
      </c>
      <c r="L363" t="s">
        <v>324</v>
      </c>
      <c r="M363">
        <v>128</v>
      </c>
    </row>
    <row r="364" spans="1:13" x14ac:dyDescent="0.25">
      <c r="A364" t="str">
        <f t="shared" si="98"/>
        <v>E351</v>
      </c>
      <c r="B364">
        <v>1</v>
      </c>
      <c r="C364" t="str">
        <f>"43000"</f>
        <v>43000</v>
      </c>
      <c r="D364" t="str">
        <f>"5740"</f>
        <v>5740</v>
      </c>
      <c r="E364" t="str">
        <f>"850LOS"</f>
        <v>850LOS</v>
      </c>
      <c r="F364" t="str">
        <f>""</f>
        <v/>
      </c>
      <c r="G364" t="str">
        <f>""</f>
        <v/>
      </c>
      <c r="H364" s="1">
        <v>39559</v>
      </c>
      <c r="I364" t="str">
        <f>"G0810117"</f>
        <v>G0810117</v>
      </c>
      <c r="J364" t="str">
        <f>"V96943"</f>
        <v>V96943</v>
      </c>
      <c r="K364" t="str">
        <f>"J096"</f>
        <v>J096</v>
      </c>
      <c r="L364" t="s">
        <v>786</v>
      </c>
      <c r="M364">
        <v>322.60000000000002</v>
      </c>
    </row>
    <row r="365" spans="1:13" x14ac:dyDescent="0.25">
      <c r="A365" t="str">
        <f t="shared" si="98"/>
        <v>E351</v>
      </c>
      <c r="B365">
        <v>1</v>
      </c>
      <c r="C365" t="str">
        <f>"43001"</f>
        <v>43001</v>
      </c>
      <c r="D365" t="str">
        <f>"5740"</f>
        <v>5740</v>
      </c>
      <c r="E365" t="str">
        <f>"850LOS"</f>
        <v>850LOS</v>
      </c>
      <c r="F365" t="str">
        <f>""</f>
        <v/>
      </c>
      <c r="G365" t="str">
        <f>""</f>
        <v/>
      </c>
      <c r="H365" s="1">
        <v>39611</v>
      </c>
      <c r="I365" t="str">
        <f>"V90266"</f>
        <v>V90266</v>
      </c>
      <c r="J365" t="str">
        <f>""</f>
        <v/>
      </c>
      <c r="K365" t="str">
        <f>"INNI"</f>
        <v>INNI</v>
      </c>
      <c r="L365" t="s">
        <v>345</v>
      </c>
      <c r="M365">
        <v>216.4</v>
      </c>
    </row>
    <row r="366" spans="1:13" x14ac:dyDescent="0.25">
      <c r="A366" t="str">
        <f>"E354"</f>
        <v>E354</v>
      </c>
      <c r="B366">
        <v>1</v>
      </c>
      <c r="C366" t="str">
        <f>"14185"</f>
        <v>14185</v>
      </c>
      <c r="D366" t="str">
        <f>"5620"</f>
        <v>5620</v>
      </c>
      <c r="E366" t="str">
        <f>"094OMS"</f>
        <v>094OMS</v>
      </c>
      <c r="F366" t="str">
        <f>""</f>
        <v/>
      </c>
      <c r="G366" t="str">
        <f>""</f>
        <v/>
      </c>
      <c r="H366" s="1">
        <v>39625</v>
      </c>
      <c r="I366" t="str">
        <f>"V90271"</f>
        <v>V90271</v>
      </c>
      <c r="J366" t="str">
        <f>""</f>
        <v/>
      </c>
      <c r="K366" t="str">
        <f>"INNI"</f>
        <v>INNI</v>
      </c>
      <c r="L366" t="s">
        <v>335</v>
      </c>
      <c r="M366">
        <v>106.91</v>
      </c>
    </row>
    <row r="367" spans="1:13" x14ac:dyDescent="0.25">
      <c r="A367" t="str">
        <f>"E357"</f>
        <v>E357</v>
      </c>
      <c r="B367">
        <v>1</v>
      </c>
      <c r="C367" t="str">
        <f>"14185"</f>
        <v>14185</v>
      </c>
      <c r="D367" t="str">
        <f>"5620"</f>
        <v>5620</v>
      </c>
      <c r="E367" t="str">
        <f>"094OMS"</f>
        <v>094OMS</v>
      </c>
      <c r="F367" t="str">
        <f>""</f>
        <v/>
      </c>
      <c r="G367" t="str">
        <f>""</f>
        <v/>
      </c>
      <c r="H367" s="1">
        <v>39608</v>
      </c>
      <c r="I367" t="str">
        <f>"Q45614"</f>
        <v>Q45614</v>
      </c>
      <c r="J367" t="str">
        <f>""</f>
        <v/>
      </c>
      <c r="K367" t="str">
        <f>"INNI"</f>
        <v>INNI</v>
      </c>
      <c r="L367" t="s">
        <v>785</v>
      </c>
      <c r="M367">
        <v>497.89</v>
      </c>
    </row>
    <row r="368" spans="1:13" x14ac:dyDescent="0.25">
      <c r="A368" t="str">
        <f>"E367"</f>
        <v>E367</v>
      </c>
      <c r="B368">
        <v>1</v>
      </c>
      <c r="C368" t="str">
        <f>"43000"</f>
        <v>43000</v>
      </c>
      <c r="D368" t="str">
        <f>"5740"</f>
        <v>5740</v>
      </c>
      <c r="E368" t="str">
        <f>"850LOS"</f>
        <v>850LOS</v>
      </c>
      <c r="F368" t="str">
        <f>""</f>
        <v/>
      </c>
      <c r="G368" t="str">
        <f>""</f>
        <v/>
      </c>
      <c r="H368" s="1">
        <v>39597</v>
      </c>
      <c r="I368" t="str">
        <f>"TRV10101"</f>
        <v>TRV10101</v>
      </c>
      <c r="J368" t="str">
        <f>"TE334441"</f>
        <v>TE334441</v>
      </c>
      <c r="K368" t="str">
        <f>"AS96"</f>
        <v>AS96</v>
      </c>
      <c r="L368" t="s">
        <v>784</v>
      </c>
      <c r="M368">
        <v>440.99</v>
      </c>
    </row>
    <row r="369" spans="1:13" x14ac:dyDescent="0.25">
      <c r="A369" t="str">
        <f>"E367"</f>
        <v>E367</v>
      </c>
      <c r="B369">
        <v>1</v>
      </c>
      <c r="C369" t="str">
        <f>"43001"</f>
        <v>43001</v>
      </c>
      <c r="D369" t="str">
        <f>"5740"</f>
        <v>5740</v>
      </c>
      <c r="E369" t="str">
        <f>"850LOS"</f>
        <v>850LOS</v>
      </c>
      <c r="F369" t="str">
        <f>""</f>
        <v/>
      </c>
      <c r="G369" t="str">
        <f>""</f>
        <v/>
      </c>
      <c r="H369" s="1">
        <v>39538</v>
      </c>
      <c r="I369" t="str">
        <f>"TRV10099"</f>
        <v>TRV10099</v>
      </c>
      <c r="J369" t="str">
        <f>"TE323690"</f>
        <v>TE323690</v>
      </c>
      <c r="K369" t="str">
        <f>"AS96"</f>
        <v>AS96</v>
      </c>
      <c r="L369" t="s">
        <v>783</v>
      </c>
      <c r="M369">
        <v>341.01</v>
      </c>
    </row>
    <row r="370" spans="1:13" x14ac:dyDescent="0.25">
      <c r="A370" t="str">
        <f>"E370"</f>
        <v>E370</v>
      </c>
      <c r="B370">
        <v>1</v>
      </c>
      <c r="C370" t="str">
        <f>"14185"</f>
        <v>14185</v>
      </c>
      <c r="D370" t="str">
        <f>"5620"</f>
        <v>5620</v>
      </c>
      <c r="E370" t="str">
        <f>"094OMS"</f>
        <v>094OMS</v>
      </c>
      <c r="F370" t="str">
        <f>""</f>
        <v/>
      </c>
      <c r="G370" t="str">
        <f>""</f>
        <v/>
      </c>
      <c r="H370" s="1">
        <v>39534</v>
      </c>
      <c r="I370" t="str">
        <f>"V90262"</f>
        <v>V90262</v>
      </c>
      <c r="J370" t="str">
        <f>""</f>
        <v/>
      </c>
      <c r="K370" t="str">
        <f>"INNI"</f>
        <v>INNI</v>
      </c>
      <c r="L370" t="s">
        <v>337</v>
      </c>
      <c r="M370" s="2">
        <v>1101.28</v>
      </c>
    </row>
    <row r="371" spans="1:13" x14ac:dyDescent="0.25">
      <c r="A371" t="str">
        <f>"E370"</f>
        <v>E370</v>
      </c>
      <c r="B371">
        <v>1</v>
      </c>
      <c r="C371" t="str">
        <f>"43000"</f>
        <v>43000</v>
      </c>
      <c r="D371" t="str">
        <f>"5740"</f>
        <v>5740</v>
      </c>
      <c r="E371" t="str">
        <f>"850LOS"</f>
        <v>850LOS</v>
      </c>
      <c r="F371" t="str">
        <f>""</f>
        <v/>
      </c>
      <c r="G371" t="str">
        <f>""</f>
        <v/>
      </c>
      <c r="H371" s="1">
        <v>39617</v>
      </c>
      <c r="I371" t="str">
        <f>"V90270"</f>
        <v>V90270</v>
      </c>
      <c r="J371" t="str">
        <f>""</f>
        <v/>
      </c>
      <c r="K371" t="str">
        <f>"INNI"</f>
        <v>INNI</v>
      </c>
      <c r="L371" t="s">
        <v>284</v>
      </c>
      <c r="M371">
        <v>962.4</v>
      </c>
    </row>
    <row r="372" spans="1:13" x14ac:dyDescent="0.25">
      <c r="A372" t="str">
        <f>"E370"</f>
        <v>E370</v>
      </c>
      <c r="B372">
        <v>1</v>
      </c>
      <c r="C372" t="str">
        <f>"43001"</f>
        <v>43001</v>
      </c>
      <c r="D372" t="str">
        <f>"5740"</f>
        <v>5740</v>
      </c>
      <c r="E372" t="str">
        <f>"850LOS"</f>
        <v>850LOS</v>
      </c>
      <c r="F372" t="str">
        <f>""</f>
        <v/>
      </c>
      <c r="G372" t="str">
        <f>""</f>
        <v/>
      </c>
      <c r="H372" s="1">
        <v>39562</v>
      </c>
      <c r="I372" t="str">
        <f>"V90060"</f>
        <v>V90060</v>
      </c>
      <c r="J372" t="str">
        <f>""</f>
        <v/>
      </c>
      <c r="K372" t="str">
        <f>"INNI"</f>
        <v>INNI</v>
      </c>
      <c r="L372" t="s">
        <v>345</v>
      </c>
      <c r="M372">
        <v>703.24</v>
      </c>
    </row>
    <row r="373" spans="1:13" x14ac:dyDescent="0.25">
      <c r="A373" t="str">
        <f>"E374"</f>
        <v>E374</v>
      </c>
      <c r="B373">
        <v>1</v>
      </c>
      <c r="C373" t="str">
        <f>"14185"</f>
        <v>14185</v>
      </c>
      <c r="D373" t="str">
        <f>"5620"</f>
        <v>5620</v>
      </c>
      <c r="E373" t="str">
        <f>"094OMS"</f>
        <v>094OMS</v>
      </c>
      <c r="F373" t="str">
        <f>""</f>
        <v/>
      </c>
      <c r="G373" t="str">
        <f>""</f>
        <v/>
      </c>
      <c r="H373" s="1">
        <v>39513</v>
      </c>
      <c r="I373" t="str">
        <f>"Q45608"</f>
        <v>Q45608</v>
      </c>
      <c r="J373" t="str">
        <f>""</f>
        <v/>
      </c>
      <c r="K373" t="str">
        <f>"INNI"</f>
        <v>INNI</v>
      </c>
      <c r="L373" t="s">
        <v>337</v>
      </c>
      <c r="M373">
        <v>528</v>
      </c>
    </row>
    <row r="374" spans="1:13" x14ac:dyDescent="0.25">
      <c r="A374" t="str">
        <f>"E402"</f>
        <v>E402</v>
      </c>
      <c r="B374">
        <v>1</v>
      </c>
      <c r="C374" t="str">
        <f>"14185"</f>
        <v>14185</v>
      </c>
      <c r="D374" t="str">
        <f>"5620"</f>
        <v>5620</v>
      </c>
      <c r="E374" t="str">
        <f>"094OMS"</f>
        <v>094OMS</v>
      </c>
      <c r="F374" t="str">
        <f>""</f>
        <v/>
      </c>
      <c r="G374" t="str">
        <f>""</f>
        <v/>
      </c>
      <c r="H374" s="1">
        <v>39295</v>
      </c>
      <c r="I374" t="str">
        <f>"PCD00280"</f>
        <v>PCD00280</v>
      </c>
      <c r="J374" t="str">
        <f>"62750"</f>
        <v>62750</v>
      </c>
      <c r="K374" t="str">
        <f>"AS89"</f>
        <v>AS89</v>
      </c>
      <c r="L374" t="s">
        <v>782</v>
      </c>
      <c r="M374">
        <v>195.09</v>
      </c>
    </row>
    <row r="375" spans="1:13" x14ac:dyDescent="0.25">
      <c r="A375" t="str">
        <f>"E402"</f>
        <v>E402</v>
      </c>
      <c r="B375">
        <v>1</v>
      </c>
      <c r="C375" t="str">
        <f>"14185"</f>
        <v>14185</v>
      </c>
      <c r="D375" t="str">
        <f>"5620"</f>
        <v>5620</v>
      </c>
      <c r="E375" t="str">
        <f>"094OMS"</f>
        <v>094OMS</v>
      </c>
      <c r="F375" t="str">
        <f>""</f>
        <v/>
      </c>
      <c r="G375" t="str">
        <f>""</f>
        <v/>
      </c>
      <c r="H375" s="1">
        <v>39395</v>
      </c>
      <c r="I375" t="str">
        <f>"PCD00292"</f>
        <v>PCD00292</v>
      </c>
      <c r="J375" t="str">
        <f>"68234"</f>
        <v>68234</v>
      </c>
      <c r="K375" t="str">
        <f>"AS89"</f>
        <v>AS89</v>
      </c>
      <c r="L375" t="s">
        <v>781</v>
      </c>
      <c r="M375">
        <v>115.32</v>
      </c>
    </row>
    <row r="376" spans="1:13" x14ac:dyDescent="0.25">
      <c r="A376" t="str">
        <f>"E402"</f>
        <v>E402</v>
      </c>
      <c r="B376">
        <v>1</v>
      </c>
      <c r="C376" t="str">
        <f>"14185"</f>
        <v>14185</v>
      </c>
      <c r="D376" t="str">
        <f>"5620"</f>
        <v>5620</v>
      </c>
      <c r="E376" t="str">
        <f>"094OMS"</f>
        <v>094OMS</v>
      </c>
      <c r="F376" t="str">
        <f>""</f>
        <v/>
      </c>
      <c r="G376" t="str">
        <f>""</f>
        <v/>
      </c>
      <c r="H376" s="1">
        <v>39549</v>
      </c>
      <c r="I376" t="str">
        <f>"PCD00312"</f>
        <v>PCD00312</v>
      </c>
      <c r="J376" t="str">
        <f>"76707"</f>
        <v>76707</v>
      </c>
      <c r="K376" t="str">
        <f>"AS89"</f>
        <v>AS89</v>
      </c>
      <c r="L376" t="s">
        <v>780</v>
      </c>
      <c r="M376">
        <v>429.56</v>
      </c>
    </row>
    <row r="377" spans="1:13" x14ac:dyDescent="0.25">
      <c r="A377" t="str">
        <f>"E402"</f>
        <v>E402</v>
      </c>
      <c r="B377">
        <v>1</v>
      </c>
      <c r="C377" t="str">
        <f>"14676"</f>
        <v>14676</v>
      </c>
      <c r="D377" t="str">
        <f>"5620"</f>
        <v>5620</v>
      </c>
      <c r="E377" t="str">
        <f>"011EQP"</f>
        <v>011EQP</v>
      </c>
      <c r="F377" t="str">
        <f>""</f>
        <v/>
      </c>
      <c r="G377" t="str">
        <f>""</f>
        <v/>
      </c>
      <c r="H377" s="1">
        <v>39619</v>
      </c>
      <c r="I377" t="str">
        <f>"G0812172"</f>
        <v>G0812172</v>
      </c>
      <c r="J377" t="str">
        <f>""</f>
        <v/>
      </c>
      <c r="K377" t="str">
        <f>"J096"</f>
        <v>J096</v>
      </c>
      <c r="L377" t="s">
        <v>779</v>
      </c>
      <c r="M377">
        <v>115.32</v>
      </c>
    </row>
    <row r="378" spans="1:13" x14ac:dyDescent="0.25">
      <c r="A378" t="str">
        <f>"E402"</f>
        <v>E402</v>
      </c>
      <c r="B378">
        <v>1</v>
      </c>
      <c r="C378" t="str">
        <f>"43000"</f>
        <v>43000</v>
      </c>
      <c r="D378" t="str">
        <f>"5740"</f>
        <v>5740</v>
      </c>
      <c r="E378" t="str">
        <f>"850LOS"</f>
        <v>850LOS</v>
      </c>
      <c r="F378" t="str">
        <f>""</f>
        <v/>
      </c>
      <c r="G378" t="str">
        <f>""</f>
        <v/>
      </c>
      <c r="H378" s="1">
        <v>39626</v>
      </c>
      <c r="I378" t="str">
        <f>"PCD00323"</f>
        <v>PCD00323</v>
      </c>
      <c r="J378" t="str">
        <f>"81904"</f>
        <v>81904</v>
      </c>
      <c r="K378" t="str">
        <f t="shared" ref="K378:K386" si="102">"AS89"</f>
        <v>AS89</v>
      </c>
      <c r="L378" t="s">
        <v>777</v>
      </c>
      <c r="M378">
        <v>154.83000000000001</v>
      </c>
    </row>
    <row r="379" spans="1:13" x14ac:dyDescent="0.25">
      <c r="A379" t="str">
        <f t="shared" ref="A379:A392" si="103">"E404"</f>
        <v>E404</v>
      </c>
      <c r="B379">
        <v>1</v>
      </c>
      <c r="C379" t="str">
        <f t="shared" ref="C379:C386" si="104">"14185"</f>
        <v>14185</v>
      </c>
      <c r="D379" t="str">
        <f t="shared" ref="D379:D388" si="105">"5620"</f>
        <v>5620</v>
      </c>
      <c r="E379" t="str">
        <f t="shared" ref="E379:E386" si="106">"094OMS"</f>
        <v>094OMS</v>
      </c>
      <c r="F379" t="str">
        <f>""</f>
        <v/>
      </c>
      <c r="G379" t="str">
        <f>""</f>
        <v/>
      </c>
      <c r="H379" s="1">
        <v>39295</v>
      </c>
      <c r="I379" t="str">
        <f>"PCD00280"</f>
        <v>PCD00280</v>
      </c>
      <c r="J379" t="str">
        <f>"63440"</f>
        <v>63440</v>
      </c>
      <c r="K379" t="str">
        <f t="shared" si="102"/>
        <v>AS89</v>
      </c>
      <c r="L379" t="s">
        <v>776</v>
      </c>
      <c r="M379">
        <v>388.75</v>
      </c>
    </row>
    <row r="380" spans="1:13" x14ac:dyDescent="0.25">
      <c r="A380" t="str">
        <f t="shared" si="103"/>
        <v>E404</v>
      </c>
      <c r="B380">
        <v>1</v>
      </c>
      <c r="C380" t="str">
        <f t="shared" si="104"/>
        <v>14185</v>
      </c>
      <c r="D380" t="str">
        <f t="shared" si="105"/>
        <v>5620</v>
      </c>
      <c r="E380" t="str">
        <f t="shared" si="106"/>
        <v>094OMS</v>
      </c>
      <c r="F380" t="str">
        <f>""</f>
        <v/>
      </c>
      <c r="G380" t="str">
        <f>""</f>
        <v/>
      </c>
      <c r="H380" s="1">
        <v>39295</v>
      </c>
      <c r="I380" t="str">
        <f>"PCD00280"</f>
        <v>PCD00280</v>
      </c>
      <c r="J380" t="str">
        <f>"63441"</f>
        <v>63441</v>
      </c>
      <c r="K380" t="str">
        <f t="shared" si="102"/>
        <v>AS89</v>
      </c>
      <c r="L380" t="s">
        <v>776</v>
      </c>
      <c r="M380">
        <v>388.75</v>
      </c>
    </row>
    <row r="381" spans="1:13" x14ac:dyDescent="0.25">
      <c r="A381" t="str">
        <f t="shared" si="103"/>
        <v>E404</v>
      </c>
      <c r="B381">
        <v>1</v>
      </c>
      <c r="C381" t="str">
        <f t="shared" si="104"/>
        <v>14185</v>
      </c>
      <c r="D381" t="str">
        <f t="shared" si="105"/>
        <v>5620</v>
      </c>
      <c r="E381" t="str">
        <f t="shared" si="106"/>
        <v>094OMS</v>
      </c>
      <c r="F381" t="str">
        <f>""</f>
        <v/>
      </c>
      <c r="G381" t="str">
        <f>""</f>
        <v/>
      </c>
      <c r="H381" s="1">
        <v>39295</v>
      </c>
      <c r="I381" t="str">
        <f>"PCD00280"</f>
        <v>PCD00280</v>
      </c>
      <c r="J381" t="str">
        <f>"63442"</f>
        <v>63442</v>
      </c>
      <c r="K381" t="str">
        <f t="shared" si="102"/>
        <v>AS89</v>
      </c>
      <c r="L381" t="s">
        <v>776</v>
      </c>
      <c r="M381">
        <v>388.75</v>
      </c>
    </row>
    <row r="382" spans="1:13" x14ac:dyDescent="0.25">
      <c r="A382" t="str">
        <f t="shared" si="103"/>
        <v>E404</v>
      </c>
      <c r="B382">
        <v>1</v>
      </c>
      <c r="C382" t="str">
        <f t="shared" si="104"/>
        <v>14185</v>
      </c>
      <c r="D382" t="str">
        <f t="shared" si="105"/>
        <v>5620</v>
      </c>
      <c r="E382" t="str">
        <f t="shared" si="106"/>
        <v>094OMS</v>
      </c>
      <c r="F382" t="str">
        <f>""</f>
        <v/>
      </c>
      <c r="G382" t="str">
        <f>""</f>
        <v/>
      </c>
      <c r="H382" s="1">
        <v>39345</v>
      </c>
      <c r="I382" t="str">
        <f>"PCD00284"</f>
        <v>PCD00284</v>
      </c>
      <c r="J382" t="str">
        <f>"64886"</f>
        <v>64886</v>
      </c>
      <c r="K382" t="str">
        <f t="shared" si="102"/>
        <v>AS89</v>
      </c>
      <c r="L382" t="s">
        <v>775</v>
      </c>
      <c r="M382">
        <v>291.44</v>
      </c>
    </row>
    <row r="383" spans="1:13" x14ac:dyDescent="0.25">
      <c r="A383" t="str">
        <f t="shared" si="103"/>
        <v>E404</v>
      </c>
      <c r="B383">
        <v>1</v>
      </c>
      <c r="C383" t="str">
        <f t="shared" si="104"/>
        <v>14185</v>
      </c>
      <c r="D383" t="str">
        <f t="shared" si="105"/>
        <v>5620</v>
      </c>
      <c r="E383" t="str">
        <f t="shared" si="106"/>
        <v>094OMS</v>
      </c>
      <c r="F383" t="str">
        <f>""</f>
        <v/>
      </c>
      <c r="G383" t="str">
        <f>""</f>
        <v/>
      </c>
      <c r="H383" s="1">
        <v>39395</v>
      </c>
      <c r="I383" t="str">
        <f>"PCD00292"</f>
        <v>PCD00292</v>
      </c>
      <c r="J383" t="str">
        <f>"68524"</f>
        <v>68524</v>
      </c>
      <c r="K383" t="str">
        <f t="shared" si="102"/>
        <v>AS89</v>
      </c>
      <c r="L383" t="s">
        <v>774</v>
      </c>
      <c r="M383">
        <v>254.47</v>
      </c>
    </row>
    <row r="384" spans="1:13" x14ac:dyDescent="0.25">
      <c r="A384" t="str">
        <f t="shared" si="103"/>
        <v>E404</v>
      </c>
      <c r="B384">
        <v>1</v>
      </c>
      <c r="C384" t="str">
        <f t="shared" si="104"/>
        <v>14185</v>
      </c>
      <c r="D384" t="str">
        <f t="shared" si="105"/>
        <v>5620</v>
      </c>
      <c r="E384" t="str">
        <f t="shared" si="106"/>
        <v>094OMS</v>
      </c>
      <c r="F384" t="str">
        <f>""</f>
        <v/>
      </c>
      <c r="G384" t="str">
        <f>""</f>
        <v/>
      </c>
      <c r="H384" s="1">
        <v>39451</v>
      </c>
      <c r="I384" t="str">
        <f>"PCD00298"</f>
        <v>PCD00298</v>
      </c>
      <c r="J384" t="str">
        <f>"71471"</f>
        <v>71471</v>
      </c>
      <c r="K384" t="str">
        <f t="shared" si="102"/>
        <v>AS89</v>
      </c>
      <c r="L384" t="s">
        <v>773</v>
      </c>
      <c r="M384">
        <v>108.63</v>
      </c>
    </row>
    <row r="385" spans="1:13" x14ac:dyDescent="0.25">
      <c r="A385" t="str">
        <f t="shared" si="103"/>
        <v>E404</v>
      </c>
      <c r="B385">
        <v>1</v>
      </c>
      <c r="C385" t="str">
        <f t="shared" si="104"/>
        <v>14185</v>
      </c>
      <c r="D385" t="str">
        <f t="shared" si="105"/>
        <v>5620</v>
      </c>
      <c r="E385" t="str">
        <f t="shared" si="106"/>
        <v>094OMS</v>
      </c>
      <c r="F385" t="str">
        <f>""</f>
        <v/>
      </c>
      <c r="G385" t="str">
        <f>""</f>
        <v/>
      </c>
      <c r="H385" s="1">
        <v>39521</v>
      </c>
      <c r="I385" t="str">
        <f>"PCD00308"</f>
        <v>PCD00308</v>
      </c>
      <c r="J385" t="str">
        <f>"74430"</f>
        <v>74430</v>
      </c>
      <c r="K385" t="str">
        <f t="shared" si="102"/>
        <v>AS89</v>
      </c>
      <c r="L385" t="s">
        <v>772</v>
      </c>
      <c r="M385">
        <v>628.94000000000005</v>
      </c>
    </row>
    <row r="386" spans="1:13" x14ac:dyDescent="0.25">
      <c r="A386" t="str">
        <f t="shared" si="103"/>
        <v>E404</v>
      </c>
      <c r="B386">
        <v>1</v>
      </c>
      <c r="C386" t="str">
        <f t="shared" si="104"/>
        <v>14185</v>
      </c>
      <c r="D386" t="str">
        <f t="shared" si="105"/>
        <v>5620</v>
      </c>
      <c r="E386" t="str">
        <f t="shared" si="106"/>
        <v>094OMS</v>
      </c>
      <c r="F386" t="str">
        <f>""</f>
        <v/>
      </c>
      <c r="G386" t="str">
        <f>""</f>
        <v/>
      </c>
      <c r="H386" s="1">
        <v>39549</v>
      </c>
      <c r="I386" t="str">
        <f>"PCD00312"</f>
        <v>PCD00312</v>
      </c>
      <c r="J386" t="str">
        <f>"76393"</f>
        <v>76393</v>
      </c>
      <c r="K386" t="str">
        <f t="shared" si="102"/>
        <v>AS89</v>
      </c>
      <c r="L386" t="s">
        <v>771</v>
      </c>
      <c r="M386">
        <v>256.88</v>
      </c>
    </row>
    <row r="387" spans="1:13" x14ac:dyDescent="0.25">
      <c r="A387" t="str">
        <f t="shared" si="103"/>
        <v>E404</v>
      </c>
      <c r="B387">
        <v>1</v>
      </c>
      <c r="C387" t="str">
        <f>"14676"</f>
        <v>14676</v>
      </c>
      <c r="D387" t="str">
        <f t="shared" si="105"/>
        <v>5620</v>
      </c>
      <c r="E387" t="str">
        <f>"011EQP"</f>
        <v>011EQP</v>
      </c>
      <c r="F387" t="str">
        <f>""</f>
        <v/>
      </c>
      <c r="G387" t="str">
        <f>""</f>
        <v/>
      </c>
      <c r="H387" s="1">
        <v>39619</v>
      </c>
      <c r="I387" t="str">
        <f>"G0812172"</f>
        <v>G0812172</v>
      </c>
      <c r="J387" t="str">
        <f>""</f>
        <v/>
      </c>
      <c r="K387" t="str">
        <f>"J096"</f>
        <v>J096</v>
      </c>
      <c r="L387" t="s">
        <v>770</v>
      </c>
      <c r="M387">
        <v>254.47</v>
      </c>
    </row>
    <row r="388" spans="1:13" x14ac:dyDescent="0.25">
      <c r="A388" t="str">
        <f t="shared" si="103"/>
        <v>E404</v>
      </c>
      <c r="B388">
        <v>1</v>
      </c>
      <c r="C388" t="str">
        <f>"14676"</f>
        <v>14676</v>
      </c>
      <c r="D388" t="str">
        <f t="shared" si="105"/>
        <v>5620</v>
      </c>
      <c r="E388" t="str">
        <f>"011EQP"</f>
        <v>011EQP</v>
      </c>
      <c r="F388" t="str">
        <f>""</f>
        <v/>
      </c>
      <c r="G388" t="str">
        <f>""</f>
        <v/>
      </c>
      <c r="H388" s="1">
        <v>39619</v>
      </c>
      <c r="I388" t="str">
        <f>"G0812172"</f>
        <v>G0812172</v>
      </c>
      <c r="J388" t="str">
        <f>""</f>
        <v/>
      </c>
      <c r="K388" t="str">
        <f>"J096"</f>
        <v>J096</v>
      </c>
      <c r="L388" t="s">
        <v>769</v>
      </c>
      <c r="M388" s="2">
        <v>1166.25</v>
      </c>
    </row>
    <row r="389" spans="1:13" x14ac:dyDescent="0.25">
      <c r="A389" t="str">
        <f t="shared" si="103"/>
        <v>E404</v>
      </c>
      <c r="B389">
        <v>1</v>
      </c>
      <c r="C389" t="str">
        <f>"43000"</f>
        <v>43000</v>
      </c>
      <c r="D389" t="str">
        <f>"5740"</f>
        <v>5740</v>
      </c>
      <c r="E389" t="str">
        <f>"850LOS"</f>
        <v>850LOS</v>
      </c>
      <c r="F389" t="str">
        <f>"PKOLOT"</f>
        <v>PKOLOT</v>
      </c>
      <c r="G389" t="str">
        <f>""</f>
        <v/>
      </c>
      <c r="H389" s="1">
        <v>39619</v>
      </c>
      <c r="I389" t="str">
        <f>"PCD00322"</f>
        <v>PCD00322</v>
      </c>
      <c r="J389" t="str">
        <f>"80655"</f>
        <v>80655</v>
      </c>
      <c r="K389" t="str">
        <f>"AS89"</f>
        <v>AS89</v>
      </c>
      <c r="L389" t="s">
        <v>768</v>
      </c>
      <c r="M389">
        <v>224.82</v>
      </c>
    </row>
    <row r="390" spans="1:13" x14ac:dyDescent="0.25">
      <c r="A390" t="str">
        <f t="shared" si="103"/>
        <v>E404</v>
      </c>
      <c r="B390">
        <v>1</v>
      </c>
      <c r="C390" t="str">
        <f>"43000"</f>
        <v>43000</v>
      </c>
      <c r="D390" t="str">
        <f>"5740"</f>
        <v>5740</v>
      </c>
      <c r="E390" t="str">
        <f>"850LOS"</f>
        <v>850LOS</v>
      </c>
      <c r="F390" t="str">
        <f>""</f>
        <v/>
      </c>
      <c r="G390" t="str">
        <f>""</f>
        <v/>
      </c>
      <c r="H390" s="1">
        <v>39295</v>
      </c>
      <c r="I390" t="str">
        <f>"PCD00280"</f>
        <v>PCD00280</v>
      </c>
      <c r="J390" t="str">
        <f>"62791"</f>
        <v>62791</v>
      </c>
      <c r="K390" t="str">
        <f>"AS89"</f>
        <v>AS89</v>
      </c>
      <c r="L390" t="s">
        <v>767</v>
      </c>
      <c r="M390">
        <v>469.49</v>
      </c>
    </row>
    <row r="391" spans="1:13" x14ac:dyDescent="0.25">
      <c r="A391" t="str">
        <f t="shared" si="103"/>
        <v>E404</v>
      </c>
      <c r="B391">
        <v>1</v>
      </c>
      <c r="C391" t="str">
        <f>"43000"</f>
        <v>43000</v>
      </c>
      <c r="D391" t="str">
        <f>"5740"</f>
        <v>5740</v>
      </c>
      <c r="E391" t="str">
        <f>"850PKE"</f>
        <v>850PKE</v>
      </c>
      <c r="F391" t="str">
        <f>""</f>
        <v/>
      </c>
      <c r="G391" t="str">
        <f>""</f>
        <v/>
      </c>
      <c r="H391" s="1">
        <v>39300</v>
      </c>
      <c r="I391" t="str">
        <f>"Q24466"</f>
        <v>Q24466</v>
      </c>
      <c r="J391" t="str">
        <f>""</f>
        <v/>
      </c>
      <c r="K391" t="str">
        <f>"INNI"</f>
        <v>INNI</v>
      </c>
      <c r="L391" t="s">
        <v>324</v>
      </c>
      <c r="M391">
        <v>133.86000000000001</v>
      </c>
    </row>
    <row r="392" spans="1:13" x14ac:dyDescent="0.25">
      <c r="A392" t="str">
        <f t="shared" si="103"/>
        <v>E404</v>
      </c>
      <c r="B392">
        <v>1</v>
      </c>
      <c r="C392" t="str">
        <f>"43000"</f>
        <v>43000</v>
      </c>
      <c r="D392" t="str">
        <f>"5740"</f>
        <v>5740</v>
      </c>
      <c r="E392" t="str">
        <f>"850PKE"</f>
        <v>850PKE</v>
      </c>
      <c r="F392" t="str">
        <f>""</f>
        <v/>
      </c>
      <c r="G392" t="str">
        <f>""</f>
        <v/>
      </c>
      <c r="H392" s="1">
        <v>39395</v>
      </c>
      <c r="I392" t="str">
        <f>"PCD00292"</f>
        <v>PCD00292</v>
      </c>
      <c r="J392" t="str">
        <f>"68323"</f>
        <v>68323</v>
      </c>
      <c r="K392" t="str">
        <f>"AS89"</f>
        <v>AS89</v>
      </c>
      <c r="L392" t="s">
        <v>766</v>
      </c>
      <c r="M392">
        <v>171.84</v>
      </c>
    </row>
    <row r="393" spans="1:13" x14ac:dyDescent="0.25">
      <c r="A393" t="str">
        <f>"E405"</f>
        <v>E405</v>
      </c>
      <c r="B393">
        <v>1</v>
      </c>
      <c r="C393" t="str">
        <f>"14185"</f>
        <v>14185</v>
      </c>
      <c r="D393" t="str">
        <f>"5620"</f>
        <v>5620</v>
      </c>
      <c r="E393" t="str">
        <f>"094OMS"</f>
        <v>094OMS</v>
      </c>
      <c r="F393" t="str">
        <f>""</f>
        <v/>
      </c>
      <c r="G393" t="str">
        <f>""</f>
        <v/>
      </c>
      <c r="H393" s="1">
        <v>39581</v>
      </c>
      <c r="I393" t="str">
        <f>"409313A"</f>
        <v>409313A</v>
      </c>
      <c r="J393" t="str">
        <f>"F125308"</f>
        <v>F125308</v>
      </c>
      <c r="K393" t="str">
        <f>"INEI"</f>
        <v>INEI</v>
      </c>
      <c r="L393" t="s">
        <v>220</v>
      </c>
      <c r="M393">
        <v>142.03</v>
      </c>
    </row>
    <row r="394" spans="1:13" x14ac:dyDescent="0.25">
      <c r="A394" t="str">
        <f t="shared" ref="A394:A399" si="107">"E407"</f>
        <v>E407</v>
      </c>
      <c r="B394">
        <v>1</v>
      </c>
      <c r="C394" t="str">
        <f>"14185"</f>
        <v>14185</v>
      </c>
      <c r="D394" t="str">
        <f>"5620"</f>
        <v>5620</v>
      </c>
      <c r="E394" t="str">
        <f>"094OMS"</f>
        <v>094OMS</v>
      </c>
      <c r="F394" t="str">
        <f>""</f>
        <v/>
      </c>
      <c r="G394" t="str">
        <f>""</f>
        <v/>
      </c>
      <c r="H394" s="1">
        <v>39351</v>
      </c>
      <c r="I394" t="str">
        <f>"C5X2FJX4"</f>
        <v>C5X2FJX4</v>
      </c>
      <c r="J394" t="str">
        <f>"F113838"</f>
        <v>F113838</v>
      </c>
      <c r="K394" t="str">
        <f>"INEI"</f>
        <v>INEI</v>
      </c>
      <c r="L394" t="s">
        <v>349</v>
      </c>
      <c r="M394" s="2">
        <v>1436.35</v>
      </c>
    </row>
    <row r="395" spans="1:13" x14ac:dyDescent="0.25">
      <c r="A395" t="str">
        <f t="shared" si="107"/>
        <v>E407</v>
      </c>
      <c r="B395">
        <v>1</v>
      </c>
      <c r="C395" t="str">
        <f>"14676"</f>
        <v>14676</v>
      </c>
      <c r="D395" t="str">
        <f>"5620"</f>
        <v>5620</v>
      </c>
      <c r="E395" t="str">
        <f>"011EQP"</f>
        <v>011EQP</v>
      </c>
      <c r="F395" t="str">
        <f>""</f>
        <v/>
      </c>
      <c r="G395" t="str">
        <f>""</f>
        <v/>
      </c>
      <c r="H395" s="1">
        <v>39458</v>
      </c>
      <c r="I395" t="str">
        <f>"CC4D4KN7"</f>
        <v>CC4D4KN7</v>
      </c>
      <c r="J395" t="str">
        <f>"F110500C"</f>
        <v>F110500C</v>
      </c>
      <c r="K395" t="str">
        <f>"INEI"</f>
        <v>INEI</v>
      </c>
      <c r="L395" t="s">
        <v>349</v>
      </c>
      <c r="M395" s="2">
        <v>6419.44</v>
      </c>
    </row>
    <row r="396" spans="1:13" x14ac:dyDescent="0.25">
      <c r="A396" t="str">
        <f t="shared" si="107"/>
        <v>E407</v>
      </c>
      <c r="B396">
        <v>1</v>
      </c>
      <c r="C396" t="str">
        <f>"14676"</f>
        <v>14676</v>
      </c>
      <c r="D396" t="str">
        <f>"5620"</f>
        <v>5620</v>
      </c>
      <c r="E396" t="str">
        <f>"011EQP"</f>
        <v>011EQP</v>
      </c>
      <c r="F396" t="str">
        <f>""</f>
        <v/>
      </c>
      <c r="G396" t="str">
        <f>""</f>
        <v/>
      </c>
      <c r="H396" s="1">
        <v>39619</v>
      </c>
      <c r="I396" t="str">
        <f>"G0812172"</f>
        <v>G0812172</v>
      </c>
      <c r="J396" t="str">
        <f>"F113838"</f>
        <v>F113838</v>
      </c>
      <c r="K396" t="str">
        <f>"J096"</f>
        <v>J096</v>
      </c>
      <c r="L396" t="s">
        <v>765</v>
      </c>
      <c r="M396" s="2">
        <v>1436.35</v>
      </c>
    </row>
    <row r="397" spans="1:13" x14ac:dyDescent="0.25">
      <c r="A397" t="str">
        <f t="shared" si="107"/>
        <v>E407</v>
      </c>
      <c r="B397">
        <v>1</v>
      </c>
      <c r="C397" t="str">
        <f>"31040"</f>
        <v>31040</v>
      </c>
      <c r="D397" t="str">
        <f>"5620"</f>
        <v>5620</v>
      </c>
      <c r="E397" t="str">
        <f>"094OMS"</f>
        <v>094OMS</v>
      </c>
      <c r="F397" t="str">
        <f>""</f>
        <v/>
      </c>
      <c r="G397" t="str">
        <f>""</f>
        <v/>
      </c>
      <c r="H397" s="1">
        <v>39322</v>
      </c>
      <c r="I397" t="str">
        <f>"151222A"</f>
        <v>151222A</v>
      </c>
      <c r="J397" t="str">
        <f>"F113835"</f>
        <v>F113835</v>
      </c>
      <c r="K397" t="str">
        <f>"INEI"</f>
        <v>INEI</v>
      </c>
      <c r="L397" t="s">
        <v>764</v>
      </c>
      <c r="M397">
        <v>396.19</v>
      </c>
    </row>
    <row r="398" spans="1:13" x14ac:dyDescent="0.25">
      <c r="A398" t="str">
        <f t="shared" si="107"/>
        <v>E407</v>
      </c>
      <c r="B398">
        <v>1</v>
      </c>
      <c r="C398" t="str">
        <f>"43000"</f>
        <v>43000</v>
      </c>
      <c r="D398" t="str">
        <f>"5740"</f>
        <v>5740</v>
      </c>
      <c r="E398" t="str">
        <f>"850PKE"</f>
        <v>850PKE</v>
      </c>
      <c r="F398" t="str">
        <f>""</f>
        <v/>
      </c>
      <c r="G398" t="str">
        <f>""</f>
        <v/>
      </c>
      <c r="H398" s="1">
        <v>39395</v>
      </c>
      <c r="I398" t="str">
        <f>"43242735"</f>
        <v>43242735</v>
      </c>
      <c r="J398" t="str">
        <f>"F113855"</f>
        <v>F113855</v>
      </c>
      <c r="K398" t="str">
        <f>"INEI"</f>
        <v>INEI</v>
      </c>
      <c r="L398" t="s">
        <v>348</v>
      </c>
      <c r="M398">
        <v>496.47</v>
      </c>
    </row>
    <row r="399" spans="1:13" x14ac:dyDescent="0.25">
      <c r="A399" t="str">
        <f t="shared" si="107"/>
        <v>E407</v>
      </c>
      <c r="B399">
        <v>1</v>
      </c>
      <c r="C399" t="str">
        <f>"43003"</f>
        <v>43003</v>
      </c>
      <c r="D399" t="str">
        <f>"5740"</f>
        <v>5740</v>
      </c>
      <c r="E399" t="str">
        <f>"850LOS"</f>
        <v>850LOS</v>
      </c>
      <c r="F399" t="str">
        <f>""</f>
        <v/>
      </c>
      <c r="G399" t="str">
        <f>""</f>
        <v/>
      </c>
      <c r="H399" s="1">
        <v>39626</v>
      </c>
      <c r="I399" t="str">
        <f>"PCD00323"</f>
        <v>PCD00323</v>
      </c>
      <c r="J399" t="str">
        <f>"81286"</f>
        <v>81286</v>
      </c>
      <c r="K399" t="str">
        <f>"AS89"</f>
        <v>AS89</v>
      </c>
      <c r="L399" t="s">
        <v>763</v>
      </c>
      <c r="M399">
        <v>433.6</v>
      </c>
    </row>
    <row r="400" spans="1:13" x14ac:dyDescent="0.25">
      <c r="A400" t="str">
        <f>"E408"</f>
        <v>E408</v>
      </c>
      <c r="B400">
        <v>1</v>
      </c>
      <c r="C400" t="str">
        <f>"14185"</f>
        <v>14185</v>
      </c>
      <c r="D400" t="str">
        <f>"5620"</f>
        <v>5620</v>
      </c>
      <c r="E400" t="str">
        <f>"094OMS"</f>
        <v>094OMS</v>
      </c>
      <c r="F400" t="str">
        <f>""</f>
        <v/>
      </c>
      <c r="G400" t="str">
        <f>""</f>
        <v/>
      </c>
      <c r="H400" s="1">
        <v>39430</v>
      </c>
      <c r="I400" t="str">
        <f>"PCD00295"</f>
        <v>PCD00295</v>
      </c>
      <c r="J400" t="str">
        <f>"69299"</f>
        <v>69299</v>
      </c>
      <c r="K400" t="str">
        <f>"AS89"</f>
        <v>AS89</v>
      </c>
      <c r="L400" t="s">
        <v>762</v>
      </c>
      <c r="M400">
        <v>539</v>
      </c>
    </row>
    <row r="401" spans="1:13" x14ac:dyDescent="0.25">
      <c r="A401" t="str">
        <f>"E408"</f>
        <v>E408</v>
      </c>
      <c r="B401">
        <v>1</v>
      </c>
      <c r="C401" t="str">
        <f>"14185"</f>
        <v>14185</v>
      </c>
      <c r="D401" t="str">
        <f>"5620"</f>
        <v>5620</v>
      </c>
      <c r="E401" t="str">
        <f>"094OMS"</f>
        <v>094OMS</v>
      </c>
      <c r="F401" t="str">
        <f>""</f>
        <v/>
      </c>
      <c r="G401" t="str">
        <f>""</f>
        <v/>
      </c>
      <c r="H401" s="1">
        <v>39430</v>
      </c>
      <c r="I401" t="str">
        <f>"PCD00295"</f>
        <v>PCD00295</v>
      </c>
      <c r="J401" t="str">
        <f>"70147"</f>
        <v>70147</v>
      </c>
      <c r="K401" t="str">
        <f>"AS89"</f>
        <v>AS89</v>
      </c>
      <c r="L401" t="s">
        <v>761</v>
      </c>
      <c r="M401">
        <v>131.80000000000001</v>
      </c>
    </row>
    <row r="402" spans="1:13" x14ac:dyDescent="0.25">
      <c r="A402" t="str">
        <f>"E408"</f>
        <v>E408</v>
      </c>
      <c r="B402">
        <v>1</v>
      </c>
      <c r="C402" t="str">
        <f>"14185"</f>
        <v>14185</v>
      </c>
      <c r="D402" t="str">
        <f>"5620"</f>
        <v>5620</v>
      </c>
      <c r="E402" t="str">
        <f>"094OMS"</f>
        <v>094OMS</v>
      </c>
      <c r="F402" t="str">
        <f>""</f>
        <v/>
      </c>
      <c r="G402" t="str">
        <f>""</f>
        <v/>
      </c>
      <c r="H402" s="1">
        <v>39444</v>
      </c>
      <c r="I402" t="str">
        <f>"PCD00297"</f>
        <v>PCD00297</v>
      </c>
      <c r="J402" t="str">
        <f>"70638"</f>
        <v>70638</v>
      </c>
      <c r="K402" t="str">
        <f>"AS89"</f>
        <v>AS89</v>
      </c>
      <c r="L402" t="s">
        <v>760</v>
      </c>
      <c r="M402">
        <v>387.33</v>
      </c>
    </row>
    <row r="403" spans="1:13" x14ac:dyDescent="0.25">
      <c r="A403" t="str">
        <f>"E408"</f>
        <v>E408</v>
      </c>
      <c r="B403">
        <v>1</v>
      </c>
      <c r="C403" t="str">
        <f>"14676"</f>
        <v>14676</v>
      </c>
      <c r="D403" t="str">
        <f>"5620"</f>
        <v>5620</v>
      </c>
      <c r="E403" t="str">
        <f>"011EQP"</f>
        <v>011EQP</v>
      </c>
      <c r="F403" t="str">
        <f>""</f>
        <v/>
      </c>
      <c r="G403" t="str">
        <f>""</f>
        <v/>
      </c>
      <c r="H403" s="1">
        <v>39619</v>
      </c>
      <c r="I403" t="str">
        <f>"G0812172"</f>
        <v>G0812172</v>
      </c>
      <c r="J403" t="str">
        <f>""</f>
        <v/>
      </c>
      <c r="K403" t="str">
        <f t="shared" ref="K403:K415" si="108">"J096"</f>
        <v>J096</v>
      </c>
      <c r="L403" t="s">
        <v>759</v>
      </c>
      <c r="M403">
        <v>716.08</v>
      </c>
    </row>
    <row r="404" spans="1:13" x14ac:dyDescent="0.25">
      <c r="A404" t="str">
        <f>"E491"</f>
        <v>E491</v>
      </c>
      <c r="B404">
        <v>1</v>
      </c>
      <c r="C404" t="str">
        <f>"43007"</f>
        <v>43007</v>
      </c>
      <c r="D404" t="str">
        <f t="shared" ref="D404:D415" si="109">"5740"</f>
        <v>5740</v>
      </c>
      <c r="E404" t="str">
        <f>"850GAR"</f>
        <v>850GAR</v>
      </c>
      <c r="F404" t="str">
        <f>""</f>
        <v/>
      </c>
      <c r="G404" t="str">
        <f>""</f>
        <v/>
      </c>
      <c r="H404" s="1">
        <v>39629</v>
      </c>
      <c r="I404" t="str">
        <f>"G0814178"</f>
        <v>G0814178</v>
      </c>
      <c r="J404" t="str">
        <f>""</f>
        <v/>
      </c>
      <c r="K404" t="str">
        <f t="shared" si="108"/>
        <v>J096</v>
      </c>
      <c r="L404" t="s">
        <v>755</v>
      </c>
      <c r="M404" s="2">
        <v>36358.949999999997</v>
      </c>
    </row>
    <row r="405" spans="1:13" x14ac:dyDescent="0.25">
      <c r="A405" t="str">
        <f>"E491"</f>
        <v>E491</v>
      </c>
      <c r="B405">
        <v>1</v>
      </c>
      <c r="C405" t="str">
        <f t="shared" ref="C405:C413" si="110">"54551"</f>
        <v>54551</v>
      </c>
      <c r="D405" t="str">
        <f t="shared" si="109"/>
        <v>5740</v>
      </c>
      <c r="E405" t="str">
        <f t="shared" ref="E405:E413" si="111">"111ZAA"</f>
        <v>111ZAA</v>
      </c>
      <c r="F405" t="str">
        <f>"GRADPR"</f>
        <v>GRADPR</v>
      </c>
      <c r="G405" t="str">
        <f>""</f>
        <v/>
      </c>
      <c r="H405" s="1">
        <v>39589</v>
      </c>
      <c r="I405" t="str">
        <f>"G0811092"</f>
        <v>G0811092</v>
      </c>
      <c r="J405" t="str">
        <f>""</f>
        <v/>
      </c>
      <c r="K405" t="str">
        <f t="shared" si="108"/>
        <v>J096</v>
      </c>
      <c r="L405" t="s">
        <v>758</v>
      </c>
      <c r="M405" s="2">
        <v>21126.02</v>
      </c>
    </row>
    <row r="406" spans="1:13" x14ac:dyDescent="0.25">
      <c r="A406" t="str">
        <f t="shared" ref="A406:A413" si="112">"E530"</f>
        <v>E530</v>
      </c>
      <c r="B406">
        <v>1</v>
      </c>
      <c r="C406" t="str">
        <f t="shared" si="110"/>
        <v>54551</v>
      </c>
      <c r="D406" t="str">
        <f t="shared" si="109"/>
        <v>5740</v>
      </c>
      <c r="E406" t="str">
        <f t="shared" si="111"/>
        <v>111ZAA</v>
      </c>
      <c r="F406" t="str">
        <f>"GRAADM"</f>
        <v>GRAADM</v>
      </c>
      <c r="G406" t="str">
        <f>""</f>
        <v/>
      </c>
      <c r="H406" s="1">
        <v>39327</v>
      </c>
      <c r="I406" t="str">
        <f>"G0803123"</f>
        <v>G0803123</v>
      </c>
      <c r="J406" t="str">
        <f>""</f>
        <v/>
      </c>
      <c r="K406" t="str">
        <f t="shared" si="108"/>
        <v>J096</v>
      </c>
      <c r="L406" t="s">
        <v>756</v>
      </c>
      <c r="M406">
        <v>109.44</v>
      </c>
    </row>
    <row r="407" spans="1:13" x14ac:dyDescent="0.25">
      <c r="A407" t="str">
        <f t="shared" si="112"/>
        <v>E530</v>
      </c>
      <c r="B407">
        <v>1</v>
      </c>
      <c r="C407" t="str">
        <f t="shared" si="110"/>
        <v>54551</v>
      </c>
      <c r="D407" t="str">
        <f t="shared" si="109"/>
        <v>5740</v>
      </c>
      <c r="E407" t="str">
        <f t="shared" si="111"/>
        <v>111ZAA</v>
      </c>
      <c r="F407" t="str">
        <f>"GRAADM"</f>
        <v>GRAADM</v>
      </c>
      <c r="G407" t="str">
        <f>""</f>
        <v/>
      </c>
      <c r="H407" s="1">
        <v>39497</v>
      </c>
      <c r="I407" t="str">
        <f>"G0808046"</f>
        <v>G0808046</v>
      </c>
      <c r="J407" t="str">
        <f>""</f>
        <v/>
      </c>
      <c r="K407" t="str">
        <f t="shared" si="108"/>
        <v>J096</v>
      </c>
      <c r="L407" t="s">
        <v>756</v>
      </c>
      <c r="M407" s="2">
        <v>37991.910000000003</v>
      </c>
    </row>
    <row r="408" spans="1:13" x14ac:dyDescent="0.25">
      <c r="A408" t="str">
        <f t="shared" si="112"/>
        <v>E530</v>
      </c>
      <c r="B408">
        <v>1</v>
      </c>
      <c r="C408" t="str">
        <f t="shared" si="110"/>
        <v>54551</v>
      </c>
      <c r="D408" t="str">
        <f t="shared" si="109"/>
        <v>5740</v>
      </c>
      <c r="E408" t="str">
        <f t="shared" si="111"/>
        <v>111ZAA</v>
      </c>
      <c r="F408" t="str">
        <f>"GRACPR"</f>
        <v>GRACPR</v>
      </c>
      <c r="G408" t="str">
        <f>""</f>
        <v/>
      </c>
      <c r="H408" s="1">
        <v>39327</v>
      </c>
      <c r="I408" t="str">
        <f>"G0803123"</f>
        <v>G0803123</v>
      </c>
      <c r="J408" t="str">
        <f>""</f>
        <v/>
      </c>
      <c r="K408" t="str">
        <f t="shared" si="108"/>
        <v>J096</v>
      </c>
      <c r="L408" t="s">
        <v>756</v>
      </c>
      <c r="M408" s="2">
        <v>286338.59999999998</v>
      </c>
    </row>
    <row r="409" spans="1:13" x14ac:dyDescent="0.25">
      <c r="A409" t="str">
        <f t="shared" si="112"/>
        <v>E530</v>
      </c>
      <c r="B409">
        <v>1</v>
      </c>
      <c r="C409" t="str">
        <f t="shared" si="110"/>
        <v>54551</v>
      </c>
      <c r="D409" t="str">
        <f t="shared" si="109"/>
        <v>5740</v>
      </c>
      <c r="E409" t="str">
        <f t="shared" si="111"/>
        <v>111ZAA</v>
      </c>
      <c r="F409" t="str">
        <f>"GRACPR"</f>
        <v>GRACPR</v>
      </c>
      <c r="G409" t="str">
        <f>""</f>
        <v/>
      </c>
      <c r="H409" s="1">
        <v>39405</v>
      </c>
      <c r="I409" t="str">
        <f>"G0805093"</f>
        <v>G0805093</v>
      </c>
      <c r="J409" t="str">
        <f>""</f>
        <v/>
      </c>
      <c r="K409" t="str">
        <f t="shared" si="108"/>
        <v>J096</v>
      </c>
      <c r="L409" t="s">
        <v>757</v>
      </c>
      <c r="M409" s="2">
        <v>137889.14000000001</v>
      </c>
    </row>
    <row r="410" spans="1:13" x14ac:dyDescent="0.25">
      <c r="A410" t="str">
        <f t="shared" si="112"/>
        <v>E530</v>
      </c>
      <c r="B410">
        <v>1</v>
      </c>
      <c r="C410" t="str">
        <f t="shared" si="110"/>
        <v>54551</v>
      </c>
      <c r="D410" t="str">
        <f t="shared" si="109"/>
        <v>5740</v>
      </c>
      <c r="E410" t="str">
        <f t="shared" si="111"/>
        <v>111ZAA</v>
      </c>
      <c r="F410" t="str">
        <f>"GRACPR"</f>
        <v>GRACPR</v>
      </c>
      <c r="G410" t="str">
        <f>""</f>
        <v/>
      </c>
      <c r="H410" s="1">
        <v>39497</v>
      </c>
      <c r="I410" t="str">
        <f>"G0808046"</f>
        <v>G0808046</v>
      </c>
      <c r="J410" t="str">
        <f>""</f>
        <v/>
      </c>
      <c r="K410" t="str">
        <f t="shared" si="108"/>
        <v>J096</v>
      </c>
      <c r="L410" t="s">
        <v>756</v>
      </c>
      <c r="M410" s="2">
        <v>9197.1</v>
      </c>
    </row>
    <row r="411" spans="1:13" x14ac:dyDescent="0.25">
      <c r="A411" t="str">
        <f t="shared" si="112"/>
        <v>E530</v>
      </c>
      <c r="B411">
        <v>1</v>
      </c>
      <c r="C411" t="str">
        <f t="shared" si="110"/>
        <v>54551</v>
      </c>
      <c r="D411" t="str">
        <f t="shared" si="109"/>
        <v>5740</v>
      </c>
      <c r="E411" t="str">
        <f t="shared" si="111"/>
        <v>111ZAA</v>
      </c>
      <c r="F411" t="str">
        <f>"GRADPR"</f>
        <v>GRADPR</v>
      </c>
      <c r="G411" t="str">
        <f>""</f>
        <v/>
      </c>
      <c r="H411" s="1">
        <v>39327</v>
      </c>
      <c r="I411" t="str">
        <f>"G0803123"</f>
        <v>G0803123</v>
      </c>
      <c r="J411" t="str">
        <f>""</f>
        <v/>
      </c>
      <c r="K411" t="str">
        <f t="shared" si="108"/>
        <v>J096</v>
      </c>
      <c r="L411" t="s">
        <v>756</v>
      </c>
      <c r="M411" s="2">
        <v>14725.01</v>
      </c>
    </row>
    <row r="412" spans="1:13" x14ac:dyDescent="0.25">
      <c r="A412" t="str">
        <f t="shared" si="112"/>
        <v>E530</v>
      </c>
      <c r="B412">
        <v>1</v>
      </c>
      <c r="C412" t="str">
        <f t="shared" si="110"/>
        <v>54551</v>
      </c>
      <c r="D412" t="str">
        <f t="shared" si="109"/>
        <v>5740</v>
      </c>
      <c r="E412" t="str">
        <f t="shared" si="111"/>
        <v>111ZAA</v>
      </c>
      <c r="F412" t="str">
        <f>"GRADPR"</f>
        <v>GRADPR</v>
      </c>
      <c r="G412" t="str">
        <f>""</f>
        <v/>
      </c>
      <c r="H412" s="1">
        <v>39405</v>
      </c>
      <c r="I412" t="str">
        <f>"G0805093"</f>
        <v>G0805093</v>
      </c>
      <c r="J412" t="str">
        <f>""</f>
        <v/>
      </c>
      <c r="K412" t="str">
        <f t="shared" si="108"/>
        <v>J096</v>
      </c>
      <c r="L412" t="s">
        <v>757</v>
      </c>
      <c r="M412" s="2">
        <v>4364.93</v>
      </c>
    </row>
    <row r="413" spans="1:13" x14ac:dyDescent="0.25">
      <c r="A413" t="str">
        <f t="shared" si="112"/>
        <v>E530</v>
      </c>
      <c r="B413">
        <v>1</v>
      </c>
      <c r="C413" t="str">
        <f t="shared" si="110"/>
        <v>54551</v>
      </c>
      <c r="D413" t="str">
        <f t="shared" si="109"/>
        <v>5740</v>
      </c>
      <c r="E413" t="str">
        <f t="shared" si="111"/>
        <v>111ZAA</v>
      </c>
      <c r="F413" t="str">
        <f>"GRADPR"</f>
        <v>GRADPR</v>
      </c>
      <c r="G413" t="str">
        <f>""</f>
        <v/>
      </c>
      <c r="H413" s="1">
        <v>39497</v>
      </c>
      <c r="I413" t="str">
        <f>"G0808046"</f>
        <v>G0808046</v>
      </c>
      <c r="J413" t="str">
        <f>""</f>
        <v/>
      </c>
      <c r="K413" t="str">
        <f t="shared" si="108"/>
        <v>J096</v>
      </c>
      <c r="L413" t="s">
        <v>756</v>
      </c>
      <c r="M413" s="2">
        <v>28042.81</v>
      </c>
    </row>
    <row r="414" spans="1:13" x14ac:dyDescent="0.25">
      <c r="A414" t="str">
        <f>"E534"</f>
        <v>E534</v>
      </c>
      <c r="B414">
        <v>1</v>
      </c>
      <c r="C414" t="str">
        <f>"43007"</f>
        <v>43007</v>
      </c>
      <c r="D414" t="str">
        <f t="shared" si="109"/>
        <v>5740</v>
      </c>
      <c r="E414" t="str">
        <f>"850GAR"</f>
        <v>850GAR</v>
      </c>
      <c r="F414" t="str">
        <f>""</f>
        <v/>
      </c>
      <c r="G414" t="str">
        <f>""</f>
        <v/>
      </c>
      <c r="H414" s="1">
        <v>39629</v>
      </c>
      <c r="I414" t="str">
        <f>"G0814178"</f>
        <v>G0814178</v>
      </c>
      <c r="J414" t="str">
        <f>""</f>
        <v/>
      </c>
      <c r="K414" t="str">
        <f t="shared" si="108"/>
        <v>J096</v>
      </c>
      <c r="L414" t="s">
        <v>755</v>
      </c>
      <c r="M414" s="2">
        <v>1734.16</v>
      </c>
    </row>
    <row r="415" spans="1:13" x14ac:dyDescent="0.25">
      <c r="A415" t="str">
        <f>"E536"</f>
        <v>E536</v>
      </c>
      <c r="B415">
        <v>1</v>
      </c>
      <c r="C415" t="str">
        <f>"43007"</f>
        <v>43007</v>
      </c>
      <c r="D415" t="str">
        <f t="shared" si="109"/>
        <v>5740</v>
      </c>
      <c r="E415" t="str">
        <f>"850GAR"</f>
        <v>850GAR</v>
      </c>
      <c r="F415" t="str">
        <f>""</f>
        <v/>
      </c>
      <c r="G415" t="str">
        <f>""</f>
        <v/>
      </c>
      <c r="H415" s="1">
        <v>39629</v>
      </c>
      <c r="I415" t="str">
        <f>"G0814178"</f>
        <v>G0814178</v>
      </c>
      <c r="J415" t="str">
        <f>""</f>
        <v/>
      </c>
      <c r="K415" t="str">
        <f t="shared" si="108"/>
        <v>J096</v>
      </c>
      <c r="L415" t="s">
        <v>755</v>
      </c>
      <c r="M415">
        <v>539.03</v>
      </c>
    </row>
    <row r="416" spans="1:13" x14ac:dyDescent="0.25">
      <c r="A416" t="str">
        <f>"E999"</f>
        <v>E999</v>
      </c>
      <c r="B416">
        <v>1</v>
      </c>
      <c r="C416" t="str">
        <f>"14185"</f>
        <v>14185</v>
      </c>
      <c r="D416" t="str">
        <f>"5620"</f>
        <v>5620</v>
      </c>
      <c r="E416" t="str">
        <f>"094OMS"</f>
        <v>094OMS</v>
      </c>
      <c r="F416" t="str">
        <f>""</f>
        <v/>
      </c>
      <c r="G416" t="str">
        <f>""</f>
        <v/>
      </c>
      <c r="H416" s="1">
        <v>39295</v>
      </c>
      <c r="I416" t="str">
        <f>"PCD00280"</f>
        <v>PCD00280</v>
      </c>
      <c r="J416" t="str">
        <f>"62793"</f>
        <v>62793</v>
      </c>
      <c r="K416" t="str">
        <f>"AS89"</f>
        <v>AS89</v>
      </c>
      <c r="L416" t="s">
        <v>752</v>
      </c>
      <c r="M416">
        <v>119.45</v>
      </c>
    </row>
    <row r="417" spans="1:13" x14ac:dyDescent="0.25">
      <c r="A417" t="str">
        <f>"E999"</f>
        <v>E999</v>
      </c>
      <c r="B417">
        <v>1</v>
      </c>
      <c r="C417" t="str">
        <f>"14185"</f>
        <v>14185</v>
      </c>
      <c r="D417" t="str">
        <f>"5620"</f>
        <v>5620</v>
      </c>
      <c r="E417" t="str">
        <f>"094OMS"</f>
        <v>094OMS</v>
      </c>
      <c r="F417" t="str">
        <f>""</f>
        <v/>
      </c>
      <c r="G417" t="str">
        <f>""</f>
        <v/>
      </c>
      <c r="H417" s="1">
        <v>39345</v>
      </c>
      <c r="I417" t="str">
        <f>"PCD00284"</f>
        <v>PCD00284</v>
      </c>
      <c r="J417" t="str">
        <f>"64804"</f>
        <v>64804</v>
      </c>
      <c r="K417" t="str">
        <f>"AS89"</f>
        <v>AS89</v>
      </c>
      <c r="L417" t="s">
        <v>751</v>
      </c>
      <c r="M417">
        <v>173.15</v>
      </c>
    </row>
    <row r="418" spans="1:13" x14ac:dyDescent="0.25">
      <c r="A418" t="str">
        <f t="shared" ref="A418:A428" si="113">"J111"</f>
        <v>J111</v>
      </c>
      <c r="B418">
        <v>1</v>
      </c>
      <c r="C418" t="str">
        <f>"14185"</f>
        <v>14185</v>
      </c>
      <c r="D418" t="str">
        <f>"5620"</f>
        <v>5620</v>
      </c>
      <c r="E418" t="str">
        <f>"094OMS"</f>
        <v>094OMS</v>
      </c>
      <c r="F418" t="str">
        <f>""</f>
        <v/>
      </c>
      <c r="G418" t="str">
        <f>""</f>
        <v/>
      </c>
      <c r="H418" s="1">
        <v>39471</v>
      </c>
      <c r="I418" t="str">
        <f>"C0011393"</f>
        <v>C0011393</v>
      </c>
      <c r="J418" t="str">
        <f>""</f>
        <v/>
      </c>
      <c r="K418" t="str">
        <f t="shared" ref="K418:K424" si="114">"ISSU"</f>
        <v>ISSU</v>
      </c>
      <c r="L418" t="s">
        <v>747</v>
      </c>
      <c r="M418">
        <v>221.12</v>
      </c>
    </row>
    <row r="419" spans="1:13" x14ac:dyDescent="0.25">
      <c r="A419" t="str">
        <f t="shared" si="113"/>
        <v>J111</v>
      </c>
      <c r="B419">
        <v>1</v>
      </c>
      <c r="C419" t="str">
        <f t="shared" ref="C419:C424" si="115">"43000"</f>
        <v>43000</v>
      </c>
      <c r="D419" t="str">
        <f t="shared" ref="D419:D428" si="116">"5740"</f>
        <v>5740</v>
      </c>
      <c r="E419" t="str">
        <f>"850LOS"</f>
        <v>850LOS</v>
      </c>
      <c r="F419" t="str">
        <f>""</f>
        <v/>
      </c>
      <c r="G419" t="str">
        <f>""</f>
        <v/>
      </c>
      <c r="H419" s="1">
        <v>39310</v>
      </c>
      <c r="I419" t="str">
        <f>"C0010634"</f>
        <v>C0010634</v>
      </c>
      <c r="J419" t="str">
        <f>""</f>
        <v/>
      </c>
      <c r="K419" t="str">
        <f t="shared" si="114"/>
        <v>ISSU</v>
      </c>
      <c r="L419" t="s">
        <v>23</v>
      </c>
      <c r="M419">
        <v>214.42</v>
      </c>
    </row>
    <row r="420" spans="1:13" x14ac:dyDescent="0.25">
      <c r="A420" t="str">
        <f t="shared" si="113"/>
        <v>J111</v>
      </c>
      <c r="B420">
        <v>1</v>
      </c>
      <c r="C420" t="str">
        <f t="shared" si="115"/>
        <v>43000</v>
      </c>
      <c r="D420" t="str">
        <f t="shared" si="116"/>
        <v>5740</v>
      </c>
      <c r="E420" t="str">
        <f>"850LOS"</f>
        <v>850LOS</v>
      </c>
      <c r="F420" t="str">
        <f>""</f>
        <v/>
      </c>
      <c r="G420" t="str">
        <f>""</f>
        <v/>
      </c>
      <c r="H420" s="1">
        <v>39363</v>
      </c>
      <c r="I420" t="str">
        <f>"C0010869"</f>
        <v>C0010869</v>
      </c>
      <c r="J420" t="str">
        <f>""</f>
        <v/>
      </c>
      <c r="K420" t="str">
        <f t="shared" si="114"/>
        <v>ISSU</v>
      </c>
      <c r="L420" t="s">
        <v>15</v>
      </c>
      <c r="M420">
        <v>185</v>
      </c>
    </row>
    <row r="421" spans="1:13" x14ac:dyDescent="0.25">
      <c r="A421" t="str">
        <f t="shared" si="113"/>
        <v>J111</v>
      </c>
      <c r="B421">
        <v>1</v>
      </c>
      <c r="C421" t="str">
        <f t="shared" si="115"/>
        <v>43000</v>
      </c>
      <c r="D421" t="str">
        <f t="shared" si="116"/>
        <v>5740</v>
      </c>
      <c r="E421" t="str">
        <f>"850LOS"</f>
        <v>850LOS</v>
      </c>
      <c r="F421" t="str">
        <f>""</f>
        <v/>
      </c>
      <c r="G421" t="str">
        <f>""</f>
        <v/>
      </c>
      <c r="H421" s="1">
        <v>39526</v>
      </c>
      <c r="I421" t="str">
        <f>"C0011713"</f>
        <v>C0011713</v>
      </c>
      <c r="J421" t="str">
        <f>""</f>
        <v/>
      </c>
      <c r="K421" t="str">
        <f t="shared" si="114"/>
        <v>ISSU</v>
      </c>
      <c r="L421" t="s">
        <v>15</v>
      </c>
      <c r="M421">
        <v>194.26</v>
      </c>
    </row>
    <row r="422" spans="1:13" x14ac:dyDescent="0.25">
      <c r="A422" t="str">
        <f t="shared" si="113"/>
        <v>J111</v>
      </c>
      <c r="B422">
        <v>1</v>
      </c>
      <c r="C422" t="str">
        <f t="shared" si="115"/>
        <v>43000</v>
      </c>
      <c r="D422" t="str">
        <f t="shared" si="116"/>
        <v>5740</v>
      </c>
      <c r="E422" t="str">
        <f>"850LOS"</f>
        <v>850LOS</v>
      </c>
      <c r="F422" t="str">
        <f>""</f>
        <v/>
      </c>
      <c r="G422" t="str">
        <f>""</f>
        <v/>
      </c>
      <c r="H422" s="1">
        <v>39574</v>
      </c>
      <c r="I422" t="str">
        <f>"C0011956"</f>
        <v>C0011956</v>
      </c>
      <c r="J422" t="str">
        <f>""</f>
        <v/>
      </c>
      <c r="K422" t="str">
        <f t="shared" si="114"/>
        <v>ISSU</v>
      </c>
      <c r="L422" t="s">
        <v>15</v>
      </c>
      <c r="M422">
        <v>114.46</v>
      </c>
    </row>
    <row r="423" spans="1:13" x14ac:dyDescent="0.25">
      <c r="A423" t="str">
        <f t="shared" si="113"/>
        <v>J111</v>
      </c>
      <c r="B423">
        <v>1</v>
      </c>
      <c r="C423" t="str">
        <f t="shared" si="115"/>
        <v>43000</v>
      </c>
      <c r="D423" t="str">
        <f t="shared" si="116"/>
        <v>5740</v>
      </c>
      <c r="E423" t="str">
        <f>"850LOS"</f>
        <v>850LOS</v>
      </c>
      <c r="F423" t="str">
        <f>""</f>
        <v/>
      </c>
      <c r="G423" t="str">
        <f>""</f>
        <v/>
      </c>
      <c r="H423" s="1">
        <v>39590</v>
      </c>
      <c r="I423" t="str">
        <f>"C0012043"</f>
        <v>C0012043</v>
      </c>
      <c r="J423" t="str">
        <f>""</f>
        <v/>
      </c>
      <c r="K423" t="str">
        <f t="shared" si="114"/>
        <v>ISSU</v>
      </c>
      <c r="L423" t="s">
        <v>15</v>
      </c>
      <c r="M423">
        <v>209.78</v>
      </c>
    </row>
    <row r="424" spans="1:13" x14ac:dyDescent="0.25">
      <c r="A424" t="str">
        <f t="shared" si="113"/>
        <v>J111</v>
      </c>
      <c r="B424">
        <v>1</v>
      </c>
      <c r="C424" t="str">
        <f t="shared" si="115"/>
        <v>43000</v>
      </c>
      <c r="D424" t="str">
        <f t="shared" si="116"/>
        <v>5740</v>
      </c>
      <c r="E424" t="str">
        <f>"850PKE"</f>
        <v>850PKE</v>
      </c>
      <c r="F424" t="str">
        <f>""</f>
        <v/>
      </c>
      <c r="G424" t="str">
        <f>""</f>
        <v/>
      </c>
      <c r="H424" s="1">
        <v>39421</v>
      </c>
      <c r="I424" t="str">
        <f>"C0011170"</f>
        <v>C0011170</v>
      </c>
      <c r="J424" t="str">
        <f>""</f>
        <v/>
      </c>
      <c r="K424" t="str">
        <f t="shared" si="114"/>
        <v>ISSU</v>
      </c>
      <c r="L424" t="s">
        <v>23</v>
      </c>
      <c r="M424">
        <v>238.24</v>
      </c>
    </row>
    <row r="425" spans="1:13" x14ac:dyDescent="0.25">
      <c r="A425" t="str">
        <f t="shared" si="113"/>
        <v>J111</v>
      </c>
      <c r="B425">
        <v>1</v>
      </c>
      <c r="C425" t="str">
        <f>"55070"</f>
        <v>55070</v>
      </c>
      <c r="D425" t="str">
        <f t="shared" si="116"/>
        <v>5740</v>
      </c>
      <c r="E425" t="str">
        <f>"120ZAA"</f>
        <v>120ZAA</v>
      </c>
      <c r="F425" t="str">
        <f>""</f>
        <v/>
      </c>
      <c r="G425" t="str">
        <f>""</f>
        <v/>
      </c>
      <c r="H425" s="1">
        <v>39629</v>
      </c>
      <c r="I425" t="str">
        <f>"BKS01039"</f>
        <v>BKS01039</v>
      </c>
      <c r="J425" t="str">
        <f>"70784"</f>
        <v>70784</v>
      </c>
      <c r="K425" t="str">
        <f t="shared" ref="K425:K456" si="117">"AS89"</f>
        <v>AS89</v>
      </c>
      <c r="L425" t="s">
        <v>746</v>
      </c>
      <c r="M425">
        <v>600</v>
      </c>
    </row>
    <row r="426" spans="1:13" x14ac:dyDescent="0.25">
      <c r="A426" t="str">
        <f t="shared" si="113"/>
        <v>J111</v>
      </c>
      <c r="B426">
        <v>1</v>
      </c>
      <c r="C426" t="str">
        <f>"55070"</f>
        <v>55070</v>
      </c>
      <c r="D426" t="str">
        <f t="shared" si="116"/>
        <v>5740</v>
      </c>
      <c r="E426" t="str">
        <f>"120ZAA"</f>
        <v>120ZAA</v>
      </c>
      <c r="F426" t="str">
        <f>""</f>
        <v/>
      </c>
      <c r="G426" t="str">
        <f>""</f>
        <v/>
      </c>
      <c r="H426" s="1">
        <v>39629</v>
      </c>
      <c r="I426" t="str">
        <f>"BKS01039"</f>
        <v>BKS01039</v>
      </c>
      <c r="J426" t="str">
        <f>"70785"</f>
        <v>70785</v>
      </c>
      <c r="K426" t="str">
        <f t="shared" si="117"/>
        <v>AS89</v>
      </c>
      <c r="L426" t="s">
        <v>746</v>
      </c>
      <c r="M426">
        <v>800</v>
      </c>
    </row>
    <row r="427" spans="1:13" x14ac:dyDescent="0.25">
      <c r="A427" t="str">
        <f t="shared" si="113"/>
        <v>J111</v>
      </c>
      <c r="B427">
        <v>1</v>
      </c>
      <c r="C427" t="str">
        <f>"55729"</f>
        <v>55729</v>
      </c>
      <c r="D427" t="str">
        <f t="shared" si="116"/>
        <v>5740</v>
      </c>
      <c r="E427" t="str">
        <f>"111ZAA"</f>
        <v>111ZAA</v>
      </c>
      <c r="F427" t="str">
        <f>""</f>
        <v/>
      </c>
      <c r="G427" t="str">
        <f>""</f>
        <v/>
      </c>
      <c r="H427" s="1">
        <v>39478</v>
      </c>
      <c r="I427" t="str">
        <f>"BKS01007"</f>
        <v>BKS01007</v>
      </c>
      <c r="J427" t="str">
        <f>"70125"</f>
        <v>70125</v>
      </c>
      <c r="K427" t="str">
        <f t="shared" si="117"/>
        <v>AS89</v>
      </c>
      <c r="L427" t="s">
        <v>746</v>
      </c>
      <c r="M427">
        <v>378</v>
      </c>
    </row>
    <row r="428" spans="1:13" x14ac:dyDescent="0.25">
      <c r="A428" t="str">
        <f t="shared" si="113"/>
        <v>J111</v>
      </c>
      <c r="B428">
        <v>1</v>
      </c>
      <c r="C428" t="str">
        <f>"55729"</f>
        <v>55729</v>
      </c>
      <c r="D428" t="str">
        <f t="shared" si="116"/>
        <v>5740</v>
      </c>
      <c r="E428" t="str">
        <f>"111ZAA"</f>
        <v>111ZAA</v>
      </c>
      <c r="F428" t="str">
        <f>""</f>
        <v/>
      </c>
      <c r="G428" t="str">
        <f>""</f>
        <v/>
      </c>
      <c r="H428" s="1">
        <v>39629</v>
      </c>
      <c r="I428" t="str">
        <f>"BKS01039"</f>
        <v>BKS01039</v>
      </c>
      <c r="J428" t="str">
        <f>"70786"</f>
        <v>70786</v>
      </c>
      <c r="K428" t="str">
        <f t="shared" si="117"/>
        <v>AS89</v>
      </c>
      <c r="L428" t="s">
        <v>746</v>
      </c>
      <c r="M428">
        <v>318</v>
      </c>
    </row>
    <row r="429" spans="1:13" x14ac:dyDescent="0.25">
      <c r="A429" t="str">
        <f t="shared" ref="A429:A460" si="118">"J131"</f>
        <v>J131</v>
      </c>
      <c r="B429">
        <v>1</v>
      </c>
      <c r="C429" t="str">
        <f t="shared" ref="C429:C441" si="119">"14185"</f>
        <v>14185</v>
      </c>
      <c r="D429" t="str">
        <f t="shared" ref="D429:D441" si="120">"5620"</f>
        <v>5620</v>
      </c>
      <c r="E429" t="str">
        <f t="shared" ref="E429:E441" si="121">"094OMS"</f>
        <v>094OMS</v>
      </c>
      <c r="F429" t="str">
        <f>""</f>
        <v/>
      </c>
      <c r="G429" t="str">
        <f>""</f>
        <v/>
      </c>
      <c r="H429" s="1">
        <v>39280</v>
      </c>
      <c r="I429" t="str">
        <f>"TEL00553"</f>
        <v>TEL00553</v>
      </c>
      <c r="J429" t="str">
        <f>""</f>
        <v/>
      </c>
      <c r="K429" t="str">
        <f t="shared" si="117"/>
        <v>AS89</v>
      </c>
      <c r="L429" t="s">
        <v>745</v>
      </c>
      <c r="M429">
        <v>367.7</v>
      </c>
    </row>
    <row r="430" spans="1:13" x14ac:dyDescent="0.25">
      <c r="A430" t="str">
        <f t="shared" si="118"/>
        <v>J131</v>
      </c>
      <c r="B430">
        <v>1</v>
      </c>
      <c r="C430" t="str">
        <f t="shared" si="119"/>
        <v>14185</v>
      </c>
      <c r="D430" t="str">
        <f t="shared" si="120"/>
        <v>5620</v>
      </c>
      <c r="E430" t="str">
        <f t="shared" si="121"/>
        <v>094OMS</v>
      </c>
      <c r="F430" t="str">
        <f>""</f>
        <v/>
      </c>
      <c r="G430" t="str">
        <f>""</f>
        <v/>
      </c>
      <c r="H430" s="1">
        <v>39303</v>
      </c>
      <c r="I430" t="str">
        <f>"TEL00554"</f>
        <v>TEL00554</v>
      </c>
      <c r="J430" t="str">
        <f>""</f>
        <v/>
      </c>
      <c r="K430" t="str">
        <f t="shared" si="117"/>
        <v>AS89</v>
      </c>
      <c r="L430" t="s">
        <v>744</v>
      </c>
      <c r="M430">
        <v>368.51</v>
      </c>
    </row>
    <row r="431" spans="1:13" x14ac:dyDescent="0.25">
      <c r="A431" t="str">
        <f t="shared" si="118"/>
        <v>J131</v>
      </c>
      <c r="B431">
        <v>1</v>
      </c>
      <c r="C431" t="str">
        <f t="shared" si="119"/>
        <v>14185</v>
      </c>
      <c r="D431" t="str">
        <f t="shared" si="120"/>
        <v>5620</v>
      </c>
      <c r="E431" t="str">
        <f t="shared" si="121"/>
        <v>094OMS</v>
      </c>
      <c r="F431" t="str">
        <f>""</f>
        <v/>
      </c>
      <c r="G431" t="str">
        <f>""</f>
        <v/>
      </c>
      <c r="H431" s="1">
        <v>39331</v>
      </c>
      <c r="I431" t="str">
        <f>"TEL00555"</f>
        <v>TEL00555</v>
      </c>
      <c r="J431" t="str">
        <f>""</f>
        <v/>
      </c>
      <c r="K431" t="str">
        <f t="shared" si="117"/>
        <v>AS89</v>
      </c>
      <c r="L431" t="s">
        <v>743</v>
      </c>
      <c r="M431">
        <v>410.19</v>
      </c>
    </row>
    <row r="432" spans="1:13" x14ac:dyDescent="0.25">
      <c r="A432" t="str">
        <f t="shared" si="118"/>
        <v>J131</v>
      </c>
      <c r="B432">
        <v>1</v>
      </c>
      <c r="C432" t="str">
        <f t="shared" si="119"/>
        <v>14185</v>
      </c>
      <c r="D432" t="str">
        <f t="shared" si="120"/>
        <v>5620</v>
      </c>
      <c r="E432" t="str">
        <f t="shared" si="121"/>
        <v>094OMS</v>
      </c>
      <c r="F432" t="str">
        <f>""</f>
        <v/>
      </c>
      <c r="G432" t="str">
        <f>""</f>
        <v/>
      </c>
      <c r="H432" s="1">
        <v>39395</v>
      </c>
      <c r="I432" t="str">
        <f>"TEL00556"</f>
        <v>TEL00556</v>
      </c>
      <c r="J432" t="str">
        <f>""</f>
        <v/>
      </c>
      <c r="K432" t="str">
        <f t="shared" si="117"/>
        <v>AS89</v>
      </c>
      <c r="L432" t="s">
        <v>742</v>
      </c>
      <c r="M432">
        <v>420.45</v>
      </c>
    </row>
    <row r="433" spans="1:13" x14ac:dyDescent="0.25">
      <c r="A433" t="str">
        <f t="shared" si="118"/>
        <v>J131</v>
      </c>
      <c r="B433">
        <v>1</v>
      </c>
      <c r="C433" t="str">
        <f t="shared" si="119"/>
        <v>14185</v>
      </c>
      <c r="D433" t="str">
        <f t="shared" si="120"/>
        <v>5620</v>
      </c>
      <c r="E433" t="str">
        <f t="shared" si="121"/>
        <v>094OMS</v>
      </c>
      <c r="F433" t="str">
        <f>""</f>
        <v/>
      </c>
      <c r="G433" t="str">
        <f>""</f>
        <v/>
      </c>
      <c r="H433" s="1">
        <v>39415</v>
      </c>
      <c r="I433" t="str">
        <f>"TEL00557"</f>
        <v>TEL00557</v>
      </c>
      <c r="J433" t="str">
        <f>""</f>
        <v/>
      </c>
      <c r="K433" t="str">
        <f t="shared" si="117"/>
        <v>AS89</v>
      </c>
      <c r="L433" t="s">
        <v>741</v>
      </c>
      <c r="M433">
        <v>377.5</v>
      </c>
    </row>
    <row r="434" spans="1:13" x14ac:dyDescent="0.25">
      <c r="A434" t="str">
        <f t="shared" si="118"/>
        <v>J131</v>
      </c>
      <c r="B434">
        <v>1</v>
      </c>
      <c r="C434" t="str">
        <f t="shared" si="119"/>
        <v>14185</v>
      </c>
      <c r="D434" t="str">
        <f t="shared" si="120"/>
        <v>5620</v>
      </c>
      <c r="E434" t="str">
        <f t="shared" si="121"/>
        <v>094OMS</v>
      </c>
      <c r="F434" t="str">
        <f>""</f>
        <v/>
      </c>
      <c r="G434" t="str">
        <f>""</f>
        <v/>
      </c>
      <c r="H434" s="1">
        <v>39427</v>
      </c>
      <c r="I434" t="str">
        <f>"TEL00558"</f>
        <v>TEL00558</v>
      </c>
      <c r="J434" t="str">
        <f>""</f>
        <v/>
      </c>
      <c r="K434" t="str">
        <f t="shared" si="117"/>
        <v>AS89</v>
      </c>
      <c r="L434" t="s">
        <v>740</v>
      </c>
      <c r="M434">
        <v>388.84</v>
      </c>
    </row>
    <row r="435" spans="1:13" x14ac:dyDescent="0.25">
      <c r="A435" t="str">
        <f t="shared" si="118"/>
        <v>J131</v>
      </c>
      <c r="B435">
        <v>1</v>
      </c>
      <c r="C435" t="str">
        <f t="shared" si="119"/>
        <v>14185</v>
      </c>
      <c r="D435" t="str">
        <f t="shared" si="120"/>
        <v>5620</v>
      </c>
      <c r="E435" t="str">
        <f t="shared" si="121"/>
        <v>094OMS</v>
      </c>
      <c r="F435" t="str">
        <f>""</f>
        <v/>
      </c>
      <c r="G435" t="str">
        <f>""</f>
        <v/>
      </c>
      <c r="H435" s="1">
        <v>39456</v>
      </c>
      <c r="I435" t="str">
        <f>"TEL00559"</f>
        <v>TEL00559</v>
      </c>
      <c r="J435" t="str">
        <f>""</f>
        <v/>
      </c>
      <c r="K435" t="str">
        <f t="shared" si="117"/>
        <v>AS89</v>
      </c>
      <c r="L435" t="s">
        <v>739</v>
      </c>
      <c r="M435">
        <v>333.04</v>
      </c>
    </row>
    <row r="436" spans="1:13" x14ac:dyDescent="0.25">
      <c r="A436" t="str">
        <f t="shared" si="118"/>
        <v>J131</v>
      </c>
      <c r="B436">
        <v>1</v>
      </c>
      <c r="C436" t="str">
        <f t="shared" si="119"/>
        <v>14185</v>
      </c>
      <c r="D436" t="str">
        <f t="shared" si="120"/>
        <v>5620</v>
      </c>
      <c r="E436" t="str">
        <f t="shared" si="121"/>
        <v>094OMS</v>
      </c>
      <c r="F436" t="str">
        <f>""</f>
        <v/>
      </c>
      <c r="G436" t="str">
        <f>""</f>
        <v/>
      </c>
      <c r="H436" s="1">
        <v>39484</v>
      </c>
      <c r="I436" t="str">
        <f>"TEL00560"</f>
        <v>TEL00560</v>
      </c>
      <c r="J436" t="str">
        <f>""</f>
        <v/>
      </c>
      <c r="K436" t="str">
        <f t="shared" si="117"/>
        <v>AS89</v>
      </c>
      <c r="L436" t="s">
        <v>738</v>
      </c>
      <c r="M436">
        <v>377.49</v>
      </c>
    </row>
    <row r="437" spans="1:13" x14ac:dyDescent="0.25">
      <c r="A437" t="str">
        <f t="shared" si="118"/>
        <v>J131</v>
      </c>
      <c r="B437">
        <v>1</v>
      </c>
      <c r="C437" t="str">
        <f t="shared" si="119"/>
        <v>14185</v>
      </c>
      <c r="D437" t="str">
        <f t="shared" si="120"/>
        <v>5620</v>
      </c>
      <c r="E437" t="str">
        <f t="shared" si="121"/>
        <v>094OMS</v>
      </c>
      <c r="F437" t="str">
        <f>""</f>
        <v/>
      </c>
      <c r="G437" t="str">
        <f>""</f>
        <v/>
      </c>
      <c r="H437" s="1">
        <v>39518</v>
      </c>
      <c r="I437" t="str">
        <f>"TEL00561"</f>
        <v>TEL00561</v>
      </c>
      <c r="J437" t="str">
        <f>""</f>
        <v/>
      </c>
      <c r="K437" t="str">
        <f t="shared" si="117"/>
        <v>AS89</v>
      </c>
      <c r="L437" t="s">
        <v>737</v>
      </c>
      <c r="M437">
        <v>390.46</v>
      </c>
    </row>
    <row r="438" spans="1:13" x14ac:dyDescent="0.25">
      <c r="A438" t="str">
        <f t="shared" si="118"/>
        <v>J131</v>
      </c>
      <c r="B438">
        <v>1</v>
      </c>
      <c r="C438" t="str">
        <f t="shared" si="119"/>
        <v>14185</v>
      </c>
      <c r="D438" t="str">
        <f t="shared" si="120"/>
        <v>5620</v>
      </c>
      <c r="E438" t="str">
        <f t="shared" si="121"/>
        <v>094OMS</v>
      </c>
      <c r="F438" t="str">
        <f>""</f>
        <v/>
      </c>
      <c r="G438" t="str">
        <f>""</f>
        <v/>
      </c>
      <c r="H438" s="1">
        <v>39548</v>
      </c>
      <c r="I438" t="str">
        <f>"TEL00562"</f>
        <v>TEL00562</v>
      </c>
      <c r="J438" t="str">
        <f>""</f>
        <v/>
      </c>
      <c r="K438" t="str">
        <f t="shared" si="117"/>
        <v>AS89</v>
      </c>
      <c r="L438" t="s">
        <v>736</v>
      </c>
      <c r="M438">
        <v>423.54</v>
      </c>
    </row>
    <row r="439" spans="1:13" x14ac:dyDescent="0.25">
      <c r="A439" t="str">
        <f t="shared" si="118"/>
        <v>J131</v>
      </c>
      <c r="B439">
        <v>1</v>
      </c>
      <c r="C439" t="str">
        <f t="shared" si="119"/>
        <v>14185</v>
      </c>
      <c r="D439" t="str">
        <f t="shared" si="120"/>
        <v>5620</v>
      </c>
      <c r="E439" t="str">
        <f t="shared" si="121"/>
        <v>094OMS</v>
      </c>
      <c r="F439" t="str">
        <f>""</f>
        <v/>
      </c>
      <c r="G439" t="str">
        <f>""</f>
        <v/>
      </c>
      <c r="H439" s="1">
        <v>39581</v>
      </c>
      <c r="I439" t="str">
        <f>"TEL00563"</f>
        <v>TEL00563</v>
      </c>
      <c r="J439" t="str">
        <f>""</f>
        <v/>
      </c>
      <c r="K439" t="str">
        <f t="shared" si="117"/>
        <v>AS89</v>
      </c>
      <c r="L439" t="s">
        <v>735</v>
      </c>
      <c r="M439">
        <v>420.92</v>
      </c>
    </row>
    <row r="440" spans="1:13" x14ac:dyDescent="0.25">
      <c r="A440" t="str">
        <f t="shared" si="118"/>
        <v>J131</v>
      </c>
      <c r="B440">
        <v>1</v>
      </c>
      <c r="C440" t="str">
        <f t="shared" si="119"/>
        <v>14185</v>
      </c>
      <c r="D440" t="str">
        <f t="shared" si="120"/>
        <v>5620</v>
      </c>
      <c r="E440" t="str">
        <f t="shared" si="121"/>
        <v>094OMS</v>
      </c>
      <c r="F440" t="str">
        <f>""</f>
        <v/>
      </c>
      <c r="G440" t="str">
        <f>""</f>
        <v/>
      </c>
      <c r="H440" s="1">
        <v>39610</v>
      </c>
      <c r="I440" t="str">
        <f>"TEL00564"</f>
        <v>TEL00564</v>
      </c>
      <c r="J440" t="str">
        <f>""</f>
        <v/>
      </c>
      <c r="K440" t="str">
        <f t="shared" si="117"/>
        <v>AS89</v>
      </c>
      <c r="L440" t="s">
        <v>709</v>
      </c>
      <c r="M440">
        <v>361.51</v>
      </c>
    </row>
    <row r="441" spans="1:13" x14ac:dyDescent="0.25">
      <c r="A441" t="str">
        <f t="shared" si="118"/>
        <v>J131</v>
      </c>
      <c r="B441">
        <v>1</v>
      </c>
      <c r="C441" t="str">
        <f t="shared" si="119"/>
        <v>14185</v>
      </c>
      <c r="D441" t="str">
        <f t="shared" si="120"/>
        <v>5620</v>
      </c>
      <c r="E441" t="str">
        <f t="shared" si="121"/>
        <v>094OMS</v>
      </c>
      <c r="F441" t="str">
        <f>""</f>
        <v/>
      </c>
      <c r="G441" t="str">
        <f>""</f>
        <v/>
      </c>
      <c r="H441" s="1">
        <v>39629</v>
      </c>
      <c r="I441" t="str">
        <f>"TEL00565"</f>
        <v>TEL00565</v>
      </c>
      <c r="J441" t="str">
        <f>""</f>
        <v/>
      </c>
      <c r="K441" t="str">
        <f t="shared" si="117"/>
        <v>AS89</v>
      </c>
      <c r="L441" t="s">
        <v>734</v>
      </c>
      <c r="M441">
        <v>329.56</v>
      </c>
    </row>
    <row r="442" spans="1:13" x14ac:dyDescent="0.25">
      <c r="A442" t="str">
        <f t="shared" si="118"/>
        <v>J131</v>
      </c>
      <c r="B442">
        <v>1</v>
      </c>
      <c r="C442" t="str">
        <f t="shared" ref="C442:C454" si="122">"32040"</f>
        <v>32040</v>
      </c>
      <c r="D442" t="str">
        <f t="shared" ref="D442:D454" si="123">"5610"</f>
        <v>5610</v>
      </c>
      <c r="E442" t="str">
        <f t="shared" ref="E442:E467" si="124">"850LOS"</f>
        <v>850LOS</v>
      </c>
      <c r="F442" t="str">
        <f>""</f>
        <v/>
      </c>
      <c r="G442" t="str">
        <f>""</f>
        <v/>
      </c>
      <c r="H442" s="1">
        <v>39280</v>
      </c>
      <c r="I442" t="str">
        <f>"TEL00553"</f>
        <v>TEL00553</v>
      </c>
      <c r="J442" t="str">
        <f>""</f>
        <v/>
      </c>
      <c r="K442" t="str">
        <f t="shared" si="117"/>
        <v>AS89</v>
      </c>
      <c r="L442" t="s">
        <v>745</v>
      </c>
      <c r="M442">
        <v>258</v>
      </c>
    </row>
    <row r="443" spans="1:13" x14ac:dyDescent="0.25">
      <c r="A443" t="str">
        <f t="shared" si="118"/>
        <v>J131</v>
      </c>
      <c r="B443">
        <v>1</v>
      </c>
      <c r="C443" t="str">
        <f t="shared" si="122"/>
        <v>32040</v>
      </c>
      <c r="D443" t="str">
        <f t="shared" si="123"/>
        <v>5610</v>
      </c>
      <c r="E443" t="str">
        <f t="shared" si="124"/>
        <v>850LOS</v>
      </c>
      <c r="F443" t="str">
        <f>""</f>
        <v/>
      </c>
      <c r="G443" t="str">
        <f>""</f>
        <v/>
      </c>
      <c r="H443" s="1">
        <v>39303</v>
      </c>
      <c r="I443" t="str">
        <f>"TEL00554"</f>
        <v>TEL00554</v>
      </c>
      <c r="J443" t="str">
        <f>""</f>
        <v/>
      </c>
      <c r="K443" t="str">
        <f t="shared" si="117"/>
        <v>AS89</v>
      </c>
      <c r="L443" t="s">
        <v>744</v>
      </c>
      <c r="M443">
        <v>254.97</v>
      </c>
    </row>
    <row r="444" spans="1:13" x14ac:dyDescent="0.25">
      <c r="A444" t="str">
        <f t="shared" si="118"/>
        <v>J131</v>
      </c>
      <c r="B444">
        <v>1</v>
      </c>
      <c r="C444" t="str">
        <f t="shared" si="122"/>
        <v>32040</v>
      </c>
      <c r="D444" t="str">
        <f t="shared" si="123"/>
        <v>5610</v>
      </c>
      <c r="E444" t="str">
        <f t="shared" si="124"/>
        <v>850LOS</v>
      </c>
      <c r="F444" t="str">
        <f>""</f>
        <v/>
      </c>
      <c r="G444" t="str">
        <f>""</f>
        <v/>
      </c>
      <c r="H444" s="1">
        <v>39331</v>
      </c>
      <c r="I444" t="str">
        <f>"TEL00555"</f>
        <v>TEL00555</v>
      </c>
      <c r="J444" t="str">
        <f>""</f>
        <v/>
      </c>
      <c r="K444" t="str">
        <f t="shared" si="117"/>
        <v>AS89</v>
      </c>
      <c r="L444" t="s">
        <v>743</v>
      </c>
      <c r="M444">
        <v>254.84</v>
      </c>
    </row>
    <row r="445" spans="1:13" x14ac:dyDescent="0.25">
      <c r="A445" t="str">
        <f t="shared" si="118"/>
        <v>J131</v>
      </c>
      <c r="B445">
        <v>1</v>
      </c>
      <c r="C445" t="str">
        <f t="shared" si="122"/>
        <v>32040</v>
      </c>
      <c r="D445" t="str">
        <f t="shared" si="123"/>
        <v>5610</v>
      </c>
      <c r="E445" t="str">
        <f t="shared" si="124"/>
        <v>850LOS</v>
      </c>
      <c r="F445" t="str">
        <f>""</f>
        <v/>
      </c>
      <c r="G445" t="str">
        <f>""</f>
        <v/>
      </c>
      <c r="H445" s="1">
        <v>39395</v>
      </c>
      <c r="I445" t="str">
        <f>"TEL00556"</f>
        <v>TEL00556</v>
      </c>
      <c r="J445" t="str">
        <f>""</f>
        <v/>
      </c>
      <c r="K445" t="str">
        <f t="shared" si="117"/>
        <v>AS89</v>
      </c>
      <c r="L445" t="s">
        <v>742</v>
      </c>
      <c r="M445">
        <v>257.20999999999998</v>
      </c>
    </row>
    <row r="446" spans="1:13" x14ac:dyDescent="0.25">
      <c r="A446" t="str">
        <f t="shared" si="118"/>
        <v>J131</v>
      </c>
      <c r="B446">
        <v>1</v>
      </c>
      <c r="C446" t="str">
        <f t="shared" si="122"/>
        <v>32040</v>
      </c>
      <c r="D446" t="str">
        <f t="shared" si="123"/>
        <v>5610</v>
      </c>
      <c r="E446" t="str">
        <f t="shared" si="124"/>
        <v>850LOS</v>
      </c>
      <c r="F446" t="str">
        <f>""</f>
        <v/>
      </c>
      <c r="G446" t="str">
        <f>""</f>
        <v/>
      </c>
      <c r="H446" s="1">
        <v>39415</v>
      </c>
      <c r="I446" t="str">
        <f>"TEL00557"</f>
        <v>TEL00557</v>
      </c>
      <c r="J446" t="str">
        <f>""</f>
        <v/>
      </c>
      <c r="K446" t="str">
        <f t="shared" si="117"/>
        <v>AS89</v>
      </c>
      <c r="L446" t="s">
        <v>741</v>
      </c>
      <c r="M446">
        <v>256.52</v>
      </c>
    </row>
    <row r="447" spans="1:13" x14ac:dyDescent="0.25">
      <c r="A447" t="str">
        <f t="shared" si="118"/>
        <v>J131</v>
      </c>
      <c r="B447">
        <v>1</v>
      </c>
      <c r="C447" t="str">
        <f t="shared" si="122"/>
        <v>32040</v>
      </c>
      <c r="D447" t="str">
        <f t="shared" si="123"/>
        <v>5610</v>
      </c>
      <c r="E447" t="str">
        <f t="shared" si="124"/>
        <v>850LOS</v>
      </c>
      <c r="F447" t="str">
        <f>""</f>
        <v/>
      </c>
      <c r="G447" t="str">
        <f>""</f>
        <v/>
      </c>
      <c r="H447" s="1">
        <v>39427</v>
      </c>
      <c r="I447" t="str">
        <f>"TEL00558"</f>
        <v>TEL00558</v>
      </c>
      <c r="J447" t="str">
        <f>""</f>
        <v/>
      </c>
      <c r="K447" t="str">
        <f t="shared" si="117"/>
        <v>AS89</v>
      </c>
      <c r="L447" t="s">
        <v>740</v>
      </c>
      <c r="M447">
        <v>254.97</v>
      </c>
    </row>
    <row r="448" spans="1:13" x14ac:dyDescent="0.25">
      <c r="A448" t="str">
        <f t="shared" si="118"/>
        <v>J131</v>
      </c>
      <c r="B448">
        <v>1</v>
      </c>
      <c r="C448" t="str">
        <f t="shared" si="122"/>
        <v>32040</v>
      </c>
      <c r="D448" t="str">
        <f t="shared" si="123"/>
        <v>5610</v>
      </c>
      <c r="E448" t="str">
        <f t="shared" si="124"/>
        <v>850LOS</v>
      </c>
      <c r="F448" t="str">
        <f>""</f>
        <v/>
      </c>
      <c r="G448" t="str">
        <f>""</f>
        <v/>
      </c>
      <c r="H448" s="1">
        <v>39456</v>
      </c>
      <c r="I448" t="str">
        <f>"TEL00559"</f>
        <v>TEL00559</v>
      </c>
      <c r="J448" t="str">
        <f>""</f>
        <v/>
      </c>
      <c r="K448" t="str">
        <f t="shared" si="117"/>
        <v>AS89</v>
      </c>
      <c r="L448" t="s">
        <v>739</v>
      </c>
      <c r="M448">
        <v>259.39999999999998</v>
      </c>
    </row>
    <row r="449" spans="1:13" x14ac:dyDescent="0.25">
      <c r="A449" t="str">
        <f t="shared" si="118"/>
        <v>J131</v>
      </c>
      <c r="B449">
        <v>1</v>
      </c>
      <c r="C449" t="str">
        <f t="shared" si="122"/>
        <v>32040</v>
      </c>
      <c r="D449" t="str">
        <f t="shared" si="123"/>
        <v>5610</v>
      </c>
      <c r="E449" t="str">
        <f t="shared" si="124"/>
        <v>850LOS</v>
      </c>
      <c r="F449" t="str">
        <f>""</f>
        <v/>
      </c>
      <c r="G449" t="str">
        <f>""</f>
        <v/>
      </c>
      <c r="H449" s="1">
        <v>39484</v>
      </c>
      <c r="I449" t="str">
        <f>"TEL00560"</f>
        <v>TEL00560</v>
      </c>
      <c r="J449" t="str">
        <f>""</f>
        <v/>
      </c>
      <c r="K449" t="str">
        <f t="shared" si="117"/>
        <v>AS89</v>
      </c>
      <c r="L449" t="s">
        <v>738</v>
      </c>
      <c r="M449">
        <v>254.7</v>
      </c>
    </row>
    <row r="450" spans="1:13" x14ac:dyDescent="0.25">
      <c r="A450" t="str">
        <f t="shared" si="118"/>
        <v>J131</v>
      </c>
      <c r="B450">
        <v>1</v>
      </c>
      <c r="C450" t="str">
        <f t="shared" si="122"/>
        <v>32040</v>
      </c>
      <c r="D450" t="str">
        <f t="shared" si="123"/>
        <v>5610</v>
      </c>
      <c r="E450" t="str">
        <f t="shared" si="124"/>
        <v>850LOS</v>
      </c>
      <c r="F450" t="str">
        <f>""</f>
        <v/>
      </c>
      <c r="G450" t="str">
        <f>""</f>
        <v/>
      </c>
      <c r="H450" s="1">
        <v>39518</v>
      </c>
      <c r="I450" t="str">
        <f>"TEL00561"</f>
        <v>TEL00561</v>
      </c>
      <c r="J450" t="str">
        <f>""</f>
        <v/>
      </c>
      <c r="K450" t="str">
        <f t="shared" si="117"/>
        <v>AS89</v>
      </c>
      <c r="L450" t="s">
        <v>737</v>
      </c>
      <c r="M450">
        <v>260.87</v>
      </c>
    </row>
    <row r="451" spans="1:13" x14ac:dyDescent="0.25">
      <c r="A451" t="str">
        <f t="shared" si="118"/>
        <v>J131</v>
      </c>
      <c r="B451">
        <v>1</v>
      </c>
      <c r="C451" t="str">
        <f t="shared" si="122"/>
        <v>32040</v>
      </c>
      <c r="D451" t="str">
        <f t="shared" si="123"/>
        <v>5610</v>
      </c>
      <c r="E451" t="str">
        <f t="shared" si="124"/>
        <v>850LOS</v>
      </c>
      <c r="F451" t="str">
        <f>""</f>
        <v/>
      </c>
      <c r="G451" t="str">
        <f>""</f>
        <v/>
      </c>
      <c r="H451" s="1">
        <v>39548</v>
      </c>
      <c r="I451" t="str">
        <f>"TEL00562"</f>
        <v>TEL00562</v>
      </c>
      <c r="J451" t="str">
        <f>""</f>
        <v/>
      </c>
      <c r="K451" t="str">
        <f t="shared" si="117"/>
        <v>AS89</v>
      </c>
      <c r="L451" t="s">
        <v>736</v>
      </c>
      <c r="M451">
        <v>265.01</v>
      </c>
    </row>
    <row r="452" spans="1:13" x14ac:dyDescent="0.25">
      <c r="A452" t="str">
        <f t="shared" si="118"/>
        <v>J131</v>
      </c>
      <c r="B452">
        <v>1</v>
      </c>
      <c r="C452" t="str">
        <f t="shared" si="122"/>
        <v>32040</v>
      </c>
      <c r="D452" t="str">
        <f t="shared" si="123"/>
        <v>5610</v>
      </c>
      <c r="E452" t="str">
        <f t="shared" si="124"/>
        <v>850LOS</v>
      </c>
      <c r="F452" t="str">
        <f>""</f>
        <v/>
      </c>
      <c r="G452" t="str">
        <f>""</f>
        <v/>
      </c>
      <c r="H452" s="1">
        <v>39581</v>
      </c>
      <c r="I452" t="str">
        <f>"TEL00563"</f>
        <v>TEL00563</v>
      </c>
      <c r="J452" t="str">
        <f>""</f>
        <v/>
      </c>
      <c r="K452" t="str">
        <f t="shared" si="117"/>
        <v>AS89</v>
      </c>
      <c r="L452" t="s">
        <v>735</v>
      </c>
      <c r="M452">
        <v>255.49</v>
      </c>
    </row>
    <row r="453" spans="1:13" x14ac:dyDescent="0.25">
      <c r="A453" t="str">
        <f t="shared" si="118"/>
        <v>J131</v>
      </c>
      <c r="B453">
        <v>1</v>
      </c>
      <c r="C453" t="str">
        <f t="shared" si="122"/>
        <v>32040</v>
      </c>
      <c r="D453" t="str">
        <f t="shared" si="123"/>
        <v>5610</v>
      </c>
      <c r="E453" t="str">
        <f t="shared" si="124"/>
        <v>850LOS</v>
      </c>
      <c r="F453" t="str">
        <f>""</f>
        <v/>
      </c>
      <c r="G453" t="str">
        <f>""</f>
        <v/>
      </c>
      <c r="H453" s="1">
        <v>39610</v>
      </c>
      <c r="I453" t="str">
        <f>"TEL00564"</f>
        <v>TEL00564</v>
      </c>
      <c r="J453" t="str">
        <f>""</f>
        <v/>
      </c>
      <c r="K453" t="str">
        <f t="shared" si="117"/>
        <v>AS89</v>
      </c>
      <c r="L453" t="s">
        <v>709</v>
      </c>
      <c r="M453">
        <v>255.73</v>
      </c>
    </row>
    <row r="454" spans="1:13" x14ac:dyDescent="0.25">
      <c r="A454" t="str">
        <f t="shared" si="118"/>
        <v>J131</v>
      </c>
      <c r="B454">
        <v>1</v>
      </c>
      <c r="C454" t="str">
        <f t="shared" si="122"/>
        <v>32040</v>
      </c>
      <c r="D454" t="str">
        <f t="shared" si="123"/>
        <v>5610</v>
      </c>
      <c r="E454" t="str">
        <f t="shared" si="124"/>
        <v>850LOS</v>
      </c>
      <c r="F454" t="str">
        <f>""</f>
        <v/>
      </c>
      <c r="G454" t="str">
        <f>""</f>
        <v/>
      </c>
      <c r="H454" s="1">
        <v>39629</v>
      </c>
      <c r="I454" t="str">
        <f>"TEL00565"</f>
        <v>TEL00565</v>
      </c>
      <c r="J454" t="str">
        <f>""</f>
        <v/>
      </c>
      <c r="K454" t="str">
        <f t="shared" si="117"/>
        <v>AS89</v>
      </c>
      <c r="L454" t="s">
        <v>734</v>
      </c>
      <c r="M454">
        <v>255.25</v>
      </c>
    </row>
    <row r="455" spans="1:13" x14ac:dyDescent="0.25">
      <c r="A455" t="str">
        <f t="shared" si="118"/>
        <v>J131</v>
      </c>
      <c r="B455">
        <v>1</v>
      </c>
      <c r="C455" t="str">
        <f t="shared" ref="C455:C480" si="125">"43000"</f>
        <v>43000</v>
      </c>
      <c r="D455" t="str">
        <f t="shared" ref="D455:D492" si="126">"5740"</f>
        <v>5740</v>
      </c>
      <c r="E455" t="str">
        <f t="shared" si="124"/>
        <v>850LOS</v>
      </c>
      <c r="F455" t="str">
        <f>""</f>
        <v/>
      </c>
      <c r="G455" t="str">
        <f>""</f>
        <v/>
      </c>
      <c r="H455" s="1">
        <v>39280</v>
      </c>
      <c r="I455" t="str">
        <f>"TEL00553"</f>
        <v>TEL00553</v>
      </c>
      <c r="J455" t="str">
        <f>""</f>
        <v/>
      </c>
      <c r="K455" t="str">
        <f t="shared" si="117"/>
        <v>AS89</v>
      </c>
      <c r="L455" t="s">
        <v>745</v>
      </c>
      <c r="M455">
        <v>816.78</v>
      </c>
    </row>
    <row r="456" spans="1:13" x14ac:dyDescent="0.25">
      <c r="A456" t="str">
        <f t="shared" si="118"/>
        <v>J131</v>
      </c>
      <c r="B456">
        <v>1</v>
      </c>
      <c r="C456" t="str">
        <f t="shared" si="125"/>
        <v>43000</v>
      </c>
      <c r="D456" t="str">
        <f t="shared" si="126"/>
        <v>5740</v>
      </c>
      <c r="E456" t="str">
        <f t="shared" si="124"/>
        <v>850LOS</v>
      </c>
      <c r="F456" t="str">
        <f>""</f>
        <v/>
      </c>
      <c r="G456" t="str">
        <f>""</f>
        <v/>
      </c>
      <c r="H456" s="1">
        <v>39303</v>
      </c>
      <c r="I456" t="str">
        <f>"TEL00554"</f>
        <v>TEL00554</v>
      </c>
      <c r="J456" t="str">
        <f>""</f>
        <v/>
      </c>
      <c r="K456" t="str">
        <f t="shared" si="117"/>
        <v>AS89</v>
      </c>
      <c r="L456" t="s">
        <v>744</v>
      </c>
      <c r="M456">
        <v>804.63</v>
      </c>
    </row>
    <row r="457" spans="1:13" x14ac:dyDescent="0.25">
      <c r="A457" t="str">
        <f t="shared" si="118"/>
        <v>J131</v>
      </c>
      <c r="B457">
        <v>1</v>
      </c>
      <c r="C457" t="str">
        <f t="shared" si="125"/>
        <v>43000</v>
      </c>
      <c r="D457" t="str">
        <f t="shared" si="126"/>
        <v>5740</v>
      </c>
      <c r="E457" t="str">
        <f t="shared" si="124"/>
        <v>850LOS</v>
      </c>
      <c r="F457" t="str">
        <f>""</f>
        <v/>
      </c>
      <c r="G457" t="str">
        <f>""</f>
        <v/>
      </c>
      <c r="H457" s="1">
        <v>39331</v>
      </c>
      <c r="I457" t="str">
        <f>"TEL00555"</f>
        <v>TEL00555</v>
      </c>
      <c r="J457" t="str">
        <f>""</f>
        <v/>
      </c>
      <c r="K457" t="str">
        <f t="shared" ref="K457:K488" si="127">"AS89"</f>
        <v>AS89</v>
      </c>
      <c r="L457" t="s">
        <v>743</v>
      </c>
      <c r="M457">
        <v>813.94</v>
      </c>
    </row>
    <row r="458" spans="1:13" x14ac:dyDescent="0.25">
      <c r="A458" t="str">
        <f t="shared" si="118"/>
        <v>J131</v>
      </c>
      <c r="B458">
        <v>1</v>
      </c>
      <c r="C458" t="str">
        <f t="shared" si="125"/>
        <v>43000</v>
      </c>
      <c r="D458" t="str">
        <f t="shared" si="126"/>
        <v>5740</v>
      </c>
      <c r="E458" t="str">
        <f t="shared" si="124"/>
        <v>850LOS</v>
      </c>
      <c r="F458" t="str">
        <f>""</f>
        <v/>
      </c>
      <c r="G458" t="str">
        <f>""</f>
        <v/>
      </c>
      <c r="H458" s="1">
        <v>39395</v>
      </c>
      <c r="I458" t="str">
        <f>"TEL00556"</f>
        <v>TEL00556</v>
      </c>
      <c r="J458" t="str">
        <f>""</f>
        <v/>
      </c>
      <c r="K458" t="str">
        <f t="shared" si="127"/>
        <v>AS89</v>
      </c>
      <c r="L458" t="s">
        <v>742</v>
      </c>
      <c r="M458">
        <v>815.04</v>
      </c>
    </row>
    <row r="459" spans="1:13" x14ac:dyDescent="0.25">
      <c r="A459" t="str">
        <f t="shared" si="118"/>
        <v>J131</v>
      </c>
      <c r="B459">
        <v>1</v>
      </c>
      <c r="C459" t="str">
        <f t="shared" si="125"/>
        <v>43000</v>
      </c>
      <c r="D459" t="str">
        <f t="shared" si="126"/>
        <v>5740</v>
      </c>
      <c r="E459" t="str">
        <f t="shared" si="124"/>
        <v>850LOS</v>
      </c>
      <c r="F459" t="str">
        <f>""</f>
        <v/>
      </c>
      <c r="G459" t="str">
        <f>""</f>
        <v/>
      </c>
      <c r="H459" s="1">
        <v>39415</v>
      </c>
      <c r="I459" t="str">
        <f>"TEL00557"</f>
        <v>TEL00557</v>
      </c>
      <c r="J459" t="str">
        <f>""</f>
        <v/>
      </c>
      <c r="K459" t="str">
        <f t="shared" si="127"/>
        <v>AS89</v>
      </c>
      <c r="L459" t="s">
        <v>741</v>
      </c>
      <c r="M459">
        <v>808.3</v>
      </c>
    </row>
    <row r="460" spans="1:13" x14ac:dyDescent="0.25">
      <c r="A460" t="str">
        <f t="shared" si="118"/>
        <v>J131</v>
      </c>
      <c r="B460">
        <v>1</v>
      </c>
      <c r="C460" t="str">
        <f t="shared" si="125"/>
        <v>43000</v>
      </c>
      <c r="D460" t="str">
        <f t="shared" si="126"/>
        <v>5740</v>
      </c>
      <c r="E460" t="str">
        <f t="shared" si="124"/>
        <v>850LOS</v>
      </c>
      <c r="F460" t="str">
        <f>""</f>
        <v/>
      </c>
      <c r="G460" t="str">
        <f>""</f>
        <v/>
      </c>
      <c r="H460" s="1">
        <v>39427</v>
      </c>
      <c r="I460" t="str">
        <f>"TEL00558"</f>
        <v>TEL00558</v>
      </c>
      <c r="J460" t="str">
        <f>""</f>
        <v/>
      </c>
      <c r="K460" t="str">
        <f t="shared" si="127"/>
        <v>AS89</v>
      </c>
      <c r="L460" t="s">
        <v>740</v>
      </c>
      <c r="M460">
        <v>769.21</v>
      </c>
    </row>
    <row r="461" spans="1:13" x14ac:dyDescent="0.25">
      <c r="A461" t="str">
        <f t="shared" ref="A461:A492" si="128">"J131"</f>
        <v>J131</v>
      </c>
      <c r="B461">
        <v>1</v>
      </c>
      <c r="C461" t="str">
        <f t="shared" si="125"/>
        <v>43000</v>
      </c>
      <c r="D461" t="str">
        <f t="shared" si="126"/>
        <v>5740</v>
      </c>
      <c r="E461" t="str">
        <f t="shared" si="124"/>
        <v>850LOS</v>
      </c>
      <c r="F461" t="str">
        <f>""</f>
        <v/>
      </c>
      <c r="G461" t="str">
        <f>""</f>
        <v/>
      </c>
      <c r="H461" s="1">
        <v>39456</v>
      </c>
      <c r="I461" t="str">
        <f>"TEL00559"</f>
        <v>TEL00559</v>
      </c>
      <c r="J461" t="str">
        <f>""</f>
        <v/>
      </c>
      <c r="K461" t="str">
        <f t="shared" si="127"/>
        <v>AS89</v>
      </c>
      <c r="L461" t="s">
        <v>739</v>
      </c>
      <c r="M461">
        <v>555.85</v>
      </c>
    </row>
    <row r="462" spans="1:13" x14ac:dyDescent="0.25">
      <c r="A462" t="str">
        <f t="shared" si="128"/>
        <v>J131</v>
      </c>
      <c r="B462">
        <v>1</v>
      </c>
      <c r="C462" t="str">
        <f t="shared" si="125"/>
        <v>43000</v>
      </c>
      <c r="D462" t="str">
        <f t="shared" si="126"/>
        <v>5740</v>
      </c>
      <c r="E462" t="str">
        <f t="shared" si="124"/>
        <v>850LOS</v>
      </c>
      <c r="F462" t="str">
        <f>""</f>
        <v/>
      </c>
      <c r="G462" t="str">
        <f>""</f>
        <v/>
      </c>
      <c r="H462" s="1">
        <v>39484</v>
      </c>
      <c r="I462" t="str">
        <f>"TEL00560"</f>
        <v>TEL00560</v>
      </c>
      <c r="J462" t="str">
        <f>""</f>
        <v/>
      </c>
      <c r="K462" t="str">
        <f t="shared" si="127"/>
        <v>AS89</v>
      </c>
      <c r="L462" t="s">
        <v>738</v>
      </c>
      <c r="M462">
        <v>589.72</v>
      </c>
    </row>
    <row r="463" spans="1:13" x14ac:dyDescent="0.25">
      <c r="A463" t="str">
        <f t="shared" si="128"/>
        <v>J131</v>
      </c>
      <c r="B463">
        <v>1</v>
      </c>
      <c r="C463" t="str">
        <f t="shared" si="125"/>
        <v>43000</v>
      </c>
      <c r="D463" t="str">
        <f t="shared" si="126"/>
        <v>5740</v>
      </c>
      <c r="E463" t="str">
        <f t="shared" si="124"/>
        <v>850LOS</v>
      </c>
      <c r="F463" t="str">
        <f>""</f>
        <v/>
      </c>
      <c r="G463" t="str">
        <f>""</f>
        <v/>
      </c>
      <c r="H463" s="1">
        <v>39518</v>
      </c>
      <c r="I463" t="str">
        <f>"TEL00561"</f>
        <v>TEL00561</v>
      </c>
      <c r="J463" t="str">
        <f>""</f>
        <v/>
      </c>
      <c r="K463" t="str">
        <f t="shared" si="127"/>
        <v>AS89</v>
      </c>
      <c r="L463" t="s">
        <v>737</v>
      </c>
      <c r="M463">
        <v>547.39</v>
      </c>
    </row>
    <row r="464" spans="1:13" x14ac:dyDescent="0.25">
      <c r="A464" t="str">
        <f t="shared" si="128"/>
        <v>J131</v>
      </c>
      <c r="B464">
        <v>1</v>
      </c>
      <c r="C464" t="str">
        <f t="shared" si="125"/>
        <v>43000</v>
      </c>
      <c r="D464" t="str">
        <f t="shared" si="126"/>
        <v>5740</v>
      </c>
      <c r="E464" t="str">
        <f t="shared" si="124"/>
        <v>850LOS</v>
      </c>
      <c r="F464" t="str">
        <f>""</f>
        <v/>
      </c>
      <c r="G464" t="str">
        <f>""</f>
        <v/>
      </c>
      <c r="H464" s="1">
        <v>39548</v>
      </c>
      <c r="I464" t="str">
        <f>"TEL00562"</f>
        <v>TEL00562</v>
      </c>
      <c r="J464" t="str">
        <f>""</f>
        <v/>
      </c>
      <c r="K464" t="str">
        <f t="shared" si="127"/>
        <v>AS89</v>
      </c>
      <c r="L464" t="s">
        <v>736</v>
      </c>
      <c r="M464">
        <v>579.04999999999995</v>
      </c>
    </row>
    <row r="465" spans="1:13" x14ac:dyDescent="0.25">
      <c r="A465" t="str">
        <f t="shared" si="128"/>
        <v>J131</v>
      </c>
      <c r="B465">
        <v>1</v>
      </c>
      <c r="C465" t="str">
        <f t="shared" si="125"/>
        <v>43000</v>
      </c>
      <c r="D465" t="str">
        <f t="shared" si="126"/>
        <v>5740</v>
      </c>
      <c r="E465" t="str">
        <f t="shared" si="124"/>
        <v>850LOS</v>
      </c>
      <c r="F465" t="str">
        <f>""</f>
        <v/>
      </c>
      <c r="G465" t="str">
        <f>""</f>
        <v/>
      </c>
      <c r="H465" s="1">
        <v>39581</v>
      </c>
      <c r="I465" t="str">
        <f>"TEL00563"</f>
        <v>TEL00563</v>
      </c>
      <c r="J465" t="str">
        <f>""</f>
        <v/>
      </c>
      <c r="K465" t="str">
        <f t="shared" si="127"/>
        <v>AS89</v>
      </c>
      <c r="L465" t="s">
        <v>735</v>
      </c>
      <c r="M465">
        <v>562.44000000000005</v>
      </c>
    </row>
    <row r="466" spans="1:13" x14ac:dyDescent="0.25">
      <c r="A466" t="str">
        <f t="shared" si="128"/>
        <v>J131</v>
      </c>
      <c r="B466">
        <v>1</v>
      </c>
      <c r="C466" t="str">
        <f t="shared" si="125"/>
        <v>43000</v>
      </c>
      <c r="D466" t="str">
        <f t="shared" si="126"/>
        <v>5740</v>
      </c>
      <c r="E466" t="str">
        <f t="shared" si="124"/>
        <v>850LOS</v>
      </c>
      <c r="F466" t="str">
        <f>""</f>
        <v/>
      </c>
      <c r="G466" t="str">
        <f>""</f>
        <v/>
      </c>
      <c r="H466" s="1">
        <v>39610</v>
      </c>
      <c r="I466" t="str">
        <f>"TEL00564"</f>
        <v>TEL00564</v>
      </c>
      <c r="J466" t="str">
        <f>""</f>
        <v/>
      </c>
      <c r="K466" t="str">
        <f t="shared" si="127"/>
        <v>AS89</v>
      </c>
      <c r="L466" t="s">
        <v>709</v>
      </c>
      <c r="M466">
        <v>542.66999999999996</v>
      </c>
    </row>
    <row r="467" spans="1:13" x14ac:dyDescent="0.25">
      <c r="A467" t="str">
        <f t="shared" si="128"/>
        <v>J131</v>
      </c>
      <c r="B467">
        <v>1</v>
      </c>
      <c r="C467" t="str">
        <f t="shared" si="125"/>
        <v>43000</v>
      </c>
      <c r="D467" t="str">
        <f t="shared" si="126"/>
        <v>5740</v>
      </c>
      <c r="E467" t="str">
        <f t="shared" si="124"/>
        <v>850LOS</v>
      </c>
      <c r="F467" t="str">
        <f>""</f>
        <v/>
      </c>
      <c r="G467" t="str">
        <f>""</f>
        <v/>
      </c>
      <c r="H467" s="1">
        <v>39629</v>
      </c>
      <c r="I467" t="str">
        <f>"TEL00565"</f>
        <v>TEL00565</v>
      </c>
      <c r="J467" t="str">
        <f>""</f>
        <v/>
      </c>
      <c r="K467" t="str">
        <f t="shared" si="127"/>
        <v>AS89</v>
      </c>
      <c r="L467" t="s">
        <v>734</v>
      </c>
      <c r="M467">
        <v>581.64</v>
      </c>
    </row>
    <row r="468" spans="1:13" x14ac:dyDescent="0.25">
      <c r="A468" t="str">
        <f t="shared" si="128"/>
        <v>J131</v>
      </c>
      <c r="B468">
        <v>1</v>
      </c>
      <c r="C468" t="str">
        <f t="shared" si="125"/>
        <v>43000</v>
      </c>
      <c r="D468" t="str">
        <f t="shared" si="126"/>
        <v>5740</v>
      </c>
      <c r="E468" t="str">
        <f t="shared" ref="E468:E480" si="129">"850PKE"</f>
        <v>850PKE</v>
      </c>
      <c r="F468" t="str">
        <f>""</f>
        <v/>
      </c>
      <c r="G468" t="str">
        <f>""</f>
        <v/>
      </c>
      <c r="H468" s="1">
        <v>39280</v>
      </c>
      <c r="I468" t="str">
        <f>"TEL00553"</f>
        <v>TEL00553</v>
      </c>
      <c r="J468" t="str">
        <f>""</f>
        <v/>
      </c>
      <c r="K468" t="str">
        <f t="shared" si="127"/>
        <v>AS89</v>
      </c>
      <c r="L468" t="s">
        <v>745</v>
      </c>
      <c r="M468">
        <v>227.26</v>
      </c>
    </row>
    <row r="469" spans="1:13" x14ac:dyDescent="0.25">
      <c r="A469" t="str">
        <f t="shared" si="128"/>
        <v>J131</v>
      </c>
      <c r="B469">
        <v>1</v>
      </c>
      <c r="C469" t="str">
        <f t="shared" si="125"/>
        <v>43000</v>
      </c>
      <c r="D469" t="str">
        <f t="shared" si="126"/>
        <v>5740</v>
      </c>
      <c r="E469" t="str">
        <f t="shared" si="129"/>
        <v>850PKE</v>
      </c>
      <c r="F469" t="str">
        <f>""</f>
        <v/>
      </c>
      <c r="G469" t="str">
        <f>""</f>
        <v/>
      </c>
      <c r="H469" s="1">
        <v>39303</v>
      </c>
      <c r="I469" t="str">
        <f>"TEL00554"</f>
        <v>TEL00554</v>
      </c>
      <c r="J469" t="str">
        <f>""</f>
        <v/>
      </c>
      <c r="K469" t="str">
        <f t="shared" si="127"/>
        <v>AS89</v>
      </c>
      <c r="L469" t="s">
        <v>744</v>
      </c>
      <c r="M469">
        <v>229.27</v>
      </c>
    </row>
    <row r="470" spans="1:13" x14ac:dyDescent="0.25">
      <c r="A470" t="str">
        <f t="shared" si="128"/>
        <v>J131</v>
      </c>
      <c r="B470">
        <v>1</v>
      </c>
      <c r="C470" t="str">
        <f t="shared" si="125"/>
        <v>43000</v>
      </c>
      <c r="D470" t="str">
        <f t="shared" si="126"/>
        <v>5740</v>
      </c>
      <c r="E470" t="str">
        <f t="shared" si="129"/>
        <v>850PKE</v>
      </c>
      <c r="F470" t="str">
        <f>""</f>
        <v/>
      </c>
      <c r="G470" t="str">
        <f>""</f>
        <v/>
      </c>
      <c r="H470" s="1">
        <v>39331</v>
      </c>
      <c r="I470" t="str">
        <f>"TEL00555"</f>
        <v>TEL00555</v>
      </c>
      <c r="J470" t="str">
        <f>""</f>
        <v/>
      </c>
      <c r="K470" t="str">
        <f t="shared" si="127"/>
        <v>AS89</v>
      </c>
      <c r="L470" t="s">
        <v>743</v>
      </c>
      <c r="M470">
        <v>183.06</v>
      </c>
    </row>
    <row r="471" spans="1:13" x14ac:dyDescent="0.25">
      <c r="A471" t="str">
        <f t="shared" si="128"/>
        <v>J131</v>
      </c>
      <c r="B471">
        <v>1</v>
      </c>
      <c r="C471" t="str">
        <f t="shared" si="125"/>
        <v>43000</v>
      </c>
      <c r="D471" t="str">
        <f t="shared" si="126"/>
        <v>5740</v>
      </c>
      <c r="E471" t="str">
        <f t="shared" si="129"/>
        <v>850PKE</v>
      </c>
      <c r="F471" t="str">
        <f>""</f>
        <v/>
      </c>
      <c r="G471" t="str">
        <f>""</f>
        <v/>
      </c>
      <c r="H471" s="1">
        <v>39395</v>
      </c>
      <c r="I471" t="str">
        <f>"TEL00556"</f>
        <v>TEL00556</v>
      </c>
      <c r="J471" t="str">
        <f>""</f>
        <v/>
      </c>
      <c r="K471" t="str">
        <f t="shared" si="127"/>
        <v>AS89</v>
      </c>
      <c r="L471" t="s">
        <v>742</v>
      </c>
      <c r="M471">
        <v>197.96</v>
      </c>
    </row>
    <row r="472" spans="1:13" x14ac:dyDescent="0.25">
      <c r="A472" t="str">
        <f t="shared" si="128"/>
        <v>J131</v>
      </c>
      <c r="B472">
        <v>1</v>
      </c>
      <c r="C472" t="str">
        <f t="shared" si="125"/>
        <v>43000</v>
      </c>
      <c r="D472" t="str">
        <f t="shared" si="126"/>
        <v>5740</v>
      </c>
      <c r="E472" t="str">
        <f t="shared" si="129"/>
        <v>850PKE</v>
      </c>
      <c r="F472" t="str">
        <f>""</f>
        <v/>
      </c>
      <c r="G472" t="str">
        <f>""</f>
        <v/>
      </c>
      <c r="H472" s="1">
        <v>39415</v>
      </c>
      <c r="I472" t="str">
        <f>"TEL00557"</f>
        <v>TEL00557</v>
      </c>
      <c r="J472" t="str">
        <f>""</f>
        <v/>
      </c>
      <c r="K472" t="str">
        <f t="shared" si="127"/>
        <v>AS89</v>
      </c>
      <c r="L472" t="s">
        <v>741</v>
      </c>
      <c r="M472">
        <v>227.85</v>
      </c>
    </row>
    <row r="473" spans="1:13" x14ac:dyDescent="0.25">
      <c r="A473" t="str">
        <f t="shared" si="128"/>
        <v>J131</v>
      </c>
      <c r="B473">
        <v>1</v>
      </c>
      <c r="C473" t="str">
        <f t="shared" si="125"/>
        <v>43000</v>
      </c>
      <c r="D473" t="str">
        <f t="shared" si="126"/>
        <v>5740</v>
      </c>
      <c r="E473" t="str">
        <f t="shared" si="129"/>
        <v>850PKE</v>
      </c>
      <c r="F473" t="str">
        <f>""</f>
        <v/>
      </c>
      <c r="G473" t="str">
        <f>""</f>
        <v/>
      </c>
      <c r="H473" s="1">
        <v>39427</v>
      </c>
      <c r="I473" t="str">
        <f>"TEL00558"</f>
        <v>TEL00558</v>
      </c>
      <c r="J473" t="str">
        <f>""</f>
        <v/>
      </c>
      <c r="K473" t="str">
        <f t="shared" si="127"/>
        <v>AS89</v>
      </c>
      <c r="L473" t="s">
        <v>740</v>
      </c>
      <c r="M473">
        <v>226.29</v>
      </c>
    </row>
    <row r="474" spans="1:13" x14ac:dyDescent="0.25">
      <c r="A474" t="str">
        <f t="shared" si="128"/>
        <v>J131</v>
      </c>
      <c r="B474">
        <v>1</v>
      </c>
      <c r="C474" t="str">
        <f t="shared" si="125"/>
        <v>43000</v>
      </c>
      <c r="D474" t="str">
        <f t="shared" si="126"/>
        <v>5740</v>
      </c>
      <c r="E474" t="str">
        <f t="shared" si="129"/>
        <v>850PKE</v>
      </c>
      <c r="F474" t="str">
        <f>""</f>
        <v/>
      </c>
      <c r="G474" t="str">
        <f>""</f>
        <v/>
      </c>
      <c r="H474" s="1">
        <v>39456</v>
      </c>
      <c r="I474" t="str">
        <f>"TEL00559"</f>
        <v>TEL00559</v>
      </c>
      <c r="J474" t="str">
        <f>""</f>
        <v/>
      </c>
      <c r="K474" t="str">
        <f t="shared" si="127"/>
        <v>AS89</v>
      </c>
      <c r="L474" t="s">
        <v>739</v>
      </c>
      <c r="M474">
        <v>376.95</v>
      </c>
    </row>
    <row r="475" spans="1:13" x14ac:dyDescent="0.25">
      <c r="A475" t="str">
        <f t="shared" si="128"/>
        <v>J131</v>
      </c>
      <c r="B475">
        <v>1</v>
      </c>
      <c r="C475" t="str">
        <f t="shared" si="125"/>
        <v>43000</v>
      </c>
      <c r="D475" t="str">
        <f t="shared" si="126"/>
        <v>5740</v>
      </c>
      <c r="E475" t="str">
        <f t="shared" si="129"/>
        <v>850PKE</v>
      </c>
      <c r="F475" t="str">
        <f>""</f>
        <v/>
      </c>
      <c r="G475" t="str">
        <f>""</f>
        <v/>
      </c>
      <c r="H475" s="1">
        <v>39484</v>
      </c>
      <c r="I475" t="str">
        <f>"TEL00560"</f>
        <v>TEL00560</v>
      </c>
      <c r="J475" t="str">
        <f>""</f>
        <v/>
      </c>
      <c r="K475" t="str">
        <f t="shared" si="127"/>
        <v>AS89</v>
      </c>
      <c r="L475" t="s">
        <v>738</v>
      </c>
      <c r="M475">
        <v>386.63</v>
      </c>
    </row>
    <row r="476" spans="1:13" x14ac:dyDescent="0.25">
      <c r="A476" t="str">
        <f t="shared" si="128"/>
        <v>J131</v>
      </c>
      <c r="B476">
        <v>1</v>
      </c>
      <c r="C476" t="str">
        <f t="shared" si="125"/>
        <v>43000</v>
      </c>
      <c r="D476" t="str">
        <f t="shared" si="126"/>
        <v>5740</v>
      </c>
      <c r="E476" t="str">
        <f t="shared" si="129"/>
        <v>850PKE</v>
      </c>
      <c r="F476" t="str">
        <f>""</f>
        <v/>
      </c>
      <c r="G476" t="str">
        <f>""</f>
        <v/>
      </c>
      <c r="H476" s="1">
        <v>39518</v>
      </c>
      <c r="I476" t="str">
        <f>"TEL00561"</f>
        <v>TEL00561</v>
      </c>
      <c r="J476" t="str">
        <f>""</f>
        <v/>
      </c>
      <c r="K476" t="str">
        <f t="shared" si="127"/>
        <v>AS89</v>
      </c>
      <c r="L476" t="s">
        <v>737</v>
      </c>
      <c r="M476">
        <v>395.05</v>
      </c>
    </row>
    <row r="477" spans="1:13" x14ac:dyDescent="0.25">
      <c r="A477" t="str">
        <f t="shared" si="128"/>
        <v>J131</v>
      </c>
      <c r="B477">
        <v>1</v>
      </c>
      <c r="C477" t="str">
        <f t="shared" si="125"/>
        <v>43000</v>
      </c>
      <c r="D477" t="str">
        <f t="shared" si="126"/>
        <v>5740</v>
      </c>
      <c r="E477" t="str">
        <f t="shared" si="129"/>
        <v>850PKE</v>
      </c>
      <c r="F477" t="str">
        <f>""</f>
        <v/>
      </c>
      <c r="G477" t="str">
        <f>""</f>
        <v/>
      </c>
      <c r="H477" s="1">
        <v>39548</v>
      </c>
      <c r="I477" t="str">
        <f>"TEL00562"</f>
        <v>TEL00562</v>
      </c>
      <c r="J477" t="str">
        <f>""</f>
        <v/>
      </c>
      <c r="K477" t="str">
        <f t="shared" si="127"/>
        <v>AS89</v>
      </c>
      <c r="L477" t="s">
        <v>736</v>
      </c>
      <c r="M477">
        <v>382.13</v>
      </c>
    </row>
    <row r="478" spans="1:13" x14ac:dyDescent="0.25">
      <c r="A478" t="str">
        <f t="shared" si="128"/>
        <v>J131</v>
      </c>
      <c r="B478">
        <v>1</v>
      </c>
      <c r="C478" t="str">
        <f t="shared" si="125"/>
        <v>43000</v>
      </c>
      <c r="D478" t="str">
        <f t="shared" si="126"/>
        <v>5740</v>
      </c>
      <c r="E478" t="str">
        <f t="shared" si="129"/>
        <v>850PKE</v>
      </c>
      <c r="F478" t="str">
        <f>""</f>
        <v/>
      </c>
      <c r="G478" t="str">
        <f>""</f>
        <v/>
      </c>
      <c r="H478" s="1">
        <v>39581</v>
      </c>
      <c r="I478" t="str">
        <f>"TEL00563"</f>
        <v>TEL00563</v>
      </c>
      <c r="J478" t="str">
        <f>""</f>
        <v/>
      </c>
      <c r="K478" t="str">
        <f t="shared" si="127"/>
        <v>AS89</v>
      </c>
      <c r="L478" t="s">
        <v>735</v>
      </c>
      <c r="M478">
        <v>354.35</v>
      </c>
    </row>
    <row r="479" spans="1:13" x14ac:dyDescent="0.25">
      <c r="A479" t="str">
        <f t="shared" si="128"/>
        <v>J131</v>
      </c>
      <c r="B479">
        <v>1</v>
      </c>
      <c r="C479" t="str">
        <f t="shared" si="125"/>
        <v>43000</v>
      </c>
      <c r="D479" t="str">
        <f t="shared" si="126"/>
        <v>5740</v>
      </c>
      <c r="E479" t="str">
        <f t="shared" si="129"/>
        <v>850PKE</v>
      </c>
      <c r="F479" t="str">
        <f>""</f>
        <v/>
      </c>
      <c r="G479" t="str">
        <f>""</f>
        <v/>
      </c>
      <c r="H479" s="1">
        <v>39610</v>
      </c>
      <c r="I479" t="str">
        <f>"TEL00564"</f>
        <v>TEL00564</v>
      </c>
      <c r="J479" t="str">
        <f>""</f>
        <v/>
      </c>
      <c r="K479" t="str">
        <f t="shared" si="127"/>
        <v>AS89</v>
      </c>
      <c r="L479" t="s">
        <v>709</v>
      </c>
      <c r="M479">
        <v>354.16</v>
      </c>
    </row>
    <row r="480" spans="1:13" x14ac:dyDescent="0.25">
      <c r="A480" t="str">
        <f t="shared" si="128"/>
        <v>J131</v>
      </c>
      <c r="B480">
        <v>1</v>
      </c>
      <c r="C480" t="str">
        <f t="shared" si="125"/>
        <v>43000</v>
      </c>
      <c r="D480" t="str">
        <f t="shared" si="126"/>
        <v>5740</v>
      </c>
      <c r="E480" t="str">
        <f t="shared" si="129"/>
        <v>850PKE</v>
      </c>
      <c r="F480" t="str">
        <f>""</f>
        <v/>
      </c>
      <c r="G480" t="str">
        <f>""</f>
        <v/>
      </c>
      <c r="H480" s="1">
        <v>39629</v>
      </c>
      <c r="I480" t="str">
        <f>"TEL00565"</f>
        <v>TEL00565</v>
      </c>
      <c r="J480" t="str">
        <f>""</f>
        <v/>
      </c>
      <c r="K480" t="str">
        <f t="shared" si="127"/>
        <v>AS89</v>
      </c>
      <c r="L480" t="s">
        <v>734</v>
      </c>
      <c r="M480">
        <v>373.89</v>
      </c>
    </row>
    <row r="481" spans="1:13" x14ac:dyDescent="0.25">
      <c r="A481" t="str">
        <f t="shared" si="128"/>
        <v>J131</v>
      </c>
      <c r="B481">
        <v>1</v>
      </c>
      <c r="C481" t="str">
        <f t="shared" ref="C481:C492" si="130">"43001"</f>
        <v>43001</v>
      </c>
      <c r="D481" t="str">
        <f t="shared" si="126"/>
        <v>5740</v>
      </c>
      <c r="E481" t="str">
        <f t="shared" ref="E481:E493" si="131">"850LOS"</f>
        <v>850LOS</v>
      </c>
      <c r="F481" t="str">
        <f>""</f>
        <v/>
      </c>
      <c r="G481" t="str">
        <f>""</f>
        <v/>
      </c>
      <c r="H481" s="1">
        <v>39303</v>
      </c>
      <c r="I481" t="str">
        <f>"TEL00554"</f>
        <v>TEL00554</v>
      </c>
      <c r="J481" t="str">
        <f>""</f>
        <v/>
      </c>
      <c r="K481" t="str">
        <f t="shared" si="127"/>
        <v>AS89</v>
      </c>
      <c r="L481" t="s">
        <v>744</v>
      </c>
      <c r="M481">
        <v>139.76</v>
      </c>
    </row>
    <row r="482" spans="1:13" x14ac:dyDescent="0.25">
      <c r="A482" t="str">
        <f t="shared" si="128"/>
        <v>J131</v>
      </c>
      <c r="B482">
        <v>1</v>
      </c>
      <c r="C482" t="str">
        <f t="shared" si="130"/>
        <v>43001</v>
      </c>
      <c r="D482" t="str">
        <f t="shared" si="126"/>
        <v>5740</v>
      </c>
      <c r="E482" t="str">
        <f t="shared" si="131"/>
        <v>850LOS</v>
      </c>
      <c r="F482" t="str">
        <f>""</f>
        <v/>
      </c>
      <c r="G482" t="str">
        <f>""</f>
        <v/>
      </c>
      <c r="H482" s="1">
        <v>39331</v>
      </c>
      <c r="I482" t="str">
        <f>"TEL00555"</f>
        <v>TEL00555</v>
      </c>
      <c r="J482" t="str">
        <f>""</f>
        <v/>
      </c>
      <c r="K482" t="str">
        <f t="shared" si="127"/>
        <v>AS89</v>
      </c>
      <c r="L482" t="s">
        <v>743</v>
      </c>
      <c r="M482">
        <v>357.64</v>
      </c>
    </row>
    <row r="483" spans="1:13" x14ac:dyDescent="0.25">
      <c r="A483" t="str">
        <f t="shared" si="128"/>
        <v>J131</v>
      </c>
      <c r="B483">
        <v>1</v>
      </c>
      <c r="C483" t="str">
        <f t="shared" si="130"/>
        <v>43001</v>
      </c>
      <c r="D483" t="str">
        <f t="shared" si="126"/>
        <v>5740</v>
      </c>
      <c r="E483" t="str">
        <f t="shared" si="131"/>
        <v>850LOS</v>
      </c>
      <c r="F483" t="str">
        <f>""</f>
        <v/>
      </c>
      <c r="G483" t="str">
        <f>""</f>
        <v/>
      </c>
      <c r="H483" s="1">
        <v>39395</v>
      </c>
      <c r="I483" t="str">
        <f>"TEL00556"</f>
        <v>TEL00556</v>
      </c>
      <c r="J483" t="str">
        <f>""</f>
        <v/>
      </c>
      <c r="K483" t="str">
        <f t="shared" si="127"/>
        <v>AS89</v>
      </c>
      <c r="L483" t="s">
        <v>742</v>
      </c>
      <c r="M483">
        <v>207.15</v>
      </c>
    </row>
    <row r="484" spans="1:13" x14ac:dyDescent="0.25">
      <c r="A484" t="str">
        <f t="shared" si="128"/>
        <v>J131</v>
      </c>
      <c r="B484">
        <v>1</v>
      </c>
      <c r="C484" t="str">
        <f t="shared" si="130"/>
        <v>43001</v>
      </c>
      <c r="D484" t="str">
        <f t="shared" si="126"/>
        <v>5740</v>
      </c>
      <c r="E484" t="str">
        <f t="shared" si="131"/>
        <v>850LOS</v>
      </c>
      <c r="F484" t="str">
        <f>""</f>
        <v/>
      </c>
      <c r="G484" t="str">
        <f>""</f>
        <v/>
      </c>
      <c r="H484" s="1">
        <v>39415</v>
      </c>
      <c r="I484" t="str">
        <f>"TEL00557"</f>
        <v>TEL00557</v>
      </c>
      <c r="J484" t="str">
        <f>""</f>
        <v/>
      </c>
      <c r="K484" t="str">
        <f t="shared" si="127"/>
        <v>AS89</v>
      </c>
      <c r="L484" t="s">
        <v>741</v>
      </c>
      <c r="M484">
        <v>179.47</v>
      </c>
    </row>
    <row r="485" spans="1:13" x14ac:dyDescent="0.25">
      <c r="A485" t="str">
        <f t="shared" si="128"/>
        <v>J131</v>
      </c>
      <c r="B485">
        <v>1</v>
      </c>
      <c r="C485" t="str">
        <f t="shared" si="130"/>
        <v>43001</v>
      </c>
      <c r="D485" t="str">
        <f t="shared" si="126"/>
        <v>5740</v>
      </c>
      <c r="E485" t="str">
        <f t="shared" si="131"/>
        <v>850LOS</v>
      </c>
      <c r="F485" t="str">
        <f>""</f>
        <v/>
      </c>
      <c r="G485" t="str">
        <f>""</f>
        <v/>
      </c>
      <c r="H485" s="1">
        <v>39427</v>
      </c>
      <c r="I485" t="str">
        <f>"TEL00558"</f>
        <v>TEL00558</v>
      </c>
      <c r="J485" t="str">
        <f>""</f>
        <v/>
      </c>
      <c r="K485" t="str">
        <f t="shared" si="127"/>
        <v>AS89</v>
      </c>
      <c r="L485" t="s">
        <v>740</v>
      </c>
      <c r="M485">
        <v>179.55</v>
      </c>
    </row>
    <row r="486" spans="1:13" x14ac:dyDescent="0.25">
      <c r="A486" t="str">
        <f t="shared" si="128"/>
        <v>J131</v>
      </c>
      <c r="B486">
        <v>1</v>
      </c>
      <c r="C486" t="str">
        <f t="shared" si="130"/>
        <v>43001</v>
      </c>
      <c r="D486" t="str">
        <f t="shared" si="126"/>
        <v>5740</v>
      </c>
      <c r="E486" t="str">
        <f t="shared" si="131"/>
        <v>850LOS</v>
      </c>
      <c r="F486" t="str">
        <f>""</f>
        <v/>
      </c>
      <c r="G486" t="str">
        <f>""</f>
        <v/>
      </c>
      <c r="H486" s="1">
        <v>39456</v>
      </c>
      <c r="I486" t="str">
        <f>"TEL00559"</f>
        <v>TEL00559</v>
      </c>
      <c r="J486" t="str">
        <f>""</f>
        <v/>
      </c>
      <c r="K486" t="str">
        <f t="shared" si="127"/>
        <v>AS89</v>
      </c>
      <c r="L486" t="s">
        <v>739</v>
      </c>
      <c r="M486">
        <v>233.55</v>
      </c>
    </row>
    <row r="487" spans="1:13" x14ac:dyDescent="0.25">
      <c r="A487" t="str">
        <f t="shared" si="128"/>
        <v>J131</v>
      </c>
      <c r="B487">
        <v>1</v>
      </c>
      <c r="C487" t="str">
        <f t="shared" si="130"/>
        <v>43001</v>
      </c>
      <c r="D487" t="str">
        <f t="shared" si="126"/>
        <v>5740</v>
      </c>
      <c r="E487" t="str">
        <f t="shared" si="131"/>
        <v>850LOS</v>
      </c>
      <c r="F487" t="str">
        <f>""</f>
        <v/>
      </c>
      <c r="G487" t="str">
        <f>""</f>
        <v/>
      </c>
      <c r="H487" s="1">
        <v>39484</v>
      </c>
      <c r="I487" t="str">
        <f>"TEL00560"</f>
        <v>TEL00560</v>
      </c>
      <c r="J487" t="str">
        <f>""</f>
        <v/>
      </c>
      <c r="K487" t="str">
        <f t="shared" si="127"/>
        <v>AS89</v>
      </c>
      <c r="L487" t="s">
        <v>738</v>
      </c>
      <c r="M487">
        <v>233.55</v>
      </c>
    </row>
    <row r="488" spans="1:13" x14ac:dyDescent="0.25">
      <c r="A488" t="str">
        <f t="shared" si="128"/>
        <v>J131</v>
      </c>
      <c r="B488">
        <v>1</v>
      </c>
      <c r="C488" t="str">
        <f t="shared" si="130"/>
        <v>43001</v>
      </c>
      <c r="D488" t="str">
        <f t="shared" si="126"/>
        <v>5740</v>
      </c>
      <c r="E488" t="str">
        <f t="shared" si="131"/>
        <v>850LOS</v>
      </c>
      <c r="F488" t="str">
        <f>""</f>
        <v/>
      </c>
      <c r="G488" t="str">
        <f>""</f>
        <v/>
      </c>
      <c r="H488" s="1">
        <v>39518</v>
      </c>
      <c r="I488" t="str">
        <f>"TEL00561"</f>
        <v>TEL00561</v>
      </c>
      <c r="J488" t="str">
        <f>""</f>
        <v/>
      </c>
      <c r="K488" t="str">
        <f t="shared" si="127"/>
        <v>AS89</v>
      </c>
      <c r="L488" t="s">
        <v>737</v>
      </c>
      <c r="M488">
        <v>233.55</v>
      </c>
    </row>
    <row r="489" spans="1:13" x14ac:dyDescent="0.25">
      <c r="A489" t="str">
        <f t="shared" si="128"/>
        <v>J131</v>
      </c>
      <c r="B489">
        <v>1</v>
      </c>
      <c r="C489" t="str">
        <f t="shared" si="130"/>
        <v>43001</v>
      </c>
      <c r="D489" t="str">
        <f t="shared" si="126"/>
        <v>5740</v>
      </c>
      <c r="E489" t="str">
        <f t="shared" si="131"/>
        <v>850LOS</v>
      </c>
      <c r="F489" t="str">
        <f>""</f>
        <v/>
      </c>
      <c r="G489" t="str">
        <f>""</f>
        <v/>
      </c>
      <c r="H489" s="1">
        <v>39548</v>
      </c>
      <c r="I489" t="str">
        <f>"TEL00562"</f>
        <v>TEL00562</v>
      </c>
      <c r="J489" t="str">
        <f>""</f>
        <v/>
      </c>
      <c r="K489" t="str">
        <f t="shared" ref="K489:K520" si="132">"AS89"</f>
        <v>AS89</v>
      </c>
      <c r="L489" t="s">
        <v>736</v>
      </c>
      <c r="M489">
        <v>233.55</v>
      </c>
    </row>
    <row r="490" spans="1:13" x14ac:dyDescent="0.25">
      <c r="A490" t="str">
        <f t="shared" si="128"/>
        <v>J131</v>
      </c>
      <c r="B490">
        <v>1</v>
      </c>
      <c r="C490" t="str">
        <f t="shared" si="130"/>
        <v>43001</v>
      </c>
      <c r="D490" t="str">
        <f t="shared" si="126"/>
        <v>5740</v>
      </c>
      <c r="E490" t="str">
        <f t="shared" si="131"/>
        <v>850LOS</v>
      </c>
      <c r="F490" t="str">
        <f>""</f>
        <v/>
      </c>
      <c r="G490" t="str">
        <f>""</f>
        <v/>
      </c>
      <c r="H490" s="1">
        <v>39581</v>
      </c>
      <c r="I490" t="str">
        <f>"TEL00563"</f>
        <v>TEL00563</v>
      </c>
      <c r="J490" t="str">
        <f>""</f>
        <v/>
      </c>
      <c r="K490" t="str">
        <f t="shared" si="132"/>
        <v>AS89</v>
      </c>
      <c r="L490" t="s">
        <v>735</v>
      </c>
      <c r="M490">
        <v>233.55</v>
      </c>
    </row>
    <row r="491" spans="1:13" x14ac:dyDescent="0.25">
      <c r="A491" t="str">
        <f t="shared" si="128"/>
        <v>J131</v>
      </c>
      <c r="B491">
        <v>1</v>
      </c>
      <c r="C491" t="str">
        <f t="shared" si="130"/>
        <v>43001</v>
      </c>
      <c r="D491" t="str">
        <f t="shared" si="126"/>
        <v>5740</v>
      </c>
      <c r="E491" t="str">
        <f t="shared" si="131"/>
        <v>850LOS</v>
      </c>
      <c r="F491" t="str">
        <f>""</f>
        <v/>
      </c>
      <c r="G491" t="str">
        <f>""</f>
        <v/>
      </c>
      <c r="H491" s="1">
        <v>39610</v>
      </c>
      <c r="I491" t="str">
        <f>"TEL00564"</f>
        <v>TEL00564</v>
      </c>
      <c r="J491" t="str">
        <f>""</f>
        <v/>
      </c>
      <c r="K491" t="str">
        <f t="shared" si="132"/>
        <v>AS89</v>
      </c>
      <c r="L491" t="s">
        <v>709</v>
      </c>
      <c r="M491">
        <v>378.61</v>
      </c>
    </row>
    <row r="492" spans="1:13" x14ac:dyDescent="0.25">
      <c r="A492" t="str">
        <f t="shared" si="128"/>
        <v>J131</v>
      </c>
      <c r="B492">
        <v>1</v>
      </c>
      <c r="C492" t="str">
        <f t="shared" si="130"/>
        <v>43001</v>
      </c>
      <c r="D492" t="str">
        <f t="shared" si="126"/>
        <v>5740</v>
      </c>
      <c r="E492" t="str">
        <f t="shared" si="131"/>
        <v>850LOS</v>
      </c>
      <c r="F492" t="str">
        <f>""</f>
        <v/>
      </c>
      <c r="G492" t="str">
        <f>""</f>
        <v/>
      </c>
      <c r="H492" s="1">
        <v>39629</v>
      </c>
      <c r="I492" t="str">
        <f>"TEL00565"</f>
        <v>TEL00565</v>
      </c>
      <c r="J492" t="str">
        <f>""</f>
        <v/>
      </c>
      <c r="K492" t="str">
        <f t="shared" si="132"/>
        <v>AS89</v>
      </c>
      <c r="L492" t="s">
        <v>734</v>
      </c>
      <c r="M492">
        <v>292.55</v>
      </c>
    </row>
    <row r="493" spans="1:13" x14ac:dyDescent="0.25">
      <c r="A493" t="str">
        <f>"J150"</f>
        <v>J150</v>
      </c>
      <c r="B493">
        <v>1</v>
      </c>
      <c r="C493" t="str">
        <f>"32040"</f>
        <v>32040</v>
      </c>
      <c r="D493" t="str">
        <f>"5610"</f>
        <v>5610</v>
      </c>
      <c r="E493" t="str">
        <f t="shared" si="131"/>
        <v>850LOS</v>
      </c>
      <c r="F493" t="str">
        <f>""</f>
        <v/>
      </c>
      <c r="G493" t="str">
        <f>""</f>
        <v/>
      </c>
      <c r="H493" s="1">
        <v>39386</v>
      </c>
      <c r="I493" t="str">
        <f>"MPG00331"</f>
        <v>MPG00331</v>
      </c>
      <c r="J493" t="str">
        <f>""</f>
        <v/>
      </c>
      <c r="K493" t="str">
        <f t="shared" si="132"/>
        <v>AS89</v>
      </c>
      <c r="L493" t="s">
        <v>733</v>
      </c>
      <c r="M493" s="2">
        <v>5500</v>
      </c>
    </row>
    <row r="494" spans="1:13" x14ac:dyDescent="0.25">
      <c r="A494" t="str">
        <f t="shared" ref="A494:A526" si="133">"J160"</f>
        <v>J160</v>
      </c>
      <c r="B494">
        <v>1</v>
      </c>
      <c r="C494" t="str">
        <f>"14185"</f>
        <v>14185</v>
      </c>
      <c r="D494" t="str">
        <f>"5620"</f>
        <v>5620</v>
      </c>
      <c r="E494" t="str">
        <f>"094OMS"</f>
        <v>094OMS</v>
      </c>
      <c r="F494" t="str">
        <f>""</f>
        <v/>
      </c>
      <c r="G494" t="str">
        <f>""</f>
        <v/>
      </c>
      <c r="H494" s="1">
        <v>39295</v>
      </c>
      <c r="I494" t="str">
        <f>"PHY00463"</f>
        <v>PHY00463</v>
      </c>
      <c r="J494" t="str">
        <f>"W0003993"</f>
        <v>W0003993</v>
      </c>
      <c r="K494" t="str">
        <f t="shared" si="132"/>
        <v>AS89</v>
      </c>
      <c r="L494" t="s">
        <v>732</v>
      </c>
      <c r="M494">
        <v>560.79999999999995</v>
      </c>
    </row>
    <row r="495" spans="1:13" x14ac:dyDescent="0.25">
      <c r="A495" t="str">
        <f t="shared" si="133"/>
        <v>J160</v>
      </c>
      <c r="B495">
        <v>1</v>
      </c>
      <c r="C495" t="str">
        <f>"14185"</f>
        <v>14185</v>
      </c>
      <c r="D495" t="str">
        <f>"5620"</f>
        <v>5620</v>
      </c>
      <c r="E495" t="str">
        <f>"094OMS"</f>
        <v>094OMS</v>
      </c>
      <c r="F495" t="str">
        <f>""</f>
        <v/>
      </c>
      <c r="G495" t="str">
        <f>""</f>
        <v/>
      </c>
      <c r="H495" s="1">
        <v>39479</v>
      </c>
      <c r="I495" t="str">
        <f>"PHY00475"</f>
        <v>PHY00475</v>
      </c>
      <c r="J495" t="str">
        <f>"W0019953"</f>
        <v>W0019953</v>
      </c>
      <c r="K495" t="str">
        <f t="shared" si="132"/>
        <v>AS89</v>
      </c>
      <c r="L495" t="s">
        <v>731</v>
      </c>
      <c r="M495">
        <v>294.81</v>
      </c>
    </row>
    <row r="496" spans="1:13" x14ac:dyDescent="0.25">
      <c r="A496" t="str">
        <f t="shared" si="133"/>
        <v>J160</v>
      </c>
      <c r="B496">
        <v>1</v>
      </c>
      <c r="C496" t="str">
        <f>"14185"</f>
        <v>14185</v>
      </c>
      <c r="D496" t="str">
        <f>"5620"</f>
        <v>5620</v>
      </c>
      <c r="E496" t="str">
        <f>"094OMS"</f>
        <v>094OMS</v>
      </c>
      <c r="F496" t="str">
        <f>""</f>
        <v/>
      </c>
      <c r="G496" t="str">
        <f>""</f>
        <v/>
      </c>
      <c r="H496" s="1">
        <v>39539</v>
      </c>
      <c r="I496" t="str">
        <f>"PHY00479"</f>
        <v>PHY00479</v>
      </c>
      <c r="J496" t="str">
        <f>"W0019560"</f>
        <v>W0019560</v>
      </c>
      <c r="K496" t="str">
        <f t="shared" si="132"/>
        <v>AS89</v>
      </c>
      <c r="L496" t="s">
        <v>730</v>
      </c>
      <c r="M496">
        <v>132.08000000000001</v>
      </c>
    </row>
    <row r="497" spans="1:13" x14ac:dyDescent="0.25">
      <c r="A497" t="str">
        <f t="shared" si="133"/>
        <v>J160</v>
      </c>
      <c r="B497">
        <v>1</v>
      </c>
      <c r="C497" t="str">
        <f>"14185"</f>
        <v>14185</v>
      </c>
      <c r="D497" t="str">
        <f>"5620"</f>
        <v>5620</v>
      </c>
      <c r="E497" t="str">
        <f>"094OMS"</f>
        <v>094OMS</v>
      </c>
      <c r="F497" t="str">
        <f>""</f>
        <v/>
      </c>
      <c r="G497" t="str">
        <f>""</f>
        <v/>
      </c>
      <c r="H497" s="1">
        <v>39569</v>
      </c>
      <c r="I497" t="str">
        <f>"PHY00481"</f>
        <v>PHY00481</v>
      </c>
      <c r="J497" t="str">
        <f>"W0019560"</f>
        <v>W0019560</v>
      </c>
      <c r="K497" t="str">
        <f t="shared" si="132"/>
        <v>AS89</v>
      </c>
      <c r="L497" t="s">
        <v>730</v>
      </c>
      <c r="M497">
        <v>152.79</v>
      </c>
    </row>
    <row r="498" spans="1:13" x14ac:dyDescent="0.25">
      <c r="A498" t="str">
        <f t="shared" si="133"/>
        <v>J160</v>
      </c>
      <c r="B498">
        <v>1</v>
      </c>
      <c r="C498" t="str">
        <f t="shared" ref="C498:C512" si="134">"43000"</f>
        <v>43000</v>
      </c>
      <c r="D498" t="str">
        <f t="shared" ref="D498:D531" si="135">"5740"</f>
        <v>5740</v>
      </c>
      <c r="E498" t="str">
        <f t="shared" ref="E498:E508" si="136">"850LOS"</f>
        <v>850LOS</v>
      </c>
      <c r="F498" t="str">
        <f>""</f>
        <v/>
      </c>
      <c r="G498" t="str">
        <f>""</f>
        <v/>
      </c>
      <c r="H498" s="1">
        <v>39387</v>
      </c>
      <c r="I498" t="str">
        <f>"PHY00469"</f>
        <v>PHY00469</v>
      </c>
      <c r="J498" t="str">
        <f>"W0013030"</f>
        <v>W0013030</v>
      </c>
      <c r="K498" t="str">
        <f t="shared" si="132"/>
        <v>AS89</v>
      </c>
      <c r="L498" t="s">
        <v>729</v>
      </c>
      <c r="M498">
        <v>109.14</v>
      </c>
    </row>
    <row r="499" spans="1:13" x14ac:dyDescent="0.25">
      <c r="A499" t="str">
        <f t="shared" si="133"/>
        <v>J160</v>
      </c>
      <c r="B499">
        <v>1</v>
      </c>
      <c r="C499" t="str">
        <f t="shared" si="134"/>
        <v>43000</v>
      </c>
      <c r="D499" t="str">
        <f t="shared" si="135"/>
        <v>5740</v>
      </c>
      <c r="E499" t="str">
        <f t="shared" si="136"/>
        <v>850LOS</v>
      </c>
      <c r="F499" t="str">
        <f>""</f>
        <v/>
      </c>
      <c r="G499" t="str">
        <f>""</f>
        <v/>
      </c>
      <c r="H499" s="1">
        <v>39448</v>
      </c>
      <c r="I499" t="str">
        <f>"PHY00473"</f>
        <v>PHY00473</v>
      </c>
      <c r="J499" t="str">
        <f>"W0014776"</f>
        <v>W0014776</v>
      </c>
      <c r="K499" t="str">
        <f t="shared" si="132"/>
        <v>AS89</v>
      </c>
      <c r="L499" t="s">
        <v>728</v>
      </c>
      <c r="M499">
        <v>291.13</v>
      </c>
    </row>
    <row r="500" spans="1:13" x14ac:dyDescent="0.25">
      <c r="A500" t="str">
        <f t="shared" si="133"/>
        <v>J160</v>
      </c>
      <c r="B500">
        <v>1</v>
      </c>
      <c r="C500" t="str">
        <f t="shared" si="134"/>
        <v>43000</v>
      </c>
      <c r="D500" t="str">
        <f t="shared" si="135"/>
        <v>5740</v>
      </c>
      <c r="E500" t="str">
        <f t="shared" si="136"/>
        <v>850LOS</v>
      </c>
      <c r="F500" t="str">
        <f>""</f>
        <v/>
      </c>
      <c r="G500" t="str">
        <f>""</f>
        <v/>
      </c>
      <c r="H500" s="1">
        <v>39479</v>
      </c>
      <c r="I500" t="str">
        <f>"PHY00475"</f>
        <v>PHY00475</v>
      </c>
      <c r="J500" t="str">
        <f>"W0020168"</f>
        <v>W0020168</v>
      </c>
      <c r="K500" t="str">
        <f t="shared" si="132"/>
        <v>AS89</v>
      </c>
      <c r="L500" t="s">
        <v>727</v>
      </c>
      <c r="M500" s="2">
        <v>1112.83</v>
      </c>
    </row>
    <row r="501" spans="1:13" x14ac:dyDescent="0.25">
      <c r="A501" t="str">
        <f t="shared" si="133"/>
        <v>J160</v>
      </c>
      <c r="B501">
        <v>1</v>
      </c>
      <c r="C501" t="str">
        <f t="shared" si="134"/>
        <v>43000</v>
      </c>
      <c r="D501" t="str">
        <f t="shared" si="135"/>
        <v>5740</v>
      </c>
      <c r="E501" t="str">
        <f t="shared" si="136"/>
        <v>850LOS</v>
      </c>
      <c r="F501" t="str">
        <f>""</f>
        <v/>
      </c>
      <c r="G501" t="str">
        <f>""</f>
        <v/>
      </c>
      <c r="H501" s="1">
        <v>39508</v>
      </c>
      <c r="I501" t="str">
        <f>"PHY00477"</f>
        <v>PHY00477</v>
      </c>
      <c r="J501" t="str">
        <f>"W0021922"</f>
        <v>W0021922</v>
      </c>
      <c r="K501" t="str">
        <f t="shared" si="132"/>
        <v>AS89</v>
      </c>
      <c r="L501" t="s">
        <v>723</v>
      </c>
      <c r="M501">
        <v>308.20999999999998</v>
      </c>
    </row>
    <row r="502" spans="1:13" x14ac:dyDescent="0.25">
      <c r="A502" t="str">
        <f t="shared" si="133"/>
        <v>J160</v>
      </c>
      <c r="B502">
        <v>1</v>
      </c>
      <c r="C502" t="str">
        <f t="shared" si="134"/>
        <v>43000</v>
      </c>
      <c r="D502" t="str">
        <f t="shared" si="135"/>
        <v>5740</v>
      </c>
      <c r="E502" t="str">
        <f t="shared" si="136"/>
        <v>850LOS</v>
      </c>
      <c r="F502" t="str">
        <f>""</f>
        <v/>
      </c>
      <c r="G502" t="str">
        <f>""</f>
        <v/>
      </c>
      <c r="H502" s="1">
        <v>39539</v>
      </c>
      <c r="I502" t="str">
        <f>"PHY00479"</f>
        <v>PHY00479</v>
      </c>
      <c r="J502" t="str">
        <f>"W0017864"</f>
        <v>W0017864</v>
      </c>
      <c r="K502" t="str">
        <f t="shared" si="132"/>
        <v>AS89</v>
      </c>
      <c r="L502" t="s">
        <v>726</v>
      </c>
      <c r="M502">
        <v>320.47000000000003</v>
      </c>
    </row>
    <row r="503" spans="1:13" x14ac:dyDescent="0.25">
      <c r="A503" t="str">
        <f t="shared" si="133"/>
        <v>J160</v>
      </c>
      <c r="B503">
        <v>1</v>
      </c>
      <c r="C503" t="str">
        <f t="shared" si="134"/>
        <v>43000</v>
      </c>
      <c r="D503" t="str">
        <f t="shared" si="135"/>
        <v>5740</v>
      </c>
      <c r="E503" t="str">
        <f t="shared" si="136"/>
        <v>850LOS</v>
      </c>
      <c r="F503" t="str">
        <f>""</f>
        <v/>
      </c>
      <c r="G503" t="str">
        <f>""</f>
        <v/>
      </c>
      <c r="H503" s="1">
        <v>39539</v>
      </c>
      <c r="I503" t="str">
        <f>"PHY00479"</f>
        <v>PHY00479</v>
      </c>
      <c r="J503" t="str">
        <f>"W0021922"</f>
        <v>W0021922</v>
      </c>
      <c r="K503" t="str">
        <f t="shared" si="132"/>
        <v>AS89</v>
      </c>
      <c r="L503" t="s">
        <v>723</v>
      </c>
      <c r="M503" s="2">
        <v>1435.93</v>
      </c>
    </row>
    <row r="504" spans="1:13" x14ac:dyDescent="0.25">
      <c r="A504" t="str">
        <f t="shared" si="133"/>
        <v>J160</v>
      </c>
      <c r="B504">
        <v>1</v>
      </c>
      <c r="C504" t="str">
        <f t="shared" si="134"/>
        <v>43000</v>
      </c>
      <c r="D504" t="str">
        <f t="shared" si="135"/>
        <v>5740</v>
      </c>
      <c r="E504" t="str">
        <f t="shared" si="136"/>
        <v>850LOS</v>
      </c>
      <c r="F504" t="str">
        <f>""</f>
        <v/>
      </c>
      <c r="G504" t="str">
        <f>""</f>
        <v/>
      </c>
      <c r="H504" s="1">
        <v>39539</v>
      </c>
      <c r="I504" t="str">
        <f>"PHY00479"</f>
        <v>PHY00479</v>
      </c>
      <c r="J504" t="str">
        <f>"W0024200"</f>
        <v>W0024200</v>
      </c>
      <c r="K504" t="str">
        <f t="shared" si="132"/>
        <v>AS89</v>
      </c>
      <c r="L504" t="s">
        <v>725</v>
      </c>
      <c r="M504">
        <v>100.14</v>
      </c>
    </row>
    <row r="505" spans="1:13" x14ac:dyDescent="0.25">
      <c r="A505" t="str">
        <f t="shared" si="133"/>
        <v>J160</v>
      </c>
      <c r="B505">
        <v>1</v>
      </c>
      <c r="C505" t="str">
        <f t="shared" si="134"/>
        <v>43000</v>
      </c>
      <c r="D505" t="str">
        <f t="shared" si="135"/>
        <v>5740</v>
      </c>
      <c r="E505" t="str">
        <f t="shared" si="136"/>
        <v>850LOS</v>
      </c>
      <c r="F505" t="str">
        <f>""</f>
        <v/>
      </c>
      <c r="G505" t="str">
        <f>""</f>
        <v/>
      </c>
      <c r="H505" s="1">
        <v>39569</v>
      </c>
      <c r="I505" t="str">
        <f>"PHY00481"</f>
        <v>PHY00481</v>
      </c>
      <c r="J505" t="str">
        <f>"W0021922"</f>
        <v>W0021922</v>
      </c>
      <c r="K505" t="str">
        <f t="shared" si="132"/>
        <v>AS89</v>
      </c>
      <c r="L505" t="s">
        <v>723</v>
      </c>
      <c r="M505">
        <v>155.57</v>
      </c>
    </row>
    <row r="506" spans="1:13" x14ac:dyDescent="0.25">
      <c r="A506" t="str">
        <f t="shared" si="133"/>
        <v>J160</v>
      </c>
      <c r="B506">
        <v>1</v>
      </c>
      <c r="C506" t="str">
        <f t="shared" si="134"/>
        <v>43000</v>
      </c>
      <c r="D506" t="str">
        <f t="shared" si="135"/>
        <v>5740</v>
      </c>
      <c r="E506" t="str">
        <f t="shared" si="136"/>
        <v>850LOS</v>
      </c>
      <c r="F506" t="str">
        <f>""</f>
        <v/>
      </c>
      <c r="G506" t="str">
        <f>""</f>
        <v/>
      </c>
      <c r="H506" s="1">
        <v>39569</v>
      </c>
      <c r="I506" t="str">
        <f>"PHY00481"</f>
        <v>PHY00481</v>
      </c>
      <c r="J506" t="str">
        <f>"W0022836"</f>
        <v>W0022836</v>
      </c>
      <c r="K506" t="str">
        <f t="shared" si="132"/>
        <v>AS89</v>
      </c>
      <c r="L506" t="s">
        <v>722</v>
      </c>
      <c r="M506">
        <v>520.88</v>
      </c>
    </row>
    <row r="507" spans="1:13" x14ac:dyDescent="0.25">
      <c r="A507" t="str">
        <f t="shared" si="133"/>
        <v>J160</v>
      </c>
      <c r="B507">
        <v>1</v>
      </c>
      <c r="C507" t="str">
        <f t="shared" si="134"/>
        <v>43000</v>
      </c>
      <c r="D507" t="str">
        <f t="shared" si="135"/>
        <v>5740</v>
      </c>
      <c r="E507" t="str">
        <f t="shared" si="136"/>
        <v>850LOS</v>
      </c>
      <c r="F507" t="str">
        <f>""</f>
        <v/>
      </c>
      <c r="G507" t="str">
        <f>""</f>
        <v/>
      </c>
      <c r="H507" s="1">
        <v>39600</v>
      </c>
      <c r="I507" t="str">
        <f>"PHY00483"</f>
        <v>PHY00483</v>
      </c>
      <c r="J507" t="str">
        <f>"W0022836"</f>
        <v>W0022836</v>
      </c>
      <c r="K507" t="str">
        <f t="shared" si="132"/>
        <v>AS89</v>
      </c>
      <c r="L507" t="s">
        <v>722</v>
      </c>
      <c r="M507">
        <v>174.6</v>
      </c>
    </row>
    <row r="508" spans="1:13" x14ac:dyDescent="0.25">
      <c r="A508" t="str">
        <f t="shared" si="133"/>
        <v>J160</v>
      </c>
      <c r="B508">
        <v>1</v>
      </c>
      <c r="C508" t="str">
        <f t="shared" si="134"/>
        <v>43000</v>
      </c>
      <c r="D508" t="str">
        <f t="shared" si="135"/>
        <v>5740</v>
      </c>
      <c r="E508" t="str">
        <f t="shared" si="136"/>
        <v>850LOS</v>
      </c>
      <c r="F508" t="str">
        <f>""</f>
        <v/>
      </c>
      <c r="G508" t="str">
        <f>""</f>
        <v/>
      </c>
      <c r="H508" s="1">
        <v>39600</v>
      </c>
      <c r="I508" t="str">
        <f>"PHY00483"</f>
        <v>PHY00483</v>
      </c>
      <c r="J508" t="str">
        <f>"W0024260"</f>
        <v>W0024260</v>
      </c>
      <c r="K508" t="str">
        <f t="shared" si="132"/>
        <v>AS89</v>
      </c>
      <c r="L508" t="s">
        <v>721</v>
      </c>
      <c r="M508">
        <v>320.8</v>
      </c>
    </row>
    <row r="509" spans="1:13" x14ac:dyDescent="0.25">
      <c r="A509" t="str">
        <f t="shared" si="133"/>
        <v>J160</v>
      </c>
      <c r="B509">
        <v>1</v>
      </c>
      <c r="C509" t="str">
        <f t="shared" si="134"/>
        <v>43000</v>
      </c>
      <c r="D509" t="str">
        <f t="shared" si="135"/>
        <v>5740</v>
      </c>
      <c r="E509" t="str">
        <f>"850PKE"</f>
        <v>850PKE</v>
      </c>
      <c r="F509" t="str">
        <f>""</f>
        <v/>
      </c>
      <c r="G509" t="str">
        <f>""</f>
        <v/>
      </c>
      <c r="H509" s="1">
        <v>39295</v>
      </c>
      <c r="I509" t="str">
        <f>"PHY00463"</f>
        <v>PHY00463</v>
      </c>
      <c r="J509" t="str">
        <f>"W0002512"</f>
        <v>W0002512</v>
      </c>
      <c r="K509" t="str">
        <f t="shared" si="132"/>
        <v>AS89</v>
      </c>
      <c r="L509" t="s">
        <v>422</v>
      </c>
      <c r="M509">
        <v>143.31</v>
      </c>
    </row>
    <row r="510" spans="1:13" x14ac:dyDescent="0.25">
      <c r="A510" t="str">
        <f t="shared" si="133"/>
        <v>J160</v>
      </c>
      <c r="B510">
        <v>1</v>
      </c>
      <c r="C510" t="str">
        <f t="shared" si="134"/>
        <v>43000</v>
      </c>
      <c r="D510" t="str">
        <f t="shared" si="135"/>
        <v>5740</v>
      </c>
      <c r="E510" t="str">
        <f>"850PKE"</f>
        <v>850PKE</v>
      </c>
      <c r="F510" t="str">
        <f>""</f>
        <v/>
      </c>
      <c r="G510" t="str">
        <f>""</f>
        <v/>
      </c>
      <c r="H510" s="1">
        <v>39417</v>
      </c>
      <c r="I510" t="str">
        <f>"PHY00471"</f>
        <v>PHY00471</v>
      </c>
      <c r="J510" t="str">
        <f>"W0002153"</f>
        <v>W0002153</v>
      </c>
      <c r="K510" t="str">
        <f t="shared" si="132"/>
        <v>AS89</v>
      </c>
      <c r="L510" t="s">
        <v>719</v>
      </c>
      <c r="M510">
        <v>166.86</v>
      </c>
    </row>
    <row r="511" spans="1:13" x14ac:dyDescent="0.25">
      <c r="A511" t="str">
        <f t="shared" si="133"/>
        <v>J160</v>
      </c>
      <c r="B511">
        <v>1</v>
      </c>
      <c r="C511" t="str">
        <f t="shared" si="134"/>
        <v>43000</v>
      </c>
      <c r="D511" t="str">
        <f t="shared" si="135"/>
        <v>5740</v>
      </c>
      <c r="E511" t="str">
        <f>"850PKE"</f>
        <v>850PKE</v>
      </c>
      <c r="F511" t="str">
        <f>""</f>
        <v/>
      </c>
      <c r="G511" t="str">
        <f>""</f>
        <v/>
      </c>
      <c r="H511" s="1">
        <v>39417</v>
      </c>
      <c r="I511" t="str">
        <f>"PHY00471"</f>
        <v>PHY00471</v>
      </c>
      <c r="J511" t="str">
        <f>"W0002251"</f>
        <v>W0002251</v>
      </c>
      <c r="K511" t="str">
        <f t="shared" si="132"/>
        <v>AS89</v>
      </c>
      <c r="L511" t="s">
        <v>424</v>
      </c>
      <c r="M511">
        <v>211.87</v>
      </c>
    </row>
    <row r="512" spans="1:13" x14ac:dyDescent="0.25">
      <c r="A512" t="str">
        <f t="shared" si="133"/>
        <v>J160</v>
      </c>
      <c r="B512">
        <v>1</v>
      </c>
      <c r="C512" t="str">
        <f t="shared" si="134"/>
        <v>43000</v>
      </c>
      <c r="D512" t="str">
        <f t="shared" si="135"/>
        <v>5740</v>
      </c>
      <c r="E512" t="str">
        <f>"850PKE"</f>
        <v>850PKE</v>
      </c>
      <c r="F512" t="str">
        <f>""</f>
        <v/>
      </c>
      <c r="G512" t="str">
        <f>""</f>
        <v/>
      </c>
      <c r="H512" s="1">
        <v>39479</v>
      </c>
      <c r="I512" t="str">
        <f>"PHY00475"</f>
        <v>PHY00475</v>
      </c>
      <c r="J512" t="str">
        <f>"W0014770"</f>
        <v>W0014770</v>
      </c>
      <c r="K512" t="str">
        <f t="shared" si="132"/>
        <v>AS89</v>
      </c>
      <c r="L512" t="s">
        <v>720</v>
      </c>
      <c r="M512">
        <v>378.7</v>
      </c>
    </row>
    <row r="513" spans="1:13" x14ac:dyDescent="0.25">
      <c r="A513" t="str">
        <f t="shared" si="133"/>
        <v>J160</v>
      </c>
      <c r="B513">
        <v>1</v>
      </c>
      <c r="C513" t="str">
        <f t="shared" ref="C513:C526" si="137">"43001"</f>
        <v>43001</v>
      </c>
      <c r="D513" t="str">
        <f t="shared" si="135"/>
        <v>5740</v>
      </c>
      <c r="E513" t="str">
        <f t="shared" ref="E513:E531" si="138">"850LOS"</f>
        <v>850LOS</v>
      </c>
      <c r="F513" t="str">
        <f>""</f>
        <v/>
      </c>
      <c r="G513" t="str">
        <f>""</f>
        <v/>
      </c>
      <c r="H513" s="1">
        <v>39264</v>
      </c>
      <c r="I513" t="str">
        <f>"PHY00461"</f>
        <v>PHY00461</v>
      </c>
      <c r="J513" t="str">
        <f>"W0002172"</f>
        <v>W0002172</v>
      </c>
      <c r="K513" t="str">
        <f t="shared" si="132"/>
        <v>AS89</v>
      </c>
      <c r="L513" t="s">
        <v>718</v>
      </c>
      <c r="M513">
        <v>102.31</v>
      </c>
    </row>
    <row r="514" spans="1:13" x14ac:dyDescent="0.25">
      <c r="A514" t="str">
        <f t="shared" si="133"/>
        <v>J160</v>
      </c>
      <c r="B514">
        <v>1</v>
      </c>
      <c r="C514" t="str">
        <f t="shared" si="137"/>
        <v>43001</v>
      </c>
      <c r="D514" t="str">
        <f t="shared" si="135"/>
        <v>5740</v>
      </c>
      <c r="E514" t="str">
        <f t="shared" si="138"/>
        <v>850LOS</v>
      </c>
      <c r="F514" t="str">
        <f>""</f>
        <v/>
      </c>
      <c r="G514" t="str">
        <f>""</f>
        <v/>
      </c>
      <c r="H514" s="1">
        <v>39356</v>
      </c>
      <c r="I514" t="str">
        <f>"PHY00467"</f>
        <v>PHY00467</v>
      </c>
      <c r="J514" t="str">
        <f>"W0002171"</f>
        <v>W0002171</v>
      </c>
      <c r="K514" t="str">
        <f t="shared" si="132"/>
        <v>AS89</v>
      </c>
      <c r="L514" t="s">
        <v>717</v>
      </c>
      <c r="M514">
        <v>185.2</v>
      </c>
    </row>
    <row r="515" spans="1:13" x14ac:dyDescent="0.25">
      <c r="A515" t="str">
        <f t="shared" si="133"/>
        <v>J160</v>
      </c>
      <c r="B515">
        <v>1</v>
      </c>
      <c r="C515" t="str">
        <f t="shared" si="137"/>
        <v>43001</v>
      </c>
      <c r="D515" t="str">
        <f t="shared" si="135"/>
        <v>5740</v>
      </c>
      <c r="E515" t="str">
        <f t="shared" si="138"/>
        <v>850LOS</v>
      </c>
      <c r="F515" t="str">
        <f>""</f>
        <v/>
      </c>
      <c r="G515" t="str">
        <f>""</f>
        <v/>
      </c>
      <c r="H515" s="1">
        <v>39417</v>
      </c>
      <c r="I515" t="str">
        <f>"PHY00471"</f>
        <v>PHY00471</v>
      </c>
      <c r="J515" t="str">
        <f>"P0005490"</f>
        <v>P0005490</v>
      </c>
      <c r="K515" t="str">
        <f t="shared" si="132"/>
        <v>AS89</v>
      </c>
      <c r="L515" t="s">
        <v>716</v>
      </c>
      <c r="M515" s="2">
        <v>3894.59</v>
      </c>
    </row>
    <row r="516" spans="1:13" x14ac:dyDescent="0.25">
      <c r="A516" t="str">
        <f t="shared" si="133"/>
        <v>J160</v>
      </c>
      <c r="B516">
        <v>1</v>
      </c>
      <c r="C516" t="str">
        <f t="shared" si="137"/>
        <v>43001</v>
      </c>
      <c r="D516" t="str">
        <f t="shared" si="135"/>
        <v>5740</v>
      </c>
      <c r="E516" t="str">
        <f t="shared" si="138"/>
        <v>850LOS</v>
      </c>
      <c r="F516" t="str">
        <f>""</f>
        <v/>
      </c>
      <c r="G516" t="str">
        <f>""</f>
        <v/>
      </c>
      <c r="H516" s="1">
        <v>39417</v>
      </c>
      <c r="I516" t="str">
        <f>"PHY00471"</f>
        <v>PHY00471</v>
      </c>
      <c r="J516" t="str">
        <f>"W0015855"</f>
        <v>W0015855</v>
      </c>
      <c r="K516" t="str">
        <f t="shared" si="132"/>
        <v>AS89</v>
      </c>
      <c r="L516" t="s">
        <v>713</v>
      </c>
      <c r="M516">
        <v>311.38</v>
      </c>
    </row>
    <row r="517" spans="1:13" x14ac:dyDescent="0.25">
      <c r="A517" t="str">
        <f t="shared" si="133"/>
        <v>J160</v>
      </c>
      <c r="B517">
        <v>1</v>
      </c>
      <c r="C517" t="str">
        <f t="shared" si="137"/>
        <v>43001</v>
      </c>
      <c r="D517" t="str">
        <f t="shared" si="135"/>
        <v>5740</v>
      </c>
      <c r="E517" t="str">
        <f t="shared" si="138"/>
        <v>850LOS</v>
      </c>
      <c r="F517" t="str">
        <f>""</f>
        <v/>
      </c>
      <c r="G517" t="str">
        <f>""</f>
        <v/>
      </c>
      <c r="H517" s="1">
        <v>39417</v>
      </c>
      <c r="I517" t="str">
        <f>"PHY00471"</f>
        <v>PHY00471</v>
      </c>
      <c r="J517" t="str">
        <f>"W0015862"</f>
        <v>W0015862</v>
      </c>
      <c r="K517" t="str">
        <f t="shared" si="132"/>
        <v>AS89</v>
      </c>
      <c r="L517" t="s">
        <v>715</v>
      </c>
      <c r="M517" s="2">
        <v>1614.3</v>
      </c>
    </row>
    <row r="518" spans="1:13" x14ac:dyDescent="0.25">
      <c r="A518" t="str">
        <f t="shared" si="133"/>
        <v>J160</v>
      </c>
      <c r="B518">
        <v>1</v>
      </c>
      <c r="C518" t="str">
        <f t="shared" si="137"/>
        <v>43001</v>
      </c>
      <c r="D518" t="str">
        <f t="shared" si="135"/>
        <v>5740</v>
      </c>
      <c r="E518" t="str">
        <f t="shared" si="138"/>
        <v>850LOS</v>
      </c>
      <c r="F518" t="str">
        <f>""</f>
        <v/>
      </c>
      <c r="G518" t="str">
        <f>""</f>
        <v/>
      </c>
      <c r="H518" s="1">
        <v>39448</v>
      </c>
      <c r="I518" t="str">
        <f>"PHY00473"</f>
        <v>PHY00473</v>
      </c>
      <c r="J518" t="str">
        <f>"W0015855"</f>
        <v>W0015855</v>
      </c>
      <c r="K518" t="str">
        <f t="shared" si="132"/>
        <v>AS89</v>
      </c>
      <c r="L518" t="s">
        <v>713</v>
      </c>
      <c r="M518" s="2">
        <v>6998.84</v>
      </c>
    </row>
    <row r="519" spans="1:13" x14ac:dyDescent="0.25">
      <c r="A519" t="str">
        <f t="shared" si="133"/>
        <v>J160</v>
      </c>
      <c r="B519">
        <v>1</v>
      </c>
      <c r="C519" t="str">
        <f t="shared" si="137"/>
        <v>43001</v>
      </c>
      <c r="D519" t="str">
        <f t="shared" si="135"/>
        <v>5740</v>
      </c>
      <c r="E519" t="str">
        <f t="shared" si="138"/>
        <v>850LOS</v>
      </c>
      <c r="F519" t="str">
        <f>""</f>
        <v/>
      </c>
      <c r="G519" t="str">
        <f>""</f>
        <v/>
      </c>
      <c r="H519" s="1">
        <v>39479</v>
      </c>
      <c r="I519" t="str">
        <f>"PHY00475"</f>
        <v>PHY00475</v>
      </c>
      <c r="J519" t="str">
        <f>"W0015855"</f>
        <v>W0015855</v>
      </c>
      <c r="K519" t="str">
        <f t="shared" si="132"/>
        <v>AS89</v>
      </c>
      <c r="L519" t="s">
        <v>713</v>
      </c>
      <c r="M519" s="2">
        <v>1172.94</v>
      </c>
    </row>
    <row r="520" spans="1:13" x14ac:dyDescent="0.25">
      <c r="A520" t="str">
        <f t="shared" si="133"/>
        <v>J160</v>
      </c>
      <c r="B520">
        <v>1</v>
      </c>
      <c r="C520" t="str">
        <f t="shared" si="137"/>
        <v>43001</v>
      </c>
      <c r="D520" t="str">
        <f t="shared" si="135"/>
        <v>5740</v>
      </c>
      <c r="E520" t="str">
        <f t="shared" si="138"/>
        <v>850LOS</v>
      </c>
      <c r="F520" t="str">
        <f>""</f>
        <v/>
      </c>
      <c r="G520" t="str">
        <f>""</f>
        <v/>
      </c>
      <c r="H520" s="1">
        <v>39479</v>
      </c>
      <c r="I520" t="str">
        <f>"PHY00475"</f>
        <v>PHY00475</v>
      </c>
      <c r="J520" t="str">
        <f>"W0015856"</f>
        <v>W0015856</v>
      </c>
      <c r="K520" t="str">
        <f t="shared" si="132"/>
        <v>AS89</v>
      </c>
      <c r="L520" t="s">
        <v>712</v>
      </c>
      <c r="M520" s="2">
        <v>2816.52</v>
      </c>
    </row>
    <row r="521" spans="1:13" x14ac:dyDescent="0.25">
      <c r="A521" t="str">
        <f t="shared" si="133"/>
        <v>J160</v>
      </c>
      <c r="B521">
        <v>1</v>
      </c>
      <c r="C521" t="str">
        <f t="shared" si="137"/>
        <v>43001</v>
      </c>
      <c r="D521" t="str">
        <f t="shared" si="135"/>
        <v>5740</v>
      </c>
      <c r="E521" t="str">
        <f t="shared" si="138"/>
        <v>850LOS</v>
      </c>
      <c r="F521" t="str">
        <f>""</f>
        <v/>
      </c>
      <c r="G521" t="str">
        <f>""</f>
        <v/>
      </c>
      <c r="H521" s="1">
        <v>39479</v>
      </c>
      <c r="I521" t="str">
        <f>"PHY00475"</f>
        <v>PHY00475</v>
      </c>
      <c r="J521" t="str">
        <f>"W0015858"</f>
        <v>W0015858</v>
      </c>
      <c r="K521" t="str">
        <f t="shared" ref="K521:K526" si="139">"AS89"</f>
        <v>AS89</v>
      </c>
      <c r="L521" t="s">
        <v>711</v>
      </c>
      <c r="M521">
        <v>914.63</v>
      </c>
    </row>
    <row r="522" spans="1:13" x14ac:dyDescent="0.25">
      <c r="A522" t="str">
        <f t="shared" si="133"/>
        <v>J160</v>
      </c>
      <c r="B522">
        <v>1</v>
      </c>
      <c r="C522" t="str">
        <f t="shared" si="137"/>
        <v>43001</v>
      </c>
      <c r="D522" t="str">
        <f t="shared" si="135"/>
        <v>5740</v>
      </c>
      <c r="E522" t="str">
        <f t="shared" si="138"/>
        <v>850LOS</v>
      </c>
      <c r="F522" t="str">
        <f>""</f>
        <v/>
      </c>
      <c r="G522" t="str">
        <f>""</f>
        <v/>
      </c>
      <c r="H522" s="1">
        <v>39479</v>
      </c>
      <c r="I522" t="str">
        <f>"PHY00475"</f>
        <v>PHY00475</v>
      </c>
      <c r="J522" t="str">
        <f>"W0015859"</f>
        <v>W0015859</v>
      </c>
      <c r="K522" t="str">
        <f t="shared" si="139"/>
        <v>AS89</v>
      </c>
      <c r="L522" t="s">
        <v>710</v>
      </c>
      <c r="M522">
        <v>882.38</v>
      </c>
    </row>
    <row r="523" spans="1:13" x14ac:dyDescent="0.25">
      <c r="A523" t="str">
        <f t="shared" si="133"/>
        <v>J160</v>
      </c>
      <c r="B523">
        <v>1</v>
      </c>
      <c r="C523" t="str">
        <f t="shared" si="137"/>
        <v>43001</v>
      </c>
      <c r="D523" t="str">
        <f t="shared" si="135"/>
        <v>5740</v>
      </c>
      <c r="E523" t="str">
        <f t="shared" si="138"/>
        <v>850LOS</v>
      </c>
      <c r="F523" t="str">
        <f>""</f>
        <v/>
      </c>
      <c r="G523" t="str">
        <f>""</f>
        <v/>
      </c>
      <c r="H523" s="1">
        <v>39508</v>
      </c>
      <c r="I523" t="str">
        <f>"PHY00477"</f>
        <v>PHY00477</v>
      </c>
      <c r="J523" t="str">
        <f>"W0015855"</f>
        <v>W0015855</v>
      </c>
      <c r="K523" t="str">
        <f t="shared" si="139"/>
        <v>AS89</v>
      </c>
      <c r="L523" t="s">
        <v>713</v>
      </c>
      <c r="M523">
        <v>233.47</v>
      </c>
    </row>
    <row r="524" spans="1:13" x14ac:dyDescent="0.25">
      <c r="A524" t="str">
        <f t="shared" si="133"/>
        <v>J160</v>
      </c>
      <c r="B524">
        <v>1</v>
      </c>
      <c r="C524" t="str">
        <f t="shared" si="137"/>
        <v>43001</v>
      </c>
      <c r="D524" t="str">
        <f t="shared" si="135"/>
        <v>5740</v>
      </c>
      <c r="E524" t="str">
        <f t="shared" si="138"/>
        <v>850LOS</v>
      </c>
      <c r="F524" t="str">
        <f>""</f>
        <v/>
      </c>
      <c r="G524" t="str">
        <f>""</f>
        <v/>
      </c>
      <c r="H524" s="1">
        <v>39508</v>
      </c>
      <c r="I524" t="str">
        <f>"PHY00477"</f>
        <v>PHY00477</v>
      </c>
      <c r="J524" t="str">
        <f>"W0015856"</f>
        <v>W0015856</v>
      </c>
      <c r="K524" t="str">
        <f t="shared" si="139"/>
        <v>AS89</v>
      </c>
      <c r="L524" t="s">
        <v>712</v>
      </c>
      <c r="M524" s="2">
        <v>1392.83</v>
      </c>
    </row>
    <row r="525" spans="1:13" x14ac:dyDescent="0.25">
      <c r="A525" t="str">
        <f t="shared" si="133"/>
        <v>J160</v>
      </c>
      <c r="B525">
        <v>1</v>
      </c>
      <c r="C525" t="str">
        <f t="shared" si="137"/>
        <v>43001</v>
      </c>
      <c r="D525" t="str">
        <f t="shared" si="135"/>
        <v>5740</v>
      </c>
      <c r="E525" t="str">
        <f t="shared" si="138"/>
        <v>850LOS</v>
      </c>
      <c r="F525" t="str">
        <f>""</f>
        <v/>
      </c>
      <c r="G525" t="str">
        <f>""</f>
        <v/>
      </c>
      <c r="H525" s="1">
        <v>39508</v>
      </c>
      <c r="I525" t="str">
        <f>"PHY00477"</f>
        <v>PHY00477</v>
      </c>
      <c r="J525" t="str">
        <f>"W0015858"</f>
        <v>W0015858</v>
      </c>
      <c r="K525" t="str">
        <f t="shared" si="139"/>
        <v>AS89</v>
      </c>
      <c r="L525" t="s">
        <v>711</v>
      </c>
      <c r="M525" s="2">
        <v>1265.8499999999999</v>
      </c>
    </row>
    <row r="526" spans="1:13" x14ac:dyDescent="0.25">
      <c r="A526" t="str">
        <f t="shared" si="133"/>
        <v>J160</v>
      </c>
      <c r="B526">
        <v>1</v>
      </c>
      <c r="C526" t="str">
        <f t="shared" si="137"/>
        <v>43001</v>
      </c>
      <c r="D526" t="str">
        <f t="shared" si="135"/>
        <v>5740</v>
      </c>
      <c r="E526" t="str">
        <f t="shared" si="138"/>
        <v>850LOS</v>
      </c>
      <c r="F526" t="str">
        <f>""</f>
        <v/>
      </c>
      <c r="G526" t="str">
        <f>""</f>
        <v/>
      </c>
      <c r="H526" s="1">
        <v>39508</v>
      </c>
      <c r="I526" t="str">
        <f>"PHY00477"</f>
        <v>PHY00477</v>
      </c>
      <c r="J526" t="str">
        <f>"W0015859"</f>
        <v>W0015859</v>
      </c>
      <c r="K526" t="str">
        <f t="shared" si="139"/>
        <v>AS89</v>
      </c>
      <c r="L526" t="s">
        <v>710</v>
      </c>
      <c r="M526">
        <v>103.76</v>
      </c>
    </row>
    <row r="527" spans="1:13" x14ac:dyDescent="0.25">
      <c r="A527" t="str">
        <f>"J162"</f>
        <v>J162</v>
      </c>
      <c r="B527">
        <v>1</v>
      </c>
      <c r="C527" t="str">
        <f>"43000"</f>
        <v>43000</v>
      </c>
      <c r="D527" t="str">
        <f t="shared" si="135"/>
        <v>5740</v>
      </c>
      <c r="E527" t="str">
        <f t="shared" si="138"/>
        <v>850LOS</v>
      </c>
      <c r="F527" t="str">
        <f>""</f>
        <v/>
      </c>
      <c r="G527" t="str">
        <f>""</f>
        <v/>
      </c>
      <c r="H527" s="1">
        <v>39300</v>
      </c>
      <c r="I527" t="str">
        <f>"G0802156"</f>
        <v>G0802156</v>
      </c>
      <c r="J527" t="str">
        <f>""</f>
        <v/>
      </c>
      <c r="K527" t="str">
        <f>"J096"</f>
        <v>J096</v>
      </c>
      <c r="L527" t="s">
        <v>129</v>
      </c>
      <c r="M527">
        <v>900</v>
      </c>
    </row>
    <row r="528" spans="1:13" x14ac:dyDescent="0.25">
      <c r="A528" t="str">
        <f>"J162"</f>
        <v>J162</v>
      </c>
      <c r="B528">
        <v>1</v>
      </c>
      <c r="C528" t="str">
        <f>"43000"</f>
        <v>43000</v>
      </c>
      <c r="D528" t="str">
        <f t="shared" si="135"/>
        <v>5740</v>
      </c>
      <c r="E528" t="str">
        <f t="shared" si="138"/>
        <v>850LOS</v>
      </c>
      <c r="F528" t="str">
        <f>""</f>
        <v/>
      </c>
      <c r="G528" t="str">
        <f>""</f>
        <v/>
      </c>
      <c r="H528" s="1">
        <v>39429</v>
      </c>
      <c r="I528" t="str">
        <f>"G0806050"</f>
        <v>G0806050</v>
      </c>
      <c r="J528" t="str">
        <f>""</f>
        <v/>
      </c>
      <c r="K528" t="str">
        <f>"J096"</f>
        <v>J096</v>
      </c>
      <c r="L528" t="s">
        <v>129</v>
      </c>
      <c r="M528">
        <v>900</v>
      </c>
    </row>
    <row r="529" spans="1:13" x14ac:dyDescent="0.25">
      <c r="A529" t="str">
        <f>"J162"</f>
        <v>J162</v>
      </c>
      <c r="B529">
        <v>1</v>
      </c>
      <c r="C529" t="str">
        <f>"43000"</f>
        <v>43000</v>
      </c>
      <c r="D529" t="str">
        <f t="shared" si="135"/>
        <v>5740</v>
      </c>
      <c r="E529" t="str">
        <f t="shared" si="138"/>
        <v>850LOS</v>
      </c>
      <c r="F529" t="str">
        <f>""</f>
        <v/>
      </c>
      <c r="G529" t="str">
        <f>""</f>
        <v/>
      </c>
      <c r="H529" s="1">
        <v>39526</v>
      </c>
      <c r="I529" t="str">
        <f>"G0809076"</f>
        <v>G0809076</v>
      </c>
      <c r="J529" t="str">
        <f>""</f>
        <v/>
      </c>
      <c r="K529" t="str">
        <f>"J096"</f>
        <v>J096</v>
      </c>
      <c r="L529" t="s">
        <v>129</v>
      </c>
      <c r="M529">
        <v>900</v>
      </c>
    </row>
    <row r="530" spans="1:13" x14ac:dyDescent="0.25">
      <c r="A530" t="str">
        <f>"J162"</f>
        <v>J162</v>
      </c>
      <c r="B530">
        <v>1</v>
      </c>
      <c r="C530" t="str">
        <f>"43000"</f>
        <v>43000</v>
      </c>
      <c r="D530" t="str">
        <f t="shared" si="135"/>
        <v>5740</v>
      </c>
      <c r="E530" t="str">
        <f t="shared" si="138"/>
        <v>850LOS</v>
      </c>
      <c r="F530" t="str">
        <f>""</f>
        <v/>
      </c>
      <c r="G530" t="str">
        <f>""</f>
        <v/>
      </c>
      <c r="H530" s="1">
        <v>39611</v>
      </c>
      <c r="I530" t="str">
        <f>"G0812069"</f>
        <v>G0812069</v>
      </c>
      <c r="J530" t="str">
        <f>""</f>
        <v/>
      </c>
      <c r="K530" t="str">
        <f>"J096"</f>
        <v>J096</v>
      </c>
      <c r="L530" t="s">
        <v>420</v>
      </c>
      <c r="M530">
        <v>900</v>
      </c>
    </row>
    <row r="531" spans="1:13" x14ac:dyDescent="0.25">
      <c r="A531" t="str">
        <f>"J162"</f>
        <v>J162</v>
      </c>
      <c r="B531">
        <v>1</v>
      </c>
      <c r="C531" t="str">
        <f>"43001"</f>
        <v>43001</v>
      </c>
      <c r="D531" t="str">
        <f t="shared" si="135"/>
        <v>5740</v>
      </c>
      <c r="E531" t="str">
        <f t="shared" si="138"/>
        <v>850LOS</v>
      </c>
      <c r="F531" t="str">
        <f>""</f>
        <v/>
      </c>
      <c r="G531" t="str">
        <f>""</f>
        <v/>
      </c>
      <c r="H531" s="1">
        <v>39610</v>
      </c>
      <c r="I531" t="str">
        <f>"TEL00564"</f>
        <v>TEL00564</v>
      </c>
      <c r="J531" t="str">
        <f>""</f>
        <v/>
      </c>
      <c r="K531" t="str">
        <f>"AS89"</f>
        <v>AS89</v>
      </c>
      <c r="L531" t="s">
        <v>709</v>
      </c>
      <c r="M531">
        <v>100</v>
      </c>
    </row>
    <row r="532" spans="1:13" x14ac:dyDescent="0.25">
      <c r="A532" t="str">
        <f t="shared" ref="A532:A537" si="140">"J164"</f>
        <v>J164</v>
      </c>
      <c r="B532">
        <v>1</v>
      </c>
      <c r="C532" t="str">
        <f>"14185"</f>
        <v>14185</v>
      </c>
      <c r="D532" t="str">
        <f>"5620"</f>
        <v>5620</v>
      </c>
      <c r="E532" t="str">
        <f>"094OMS"</f>
        <v>094OMS</v>
      </c>
      <c r="F532" t="str">
        <f>""</f>
        <v/>
      </c>
      <c r="G532" t="str">
        <f>""</f>
        <v/>
      </c>
      <c r="H532" s="1">
        <v>39355</v>
      </c>
      <c r="I532" t="str">
        <f>"LKS00145"</f>
        <v>LKS00145</v>
      </c>
      <c r="J532" t="str">
        <f>"L30034"</f>
        <v>L30034</v>
      </c>
      <c r="K532" t="str">
        <f t="shared" ref="K532:K537" si="141">"LKW1"</f>
        <v>LKW1</v>
      </c>
      <c r="L532" t="s">
        <v>133</v>
      </c>
      <c r="M532">
        <v>173.74</v>
      </c>
    </row>
    <row r="533" spans="1:13" x14ac:dyDescent="0.25">
      <c r="A533" t="str">
        <f t="shared" si="140"/>
        <v>J164</v>
      </c>
      <c r="B533">
        <v>1</v>
      </c>
      <c r="C533" t="str">
        <f>"14185"</f>
        <v>14185</v>
      </c>
      <c r="D533" t="str">
        <f>"5620"</f>
        <v>5620</v>
      </c>
      <c r="E533" t="str">
        <f>"094OMS"</f>
        <v>094OMS</v>
      </c>
      <c r="F533" t="str">
        <f>""</f>
        <v/>
      </c>
      <c r="G533" t="str">
        <f>""</f>
        <v/>
      </c>
      <c r="H533" s="1">
        <v>39386</v>
      </c>
      <c r="I533" t="str">
        <f>"LKS00146"</f>
        <v>LKS00146</v>
      </c>
      <c r="J533" t="str">
        <f>"L30034"</f>
        <v>L30034</v>
      </c>
      <c r="K533" t="str">
        <f t="shared" si="141"/>
        <v>LKW1</v>
      </c>
      <c r="L533" t="s">
        <v>133</v>
      </c>
      <c r="M533">
        <v>103.47</v>
      </c>
    </row>
    <row r="534" spans="1:13" x14ac:dyDescent="0.25">
      <c r="A534" t="str">
        <f t="shared" si="140"/>
        <v>J164</v>
      </c>
      <c r="B534">
        <v>1</v>
      </c>
      <c r="C534" t="str">
        <f>"14185"</f>
        <v>14185</v>
      </c>
      <c r="D534" t="str">
        <f>"5620"</f>
        <v>5620</v>
      </c>
      <c r="E534" t="str">
        <f>"094OMS"</f>
        <v>094OMS</v>
      </c>
      <c r="F534" t="str">
        <f>""</f>
        <v/>
      </c>
      <c r="G534" t="str">
        <f>""</f>
        <v/>
      </c>
      <c r="H534" s="1">
        <v>39447</v>
      </c>
      <c r="I534" t="str">
        <f>"LKS00147"</f>
        <v>LKS00147</v>
      </c>
      <c r="J534" t="str">
        <f>"L30034"</f>
        <v>L30034</v>
      </c>
      <c r="K534" t="str">
        <f t="shared" si="141"/>
        <v>LKW1</v>
      </c>
      <c r="L534" t="s">
        <v>133</v>
      </c>
      <c r="M534">
        <v>508.55</v>
      </c>
    </row>
    <row r="535" spans="1:13" x14ac:dyDescent="0.25">
      <c r="A535" t="str">
        <f t="shared" si="140"/>
        <v>J164</v>
      </c>
      <c r="B535">
        <v>1</v>
      </c>
      <c r="C535" t="str">
        <f>"14185"</f>
        <v>14185</v>
      </c>
      <c r="D535" t="str">
        <f>"5620"</f>
        <v>5620</v>
      </c>
      <c r="E535" t="str">
        <f>"094OMS"</f>
        <v>094OMS</v>
      </c>
      <c r="F535" t="str">
        <f>""</f>
        <v/>
      </c>
      <c r="G535" t="str">
        <f>""</f>
        <v/>
      </c>
      <c r="H535" s="1">
        <v>39479</v>
      </c>
      <c r="I535" t="str">
        <f>"LKS00148"</f>
        <v>LKS00148</v>
      </c>
      <c r="J535" t="str">
        <f>"L30034"</f>
        <v>L30034</v>
      </c>
      <c r="K535" t="str">
        <f t="shared" si="141"/>
        <v>LKW1</v>
      </c>
      <c r="L535" t="s">
        <v>133</v>
      </c>
      <c r="M535">
        <v>114.66</v>
      </c>
    </row>
    <row r="536" spans="1:13" x14ac:dyDescent="0.25">
      <c r="A536" t="str">
        <f t="shared" si="140"/>
        <v>J164</v>
      </c>
      <c r="B536">
        <v>1</v>
      </c>
      <c r="C536" t="str">
        <f>"14185"</f>
        <v>14185</v>
      </c>
      <c r="D536" t="str">
        <f>"5620"</f>
        <v>5620</v>
      </c>
      <c r="E536" t="str">
        <f>"094OMS"</f>
        <v>094OMS</v>
      </c>
      <c r="F536" t="str">
        <f>""</f>
        <v/>
      </c>
      <c r="G536" t="str">
        <f>""</f>
        <v/>
      </c>
      <c r="H536" s="1">
        <v>39568</v>
      </c>
      <c r="I536" t="str">
        <f>"LKS00151"</f>
        <v>LKS00151</v>
      </c>
      <c r="J536" t="str">
        <f>"L30034"</f>
        <v>L30034</v>
      </c>
      <c r="K536" t="str">
        <f t="shared" si="141"/>
        <v>LKW1</v>
      </c>
      <c r="L536" t="s">
        <v>133</v>
      </c>
      <c r="M536">
        <v>142</v>
      </c>
    </row>
    <row r="537" spans="1:13" x14ac:dyDescent="0.25">
      <c r="A537" t="str">
        <f t="shared" si="140"/>
        <v>J164</v>
      </c>
      <c r="B537">
        <v>1</v>
      </c>
      <c r="C537" t="str">
        <f>"43000"</f>
        <v>43000</v>
      </c>
      <c r="D537" t="str">
        <f>"5740"</f>
        <v>5740</v>
      </c>
      <c r="E537" t="str">
        <f>"850LOS"</f>
        <v>850LOS</v>
      </c>
      <c r="F537" t="str">
        <f>""</f>
        <v/>
      </c>
      <c r="G537" t="str">
        <f>""</f>
        <v/>
      </c>
      <c r="H537" s="1">
        <v>39386</v>
      </c>
      <c r="I537" t="str">
        <f>"LKS00146"</f>
        <v>LKS00146</v>
      </c>
      <c r="J537" t="str">
        <f>"L65904"</f>
        <v>L65904</v>
      </c>
      <c r="K537" t="str">
        <f t="shared" si="141"/>
        <v>LKW1</v>
      </c>
      <c r="L537" t="s">
        <v>708</v>
      </c>
      <c r="M537">
        <v>109.48</v>
      </c>
    </row>
    <row r="538" spans="1:13" x14ac:dyDescent="0.25">
      <c r="A538" t="str">
        <f>"J171"</f>
        <v>J171</v>
      </c>
      <c r="B538">
        <v>1</v>
      </c>
      <c r="C538" t="str">
        <f>"14185"</f>
        <v>14185</v>
      </c>
      <c r="D538" t="str">
        <f>"5620"</f>
        <v>5620</v>
      </c>
      <c r="E538" t="str">
        <f>"094OMS"</f>
        <v>094OMS</v>
      </c>
      <c r="F538" t="str">
        <f>""</f>
        <v/>
      </c>
      <c r="G538" t="str">
        <f>""</f>
        <v/>
      </c>
      <c r="H538" s="1">
        <v>39353</v>
      </c>
      <c r="I538" t="str">
        <f>"PRT00227"</f>
        <v>PRT00227</v>
      </c>
      <c r="J538" t="str">
        <f>""</f>
        <v/>
      </c>
      <c r="K538" t="str">
        <f>"PR01"</f>
        <v>PR01</v>
      </c>
      <c r="L538" t="s">
        <v>707</v>
      </c>
      <c r="M538">
        <v>102.41</v>
      </c>
    </row>
    <row r="539" spans="1:13" x14ac:dyDescent="0.25">
      <c r="A539" t="str">
        <f>"J171"</f>
        <v>J171</v>
      </c>
      <c r="B539">
        <v>1</v>
      </c>
      <c r="C539" t="str">
        <f>"14185"</f>
        <v>14185</v>
      </c>
      <c r="D539" t="str">
        <f>"5620"</f>
        <v>5620</v>
      </c>
      <c r="E539" t="str">
        <f>"094OMS"</f>
        <v>094OMS</v>
      </c>
      <c r="F539" t="str">
        <f>""</f>
        <v/>
      </c>
      <c r="G539" t="str">
        <f>""</f>
        <v/>
      </c>
      <c r="H539" s="1">
        <v>39387</v>
      </c>
      <c r="I539" t="str">
        <f>"PRT00229"</f>
        <v>PRT00229</v>
      </c>
      <c r="J539" t="str">
        <f>""</f>
        <v/>
      </c>
      <c r="K539" t="str">
        <f>"PR01"</f>
        <v>PR01</v>
      </c>
      <c r="L539" t="s">
        <v>142</v>
      </c>
      <c r="M539">
        <v>163.65</v>
      </c>
    </row>
    <row r="540" spans="1:13" x14ac:dyDescent="0.25">
      <c r="A540" t="str">
        <f>"J171"</f>
        <v>J171</v>
      </c>
      <c r="B540">
        <v>1</v>
      </c>
      <c r="C540" t="str">
        <f>"14185"</f>
        <v>14185</v>
      </c>
      <c r="D540" t="str">
        <f>"5620"</f>
        <v>5620</v>
      </c>
      <c r="E540" t="str">
        <f>"094OMS"</f>
        <v>094OMS</v>
      </c>
      <c r="F540" t="str">
        <f>""</f>
        <v/>
      </c>
      <c r="G540" t="str">
        <f>""</f>
        <v/>
      </c>
      <c r="H540" s="1">
        <v>39568</v>
      </c>
      <c r="I540" t="str">
        <f>"PRT00241"</f>
        <v>PRT00241</v>
      </c>
      <c r="J540" t="str">
        <f>""</f>
        <v/>
      </c>
      <c r="K540" t="str">
        <f>"PR01"</f>
        <v>PR01</v>
      </c>
      <c r="L540" t="s">
        <v>142</v>
      </c>
      <c r="M540">
        <v>164.2</v>
      </c>
    </row>
    <row r="541" spans="1:13" x14ac:dyDescent="0.25">
      <c r="A541" t="str">
        <f>"J171"</f>
        <v>J171</v>
      </c>
      <c r="B541">
        <v>1</v>
      </c>
      <c r="C541" t="str">
        <f t="shared" ref="C541:C547" si="142">"43000"</f>
        <v>43000</v>
      </c>
      <c r="D541" t="str">
        <f t="shared" ref="D541:D550" si="143">"5740"</f>
        <v>5740</v>
      </c>
      <c r="E541" t="str">
        <f>"850PKE"</f>
        <v>850PKE</v>
      </c>
      <c r="F541" t="str">
        <f>""</f>
        <v/>
      </c>
      <c r="G541" t="str">
        <f>""</f>
        <v/>
      </c>
      <c r="H541" s="1">
        <v>39353</v>
      </c>
      <c r="I541" t="str">
        <f>"PRT00227"</f>
        <v>PRT00227</v>
      </c>
      <c r="J541" t="str">
        <f>""</f>
        <v/>
      </c>
      <c r="K541" t="str">
        <f>"PR01"</f>
        <v>PR01</v>
      </c>
      <c r="L541" t="s">
        <v>706</v>
      </c>
      <c r="M541">
        <v>176.6</v>
      </c>
    </row>
    <row r="542" spans="1:13" x14ac:dyDescent="0.25">
      <c r="A542" t="str">
        <f>"J171"</f>
        <v>J171</v>
      </c>
      <c r="B542">
        <v>1</v>
      </c>
      <c r="C542" t="str">
        <f t="shared" si="142"/>
        <v>43000</v>
      </c>
      <c r="D542" t="str">
        <f t="shared" si="143"/>
        <v>5740</v>
      </c>
      <c r="E542" t="str">
        <f>"850PKE"</f>
        <v>850PKE</v>
      </c>
      <c r="F542" t="str">
        <f>""</f>
        <v/>
      </c>
      <c r="G542" t="str">
        <f>""</f>
        <v/>
      </c>
      <c r="H542" s="1">
        <v>39538</v>
      </c>
      <c r="I542" t="str">
        <f>"PRT00239"</f>
        <v>PRT00239</v>
      </c>
      <c r="J542" t="str">
        <f>""</f>
        <v/>
      </c>
      <c r="K542" t="str">
        <f>"PR01"</f>
        <v>PR01</v>
      </c>
      <c r="L542" t="s">
        <v>705</v>
      </c>
      <c r="M542">
        <v>316.92</v>
      </c>
    </row>
    <row r="543" spans="1:13" x14ac:dyDescent="0.25">
      <c r="A543" t="str">
        <f t="shared" ref="A543:A550" si="144">"J172"</f>
        <v>J172</v>
      </c>
      <c r="B543">
        <v>1</v>
      </c>
      <c r="C543" t="str">
        <f t="shared" si="142"/>
        <v>43000</v>
      </c>
      <c r="D543" t="str">
        <f t="shared" si="143"/>
        <v>5740</v>
      </c>
      <c r="E543" t="str">
        <f>"850LOS"</f>
        <v>850LOS</v>
      </c>
      <c r="F543" t="str">
        <f>""</f>
        <v/>
      </c>
      <c r="G543" t="str">
        <f>""</f>
        <v/>
      </c>
      <c r="H543" s="1">
        <v>39324</v>
      </c>
      <c r="I543" t="str">
        <f>"COP00205"</f>
        <v>COP00205</v>
      </c>
      <c r="J543" t="str">
        <f t="shared" ref="J543:J550" si="145">"JOB ORDR"</f>
        <v>JOB ORDR</v>
      </c>
      <c r="K543" t="str">
        <f t="shared" ref="K543:K570" si="146">"AS89"</f>
        <v>AS89</v>
      </c>
      <c r="L543" t="s">
        <v>703</v>
      </c>
      <c r="M543">
        <v>437.4</v>
      </c>
    </row>
    <row r="544" spans="1:13" x14ac:dyDescent="0.25">
      <c r="A544" t="str">
        <f t="shared" si="144"/>
        <v>J172</v>
      </c>
      <c r="B544">
        <v>1</v>
      </c>
      <c r="C544" t="str">
        <f t="shared" si="142"/>
        <v>43000</v>
      </c>
      <c r="D544" t="str">
        <f t="shared" si="143"/>
        <v>5740</v>
      </c>
      <c r="E544" t="str">
        <f>"850LOS"</f>
        <v>850LOS</v>
      </c>
      <c r="F544" t="str">
        <f>""</f>
        <v/>
      </c>
      <c r="G544" t="str">
        <f>""</f>
        <v/>
      </c>
      <c r="H544" s="1">
        <v>39385</v>
      </c>
      <c r="I544" t="str">
        <f>"COP00207"</f>
        <v>COP00207</v>
      </c>
      <c r="J544" t="str">
        <f t="shared" si="145"/>
        <v>JOB ORDR</v>
      </c>
      <c r="K544" t="str">
        <f t="shared" si="146"/>
        <v>AS89</v>
      </c>
      <c r="L544" t="s">
        <v>701</v>
      </c>
      <c r="M544">
        <v>133.30000000000001</v>
      </c>
    </row>
    <row r="545" spans="1:13" x14ac:dyDescent="0.25">
      <c r="A545" t="str">
        <f t="shared" si="144"/>
        <v>J172</v>
      </c>
      <c r="B545">
        <v>1</v>
      </c>
      <c r="C545" t="str">
        <f t="shared" si="142"/>
        <v>43000</v>
      </c>
      <c r="D545" t="str">
        <f t="shared" si="143"/>
        <v>5740</v>
      </c>
      <c r="E545" t="str">
        <f>"850LOS"</f>
        <v>850LOS</v>
      </c>
      <c r="F545" t="str">
        <f>""</f>
        <v/>
      </c>
      <c r="G545" t="str">
        <f>""</f>
        <v/>
      </c>
      <c r="H545" s="1">
        <v>39567</v>
      </c>
      <c r="I545" t="str">
        <f>"COP00213"</f>
        <v>COP00213</v>
      </c>
      <c r="J545" t="str">
        <f t="shared" si="145"/>
        <v>JOB ORDR</v>
      </c>
      <c r="K545" t="str">
        <f t="shared" si="146"/>
        <v>AS89</v>
      </c>
      <c r="L545" t="s">
        <v>695</v>
      </c>
      <c r="M545">
        <v>119.73</v>
      </c>
    </row>
    <row r="546" spans="1:13" x14ac:dyDescent="0.25">
      <c r="A546" t="str">
        <f t="shared" si="144"/>
        <v>J172</v>
      </c>
      <c r="B546">
        <v>1</v>
      </c>
      <c r="C546" t="str">
        <f t="shared" si="142"/>
        <v>43000</v>
      </c>
      <c r="D546" t="str">
        <f t="shared" si="143"/>
        <v>5740</v>
      </c>
      <c r="E546" t="str">
        <f>"850LOS"</f>
        <v>850LOS</v>
      </c>
      <c r="F546" t="str">
        <f>""</f>
        <v/>
      </c>
      <c r="G546" t="str">
        <f>""</f>
        <v/>
      </c>
      <c r="H546" s="1">
        <v>39595</v>
      </c>
      <c r="I546" t="str">
        <f>"COP00214"</f>
        <v>COP00214</v>
      </c>
      <c r="J546" t="str">
        <f t="shared" si="145"/>
        <v>JOB ORDR</v>
      </c>
      <c r="K546" t="str">
        <f t="shared" si="146"/>
        <v>AS89</v>
      </c>
      <c r="L546" t="s">
        <v>694</v>
      </c>
      <c r="M546">
        <v>396.73</v>
      </c>
    </row>
    <row r="547" spans="1:13" x14ac:dyDescent="0.25">
      <c r="A547" t="str">
        <f t="shared" si="144"/>
        <v>J172</v>
      </c>
      <c r="B547">
        <v>1</v>
      </c>
      <c r="C547" t="str">
        <f t="shared" si="142"/>
        <v>43000</v>
      </c>
      <c r="D547" t="str">
        <f t="shared" si="143"/>
        <v>5740</v>
      </c>
      <c r="E547" t="str">
        <f>"850PKE"</f>
        <v>850PKE</v>
      </c>
      <c r="F547" t="str">
        <f>""</f>
        <v/>
      </c>
      <c r="G547" t="str">
        <f>""</f>
        <v/>
      </c>
      <c r="H547" s="1">
        <v>39324</v>
      </c>
      <c r="I547" t="str">
        <f>"COP00205"</f>
        <v>COP00205</v>
      </c>
      <c r="J547" t="str">
        <f t="shared" si="145"/>
        <v>JOB ORDR</v>
      </c>
      <c r="K547" t="str">
        <f t="shared" si="146"/>
        <v>AS89</v>
      </c>
      <c r="L547" t="s">
        <v>703</v>
      </c>
      <c r="M547">
        <v>251.63</v>
      </c>
    </row>
    <row r="548" spans="1:13" x14ac:dyDescent="0.25">
      <c r="A548" t="str">
        <f t="shared" si="144"/>
        <v>J172</v>
      </c>
      <c r="B548">
        <v>1</v>
      </c>
      <c r="C548" t="str">
        <f>"43001"</f>
        <v>43001</v>
      </c>
      <c r="D548" t="str">
        <f t="shared" si="143"/>
        <v>5740</v>
      </c>
      <c r="E548" t="str">
        <f>"850LOS"</f>
        <v>850LOS</v>
      </c>
      <c r="F548" t="str">
        <f>""</f>
        <v/>
      </c>
      <c r="G548" t="str">
        <f>""</f>
        <v/>
      </c>
      <c r="H548" s="1">
        <v>39415</v>
      </c>
      <c r="I548" t="str">
        <f>"COP00208"</f>
        <v>COP00208</v>
      </c>
      <c r="J548" t="str">
        <f t="shared" si="145"/>
        <v>JOB ORDR</v>
      </c>
      <c r="K548" t="str">
        <f t="shared" si="146"/>
        <v>AS89</v>
      </c>
      <c r="L548" t="s">
        <v>700</v>
      </c>
      <c r="M548">
        <v>173.03</v>
      </c>
    </row>
    <row r="549" spans="1:13" x14ac:dyDescent="0.25">
      <c r="A549" t="str">
        <f t="shared" si="144"/>
        <v>J172</v>
      </c>
      <c r="B549">
        <v>1</v>
      </c>
      <c r="C549" t="str">
        <f>"43007"</f>
        <v>43007</v>
      </c>
      <c r="D549" t="str">
        <f t="shared" si="143"/>
        <v>5740</v>
      </c>
      <c r="E549" t="str">
        <f>"850GAR"</f>
        <v>850GAR</v>
      </c>
      <c r="F549" t="str">
        <f>""</f>
        <v/>
      </c>
      <c r="G549" t="str">
        <f>""</f>
        <v/>
      </c>
      <c r="H549" s="1">
        <v>39385</v>
      </c>
      <c r="I549" t="str">
        <f>"COP00207"</f>
        <v>COP00207</v>
      </c>
      <c r="J549" t="str">
        <f t="shared" si="145"/>
        <v>JOB ORDR</v>
      </c>
      <c r="K549" t="str">
        <f t="shared" si="146"/>
        <v>AS89</v>
      </c>
      <c r="L549" t="s">
        <v>701</v>
      </c>
      <c r="M549">
        <v>182.16</v>
      </c>
    </row>
    <row r="550" spans="1:13" x14ac:dyDescent="0.25">
      <c r="A550" t="str">
        <f t="shared" si="144"/>
        <v>J172</v>
      </c>
      <c r="B550">
        <v>1</v>
      </c>
      <c r="C550" t="str">
        <f>"55729"</f>
        <v>55729</v>
      </c>
      <c r="D550" t="str">
        <f t="shared" si="143"/>
        <v>5740</v>
      </c>
      <c r="E550" t="str">
        <f>"111ZAA"</f>
        <v>111ZAA</v>
      </c>
      <c r="F550" t="str">
        <f>""</f>
        <v/>
      </c>
      <c r="G550" t="str">
        <f>""</f>
        <v/>
      </c>
      <c r="H550" s="1">
        <v>39476</v>
      </c>
      <c r="I550" t="str">
        <f>"COP00210"</f>
        <v>COP00210</v>
      </c>
      <c r="J550" t="str">
        <f t="shared" si="145"/>
        <v>JOB ORDR</v>
      </c>
      <c r="K550" t="str">
        <f t="shared" si="146"/>
        <v>AS89</v>
      </c>
      <c r="L550" t="s">
        <v>698</v>
      </c>
      <c r="M550">
        <v>133.29</v>
      </c>
    </row>
    <row r="551" spans="1:13" x14ac:dyDescent="0.25">
      <c r="A551" t="str">
        <f t="shared" ref="A551:A570" si="147">"J173"</f>
        <v>J173</v>
      </c>
      <c r="B551">
        <v>1</v>
      </c>
      <c r="C551" t="str">
        <f t="shared" ref="C551:C561" si="148">"14185"</f>
        <v>14185</v>
      </c>
      <c r="D551" t="str">
        <f t="shared" ref="D551:D561" si="149">"5620"</f>
        <v>5620</v>
      </c>
      <c r="E551" t="str">
        <f t="shared" ref="E551:E561" si="150">"094OMS"</f>
        <v>094OMS</v>
      </c>
      <c r="F551" t="str">
        <f>""</f>
        <v/>
      </c>
      <c r="G551" t="str">
        <f>""</f>
        <v/>
      </c>
      <c r="H551" s="1">
        <v>39293</v>
      </c>
      <c r="I551" t="str">
        <f>"COP00204"</f>
        <v>COP00204</v>
      </c>
      <c r="J551" t="str">
        <f t="shared" ref="J551:J570" si="151">"AUDITRON"</f>
        <v>AUDITRON</v>
      </c>
      <c r="K551" t="str">
        <f t="shared" si="146"/>
        <v>AS89</v>
      </c>
      <c r="L551" t="s">
        <v>704</v>
      </c>
      <c r="M551">
        <v>250.09</v>
      </c>
    </row>
    <row r="552" spans="1:13" x14ac:dyDescent="0.25">
      <c r="A552" t="str">
        <f t="shared" si="147"/>
        <v>J173</v>
      </c>
      <c r="B552">
        <v>1</v>
      </c>
      <c r="C552" t="str">
        <f t="shared" si="148"/>
        <v>14185</v>
      </c>
      <c r="D552" t="str">
        <f t="shared" si="149"/>
        <v>5620</v>
      </c>
      <c r="E552" t="str">
        <f t="shared" si="150"/>
        <v>094OMS</v>
      </c>
      <c r="F552" t="str">
        <f>""</f>
        <v/>
      </c>
      <c r="G552" t="str">
        <f>""</f>
        <v/>
      </c>
      <c r="H552" s="1">
        <v>39324</v>
      </c>
      <c r="I552" t="str">
        <f>"COP00205"</f>
        <v>COP00205</v>
      </c>
      <c r="J552" t="str">
        <f t="shared" si="151"/>
        <v>AUDITRON</v>
      </c>
      <c r="K552" t="str">
        <f t="shared" si="146"/>
        <v>AS89</v>
      </c>
      <c r="L552" t="s">
        <v>703</v>
      </c>
      <c r="M552">
        <v>239.3</v>
      </c>
    </row>
    <row r="553" spans="1:13" x14ac:dyDescent="0.25">
      <c r="A553" t="str">
        <f t="shared" si="147"/>
        <v>J173</v>
      </c>
      <c r="B553">
        <v>1</v>
      </c>
      <c r="C553" t="str">
        <f t="shared" si="148"/>
        <v>14185</v>
      </c>
      <c r="D553" t="str">
        <f t="shared" si="149"/>
        <v>5620</v>
      </c>
      <c r="E553" t="str">
        <f t="shared" si="150"/>
        <v>094OMS</v>
      </c>
      <c r="F553" t="str">
        <f>""</f>
        <v/>
      </c>
      <c r="G553" t="str">
        <f>""</f>
        <v/>
      </c>
      <c r="H553" s="1">
        <v>39353</v>
      </c>
      <c r="I553" t="str">
        <f>"COP00206"</f>
        <v>COP00206</v>
      </c>
      <c r="J553" t="str">
        <f t="shared" si="151"/>
        <v>AUDITRON</v>
      </c>
      <c r="K553" t="str">
        <f t="shared" si="146"/>
        <v>AS89</v>
      </c>
      <c r="L553" t="s">
        <v>702</v>
      </c>
      <c r="M553">
        <v>338.03</v>
      </c>
    </row>
    <row r="554" spans="1:13" x14ac:dyDescent="0.25">
      <c r="A554" t="str">
        <f t="shared" si="147"/>
        <v>J173</v>
      </c>
      <c r="B554">
        <v>1</v>
      </c>
      <c r="C554" t="str">
        <f t="shared" si="148"/>
        <v>14185</v>
      </c>
      <c r="D554" t="str">
        <f t="shared" si="149"/>
        <v>5620</v>
      </c>
      <c r="E554" t="str">
        <f t="shared" si="150"/>
        <v>094OMS</v>
      </c>
      <c r="F554" t="str">
        <f>""</f>
        <v/>
      </c>
      <c r="G554" t="str">
        <f>""</f>
        <v/>
      </c>
      <c r="H554" s="1">
        <v>39385</v>
      </c>
      <c r="I554" t="str">
        <f>"COP00207"</f>
        <v>COP00207</v>
      </c>
      <c r="J554" t="str">
        <f t="shared" si="151"/>
        <v>AUDITRON</v>
      </c>
      <c r="K554" t="str">
        <f t="shared" si="146"/>
        <v>AS89</v>
      </c>
      <c r="L554" t="s">
        <v>701</v>
      </c>
      <c r="M554">
        <v>257.77999999999997</v>
      </c>
    </row>
    <row r="555" spans="1:13" x14ac:dyDescent="0.25">
      <c r="A555" t="str">
        <f t="shared" si="147"/>
        <v>J173</v>
      </c>
      <c r="B555">
        <v>1</v>
      </c>
      <c r="C555" t="str">
        <f t="shared" si="148"/>
        <v>14185</v>
      </c>
      <c r="D555" t="str">
        <f t="shared" si="149"/>
        <v>5620</v>
      </c>
      <c r="E555" t="str">
        <f t="shared" si="150"/>
        <v>094OMS</v>
      </c>
      <c r="F555" t="str">
        <f>""</f>
        <v/>
      </c>
      <c r="G555" t="str">
        <f>""</f>
        <v/>
      </c>
      <c r="H555" s="1">
        <v>39415</v>
      </c>
      <c r="I555" t="str">
        <f>"COP00208"</f>
        <v>COP00208</v>
      </c>
      <c r="J555" t="str">
        <f t="shared" si="151"/>
        <v>AUDITRON</v>
      </c>
      <c r="K555" t="str">
        <f t="shared" si="146"/>
        <v>AS89</v>
      </c>
      <c r="L555" t="s">
        <v>700</v>
      </c>
      <c r="M555">
        <v>231.07</v>
      </c>
    </row>
    <row r="556" spans="1:13" x14ac:dyDescent="0.25">
      <c r="A556" t="str">
        <f t="shared" si="147"/>
        <v>J173</v>
      </c>
      <c r="B556">
        <v>1</v>
      </c>
      <c r="C556" t="str">
        <f t="shared" si="148"/>
        <v>14185</v>
      </c>
      <c r="D556" t="str">
        <f t="shared" si="149"/>
        <v>5620</v>
      </c>
      <c r="E556" t="str">
        <f t="shared" si="150"/>
        <v>094OMS</v>
      </c>
      <c r="F556" t="str">
        <f>""</f>
        <v/>
      </c>
      <c r="G556" t="str">
        <f>""</f>
        <v/>
      </c>
      <c r="H556" s="1">
        <v>39442</v>
      </c>
      <c r="I556" t="str">
        <f>"COP00209"</f>
        <v>COP00209</v>
      </c>
      <c r="J556" t="str">
        <f t="shared" si="151"/>
        <v>AUDITRON</v>
      </c>
      <c r="K556" t="str">
        <f t="shared" si="146"/>
        <v>AS89</v>
      </c>
      <c r="L556" t="s">
        <v>699</v>
      </c>
      <c r="M556">
        <v>250.12</v>
      </c>
    </row>
    <row r="557" spans="1:13" x14ac:dyDescent="0.25">
      <c r="A557" t="str">
        <f t="shared" si="147"/>
        <v>J173</v>
      </c>
      <c r="B557">
        <v>1</v>
      </c>
      <c r="C557" t="str">
        <f t="shared" si="148"/>
        <v>14185</v>
      </c>
      <c r="D557" t="str">
        <f t="shared" si="149"/>
        <v>5620</v>
      </c>
      <c r="E557" t="str">
        <f t="shared" si="150"/>
        <v>094OMS</v>
      </c>
      <c r="F557" t="str">
        <f>""</f>
        <v/>
      </c>
      <c r="G557" t="str">
        <f>""</f>
        <v/>
      </c>
      <c r="H557" s="1">
        <v>39476</v>
      </c>
      <c r="I557" t="str">
        <f>"COP00210"</f>
        <v>COP00210</v>
      </c>
      <c r="J557" t="str">
        <f t="shared" si="151"/>
        <v>AUDITRON</v>
      </c>
      <c r="K557" t="str">
        <f t="shared" si="146"/>
        <v>AS89</v>
      </c>
      <c r="L557" t="s">
        <v>698</v>
      </c>
      <c r="M557">
        <v>230.32</v>
      </c>
    </row>
    <row r="558" spans="1:13" x14ac:dyDescent="0.25">
      <c r="A558" t="str">
        <f t="shared" si="147"/>
        <v>J173</v>
      </c>
      <c r="B558">
        <v>1</v>
      </c>
      <c r="C558" t="str">
        <f t="shared" si="148"/>
        <v>14185</v>
      </c>
      <c r="D558" t="str">
        <f t="shared" si="149"/>
        <v>5620</v>
      </c>
      <c r="E558" t="str">
        <f t="shared" si="150"/>
        <v>094OMS</v>
      </c>
      <c r="F558" t="str">
        <f>""</f>
        <v/>
      </c>
      <c r="G558" t="str">
        <f>""</f>
        <v/>
      </c>
      <c r="H558" s="1">
        <v>39506</v>
      </c>
      <c r="I558" t="str">
        <f>"COP00211"</f>
        <v>COP00211</v>
      </c>
      <c r="J558" t="str">
        <f t="shared" si="151"/>
        <v>AUDITRON</v>
      </c>
      <c r="K558" t="str">
        <f t="shared" si="146"/>
        <v>AS89</v>
      </c>
      <c r="L558" t="s">
        <v>697</v>
      </c>
      <c r="M558">
        <v>253.51</v>
      </c>
    </row>
    <row r="559" spans="1:13" x14ac:dyDescent="0.25">
      <c r="A559" t="str">
        <f t="shared" si="147"/>
        <v>J173</v>
      </c>
      <c r="B559">
        <v>1</v>
      </c>
      <c r="C559" t="str">
        <f t="shared" si="148"/>
        <v>14185</v>
      </c>
      <c r="D559" t="str">
        <f t="shared" si="149"/>
        <v>5620</v>
      </c>
      <c r="E559" t="str">
        <f t="shared" si="150"/>
        <v>094OMS</v>
      </c>
      <c r="F559" t="str">
        <f>""</f>
        <v/>
      </c>
      <c r="G559" t="str">
        <f>""</f>
        <v/>
      </c>
      <c r="H559" s="1">
        <v>39535</v>
      </c>
      <c r="I559" t="str">
        <f>"COP00212"</f>
        <v>COP00212</v>
      </c>
      <c r="J559" t="str">
        <f t="shared" si="151"/>
        <v>AUDITRON</v>
      </c>
      <c r="K559" t="str">
        <f t="shared" si="146"/>
        <v>AS89</v>
      </c>
      <c r="L559" t="s">
        <v>696</v>
      </c>
      <c r="M559">
        <v>285.19</v>
      </c>
    </row>
    <row r="560" spans="1:13" x14ac:dyDescent="0.25">
      <c r="A560" t="str">
        <f t="shared" si="147"/>
        <v>J173</v>
      </c>
      <c r="B560">
        <v>1</v>
      </c>
      <c r="C560" t="str">
        <f t="shared" si="148"/>
        <v>14185</v>
      </c>
      <c r="D560" t="str">
        <f t="shared" si="149"/>
        <v>5620</v>
      </c>
      <c r="E560" t="str">
        <f t="shared" si="150"/>
        <v>094OMS</v>
      </c>
      <c r="F560" t="str">
        <f>""</f>
        <v/>
      </c>
      <c r="G560" t="str">
        <f>""</f>
        <v/>
      </c>
      <c r="H560" s="1">
        <v>39567</v>
      </c>
      <c r="I560" t="str">
        <f>"COP00213"</f>
        <v>COP00213</v>
      </c>
      <c r="J560" t="str">
        <f t="shared" si="151"/>
        <v>AUDITRON</v>
      </c>
      <c r="K560" t="str">
        <f t="shared" si="146"/>
        <v>AS89</v>
      </c>
      <c r="L560" t="s">
        <v>695</v>
      </c>
      <c r="M560">
        <v>131.81</v>
      </c>
    </row>
    <row r="561" spans="1:13" x14ac:dyDescent="0.25">
      <c r="A561" t="str">
        <f t="shared" si="147"/>
        <v>J173</v>
      </c>
      <c r="B561">
        <v>1</v>
      </c>
      <c r="C561" t="str">
        <f t="shared" si="148"/>
        <v>14185</v>
      </c>
      <c r="D561" t="str">
        <f t="shared" si="149"/>
        <v>5620</v>
      </c>
      <c r="E561" t="str">
        <f t="shared" si="150"/>
        <v>094OMS</v>
      </c>
      <c r="F561" t="str">
        <f>""</f>
        <v/>
      </c>
      <c r="G561" t="str">
        <f>""</f>
        <v/>
      </c>
      <c r="H561" s="1">
        <v>39626</v>
      </c>
      <c r="I561" t="str">
        <f>"COP00215"</f>
        <v>COP00215</v>
      </c>
      <c r="J561" t="str">
        <f t="shared" si="151"/>
        <v>AUDITRON</v>
      </c>
      <c r="K561" t="str">
        <f t="shared" si="146"/>
        <v>AS89</v>
      </c>
      <c r="L561" t="s">
        <v>693</v>
      </c>
      <c r="M561">
        <v>139.88999999999999</v>
      </c>
    </row>
    <row r="562" spans="1:13" x14ac:dyDescent="0.25">
      <c r="A562" t="str">
        <f t="shared" si="147"/>
        <v>J173</v>
      </c>
      <c r="B562">
        <v>1</v>
      </c>
      <c r="C562" t="str">
        <f t="shared" ref="C562:C570" si="152">"43000"</f>
        <v>43000</v>
      </c>
      <c r="D562" t="str">
        <f t="shared" ref="D562:D571" si="153">"5740"</f>
        <v>5740</v>
      </c>
      <c r="E562" t="str">
        <f t="shared" ref="E562:E571" si="154">"850LOS"</f>
        <v>850LOS</v>
      </c>
      <c r="F562" t="str">
        <f>""</f>
        <v/>
      </c>
      <c r="G562" t="str">
        <f>""</f>
        <v/>
      </c>
      <c r="H562" s="1">
        <v>39293</v>
      </c>
      <c r="I562" t="str">
        <f>"COP00204"</f>
        <v>COP00204</v>
      </c>
      <c r="J562" t="str">
        <f t="shared" si="151"/>
        <v>AUDITRON</v>
      </c>
      <c r="K562" t="str">
        <f t="shared" si="146"/>
        <v>AS89</v>
      </c>
      <c r="L562" t="s">
        <v>704</v>
      </c>
      <c r="M562">
        <v>206.85</v>
      </c>
    </row>
    <row r="563" spans="1:13" x14ac:dyDescent="0.25">
      <c r="A563" t="str">
        <f t="shared" si="147"/>
        <v>J173</v>
      </c>
      <c r="B563">
        <v>1</v>
      </c>
      <c r="C563" t="str">
        <f t="shared" si="152"/>
        <v>43000</v>
      </c>
      <c r="D563" t="str">
        <f t="shared" si="153"/>
        <v>5740</v>
      </c>
      <c r="E563" t="str">
        <f t="shared" si="154"/>
        <v>850LOS</v>
      </c>
      <c r="F563" t="str">
        <f>""</f>
        <v/>
      </c>
      <c r="G563" t="str">
        <f>""</f>
        <v/>
      </c>
      <c r="H563" s="1">
        <v>39324</v>
      </c>
      <c r="I563" t="str">
        <f>"COP00205"</f>
        <v>COP00205</v>
      </c>
      <c r="J563" t="str">
        <f t="shared" si="151"/>
        <v>AUDITRON</v>
      </c>
      <c r="K563" t="str">
        <f t="shared" si="146"/>
        <v>AS89</v>
      </c>
      <c r="L563" t="s">
        <v>703</v>
      </c>
      <c r="M563">
        <v>267.77999999999997</v>
      </c>
    </row>
    <row r="564" spans="1:13" x14ac:dyDescent="0.25">
      <c r="A564" t="str">
        <f t="shared" si="147"/>
        <v>J173</v>
      </c>
      <c r="B564">
        <v>1</v>
      </c>
      <c r="C564" t="str">
        <f t="shared" si="152"/>
        <v>43000</v>
      </c>
      <c r="D564" t="str">
        <f t="shared" si="153"/>
        <v>5740</v>
      </c>
      <c r="E564" t="str">
        <f t="shared" si="154"/>
        <v>850LOS</v>
      </c>
      <c r="F564" t="str">
        <f>""</f>
        <v/>
      </c>
      <c r="G564" t="str">
        <f>""</f>
        <v/>
      </c>
      <c r="H564" s="1">
        <v>39353</v>
      </c>
      <c r="I564" t="str">
        <f>"COP00206"</f>
        <v>COP00206</v>
      </c>
      <c r="J564" t="str">
        <f t="shared" si="151"/>
        <v>AUDITRON</v>
      </c>
      <c r="K564" t="str">
        <f t="shared" si="146"/>
        <v>AS89</v>
      </c>
      <c r="L564" t="s">
        <v>702</v>
      </c>
      <c r="M564">
        <v>191.09</v>
      </c>
    </row>
    <row r="565" spans="1:13" x14ac:dyDescent="0.25">
      <c r="A565" t="str">
        <f t="shared" si="147"/>
        <v>J173</v>
      </c>
      <c r="B565">
        <v>1</v>
      </c>
      <c r="C565" t="str">
        <f t="shared" si="152"/>
        <v>43000</v>
      </c>
      <c r="D565" t="str">
        <f t="shared" si="153"/>
        <v>5740</v>
      </c>
      <c r="E565" t="str">
        <f t="shared" si="154"/>
        <v>850LOS</v>
      </c>
      <c r="F565" t="str">
        <f>""</f>
        <v/>
      </c>
      <c r="G565" t="str">
        <f>""</f>
        <v/>
      </c>
      <c r="H565" s="1">
        <v>39385</v>
      </c>
      <c r="I565" t="str">
        <f>"COP00207"</f>
        <v>COP00207</v>
      </c>
      <c r="J565" t="str">
        <f t="shared" si="151"/>
        <v>AUDITRON</v>
      </c>
      <c r="K565" t="str">
        <f t="shared" si="146"/>
        <v>AS89</v>
      </c>
      <c r="L565" t="s">
        <v>701</v>
      </c>
      <c r="M565">
        <v>115.15</v>
      </c>
    </row>
    <row r="566" spans="1:13" x14ac:dyDescent="0.25">
      <c r="A566" t="str">
        <f t="shared" si="147"/>
        <v>J173</v>
      </c>
      <c r="B566">
        <v>1</v>
      </c>
      <c r="C566" t="str">
        <f t="shared" si="152"/>
        <v>43000</v>
      </c>
      <c r="D566" t="str">
        <f t="shared" si="153"/>
        <v>5740</v>
      </c>
      <c r="E566" t="str">
        <f t="shared" si="154"/>
        <v>850LOS</v>
      </c>
      <c r="F566" t="str">
        <f>""</f>
        <v/>
      </c>
      <c r="G566" t="str">
        <f>""</f>
        <v/>
      </c>
      <c r="H566" s="1">
        <v>39415</v>
      </c>
      <c r="I566" t="str">
        <f>"COP00208"</f>
        <v>COP00208</v>
      </c>
      <c r="J566" t="str">
        <f t="shared" si="151"/>
        <v>AUDITRON</v>
      </c>
      <c r="K566" t="str">
        <f t="shared" si="146"/>
        <v>AS89</v>
      </c>
      <c r="L566" t="s">
        <v>700</v>
      </c>
      <c r="M566">
        <v>127.12</v>
      </c>
    </row>
    <row r="567" spans="1:13" x14ac:dyDescent="0.25">
      <c r="A567" t="str">
        <f t="shared" si="147"/>
        <v>J173</v>
      </c>
      <c r="B567">
        <v>1</v>
      </c>
      <c r="C567" t="str">
        <f t="shared" si="152"/>
        <v>43000</v>
      </c>
      <c r="D567" t="str">
        <f t="shared" si="153"/>
        <v>5740</v>
      </c>
      <c r="E567" t="str">
        <f t="shared" si="154"/>
        <v>850LOS</v>
      </c>
      <c r="F567" t="str">
        <f>""</f>
        <v/>
      </c>
      <c r="G567" t="str">
        <f>""</f>
        <v/>
      </c>
      <c r="H567" s="1">
        <v>39476</v>
      </c>
      <c r="I567" t="str">
        <f>"COP00210"</f>
        <v>COP00210</v>
      </c>
      <c r="J567" t="str">
        <f t="shared" si="151"/>
        <v>AUDITRON</v>
      </c>
      <c r="K567" t="str">
        <f t="shared" si="146"/>
        <v>AS89</v>
      </c>
      <c r="L567" t="s">
        <v>698</v>
      </c>
      <c r="M567">
        <v>126.06</v>
      </c>
    </row>
    <row r="568" spans="1:13" x14ac:dyDescent="0.25">
      <c r="A568" t="str">
        <f t="shared" si="147"/>
        <v>J173</v>
      </c>
      <c r="B568">
        <v>1</v>
      </c>
      <c r="C568" t="str">
        <f t="shared" si="152"/>
        <v>43000</v>
      </c>
      <c r="D568" t="str">
        <f t="shared" si="153"/>
        <v>5740</v>
      </c>
      <c r="E568" t="str">
        <f t="shared" si="154"/>
        <v>850LOS</v>
      </c>
      <c r="F568" t="str">
        <f>""</f>
        <v/>
      </c>
      <c r="G568" t="str">
        <f>""</f>
        <v/>
      </c>
      <c r="H568" s="1">
        <v>39567</v>
      </c>
      <c r="I568" t="str">
        <f>"COP00213"</f>
        <v>COP00213</v>
      </c>
      <c r="J568" t="str">
        <f t="shared" si="151"/>
        <v>AUDITRON</v>
      </c>
      <c r="K568" t="str">
        <f t="shared" si="146"/>
        <v>AS89</v>
      </c>
      <c r="L568" t="s">
        <v>695</v>
      </c>
      <c r="M568">
        <v>141.19</v>
      </c>
    </row>
    <row r="569" spans="1:13" x14ac:dyDescent="0.25">
      <c r="A569" t="str">
        <f t="shared" si="147"/>
        <v>J173</v>
      </c>
      <c r="B569">
        <v>1</v>
      </c>
      <c r="C569" t="str">
        <f t="shared" si="152"/>
        <v>43000</v>
      </c>
      <c r="D569" t="str">
        <f t="shared" si="153"/>
        <v>5740</v>
      </c>
      <c r="E569" t="str">
        <f t="shared" si="154"/>
        <v>850LOS</v>
      </c>
      <c r="F569" t="str">
        <f>""</f>
        <v/>
      </c>
      <c r="G569" t="str">
        <f>""</f>
        <v/>
      </c>
      <c r="H569" s="1">
        <v>39595</v>
      </c>
      <c r="I569" t="str">
        <f>"COP00214"</f>
        <v>COP00214</v>
      </c>
      <c r="J569" t="str">
        <f t="shared" si="151"/>
        <v>AUDITRON</v>
      </c>
      <c r="K569" t="str">
        <f t="shared" si="146"/>
        <v>AS89</v>
      </c>
      <c r="L569" t="s">
        <v>694</v>
      </c>
      <c r="M569">
        <v>240.54</v>
      </c>
    </row>
    <row r="570" spans="1:13" x14ac:dyDescent="0.25">
      <c r="A570" t="str">
        <f t="shared" si="147"/>
        <v>J173</v>
      </c>
      <c r="B570">
        <v>1</v>
      </c>
      <c r="C570" t="str">
        <f t="shared" si="152"/>
        <v>43000</v>
      </c>
      <c r="D570" t="str">
        <f t="shared" si="153"/>
        <v>5740</v>
      </c>
      <c r="E570" t="str">
        <f t="shared" si="154"/>
        <v>850LOS</v>
      </c>
      <c r="F570" t="str">
        <f>""</f>
        <v/>
      </c>
      <c r="G570" t="str">
        <f>""</f>
        <v/>
      </c>
      <c r="H570" s="1">
        <v>39626</v>
      </c>
      <c r="I570" t="str">
        <f>"COP00215"</f>
        <v>COP00215</v>
      </c>
      <c r="J570" t="str">
        <f t="shared" si="151"/>
        <v>AUDITRON</v>
      </c>
      <c r="K570" t="str">
        <f t="shared" si="146"/>
        <v>AS89</v>
      </c>
      <c r="L570" t="s">
        <v>693</v>
      </c>
      <c r="M570">
        <v>288.98</v>
      </c>
    </row>
    <row r="571" spans="1:13" x14ac:dyDescent="0.25">
      <c r="A571" t="str">
        <f>"J191"</f>
        <v>J191</v>
      </c>
      <c r="B571">
        <v>1</v>
      </c>
      <c r="C571" t="str">
        <f>"43001"</f>
        <v>43001</v>
      </c>
      <c r="D571" t="str">
        <f t="shared" si="153"/>
        <v>5740</v>
      </c>
      <c r="E571" t="str">
        <f t="shared" si="154"/>
        <v>850LOS</v>
      </c>
      <c r="F571" t="str">
        <f>""</f>
        <v/>
      </c>
      <c r="G571" t="str">
        <f>""</f>
        <v/>
      </c>
      <c r="H571" s="1">
        <v>39325</v>
      </c>
      <c r="I571" t="str">
        <f>"G0802135"</f>
        <v>G0802135</v>
      </c>
      <c r="J571" t="str">
        <f>"282159"</f>
        <v>282159</v>
      </c>
      <c r="K571" t="str">
        <f>"J096"</f>
        <v>J096</v>
      </c>
      <c r="L571" t="s">
        <v>692</v>
      </c>
      <c r="M571">
        <v>120</v>
      </c>
    </row>
    <row r="572" spans="1:13" x14ac:dyDescent="0.25">
      <c r="A572" t="str">
        <f t="shared" ref="A572:A602" si="155">"J231"</f>
        <v>J231</v>
      </c>
      <c r="B572">
        <v>1</v>
      </c>
      <c r="C572" t="str">
        <f t="shared" ref="C572:C583" si="156">"14185"</f>
        <v>14185</v>
      </c>
      <c r="D572" t="str">
        <f t="shared" ref="D572:D583" si="157">"5620"</f>
        <v>5620</v>
      </c>
      <c r="E572" t="str">
        <f t="shared" ref="E572:E583" si="158">"094OMS"</f>
        <v>094OMS</v>
      </c>
      <c r="F572" t="str">
        <f>""</f>
        <v/>
      </c>
      <c r="G572" t="str">
        <f>""</f>
        <v/>
      </c>
      <c r="H572" s="1">
        <v>39293</v>
      </c>
      <c r="I572" t="str">
        <f>"MPG00327"</f>
        <v>MPG00327</v>
      </c>
      <c r="J572" t="str">
        <f>""</f>
        <v/>
      </c>
      <c r="K572" t="str">
        <f t="shared" ref="K572:K607" si="159">"AS89"</f>
        <v>AS89</v>
      </c>
      <c r="L572" t="s">
        <v>687</v>
      </c>
      <c r="M572" s="2">
        <v>1745.8</v>
      </c>
    </row>
    <row r="573" spans="1:13" x14ac:dyDescent="0.25">
      <c r="A573" t="str">
        <f t="shared" si="155"/>
        <v>J231</v>
      </c>
      <c r="B573">
        <v>1</v>
      </c>
      <c r="C573" t="str">
        <f t="shared" si="156"/>
        <v>14185</v>
      </c>
      <c r="D573" t="str">
        <f t="shared" si="157"/>
        <v>5620</v>
      </c>
      <c r="E573" t="str">
        <f t="shared" si="158"/>
        <v>094OMS</v>
      </c>
      <c r="F573" t="str">
        <f>""</f>
        <v/>
      </c>
      <c r="G573" t="str">
        <f>""</f>
        <v/>
      </c>
      <c r="H573" s="1">
        <v>39324</v>
      </c>
      <c r="I573" t="str">
        <f>"MPG00329"</f>
        <v>MPG00329</v>
      </c>
      <c r="J573" t="str">
        <f>""</f>
        <v/>
      </c>
      <c r="K573" t="str">
        <f t="shared" si="159"/>
        <v>AS89</v>
      </c>
      <c r="L573" t="s">
        <v>686</v>
      </c>
      <c r="M573" s="2">
        <v>1339.28</v>
      </c>
    </row>
    <row r="574" spans="1:13" x14ac:dyDescent="0.25">
      <c r="A574" t="str">
        <f t="shared" si="155"/>
        <v>J231</v>
      </c>
      <c r="B574">
        <v>1</v>
      </c>
      <c r="C574" t="str">
        <f t="shared" si="156"/>
        <v>14185</v>
      </c>
      <c r="D574" t="str">
        <f t="shared" si="157"/>
        <v>5620</v>
      </c>
      <c r="E574" t="str">
        <f t="shared" si="158"/>
        <v>094OMS</v>
      </c>
      <c r="F574" t="str">
        <f>""</f>
        <v/>
      </c>
      <c r="G574" t="str">
        <f>""</f>
        <v/>
      </c>
      <c r="H574" s="1">
        <v>39355</v>
      </c>
      <c r="I574" t="str">
        <f>"MPG00330"</f>
        <v>MPG00330</v>
      </c>
      <c r="J574" t="str">
        <f>""</f>
        <v/>
      </c>
      <c r="K574" t="str">
        <f t="shared" si="159"/>
        <v>AS89</v>
      </c>
      <c r="L574" t="s">
        <v>685</v>
      </c>
      <c r="M574" s="2">
        <v>1473.61</v>
      </c>
    </row>
    <row r="575" spans="1:13" x14ac:dyDescent="0.25">
      <c r="A575" t="str">
        <f t="shared" si="155"/>
        <v>J231</v>
      </c>
      <c r="B575">
        <v>1</v>
      </c>
      <c r="C575" t="str">
        <f t="shared" si="156"/>
        <v>14185</v>
      </c>
      <c r="D575" t="str">
        <f t="shared" si="157"/>
        <v>5620</v>
      </c>
      <c r="E575" t="str">
        <f t="shared" si="158"/>
        <v>094OMS</v>
      </c>
      <c r="F575" t="str">
        <f>""</f>
        <v/>
      </c>
      <c r="G575" t="str">
        <f>""</f>
        <v/>
      </c>
      <c r="H575" s="1">
        <v>39386</v>
      </c>
      <c r="I575" t="str">
        <f>"MPG00331"</f>
        <v>MPG00331</v>
      </c>
      <c r="J575" t="str">
        <f>""</f>
        <v/>
      </c>
      <c r="K575" t="str">
        <f t="shared" si="159"/>
        <v>AS89</v>
      </c>
      <c r="L575" t="s">
        <v>684</v>
      </c>
      <c r="M575" s="2">
        <v>1406.62</v>
      </c>
    </row>
    <row r="576" spans="1:13" x14ac:dyDescent="0.25">
      <c r="A576" t="str">
        <f t="shared" si="155"/>
        <v>J231</v>
      </c>
      <c r="B576">
        <v>1</v>
      </c>
      <c r="C576" t="str">
        <f t="shared" si="156"/>
        <v>14185</v>
      </c>
      <c r="D576" t="str">
        <f t="shared" si="157"/>
        <v>5620</v>
      </c>
      <c r="E576" t="str">
        <f t="shared" si="158"/>
        <v>094OMS</v>
      </c>
      <c r="F576" t="str">
        <f>""</f>
        <v/>
      </c>
      <c r="G576" t="str">
        <f>""</f>
        <v/>
      </c>
      <c r="H576" s="1">
        <v>39416</v>
      </c>
      <c r="I576" t="str">
        <f>"MPG00332"</f>
        <v>MPG00332</v>
      </c>
      <c r="J576" t="str">
        <f>""</f>
        <v/>
      </c>
      <c r="K576" t="str">
        <f t="shared" si="159"/>
        <v>AS89</v>
      </c>
      <c r="L576" t="s">
        <v>683</v>
      </c>
      <c r="M576" s="2">
        <v>1756.41</v>
      </c>
    </row>
    <row r="577" spans="1:13" x14ac:dyDescent="0.25">
      <c r="A577" t="str">
        <f t="shared" si="155"/>
        <v>J231</v>
      </c>
      <c r="B577">
        <v>1</v>
      </c>
      <c r="C577" t="str">
        <f t="shared" si="156"/>
        <v>14185</v>
      </c>
      <c r="D577" t="str">
        <f t="shared" si="157"/>
        <v>5620</v>
      </c>
      <c r="E577" t="str">
        <f t="shared" si="158"/>
        <v>094OMS</v>
      </c>
      <c r="F577" t="str">
        <f>""</f>
        <v/>
      </c>
      <c r="G577" t="str">
        <f>""</f>
        <v/>
      </c>
      <c r="H577" s="1">
        <v>39447</v>
      </c>
      <c r="I577" t="str">
        <f>"MPG00333"</f>
        <v>MPG00333</v>
      </c>
      <c r="J577" t="str">
        <f>""</f>
        <v/>
      </c>
      <c r="K577" t="str">
        <f t="shared" si="159"/>
        <v>AS89</v>
      </c>
      <c r="L577" t="s">
        <v>682</v>
      </c>
      <c r="M577" s="2">
        <v>1489.81</v>
      </c>
    </row>
    <row r="578" spans="1:13" x14ac:dyDescent="0.25">
      <c r="A578" t="str">
        <f t="shared" si="155"/>
        <v>J231</v>
      </c>
      <c r="B578">
        <v>1</v>
      </c>
      <c r="C578" t="str">
        <f t="shared" si="156"/>
        <v>14185</v>
      </c>
      <c r="D578" t="str">
        <f t="shared" si="157"/>
        <v>5620</v>
      </c>
      <c r="E578" t="str">
        <f t="shared" si="158"/>
        <v>094OMS</v>
      </c>
      <c r="F578" t="str">
        <f>""</f>
        <v/>
      </c>
      <c r="G578" t="str">
        <f>""</f>
        <v/>
      </c>
      <c r="H578" s="1">
        <v>39478</v>
      </c>
      <c r="I578" t="str">
        <f>"MPG00334"</f>
        <v>MPG00334</v>
      </c>
      <c r="J578" t="str">
        <f>""</f>
        <v/>
      </c>
      <c r="K578" t="str">
        <f t="shared" si="159"/>
        <v>AS89</v>
      </c>
      <c r="L578" t="s">
        <v>681</v>
      </c>
      <c r="M578" s="2">
        <v>1675.84</v>
      </c>
    </row>
    <row r="579" spans="1:13" x14ac:dyDescent="0.25">
      <c r="A579" t="str">
        <f t="shared" si="155"/>
        <v>J231</v>
      </c>
      <c r="B579">
        <v>1</v>
      </c>
      <c r="C579" t="str">
        <f t="shared" si="156"/>
        <v>14185</v>
      </c>
      <c r="D579" t="str">
        <f t="shared" si="157"/>
        <v>5620</v>
      </c>
      <c r="E579" t="str">
        <f t="shared" si="158"/>
        <v>094OMS</v>
      </c>
      <c r="F579" t="str">
        <f>""</f>
        <v/>
      </c>
      <c r="G579" t="str">
        <f>""</f>
        <v/>
      </c>
      <c r="H579" s="1">
        <v>39538</v>
      </c>
      <c r="I579" t="str">
        <f>"MPG00338"</f>
        <v>MPG00338</v>
      </c>
      <c r="J579" t="str">
        <f>""</f>
        <v/>
      </c>
      <c r="K579" t="str">
        <f t="shared" si="159"/>
        <v>AS89</v>
      </c>
      <c r="L579" t="s">
        <v>680</v>
      </c>
      <c r="M579" s="2">
        <v>1904.26</v>
      </c>
    </row>
    <row r="580" spans="1:13" x14ac:dyDescent="0.25">
      <c r="A580" t="str">
        <f t="shared" si="155"/>
        <v>J231</v>
      </c>
      <c r="B580">
        <v>1</v>
      </c>
      <c r="C580" t="str">
        <f t="shared" si="156"/>
        <v>14185</v>
      </c>
      <c r="D580" t="str">
        <f t="shared" si="157"/>
        <v>5620</v>
      </c>
      <c r="E580" t="str">
        <f t="shared" si="158"/>
        <v>094OMS</v>
      </c>
      <c r="F580" t="str">
        <f>""</f>
        <v/>
      </c>
      <c r="G580" t="str">
        <f>""</f>
        <v/>
      </c>
      <c r="H580" s="1">
        <v>39568</v>
      </c>
      <c r="I580" t="str">
        <f>"MPG00340"</f>
        <v>MPG00340</v>
      </c>
      <c r="J580" t="str">
        <f>""</f>
        <v/>
      </c>
      <c r="K580" t="str">
        <f t="shared" si="159"/>
        <v>AS89</v>
      </c>
      <c r="L580" t="s">
        <v>691</v>
      </c>
      <c r="M580" s="2">
        <v>3196.85</v>
      </c>
    </row>
    <row r="581" spans="1:13" x14ac:dyDescent="0.25">
      <c r="A581" t="str">
        <f t="shared" si="155"/>
        <v>J231</v>
      </c>
      <c r="B581">
        <v>1</v>
      </c>
      <c r="C581" t="str">
        <f t="shared" si="156"/>
        <v>14185</v>
      </c>
      <c r="D581" t="str">
        <f t="shared" si="157"/>
        <v>5620</v>
      </c>
      <c r="E581" t="str">
        <f t="shared" si="158"/>
        <v>094OMS</v>
      </c>
      <c r="F581" t="str">
        <f>""</f>
        <v/>
      </c>
      <c r="G581" t="str">
        <f>""</f>
        <v/>
      </c>
      <c r="H581" s="1">
        <v>39599</v>
      </c>
      <c r="I581" t="str">
        <f>"MPG00342"</f>
        <v>MPG00342</v>
      </c>
      <c r="J581" t="str">
        <f>""</f>
        <v/>
      </c>
      <c r="K581" t="str">
        <f t="shared" si="159"/>
        <v>AS89</v>
      </c>
      <c r="L581" t="s">
        <v>689</v>
      </c>
      <c r="M581">
        <v>554.29999999999995</v>
      </c>
    </row>
    <row r="582" spans="1:13" x14ac:dyDescent="0.25">
      <c r="A582" t="str">
        <f t="shared" si="155"/>
        <v>J231</v>
      </c>
      <c r="B582">
        <v>1</v>
      </c>
      <c r="C582" t="str">
        <f t="shared" si="156"/>
        <v>14185</v>
      </c>
      <c r="D582" t="str">
        <f t="shared" si="157"/>
        <v>5620</v>
      </c>
      <c r="E582" t="str">
        <f t="shared" si="158"/>
        <v>094OMS</v>
      </c>
      <c r="F582" t="str">
        <f>""</f>
        <v/>
      </c>
      <c r="G582" t="str">
        <f>""</f>
        <v/>
      </c>
      <c r="H582" s="1">
        <v>39599</v>
      </c>
      <c r="I582" t="str">
        <f>"MPG00342"</f>
        <v>MPG00342</v>
      </c>
      <c r="J582" t="str">
        <f>""</f>
        <v/>
      </c>
      <c r="K582" t="str">
        <f t="shared" si="159"/>
        <v>AS89</v>
      </c>
      <c r="L582" t="s">
        <v>690</v>
      </c>
      <c r="M582" s="2">
        <v>2165.5100000000002</v>
      </c>
    </row>
    <row r="583" spans="1:13" x14ac:dyDescent="0.25">
      <c r="A583" t="str">
        <f t="shared" si="155"/>
        <v>J231</v>
      </c>
      <c r="B583">
        <v>1</v>
      </c>
      <c r="C583" t="str">
        <f t="shared" si="156"/>
        <v>14185</v>
      </c>
      <c r="D583" t="str">
        <f t="shared" si="157"/>
        <v>5620</v>
      </c>
      <c r="E583" t="str">
        <f t="shared" si="158"/>
        <v>094OMS</v>
      </c>
      <c r="F583" t="str">
        <f>""</f>
        <v/>
      </c>
      <c r="G583" t="str">
        <f>""</f>
        <v/>
      </c>
      <c r="H583" s="1">
        <v>39629</v>
      </c>
      <c r="I583" t="str">
        <f>"MPG00343"</f>
        <v>MPG00343</v>
      </c>
      <c r="J583" t="str">
        <f>""</f>
        <v/>
      </c>
      <c r="K583" t="str">
        <f t="shared" si="159"/>
        <v>AS89</v>
      </c>
      <c r="L583" t="s">
        <v>688</v>
      </c>
      <c r="M583" s="2">
        <v>1740.64</v>
      </c>
    </row>
    <row r="584" spans="1:13" x14ac:dyDescent="0.25">
      <c r="A584" t="str">
        <f t="shared" si="155"/>
        <v>J231</v>
      </c>
      <c r="B584">
        <v>1</v>
      </c>
      <c r="C584" t="str">
        <f t="shared" ref="C584:C602" si="160">"43000"</f>
        <v>43000</v>
      </c>
      <c r="D584" t="str">
        <f t="shared" ref="D584:D602" si="161">"5740"</f>
        <v>5740</v>
      </c>
      <c r="E584" t="str">
        <f t="shared" ref="E584:E594" si="162">"850LOS"</f>
        <v>850LOS</v>
      </c>
      <c r="F584" t="str">
        <f>""</f>
        <v/>
      </c>
      <c r="G584" t="str">
        <f>""</f>
        <v/>
      </c>
      <c r="H584" s="1">
        <v>39293</v>
      </c>
      <c r="I584" t="str">
        <f>"MPG00327"</f>
        <v>MPG00327</v>
      </c>
      <c r="J584" t="str">
        <f>""</f>
        <v/>
      </c>
      <c r="K584" t="str">
        <f t="shared" si="159"/>
        <v>AS89</v>
      </c>
      <c r="L584" t="s">
        <v>687</v>
      </c>
      <c r="M584">
        <v>126.46</v>
      </c>
    </row>
    <row r="585" spans="1:13" x14ac:dyDescent="0.25">
      <c r="A585" t="str">
        <f t="shared" si="155"/>
        <v>J231</v>
      </c>
      <c r="B585">
        <v>1</v>
      </c>
      <c r="C585" t="str">
        <f t="shared" si="160"/>
        <v>43000</v>
      </c>
      <c r="D585" t="str">
        <f t="shared" si="161"/>
        <v>5740</v>
      </c>
      <c r="E585" t="str">
        <f t="shared" si="162"/>
        <v>850LOS</v>
      </c>
      <c r="F585" t="str">
        <f>""</f>
        <v/>
      </c>
      <c r="G585" t="str">
        <f>""</f>
        <v/>
      </c>
      <c r="H585" s="1">
        <v>39355</v>
      </c>
      <c r="I585" t="str">
        <f>"MPG00330"</f>
        <v>MPG00330</v>
      </c>
      <c r="J585" t="str">
        <f>""</f>
        <v/>
      </c>
      <c r="K585" t="str">
        <f t="shared" si="159"/>
        <v>AS89</v>
      </c>
      <c r="L585" t="s">
        <v>685</v>
      </c>
      <c r="M585">
        <v>126.89</v>
      </c>
    </row>
    <row r="586" spans="1:13" x14ac:dyDescent="0.25">
      <c r="A586" t="str">
        <f t="shared" si="155"/>
        <v>J231</v>
      </c>
      <c r="B586">
        <v>1</v>
      </c>
      <c r="C586" t="str">
        <f t="shared" si="160"/>
        <v>43000</v>
      </c>
      <c r="D586" t="str">
        <f t="shared" si="161"/>
        <v>5740</v>
      </c>
      <c r="E586" t="str">
        <f t="shared" si="162"/>
        <v>850LOS</v>
      </c>
      <c r="F586" t="str">
        <f>""</f>
        <v/>
      </c>
      <c r="G586" t="str">
        <f>""</f>
        <v/>
      </c>
      <c r="H586" s="1">
        <v>39386</v>
      </c>
      <c r="I586" t="str">
        <f>"MPG00331"</f>
        <v>MPG00331</v>
      </c>
      <c r="J586" t="str">
        <f>""</f>
        <v/>
      </c>
      <c r="K586" t="str">
        <f t="shared" si="159"/>
        <v>AS89</v>
      </c>
      <c r="L586" t="s">
        <v>684</v>
      </c>
      <c r="M586">
        <v>178.93</v>
      </c>
    </row>
    <row r="587" spans="1:13" x14ac:dyDescent="0.25">
      <c r="A587" t="str">
        <f t="shared" si="155"/>
        <v>J231</v>
      </c>
      <c r="B587">
        <v>1</v>
      </c>
      <c r="C587" t="str">
        <f t="shared" si="160"/>
        <v>43000</v>
      </c>
      <c r="D587" t="str">
        <f t="shared" si="161"/>
        <v>5740</v>
      </c>
      <c r="E587" t="str">
        <f t="shared" si="162"/>
        <v>850LOS</v>
      </c>
      <c r="F587" t="str">
        <f>""</f>
        <v/>
      </c>
      <c r="G587" t="str">
        <f>""</f>
        <v/>
      </c>
      <c r="H587" s="1">
        <v>39416</v>
      </c>
      <c r="I587" t="str">
        <f>"MPG00332"</f>
        <v>MPG00332</v>
      </c>
      <c r="J587" t="str">
        <f>""</f>
        <v/>
      </c>
      <c r="K587" t="str">
        <f t="shared" si="159"/>
        <v>AS89</v>
      </c>
      <c r="L587" t="s">
        <v>683</v>
      </c>
      <c r="M587">
        <v>184.24</v>
      </c>
    </row>
    <row r="588" spans="1:13" x14ac:dyDescent="0.25">
      <c r="A588" t="str">
        <f t="shared" si="155"/>
        <v>J231</v>
      </c>
      <c r="B588">
        <v>1</v>
      </c>
      <c r="C588" t="str">
        <f t="shared" si="160"/>
        <v>43000</v>
      </c>
      <c r="D588" t="str">
        <f t="shared" si="161"/>
        <v>5740</v>
      </c>
      <c r="E588" t="str">
        <f t="shared" si="162"/>
        <v>850LOS</v>
      </c>
      <c r="F588" t="str">
        <f>""</f>
        <v/>
      </c>
      <c r="G588" t="str">
        <f>""</f>
        <v/>
      </c>
      <c r="H588" s="1">
        <v>39447</v>
      </c>
      <c r="I588" t="str">
        <f>"MPG00333"</f>
        <v>MPG00333</v>
      </c>
      <c r="J588" t="str">
        <f>""</f>
        <v/>
      </c>
      <c r="K588" t="str">
        <f t="shared" si="159"/>
        <v>AS89</v>
      </c>
      <c r="L588" t="s">
        <v>682</v>
      </c>
      <c r="M588">
        <v>154.30000000000001</v>
      </c>
    </row>
    <row r="589" spans="1:13" x14ac:dyDescent="0.25">
      <c r="A589" t="str">
        <f t="shared" si="155"/>
        <v>J231</v>
      </c>
      <c r="B589">
        <v>1</v>
      </c>
      <c r="C589" t="str">
        <f t="shared" si="160"/>
        <v>43000</v>
      </c>
      <c r="D589" t="str">
        <f t="shared" si="161"/>
        <v>5740</v>
      </c>
      <c r="E589" t="str">
        <f t="shared" si="162"/>
        <v>850LOS</v>
      </c>
      <c r="F589" t="str">
        <f>""</f>
        <v/>
      </c>
      <c r="G589" t="str">
        <f>""</f>
        <v/>
      </c>
      <c r="H589" s="1">
        <v>39478</v>
      </c>
      <c r="I589" t="str">
        <f>"MPG00334"</f>
        <v>MPG00334</v>
      </c>
      <c r="J589" t="str">
        <f>""</f>
        <v/>
      </c>
      <c r="K589" t="str">
        <f t="shared" si="159"/>
        <v>AS89</v>
      </c>
      <c r="L589" t="s">
        <v>681</v>
      </c>
      <c r="M589">
        <v>169.92</v>
      </c>
    </row>
    <row r="590" spans="1:13" x14ac:dyDescent="0.25">
      <c r="A590" t="str">
        <f t="shared" si="155"/>
        <v>J231</v>
      </c>
      <c r="B590">
        <v>1</v>
      </c>
      <c r="C590" t="str">
        <f t="shared" si="160"/>
        <v>43000</v>
      </c>
      <c r="D590" t="str">
        <f t="shared" si="161"/>
        <v>5740</v>
      </c>
      <c r="E590" t="str">
        <f t="shared" si="162"/>
        <v>850LOS</v>
      </c>
      <c r="F590" t="str">
        <f>""</f>
        <v/>
      </c>
      <c r="G590" t="str">
        <f>""</f>
        <v/>
      </c>
      <c r="H590" s="1">
        <v>39538</v>
      </c>
      <c r="I590" t="str">
        <f>"MPG00338"</f>
        <v>MPG00338</v>
      </c>
      <c r="J590" t="str">
        <f>""</f>
        <v/>
      </c>
      <c r="K590" t="str">
        <f t="shared" si="159"/>
        <v>AS89</v>
      </c>
      <c r="L590" t="s">
        <v>680</v>
      </c>
      <c r="M590">
        <v>166.59</v>
      </c>
    </row>
    <row r="591" spans="1:13" x14ac:dyDescent="0.25">
      <c r="A591" t="str">
        <f t="shared" si="155"/>
        <v>J231</v>
      </c>
      <c r="B591">
        <v>1</v>
      </c>
      <c r="C591" t="str">
        <f t="shared" si="160"/>
        <v>43000</v>
      </c>
      <c r="D591" t="str">
        <f t="shared" si="161"/>
        <v>5740</v>
      </c>
      <c r="E591" t="str">
        <f t="shared" si="162"/>
        <v>850LOS</v>
      </c>
      <c r="F591" t="str">
        <f>""</f>
        <v/>
      </c>
      <c r="G591" t="str">
        <f>""</f>
        <v/>
      </c>
      <c r="H591" s="1">
        <v>39568</v>
      </c>
      <c r="I591" t="str">
        <f>"MPG00340"</f>
        <v>MPG00340</v>
      </c>
      <c r="J591" t="str">
        <f>""</f>
        <v/>
      </c>
      <c r="K591" t="str">
        <f t="shared" si="159"/>
        <v>AS89</v>
      </c>
      <c r="L591" t="s">
        <v>691</v>
      </c>
      <c r="M591">
        <v>983.38</v>
      </c>
    </row>
    <row r="592" spans="1:13" x14ac:dyDescent="0.25">
      <c r="A592" t="str">
        <f t="shared" si="155"/>
        <v>J231</v>
      </c>
      <c r="B592">
        <v>1</v>
      </c>
      <c r="C592" t="str">
        <f t="shared" si="160"/>
        <v>43000</v>
      </c>
      <c r="D592" t="str">
        <f t="shared" si="161"/>
        <v>5740</v>
      </c>
      <c r="E592" t="str">
        <f t="shared" si="162"/>
        <v>850LOS</v>
      </c>
      <c r="F592" t="str">
        <f>""</f>
        <v/>
      </c>
      <c r="G592" t="str">
        <f>""</f>
        <v/>
      </c>
      <c r="H592" s="1">
        <v>39599</v>
      </c>
      <c r="I592" t="str">
        <f>"MPG00342"</f>
        <v>MPG00342</v>
      </c>
      <c r="J592" t="str">
        <f>""</f>
        <v/>
      </c>
      <c r="K592" t="str">
        <f t="shared" si="159"/>
        <v>AS89</v>
      </c>
      <c r="L592" t="s">
        <v>690</v>
      </c>
      <c r="M592">
        <v>949.11</v>
      </c>
    </row>
    <row r="593" spans="1:13" x14ac:dyDescent="0.25">
      <c r="A593" t="str">
        <f t="shared" si="155"/>
        <v>J231</v>
      </c>
      <c r="B593">
        <v>1</v>
      </c>
      <c r="C593" t="str">
        <f t="shared" si="160"/>
        <v>43000</v>
      </c>
      <c r="D593" t="str">
        <f t="shared" si="161"/>
        <v>5740</v>
      </c>
      <c r="E593" t="str">
        <f t="shared" si="162"/>
        <v>850LOS</v>
      </c>
      <c r="F593" t="str">
        <f>""</f>
        <v/>
      </c>
      <c r="G593" t="str">
        <f>""</f>
        <v/>
      </c>
      <c r="H593" s="1">
        <v>39599</v>
      </c>
      <c r="I593" t="str">
        <f>"MPG00342"</f>
        <v>MPG00342</v>
      </c>
      <c r="J593" t="str">
        <f>""</f>
        <v/>
      </c>
      <c r="K593" t="str">
        <f t="shared" si="159"/>
        <v>AS89</v>
      </c>
      <c r="L593" t="s">
        <v>689</v>
      </c>
      <c r="M593">
        <v>166.45</v>
      </c>
    </row>
    <row r="594" spans="1:13" x14ac:dyDescent="0.25">
      <c r="A594" t="str">
        <f t="shared" si="155"/>
        <v>J231</v>
      </c>
      <c r="B594">
        <v>1</v>
      </c>
      <c r="C594" t="str">
        <f t="shared" si="160"/>
        <v>43000</v>
      </c>
      <c r="D594" t="str">
        <f t="shared" si="161"/>
        <v>5740</v>
      </c>
      <c r="E594" t="str">
        <f t="shared" si="162"/>
        <v>850LOS</v>
      </c>
      <c r="F594" t="str">
        <f>""</f>
        <v/>
      </c>
      <c r="G594" t="str">
        <f>""</f>
        <v/>
      </c>
      <c r="H594" s="1">
        <v>39629</v>
      </c>
      <c r="I594" t="str">
        <f>"MPG00343"</f>
        <v>MPG00343</v>
      </c>
      <c r="J594" t="str">
        <f>""</f>
        <v/>
      </c>
      <c r="K594" t="str">
        <f t="shared" si="159"/>
        <v>AS89</v>
      </c>
      <c r="L594" t="s">
        <v>688</v>
      </c>
      <c r="M594">
        <v>730.74</v>
      </c>
    </row>
    <row r="595" spans="1:13" x14ac:dyDescent="0.25">
      <c r="A595" t="str">
        <f t="shared" si="155"/>
        <v>J231</v>
      </c>
      <c r="B595">
        <v>1</v>
      </c>
      <c r="C595" t="str">
        <f t="shared" si="160"/>
        <v>43000</v>
      </c>
      <c r="D595" t="str">
        <f t="shared" si="161"/>
        <v>5740</v>
      </c>
      <c r="E595" t="str">
        <f t="shared" ref="E595:E602" si="163">"850PKE"</f>
        <v>850PKE</v>
      </c>
      <c r="F595" t="str">
        <f>""</f>
        <v/>
      </c>
      <c r="G595" t="str">
        <f>""</f>
        <v/>
      </c>
      <c r="H595" s="1">
        <v>39293</v>
      </c>
      <c r="I595" t="str">
        <f>"MPG00327"</f>
        <v>MPG00327</v>
      </c>
      <c r="J595" t="str">
        <f>""</f>
        <v/>
      </c>
      <c r="K595" t="str">
        <f t="shared" si="159"/>
        <v>AS89</v>
      </c>
      <c r="L595" t="s">
        <v>687</v>
      </c>
      <c r="M595">
        <v>490.1</v>
      </c>
    </row>
    <row r="596" spans="1:13" x14ac:dyDescent="0.25">
      <c r="A596" t="str">
        <f t="shared" si="155"/>
        <v>J231</v>
      </c>
      <c r="B596">
        <v>1</v>
      </c>
      <c r="C596" t="str">
        <f t="shared" si="160"/>
        <v>43000</v>
      </c>
      <c r="D596" t="str">
        <f t="shared" si="161"/>
        <v>5740</v>
      </c>
      <c r="E596" t="str">
        <f t="shared" si="163"/>
        <v>850PKE</v>
      </c>
      <c r="F596" t="str">
        <f>""</f>
        <v/>
      </c>
      <c r="G596" t="str">
        <f>""</f>
        <v/>
      </c>
      <c r="H596" s="1">
        <v>39324</v>
      </c>
      <c r="I596" t="str">
        <f>"MPG00329"</f>
        <v>MPG00329</v>
      </c>
      <c r="J596" t="str">
        <f>""</f>
        <v/>
      </c>
      <c r="K596" t="str">
        <f t="shared" si="159"/>
        <v>AS89</v>
      </c>
      <c r="L596" t="s">
        <v>686</v>
      </c>
      <c r="M596">
        <v>341.59</v>
      </c>
    </row>
    <row r="597" spans="1:13" x14ac:dyDescent="0.25">
      <c r="A597" t="str">
        <f t="shared" si="155"/>
        <v>J231</v>
      </c>
      <c r="B597">
        <v>1</v>
      </c>
      <c r="C597" t="str">
        <f t="shared" si="160"/>
        <v>43000</v>
      </c>
      <c r="D597" t="str">
        <f t="shared" si="161"/>
        <v>5740</v>
      </c>
      <c r="E597" t="str">
        <f t="shared" si="163"/>
        <v>850PKE</v>
      </c>
      <c r="F597" t="str">
        <f>""</f>
        <v/>
      </c>
      <c r="G597" t="str">
        <f>""</f>
        <v/>
      </c>
      <c r="H597" s="1">
        <v>39355</v>
      </c>
      <c r="I597" t="str">
        <f>"MPG00330"</f>
        <v>MPG00330</v>
      </c>
      <c r="J597" t="str">
        <f>""</f>
        <v/>
      </c>
      <c r="K597" t="str">
        <f t="shared" si="159"/>
        <v>AS89</v>
      </c>
      <c r="L597" t="s">
        <v>685</v>
      </c>
      <c r="M597">
        <v>246.65</v>
      </c>
    </row>
    <row r="598" spans="1:13" x14ac:dyDescent="0.25">
      <c r="A598" t="str">
        <f t="shared" si="155"/>
        <v>J231</v>
      </c>
      <c r="B598">
        <v>1</v>
      </c>
      <c r="C598" t="str">
        <f t="shared" si="160"/>
        <v>43000</v>
      </c>
      <c r="D598" t="str">
        <f t="shared" si="161"/>
        <v>5740</v>
      </c>
      <c r="E598" t="str">
        <f t="shared" si="163"/>
        <v>850PKE</v>
      </c>
      <c r="F598" t="str">
        <f>""</f>
        <v/>
      </c>
      <c r="G598" t="str">
        <f>""</f>
        <v/>
      </c>
      <c r="H598" s="1">
        <v>39386</v>
      </c>
      <c r="I598" t="str">
        <f>"MPG00331"</f>
        <v>MPG00331</v>
      </c>
      <c r="J598" t="str">
        <f>""</f>
        <v/>
      </c>
      <c r="K598" t="str">
        <f t="shared" si="159"/>
        <v>AS89</v>
      </c>
      <c r="L598" t="s">
        <v>684</v>
      </c>
      <c r="M598">
        <v>241.67</v>
      </c>
    </row>
    <row r="599" spans="1:13" x14ac:dyDescent="0.25">
      <c r="A599" t="str">
        <f t="shared" si="155"/>
        <v>J231</v>
      </c>
      <c r="B599">
        <v>1</v>
      </c>
      <c r="C599" t="str">
        <f t="shared" si="160"/>
        <v>43000</v>
      </c>
      <c r="D599" t="str">
        <f t="shared" si="161"/>
        <v>5740</v>
      </c>
      <c r="E599" t="str">
        <f t="shared" si="163"/>
        <v>850PKE</v>
      </c>
      <c r="F599" t="str">
        <f>""</f>
        <v/>
      </c>
      <c r="G599" t="str">
        <f>""</f>
        <v/>
      </c>
      <c r="H599" s="1">
        <v>39416</v>
      </c>
      <c r="I599" t="str">
        <f>"MPG00332"</f>
        <v>MPG00332</v>
      </c>
      <c r="J599" t="str">
        <f>""</f>
        <v/>
      </c>
      <c r="K599" t="str">
        <f t="shared" si="159"/>
        <v>AS89</v>
      </c>
      <c r="L599" t="s">
        <v>683</v>
      </c>
      <c r="M599">
        <v>353.73</v>
      </c>
    </row>
    <row r="600" spans="1:13" x14ac:dyDescent="0.25">
      <c r="A600" t="str">
        <f t="shared" si="155"/>
        <v>J231</v>
      </c>
      <c r="B600">
        <v>1</v>
      </c>
      <c r="C600" t="str">
        <f t="shared" si="160"/>
        <v>43000</v>
      </c>
      <c r="D600" t="str">
        <f t="shared" si="161"/>
        <v>5740</v>
      </c>
      <c r="E600" t="str">
        <f t="shared" si="163"/>
        <v>850PKE</v>
      </c>
      <c r="F600" t="str">
        <f>""</f>
        <v/>
      </c>
      <c r="G600" t="str">
        <f>""</f>
        <v/>
      </c>
      <c r="H600" s="1">
        <v>39447</v>
      </c>
      <c r="I600" t="str">
        <f>"MPG00333"</f>
        <v>MPG00333</v>
      </c>
      <c r="J600" t="str">
        <f>""</f>
        <v/>
      </c>
      <c r="K600" t="str">
        <f t="shared" si="159"/>
        <v>AS89</v>
      </c>
      <c r="L600" t="s">
        <v>682</v>
      </c>
      <c r="M600">
        <v>271.85000000000002</v>
      </c>
    </row>
    <row r="601" spans="1:13" x14ac:dyDescent="0.25">
      <c r="A601" t="str">
        <f t="shared" si="155"/>
        <v>J231</v>
      </c>
      <c r="B601">
        <v>1</v>
      </c>
      <c r="C601" t="str">
        <f t="shared" si="160"/>
        <v>43000</v>
      </c>
      <c r="D601" t="str">
        <f t="shared" si="161"/>
        <v>5740</v>
      </c>
      <c r="E601" t="str">
        <f t="shared" si="163"/>
        <v>850PKE</v>
      </c>
      <c r="F601" t="str">
        <f>""</f>
        <v/>
      </c>
      <c r="G601" t="str">
        <f>""</f>
        <v/>
      </c>
      <c r="H601" s="1">
        <v>39478</v>
      </c>
      <c r="I601" t="str">
        <f>"MPG00334"</f>
        <v>MPG00334</v>
      </c>
      <c r="J601" t="str">
        <f>""</f>
        <v/>
      </c>
      <c r="K601" t="str">
        <f t="shared" si="159"/>
        <v>AS89</v>
      </c>
      <c r="L601" t="s">
        <v>681</v>
      </c>
      <c r="M601">
        <v>341.88</v>
      </c>
    </row>
    <row r="602" spans="1:13" x14ac:dyDescent="0.25">
      <c r="A602" t="str">
        <f t="shared" si="155"/>
        <v>J231</v>
      </c>
      <c r="B602">
        <v>1</v>
      </c>
      <c r="C602" t="str">
        <f t="shared" si="160"/>
        <v>43000</v>
      </c>
      <c r="D602" t="str">
        <f t="shared" si="161"/>
        <v>5740</v>
      </c>
      <c r="E602" t="str">
        <f t="shared" si="163"/>
        <v>850PKE</v>
      </c>
      <c r="F602" t="str">
        <f>""</f>
        <v/>
      </c>
      <c r="G602" t="str">
        <f>""</f>
        <v/>
      </c>
      <c r="H602" s="1">
        <v>39538</v>
      </c>
      <c r="I602" t="str">
        <f>"MPG00338"</f>
        <v>MPG00338</v>
      </c>
      <c r="J602" t="str">
        <f>""</f>
        <v/>
      </c>
      <c r="K602" t="str">
        <f t="shared" si="159"/>
        <v>AS89</v>
      </c>
      <c r="L602" t="s">
        <v>680</v>
      </c>
      <c r="M602">
        <v>346.46</v>
      </c>
    </row>
    <row r="603" spans="1:13" x14ac:dyDescent="0.25">
      <c r="A603" t="str">
        <f>"J240"</f>
        <v>J240</v>
      </c>
      <c r="B603">
        <v>1</v>
      </c>
      <c r="C603" t="str">
        <f>"14185"</f>
        <v>14185</v>
      </c>
      <c r="D603" t="str">
        <f>"5620"</f>
        <v>5620</v>
      </c>
      <c r="E603" t="str">
        <f>"094OMS"</f>
        <v>094OMS</v>
      </c>
      <c r="F603" t="str">
        <f>""</f>
        <v/>
      </c>
      <c r="G603" t="str">
        <f>""</f>
        <v/>
      </c>
      <c r="H603" s="1">
        <v>39264</v>
      </c>
      <c r="I603" t="str">
        <f>"PHY00461"</f>
        <v>PHY00461</v>
      </c>
      <c r="J603" t="str">
        <f>"W0004713"</f>
        <v>W0004713</v>
      </c>
      <c r="K603" t="str">
        <f t="shared" si="159"/>
        <v>AS89</v>
      </c>
      <c r="L603" t="s">
        <v>374</v>
      </c>
      <c r="M603">
        <v>119.36</v>
      </c>
    </row>
    <row r="604" spans="1:13" x14ac:dyDescent="0.25">
      <c r="A604" t="str">
        <f>"J240"</f>
        <v>J240</v>
      </c>
      <c r="B604">
        <v>1</v>
      </c>
      <c r="C604" t="str">
        <f>"14185"</f>
        <v>14185</v>
      </c>
      <c r="D604" t="str">
        <f>"5620"</f>
        <v>5620</v>
      </c>
      <c r="E604" t="str">
        <f>"094OMS"</f>
        <v>094OMS</v>
      </c>
      <c r="F604" t="str">
        <f>""</f>
        <v/>
      </c>
      <c r="G604" t="str">
        <f>""</f>
        <v/>
      </c>
      <c r="H604" s="1">
        <v>39295</v>
      </c>
      <c r="I604" t="str">
        <f>"PHY00463"</f>
        <v>PHY00463</v>
      </c>
      <c r="J604" t="str">
        <f>"W0004713"</f>
        <v>W0004713</v>
      </c>
      <c r="K604" t="str">
        <f t="shared" si="159"/>
        <v>AS89</v>
      </c>
      <c r="L604" t="s">
        <v>374</v>
      </c>
      <c r="M604">
        <v>126.49</v>
      </c>
    </row>
    <row r="605" spans="1:13" x14ac:dyDescent="0.25">
      <c r="A605" t="str">
        <f>"J240"</f>
        <v>J240</v>
      </c>
      <c r="B605">
        <v>1</v>
      </c>
      <c r="C605" t="str">
        <f>"14185"</f>
        <v>14185</v>
      </c>
      <c r="D605" t="str">
        <f>"5620"</f>
        <v>5620</v>
      </c>
      <c r="E605" t="str">
        <f>"094OMS"</f>
        <v>094OMS</v>
      </c>
      <c r="F605" t="str">
        <f>""</f>
        <v/>
      </c>
      <c r="G605" t="str">
        <f>""</f>
        <v/>
      </c>
      <c r="H605" s="1">
        <v>39326</v>
      </c>
      <c r="I605" t="str">
        <f>"PHY00465"</f>
        <v>PHY00465</v>
      </c>
      <c r="J605" t="str">
        <f>"W0004713"</f>
        <v>W0004713</v>
      </c>
      <c r="K605" t="str">
        <f t="shared" si="159"/>
        <v>AS89</v>
      </c>
      <c r="L605" t="s">
        <v>374</v>
      </c>
      <c r="M605" s="2">
        <v>4137.37</v>
      </c>
    </row>
    <row r="606" spans="1:13" x14ac:dyDescent="0.25">
      <c r="A606" t="str">
        <f>"J240"</f>
        <v>J240</v>
      </c>
      <c r="B606">
        <v>1</v>
      </c>
      <c r="C606" t="str">
        <f>"14185"</f>
        <v>14185</v>
      </c>
      <c r="D606" t="str">
        <f>"5620"</f>
        <v>5620</v>
      </c>
      <c r="E606" t="str">
        <f>"094OMS"</f>
        <v>094OMS</v>
      </c>
      <c r="F606" t="str">
        <f>""</f>
        <v/>
      </c>
      <c r="G606" t="str">
        <f>""</f>
        <v/>
      </c>
      <c r="H606" s="1">
        <v>39356</v>
      </c>
      <c r="I606" t="str">
        <f>"PHY00467"</f>
        <v>PHY00467</v>
      </c>
      <c r="J606" t="str">
        <f>"W0004713"</f>
        <v>W0004713</v>
      </c>
      <c r="K606" t="str">
        <f t="shared" si="159"/>
        <v>AS89</v>
      </c>
      <c r="L606" t="s">
        <v>374</v>
      </c>
      <c r="M606">
        <v>117.79</v>
      </c>
    </row>
    <row r="607" spans="1:13" x14ac:dyDescent="0.25">
      <c r="A607" t="str">
        <f>"J241"</f>
        <v>J241</v>
      </c>
      <c r="B607">
        <v>1</v>
      </c>
      <c r="C607" t="str">
        <f>"43000"</f>
        <v>43000</v>
      </c>
      <c r="D607" t="str">
        <f>"5740"</f>
        <v>5740</v>
      </c>
      <c r="E607" t="str">
        <f>"850LOS"</f>
        <v>850LOS</v>
      </c>
      <c r="F607" t="str">
        <f>""</f>
        <v/>
      </c>
      <c r="G607" t="str">
        <f>""</f>
        <v/>
      </c>
      <c r="H607" s="1">
        <v>39599</v>
      </c>
      <c r="I607" t="str">
        <f>"SPU00083"</f>
        <v>SPU00083</v>
      </c>
      <c r="J607" t="str">
        <f>""</f>
        <v/>
      </c>
      <c r="K607" t="str">
        <f t="shared" si="159"/>
        <v>AS89</v>
      </c>
      <c r="L607" t="s">
        <v>278</v>
      </c>
      <c r="M607">
        <v>136.80000000000001</v>
      </c>
    </row>
    <row r="608" spans="1:13" x14ac:dyDescent="0.25">
      <c r="A608" t="str">
        <f>"J241"</f>
        <v>J241</v>
      </c>
      <c r="B608">
        <v>1</v>
      </c>
      <c r="C608" t="str">
        <f>"43000"</f>
        <v>43000</v>
      </c>
      <c r="D608" t="str">
        <f>"5740"</f>
        <v>5740</v>
      </c>
      <c r="E608" t="str">
        <f>"850LOS"</f>
        <v>850LOS</v>
      </c>
      <c r="F608" t="str">
        <f>""</f>
        <v/>
      </c>
      <c r="G608" t="str">
        <f>""</f>
        <v/>
      </c>
      <c r="H608" s="1">
        <v>39614</v>
      </c>
      <c r="I608" t="str">
        <f>"SPU00084"</f>
        <v>SPU00084</v>
      </c>
      <c r="J608" t="str">
        <f>""</f>
        <v/>
      </c>
      <c r="K608" t="str">
        <f>"AS96"</f>
        <v>AS96</v>
      </c>
      <c r="L608" t="s">
        <v>278</v>
      </c>
      <c r="M608">
        <v>136.80000000000001</v>
      </c>
    </row>
    <row r="609" spans="1:13" x14ac:dyDescent="0.25">
      <c r="A609" t="str">
        <f>"J252"</f>
        <v>J252</v>
      </c>
      <c r="B609">
        <v>1</v>
      </c>
      <c r="C609" t="str">
        <f>"55070"</f>
        <v>55070</v>
      </c>
      <c r="D609" t="str">
        <f>"5740"</f>
        <v>5740</v>
      </c>
      <c r="E609" t="str">
        <f>"120ZAA"</f>
        <v>120ZAA</v>
      </c>
      <c r="F609" t="str">
        <f>""</f>
        <v/>
      </c>
      <c r="G609" t="str">
        <f>""</f>
        <v/>
      </c>
      <c r="H609" s="1">
        <v>39616</v>
      </c>
      <c r="I609" t="str">
        <f>"BFR00153"</f>
        <v>BFR00153</v>
      </c>
      <c r="J609" t="str">
        <f>""</f>
        <v/>
      </c>
      <c r="K609" t="str">
        <f>"AS96"</f>
        <v>AS96</v>
      </c>
      <c r="L609" t="s">
        <v>678</v>
      </c>
      <c r="M609">
        <v>771.99</v>
      </c>
    </row>
    <row r="610" spans="1:13" x14ac:dyDescent="0.25">
      <c r="A610" t="str">
        <f>"J271"</f>
        <v>J271</v>
      </c>
      <c r="B610">
        <v>1</v>
      </c>
      <c r="C610" t="str">
        <f>"31040"</f>
        <v>31040</v>
      </c>
      <c r="D610" t="str">
        <f>"5620"</f>
        <v>5620</v>
      </c>
      <c r="E610" t="str">
        <f>"094OMS"</f>
        <v>094OMS</v>
      </c>
      <c r="F610" t="str">
        <f>""</f>
        <v/>
      </c>
      <c r="G610" t="str">
        <f>""</f>
        <v/>
      </c>
      <c r="H610" s="1">
        <v>39619</v>
      </c>
      <c r="I610" t="str">
        <f>"G0812171"</f>
        <v>G0812171</v>
      </c>
      <c r="J610" t="str">
        <f>""</f>
        <v/>
      </c>
      <c r="K610" t="str">
        <f>"J096"</f>
        <v>J096</v>
      </c>
      <c r="L610" t="s">
        <v>677</v>
      </c>
      <c r="M610">
        <v>732.26</v>
      </c>
    </row>
    <row r="611" spans="1:13" x14ac:dyDescent="0.25">
      <c r="A611" t="str">
        <f>"J403"</f>
        <v>J403</v>
      </c>
      <c r="B611">
        <v>1</v>
      </c>
      <c r="C611" t="str">
        <f>"43000"</f>
        <v>43000</v>
      </c>
      <c r="D611" t="str">
        <f>"5740"</f>
        <v>5740</v>
      </c>
      <c r="E611" t="str">
        <f>"850LOS"</f>
        <v>850LOS</v>
      </c>
      <c r="F611" t="str">
        <f>""</f>
        <v/>
      </c>
      <c r="G611" t="str">
        <f>""</f>
        <v/>
      </c>
      <c r="H611" s="1">
        <v>39386</v>
      </c>
      <c r="I611" t="str">
        <f>"SWS00039"</f>
        <v>SWS00039</v>
      </c>
      <c r="J611" t="str">
        <f>"I-433"</f>
        <v>I-433</v>
      </c>
      <c r="K611" t="str">
        <f>"AS89"</f>
        <v>AS89</v>
      </c>
      <c r="L611" t="s">
        <v>676</v>
      </c>
      <c r="M611">
        <v>190</v>
      </c>
    </row>
    <row r="612" spans="1:13" x14ac:dyDescent="0.25">
      <c r="A612" t="str">
        <f>"J403"</f>
        <v>J403</v>
      </c>
      <c r="B612">
        <v>1</v>
      </c>
      <c r="C612" t="str">
        <f>"43001"</f>
        <v>43001</v>
      </c>
      <c r="D612" t="str">
        <f>"5740"</f>
        <v>5740</v>
      </c>
      <c r="E612" t="str">
        <f>"850LOS"</f>
        <v>850LOS</v>
      </c>
      <c r="F612" t="str">
        <f>""</f>
        <v/>
      </c>
      <c r="G612" t="str">
        <f>""</f>
        <v/>
      </c>
      <c r="H612" s="1">
        <v>39386</v>
      </c>
      <c r="I612" t="str">
        <f>"SWS00039"</f>
        <v>SWS00039</v>
      </c>
      <c r="J612" t="str">
        <f>"I-442"</f>
        <v>I-442</v>
      </c>
      <c r="K612" t="str">
        <f>"AS89"</f>
        <v>AS89</v>
      </c>
      <c r="L612" t="s">
        <v>675</v>
      </c>
      <c r="M612">
        <v>284</v>
      </c>
    </row>
    <row r="613" spans="1:13" x14ac:dyDescent="0.25">
      <c r="A613" t="str">
        <f>"J530"</f>
        <v>J530</v>
      </c>
      <c r="B613">
        <v>1</v>
      </c>
      <c r="C613" t="str">
        <f>"54551"</f>
        <v>54551</v>
      </c>
      <c r="D613" t="str">
        <f>"5740"</f>
        <v>5740</v>
      </c>
      <c r="E613" t="str">
        <f>"111ZAA"</f>
        <v>111ZAA</v>
      </c>
      <c r="F613" t="str">
        <f>"GRADPR"</f>
        <v>GRADPR</v>
      </c>
      <c r="G613" t="str">
        <f>""</f>
        <v/>
      </c>
      <c r="H613" s="1">
        <v>39568</v>
      </c>
      <c r="I613" t="str">
        <f>"G0810210"</f>
        <v>G0810210</v>
      </c>
      <c r="J613" t="str">
        <f>""</f>
        <v/>
      </c>
      <c r="K613" t="str">
        <f>"J096"</f>
        <v>J096</v>
      </c>
      <c r="L613" t="s">
        <v>674</v>
      </c>
      <c r="M613" s="2">
        <v>43354</v>
      </c>
    </row>
  </sheetData>
  <autoFilter ref="A1:M61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9.710937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"43007"</f>
        <v>43007</v>
      </c>
      <c r="D2" t="str">
        <f>"5740"</f>
        <v>5740</v>
      </c>
      <c r="E2" t="str">
        <f>"850GAR"</f>
        <v>850GAR</v>
      </c>
      <c r="F2" t="str">
        <f>""</f>
        <v/>
      </c>
      <c r="G2" t="str">
        <f>""</f>
        <v/>
      </c>
      <c r="H2" s="1">
        <v>39666</v>
      </c>
      <c r="I2" t="str">
        <f>"43167859"</f>
        <v>43167859</v>
      </c>
      <c r="J2" t="str">
        <f>"B113001B"</f>
        <v>B113001B</v>
      </c>
      <c r="K2" t="str">
        <f>"INNI"</f>
        <v>INNI</v>
      </c>
      <c r="L2" t="s">
        <v>673</v>
      </c>
      <c r="M2" s="2">
        <v>6200</v>
      </c>
    </row>
    <row r="3" spans="1:13" x14ac:dyDescent="0.25">
      <c r="A3" t="str">
        <f>"E051"</f>
        <v>E051</v>
      </c>
      <c r="B3">
        <v>1</v>
      </c>
      <c r="C3" t="str">
        <f>"43007"</f>
        <v>43007</v>
      </c>
      <c r="D3" t="str">
        <f>"5740"</f>
        <v>5740</v>
      </c>
      <c r="E3" t="str">
        <f>"850GAR"</f>
        <v>850GAR</v>
      </c>
      <c r="F3" t="str">
        <f>""</f>
        <v/>
      </c>
      <c r="G3" t="str">
        <f>""</f>
        <v/>
      </c>
      <c r="H3" s="1">
        <v>39685</v>
      </c>
      <c r="I3" t="str">
        <f>"43179574"</f>
        <v>43179574</v>
      </c>
      <c r="J3" t="str">
        <f>"B113001B"</f>
        <v>B113001B</v>
      </c>
      <c r="K3" t="str">
        <f>"INNI"</f>
        <v>INNI</v>
      </c>
      <c r="L3" t="s">
        <v>673</v>
      </c>
      <c r="M3" s="2">
        <v>9000</v>
      </c>
    </row>
    <row r="4" spans="1:13" x14ac:dyDescent="0.25">
      <c r="A4" t="str">
        <f>"E051"</f>
        <v>E051</v>
      </c>
      <c r="B4">
        <v>1</v>
      </c>
      <c r="C4" t="str">
        <f>"43007"</f>
        <v>43007</v>
      </c>
      <c r="D4" t="str">
        <f>"5740"</f>
        <v>5740</v>
      </c>
      <c r="E4" t="str">
        <f>"850GAR"</f>
        <v>850GAR</v>
      </c>
      <c r="F4" t="str">
        <f>""</f>
        <v/>
      </c>
      <c r="G4" t="str">
        <f>""</f>
        <v/>
      </c>
      <c r="H4" s="1">
        <v>39695</v>
      </c>
      <c r="I4" t="str">
        <f>"43189276"</f>
        <v>43189276</v>
      </c>
      <c r="J4" t="str">
        <f>"B113001B"</f>
        <v>B113001B</v>
      </c>
      <c r="K4" t="str">
        <f>"INNI"</f>
        <v>INNI</v>
      </c>
      <c r="L4" t="s">
        <v>673</v>
      </c>
      <c r="M4" s="2">
        <v>1400</v>
      </c>
    </row>
    <row r="5" spans="1:13" x14ac:dyDescent="0.25">
      <c r="A5" t="str">
        <f>"E051"</f>
        <v>E051</v>
      </c>
      <c r="B5">
        <v>1</v>
      </c>
      <c r="C5" t="str">
        <f>"43007"</f>
        <v>43007</v>
      </c>
      <c r="D5" t="str">
        <f>"5740"</f>
        <v>5740</v>
      </c>
      <c r="E5" t="str">
        <f>"850GAR"</f>
        <v>850GAR</v>
      </c>
      <c r="F5" t="str">
        <f>""</f>
        <v/>
      </c>
      <c r="G5" t="str">
        <f>""</f>
        <v/>
      </c>
      <c r="H5" s="1">
        <v>39792</v>
      </c>
      <c r="I5" t="str">
        <f>"43267963"</f>
        <v>43267963</v>
      </c>
      <c r="J5" t="str">
        <f>"B113001B"</f>
        <v>B113001B</v>
      </c>
      <c r="K5" t="str">
        <f>"INNI"</f>
        <v>INNI</v>
      </c>
      <c r="L5" t="s">
        <v>673</v>
      </c>
      <c r="M5" s="2">
        <v>2100</v>
      </c>
    </row>
    <row r="6" spans="1:13" x14ac:dyDescent="0.25">
      <c r="A6" t="str">
        <f>"E053"</f>
        <v>E053</v>
      </c>
      <c r="B6">
        <v>1</v>
      </c>
      <c r="C6" t="str">
        <f>"14185"</f>
        <v>14185</v>
      </c>
      <c r="D6" t="str">
        <f>"5620"</f>
        <v>5620</v>
      </c>
      <c r="E6" t="str">
        <f>"094OMS"</f>
        <v>094OMS</v>
      </c>
      <c r="F6" t="str">
        <f>""</f>
        <v/>
      </c>
      <c r="G6" t="str">
        <f>""</f>
        <v/>
      </c>
      <c r="H6" s="1">
        <v>39969</v>
      </c>
      <c r="I6" t="str">
        <f>"00081613"</f>
        <v>00081613</v>
      </c>
      <c r="J6" t="str">
        <f>"BP43801N"</f>
        <v>BP43801N</v>
      </c>
      <c r="K6" t="str">
        <f>"INNI"</f>
        <v>INNI</v>
      </c>
      <c r="L6" t="s">
        <v>1</v>
      </c>
      <c r="M6">
        <v>325</v>
      </c>
    </row>
    <row r="7" spans="1:13" x14ac:dyDescent="0.25">
      <c r="A7" t="str">
        <f>"E053"</f>
        <v>E053</v>
      </c>
      <c r="B7">
        <v>1</v>
      </c>
      <c r="C7" t="str">
        <f>"43000"</f>
        <v>43000</v>
      </c>
      <c r="D7" t="str">
        <f>"5740"</f>
        <v>5740</v>
      </c>
      <c r="E7" t="str">
        <f>"850LOS"</f>
        <v>850LOS</v>
      </c>
      <c r="F7" t="str">
        <f>""</f>
        <v/>
      </c>
      <c r="G7" t="str">
        <f>""</f>
        <v/>
      </c>
      <c r="H7" s="1">
        <v>39988</v>
      </c>
      <c r="I7" t="str">
        <f>"G0912229"</f>
        <v>G0912229</v>
      </c>
      <c r="J7" t="str">
        <f>""</f>
        <v/>
      </c>
      <c r="K7" t="str">
        <f>"CD20"</f>
        <v>CD20</v>
      </c>
      <c r="L7" t="s">
        <v>1179</v>
      </c>
      <c r="M7" s="2">
        <v>1000</v>
      </c>
    </row>
    <row r="8" spans="1:13" x14ac:dyDescent="0.25">
      <c r="A8" t="str">
        <f>"E054"</f>
        <v>E054</v>
      </c>
      <c r="B8">
        <v>1</v>
      </c>
      <c r="C8" t="str">
        <f>"43000"</f>
        <v>43000</v>
      </c>
      <c r="D8" t="str">
        <f>"5740"</f>
        <v>5740</v>
      </c>
      <c r="E8" t="str">
        <f>"850LOS"</f>
        <v>850LOS</v>
      </c>
      <c r="F8" t="str">
        <f>""</f>
        <v/>
      </c>
      <c r="G8" t="str">
        <f>""</f>
        <v/>
      </c>
      <c r="H8" s="1">
        <v>39890</v>
      </c>
      <c r="I8" t="str">
        <f>"135463"</f>
        <v>135463</v>
      </c>
      <c r="J8" t="str">
        <f>""</f>
        <v/>
      </c>
      <c r="K8" t="str">
        <f>"INNI"</f>
        <v>INNI</v>
      </c>
      <c r="L8" t="s">
        <v>3</v>
      </c>
      <c r="M8" s="2">
        <v>11700</v>
      </c>
    </row>
    <row r="9" spans="1:13" x14ac:dyDescent="0.25">
      <c r="A9" t="str">
        <f t="shared" ref="A9:A14" si="0">"E055"</f>
        <v>E055</v>
      </c>
      <c r="B9">
        <v>1</v>
      </c>
      <c r="C9" t="str">
        <f>"14185"</f>
        <v>14185</v>
      </c>
      <c r="D9" t="str">
        <f>"5620"</f>
        <v>5620</v>
      </c>
      <c r="E9" t="str">
        <f>"094OMS"</f>
        <v>094OMS</v>
      </c>
      <c r="F9" t="str">
        <f>""</f>
        <v/>
      </c>
      <c r="G9" t="str">
        <f>""</f>
        <v/>
      </c>
      <c r="H9" s="1">
        <v>39882</v>
      </c>
      <c r="I9" t="str">
        <f>"135461"</f>
        <v>135461</v>
      </c>
      <c r="J9" t="str">
        <f>""</f>
        <v/>
      </c>
      <c r="K9" t="str">
        <f>"INNI"</f>
        <v>INNI</v>
      </c>
      <c r="L9" t="s">
        <v>4</v>
      </c>
      <c r="M9">
        <v>175</v>
      </c>
    </row>
    <row r="10" spans="1:13" x14ac:dyDescent="0.25">
      <c r="A10" t="str">
        <f t="shared" si="0"/>
        <v>E055</v>
      </c>
      <c r="B10">
        <v>1</v>
      </c>
      <c r="C10" t="str">
        <f>"14185"</f>
        <v>14185</v>
      </c>
      <c r="D10" t="str">
        <f>"5620"</f>
        <v>5620</v>
      </c>
      <c r="E10" t="str">
        <f>"094OMS"</f>
        <v>094OMS</v>
      </c>
      <c r="F10" t="str">
        <f>""</f>
        <v/>
      </c>
      <c r="G10" t="str">
        <f>""</f>
        <v/>
      </c>
      <c r="H10" s="1">
        <v>39905</v>
      </c>
      <c r="I10" t="str">
        <f>"I0091663"</f>
        <v>I0091663</v>
      </c>
      <c r="J10" t="str">
        <f>"F125323"</f>
        <v>F125323</v>
      </c>
      <c r="K10" t="str">
        <f>"INEI"</f>
        <v>INEI</v>
      </c>
      <c r="L10" t="s">
        <v>946</v>
      </c>
      <c r="M10" s="2">
        <v>2990</v>
      </c>
    </row>
    <row r="11" spans="1:13" x14ac:dyDescent="0.25">
      <c r="A11" t="str">
        <f t="shared" si="0"/>
        <v>E055</v>
      </c>
      <c r="B11">
        <v>1</v>
      </c>
      <c r="C11" t="str">
        <f>"14185"</f>
        <v>14185</v>
      </c>
      <c r="D11" t="str">
        <f>"5620"</f>
        <v>5620</v>
      </c>
      <c r="E11" t="str">
        <f>"094OMS"</f>
        <v>094OMS</v>
      </c>
      <c r="F11" t="str">
        <f>""</f>
        <v/>
      </c>
      <c r="G11" t="str">
        <f>""</f>
        <v/>
      </c>
      <c r="H11" s="1">
        <v>39909</v>
      </c>
      <c r="I11" t="str">
        <f>"I0091556"</f>
        <v>I0091556</v>
      </c>
      <c r="J11" t="str">
        <f>"F125323"</f>
        <v>F125323</v>
      </c>
      <c r="K11" t="str">
        <f>"INEI"</f>
        <v>INEI</v>
      </c>
      <c r="L11" t="s">
        <v>946</v>
      </c>
      <c r="M11" s="2">
        <v>1000</v>
      </c>
    </row>
    <row r="12" spans="1:13" x14ac:dyDescent="0.25">
      <c r="A12" t="str">
        <f t="shared" si="0"/>
        <v>E055</v>
      </c>
      <c r="B12">
        <v>1</v>
      </c>
      <c r="C12" t="str">
        <f>"14185"</f>
        <v>14185</v>
      </c>
      <c r="D12" t="str">
        <f>"5620"</f>
        <v>5620</v>
      </c>
      <c r="E12" t="str">
        <f>"094OMS"</f>
        <v>094OMS</v>
      </c>
      <c r="F12" t="str">
        <f>""</f>
        <v/>
      </c>
      <c r="G12" t="str">
        <f>""</f>
        <v/>
      </c>
      <c r="H12" s="1">
        <v>39994</v>
      </c>
      <c r="I12" t="str">
        <f>"135478"</f>
        <v>135478</v>
      </c>
      <c r="J12" t="str">
        <f>""</f>
        <v/>
      </c>
      <c r="K12" t="str">
        <f t="shared" ref="K12:K17" si="1">"INNI"</f>
        <v>INNI</v>
      </c>
      <c r="L12" t="s">
        <v>4</v>
      </c>
      <c r="M12">
        <v>175</v>
      </c>
    </row>
    <row r="13" spans="1:13" x14ac:dyDescent="0.25">
      <c r="A13" t="str">
        <f t="shared" si="0"/>
        <v>E055</v>
      </c>
      <c r="B13">
        <v>1</v>
      </c>
      <c r="C13" t="str">
        <f>"43007"</f>
        <v>43007</v>
      </c>
      <c r="D13" t="str">
        <f>"5740"</f>
        <v>5740</v>
      </c>
      <c r="E13" t="str">
        <f>"850GAR"</f>
        <v>850GAR</v>
      </c>
      <c r="F13" t="str">
        <f>""</f>
        <v/>
      </c>
      <c r="G13" t="str">
        <f>""</f>
        <v/>
      </c>
      <c r="H13" s="1">
        <v>39785</v>
      </c>
      <c r="I13" t="str">
        <f>"I0090235"</f>
        <v>I0090235</v>
      </c>
      <c r="J13" t="str">
        <f>"B080176F"</f>
        <v>B080176F</v>
      </c>
      <c r="K13" t="str">
        <f t="shared" si="1"/>
        <v>INNI</v>
      </c>
      <c r="L13" t="s">
        <v>945</v>
      </c>
      <c r="M13">
        <v>200</v>
      </c>
    </row>
    <row r="14" spans="1:13" x14ac:dyDescent="0.25">
      <c r="A14" t="str">
        <f t="shared" si="0"/>
        <v>E055</v>
      </c>
      <c r="B14">
        <v>1</v>
      </c>
      <c r="C14" t="str">
        <f>"43007"</f>
        <v>43007</v>
      </c>
      <c r="D14" t="str">
        <f>"5740"</f>
        <v>5740</v>
      </c>
      <c r="E14" t="str">
        <f>"850GAR"</f>
        <v>850GAR</v>
      </c>
      <c r="F14" t="str">
        <f>""</f>
        <v/>
      </c>
      <c r="G14" t="str">
        <f>""</f>
        <v/>
      </c>
      <c r="H14" s="1">
        <v>39829</v>
      </c>
      <c r="I14" t="str">
        <f>"I0090682"</f>
        <v>I0090682</v>
      </c>
      <c r="J14" t="str">
        <f>"B080176F"</f>
        <v>B080176F</v>
      </c>
      <c r="K14" t="str">
        <f t="shared" si="1"/>
        <v>INNI</v>
      </c>
      <c r="L14" t="s">
        <v>945</v>
      </c>
      <c r="M14">
        <v>200</v>
      </c>
    </row>
    <row r="15" spans="1:13" x14ac:dyDescent="0.25">
      <c r="A15" t="str">
        <f>"E063"</f>
        <v>E063</v>
      </c>
      <c r="B15">
        <v>1</v>
      </c>
      <c r="C15" t="str">
        <f t="shared" ref="C15:C37" si="2">"14185"</f>
        <v>14185</v>
      </c>
      <c r="D15" t="str">
        <f t="shared" ref="D15:D38" si="3">"5620"</f>
        <v>5620</v>
      </c>
      <c r="E15" t="str">
        <f t="shared" ref="E15:E38" si="4">"094OMS"</f>
        <v>094OMS</v>
      </c>
      <c r="F15" t="str">
        <f>""</f>
        <v/>
      </c>
      <c r="G15" t="str">
        <f>""</f>
        <v/>
      </c>
      <c r="H15" s="1">
        <v>39871</v>
      </c>
      <c r="I15" t="str">
        <f>"125375"</f>
        <v>125375</v>
      </c>
      <c r="J15" t="str">
        <f>""</f>
        <v/>
      </c>
      <c r="K15" t="str">
        <f t="shared" si="1"/>
        <v>INNI</v>
      </c>
      <c r="L15" t="s">
        <v>266</v>
      </c>
      <c r="M15">
        <v>173.6</v>
      </c>
    </row>
    <row r="16" spans="1:13" x14ac:dyDescent="0.25">
      <c r="A16" t="str">
        <f>"E063"</f>
        <v>E063</v>
      </c>
      <c r="B16">
        <v>1</v>
      </c>
      <c r="C16" t="str">
        <f t="shared" si="2"/>
        <v>14185</v>
      </c>
      <c r="D16" t="str">
        <f t="shared" si="3"/>
        <v>5620</v>
      </c>
      <c r="E16" t="str">
        <f t="shared" si="4"/>
        <v>094OMS</v>
      </c>
      <c r="F16" t="str">
        <f>""</f>
        <v/>
      </c>
      <c r="G16" t="str">
        <f>""</f>
        <v/>
      </c>
      <c r="H16" s="1">
        <v>39904</v>
      </c>
      <c r="I16" t="str">
        <f>"135464"</f>
        <v>135464</v>
      </c>
      <c r="J16" t="str">
        <f>""</f>
        <v/>
      </c>
      <c r="K16" t="str">
        <f t="shared" si="1"/>
        <v>INNI</v>
      </c>
      <c r="L16" t="s">
        <v>1178</v>
      </c>
      <c r="M16">
        <v>389.8</v>
      </c>
    </row>
    <row r="17" spans="1:13" x14ac:dyDescent="0.25">
      <c r="A17" t="str">
        <f>"E063"</f>
        <v>E063</v>
      </c>
      <c r="B17">
        <v>1</v>
      </c>
      <c r="C17" t="str">
        <f t="shared" si="2"/>
        <v>14185</v>
      </c>
      <c r="D17" t="str">
        <f t="shared" si="3"/>
        <v>5620</v>
      </c>
      <c r="E17" t="str">
        <f t="shared" si="4"/>
        <v>094OMS</v>
      </c>
      <c r="F17" t="str">
        <f>""</f>
        <v/>
      </c>
      <c r="G17" t="str">
        <f>""</f>
        <v/>
      </c>
      <c r="H17" s="1">
        <v>39988</v>
      </c>
      <c r="I17" t="str">
        <f>"135470"</f>
        <v>135470</v>
      </c>
      <c r="J17" t="str">
        <f>""</f>
        <v/>
      </c>
      <c r="K17" t="str">
        <f t="shared" si="1"/>
        <v>INNI</v>
      </c>
      <c r="L17" t="s">
        <v>1177</v>
      </c>
      <c r="M17">
        <v>289</v>
      </c>
    </row>
    <row r="18" spans="1:13" x14ac:dyDescent="0.25">
      <c r="A18" t="str">
        <f t="shared" ref="A18:A49" si="5">"E111"</f>
        <v>E111</v>
      </c>
      <c r="B18">
        <v>1</v>
      </c>
      <c r="C18" t="str">
        <f t="shared" si="2"/>
        <v>14185</v>
      </c>
      <c r="D18" t="str">
        <f t="shared" si="3"/>
        <v>5620</v>
      </c>
      <c r="E18" t="str">
        <f t="shared" si="4"/>
        <v>094OMS</v>
      </c>
      <c r="F18" t="str">
        <f>""</f>
        <v/>
      </c>
      <c r="G18" t="str">
        <f>""</f>
        <v/>
      </c>
      <c r="H18" s="1">
        <v>39668</v>
      </c>
      <c r="I18" t="str">
        <f>"PCD00329"</f>
        <v>PCD00329</v>
      </c>
      <c r="J18" t="str">
        <f>"83100"</f>
        <v>83100</v>
      </c>
      <c r="K18" t="str">
        <f>"AS89"</f>
        <v>AS89</v>
      </c>
      <c r="L18" t="s">
        <v>1176</v>
      </c>
      <c r="M18">
        <v>105.04</v>
      </c>
    </row>
    <row r="19" spans="1:13" x14ac:dyDescent="0.25">
      <c r="A19" t="str">
        <f t="shared" si="5"/>
        <v>E111</v>
      </c>
      <c r="B19">
        <v>1</v>
      </c>
      <c r="C19" t="str">
        <f t="shared" si="2"/>
        <v>14185</v>
      </c>
      <c r="D19" t="str">
        <f t="shared" si="3"/>
        <v>5620</v>
      </c>
      <c r="E19" t="str">
        <f t="shared" si="4"/>
        <v>094OMS</v>
      </c>
      <c r="F19" t="str">
        <f>""</f>
        <v/>
      </c>
      <c r="G19" t="str">
        <f>""</f>
        <v/>
      </c>
      <c r="H19" s="1">
        <v>39731</v>
      </c>
      <c r="I19" t="str">
        <f>"PCD00337"</f>
        <v>PCD00337</v>
      </c>
      <c r="J19" t="str">
        <f>"86413"</f>
        <v>86413</v>
      </c>
      <c r="K19" t="str">
        <f>"AS89"</f>
        <v>AS89</v>
      </c>
      <c r="L19" t="s">
        <v>1175</v>
      </c>
      <c r="M19">
        <v>410.84</v>
      </c>
    </row>
    <row r="20" spans="1:13" x14ac:dyDescent="0.25">
      <c r="A20" t="str">
        <f t="shared" si="5"/>
        <v>E111</v>
      </c>
      <c r="B20">
        <v>1</v>
      </c>
      <c r="C20" t="str">
        <f t="shared" si="2"/>
        <v>14185</v>
      </c>
      <c r="D20" t="str">
        <f t="shared" si="3"/>
        <v>5620</v>
      </c>
      <c r="E20" t="str">
        <f t="shared" si="4"/>
        <v>094OMS</v>
      </c>
      <c r="F20" t="str">
        <f>""</f>
        <v/>
      </c>
      <c r="G20" t="str">
        <f>""</f>
        <v/>
      </c>
      <c r="H20" s="1">
        <v>39766</v>
      </c>
      <c r="I20" t="str">
        <f>"PCD00342"</f>
        <v>PCD00342</v>
      </c>
      <c r="J20" t="str">
        <f>"87149"</f>
        <v>87149</v>
      </c>
      <c r="K20" t="str">
        <f>"AS89"</f>
        <v>AS89</v>
      </c>
      <c r="L20" t="s">
        <v>1174</v>
      </c>
      <c r="M20">
        <v>113.77</v>
      </c>
    </row>
    <row r="21" spans="1:13" x14ac:dyDescent="0.25">
      <c r="A21" t="str">
        <f t="shared" si="5"/>
        <v>E111</v>
      </c>
      <c r="B21">
        <v>1</v>
      </c>
      <c r="C21" t="str">
        <f t="shared" si="2"/>
        <v>14185</v>
      </c>
      <c r="D21" t="str">
        <f t="shared" si="3"/>
        <v>5620</v>
      </c>
      <c r="E21" t="str">
        <f t="shared" si="4"/>
        <v>094OMS</v>
      </c>
      <c r="F21" t="str">
        <f>""</f>
        <v/>
      </c>
      <c r="G21" t="str">
        <f>""</f>
        <v/>
      </c>
      <c r="H21" s="1">
        <v>39766</v>
      </c>
      <c r="I21" t="str">
        <f>"PCD00342"</f>
        <v>PCD00342</v>
      </c>
      <c r="J21" t="str">
        <f>"88557"</f>
        <v>88557</v>
      </c>
      <c r="K21" t="str">
        <f>"AS89"</f>
        <v>AS89</v>
      </c>
      <c r="L21" t="s">
        <v>1173</v>
      </c>
      <c r="M21">
        <v>548.44000000000005</v>
      </c>
    </row>
    <row r="22" spans="1:13" x14ac:dyDescent="0.25">
      <c r="A22" t="str">
        <f t="shared" si="5"/>
        <v>E111</v>
      </c>
      <c r="B22">
        <v>1</v>
      </c>
      <c r="C22" t="str">
        <f t="shared" si="2"/>
        <v>14185</v>
      </c>
      <c r="D22" t="str">
        <f t="shared" si="3"/>
        <v>5620</v>
      </c>
      <c r="E22" t="str">
        <f t="shared" si="4"/>
        <v>094OMS</v>
      </c>
      <c r="F22" t="str">
        <f>""</f>
        <v/>
      </c>
      <c r="G22" t="str">
        <f>""</f>
        <v/>
      </c>
      <c r="H22" s="1">
        <v>39777</v>
      </c>
      <c r="I22" t="str">
        <f>"C0012802"</f>
        <v>C0012802</v>
      </c>
      <c r="J22" t="str">
        <f>""</f>
        <v/>
      </c>
      <c r="K22" t="str">
        <f>"ISSU"</f>
        <v>ISSU</v>
      </c>
      <c r="L22" t="s">
        <v>23</v>
      </c>
      <c r="M22">
        <v>104.87</v>
      </c>
    </row>
    <row r="23" spans="1:13" x14ac:dyDescent="0.25">
      <c r="A23" t="str">
        <f t="shared" si="5"/>
        <v>E111</v>
      </c>
      <c r="B23">
        <v>1</v>
      </c>
      <c r="C23" t="str">
        <f t="shared" si="2"/>
        <v>14185</v>
      </c>
      <c r="D23" t="str">
        <f t="shared" si="3"/>
        <v>5620</v>
      </c>
      <c r="E23" t="str">
        <f t="shared" si="4"/>
        <v>094OMS</v>
      </c>
      <c r="F23" t="str">
        <f>""</f>
        <v/>
      </c>
      <c r="G23" t="str">
        <f>""</f>
        <v/>
      </c>
      <c r="H23" s="1">
        <v>39782</v>
      </c>
      <c r="I23" t="str">
        <f>"EIS00075"</f>
        <v>EIS00075</v>
      </c>
      <c r="J23" t="str">
        <f>"F125343"</f>
        <v>F125343</v>
      </c>
      <c r="K23" t="str">
        <f>"AS96"</f>
        <v>AS96</v>
      </c>
      <c r="L23" t="s">
        <v>962</v>
      </c>
      <c r="M23" s="2">
        <v>8130</v>
      </c>
    </row>
    <row r="24" spans="1:13" x14ac:dyDescent="0.25">
      <c r="A24" t="str">
        <f t="shared" si="5"/>
        <v>E111</v>
      </c>
      <c r="B24">
        <v>1</v>
      </c>
      <c r="C24" t="str">
        <f t="shared" si="2"/>
        <v>14185</v>
      </c>
      <c r="D24" t="str">
        <f t="shared" si="3"/>
        <v>5620</v>
      </c>
      <c r="E24" t="str">
        <f t="shared" si="4"/>
        <v>094OMS</v>
      </c>
      <c r="F24" t="str">
        <f>""</f>
        <v/>
      </c>
      <c r="G24" t="str">
        <f>""</f>
        <v/>
      </c>
      <c r="H24" s="1">
        <v>39783</v>
      </c>
      <c r="I24" t="str">
        <f>"PCD00344"</f>
        <v>PCD00344</v>
      </c>
      <c r="J24" t="str">
        <f>"88832"</f>
        <v>88832</v>
      </c>
      <c r="K24" t="str">
        <f>"AS89"</f>
        <v>AS89</v>
      </c>
      <c r="L24" t="s">
        <v>1172</v>
      </c>
      <c r="M24">
        <v>179.08</v>
      </c>
    </row>
    <row r="25" spans="1:13" x14ac:dyDescent="0.25">
      <c r="A25" t="str">
        <f t="shared" si="5"/>
        <v>E111</v>
      </c>
      <c r="B25">
        <v>1</v>
      </c>
      <c r="C25" t="str">
        <f t="shared" si="2"/>
        <v>14185</v>
      </c>
      <c r="D25" t="str">
        <f t="shared" si="3"/>
        <v>5620</v>
      </c>
      <c r="E25" t="str">
        <f t="shared" si="4"/>
        <v>094OMS</v>
      </c>
      <c r="F25" t="str">
        <f>""</f>
        <v/>
      </c>
      <c r="G25" t="str">
        <f>""</f>
        <v/>
      </c>
      <c r="H25" s="1">
        <v>39794</v>
      </c>
      <c r="I25" t="str">
        <f>"PCD00348"</f>
        <v>PCD00348</v>
      </c>
      <c r="J25" t="str">
        <f>"89259"</f>
        <v>89259</v>
      </c>
      <c r="K25" t="str">
        <f>"AS89"</f>
        <v>AS89</v>
      </c>
      <c r="L25" t="s">
        <v>1147</v>
      </c>
      <c r="M25">
        <v>142</v>
      </c>
    </row>
    <row r="26" spans="1:13" x14ac:dyDescent="0.25">
      <c r="A26" t="str">
        <f t="shared" si="5"/>
        <v>E111</v>
      </c>
      <c r="B26">
        <v>1</v>
      </c>
      <c r="C26" t="str">
        <f t="shared" si="2"/>
        <v>14185</v>
      </c>
      <c r="D26" t="str">
        <f t="shared" si="3"/>
        <v>5620</v>
      </c>
      <c r="E26" t="str">
        <f t="shared" si="4"/>
        <v>094OMS</v>
      </c>
      <c r="F26" t="str">
        <f>""</f>
        <v/>
      </c>
      <c r="G26" t="str">
        <f>""</f>
        <v/>
      </c>
      <c r="H26" s="1">
        <v>39794</v>
      </c>
      <c r="I26" t="str">
        <f>"PCD00348"</f>
        <v>PCD00348</v>
      </c>
      <c r="J26" t="str">
        <f>"89291"</f>
        <v>89291</v>
      </c>
      <c r="K26" t="str">
        <f>"AS89"</f>
        <v>AS89</v>
      </c>
      <c r="L26" t="s">
        <v>1171</v>
      </c>
      <c r="M26">
        <v>470.12</v>
      </c>
    </row>
    <row r="27" spans="1:13" x14ac:dyDescent="0.25">
      <c r="A27" t="str">
        <f t="shared" si="5"/>
        <v>E111</v>
      </c>
      <c r="B27">
        <v>1</v>
      </c>
      <c r="C27" t="str">
        <f t="shared" si="2"/>
        <v>14185</v>
      </c>
      <c r="D27" t="str">
        <f t="shared" si="3"/>
        <v>5620</v>
      </c>
      <c r="E27" t="str">
        <f t="shared" si="4"/>
        <v>094OMS</v>
      </c>
      <c r="F27" t="str">
        <f>""</f>
        <v/>
      </c>
      <c r="G27" t="str">
        <f>""</f>
        <v/>
      </c>
      <c r="H27" s="1">
        <v>39794</v>
      </c>
      <c r="I27" t="str">
        <f>"PCD00348"</f>
        <v>PCD00348</v>
      </c>
      <c r="J27" t="str">
        <f>"89683"</f>
        <v>89683</v>
      </c>
      <c r="K27" t="str">
        <f>"AS89"</f>
        <v>AS89</v>
      </c>
      <c r="L27" t="s">
        <v>1170</v>
      </c>
      <c r="M27">
        <v>684.27</v>
      </c>
    </row>
    <row r="28" spans="1:13" x14ac:dyDescent="0.25">
      <c r="A28" t="str">
        <f t="shared" si="5"/>
        <v>E111</v>
      </c>
      <c r="B28">
        <v>1</v>
      </c>
      <c r="C28" t="str">
        <f t="shared" si="2"/>
        <v>14185</v>
      </c>
      <c r="D28" t="str">
        <f t="shared" si="3"/>
        <v>5620</v>
      </c>
      <c r="E28" t="str">
        <f t="shared" si="4"/>
        <v>094OMS</v>
      </c>
      <c r="F28" t="str">
        <f>""</f>
        <v/>
      </c>
      <c r="G28" t="str">
        <f>""</f>
        <v/>
      </c>
      <c r="H28" s="1">
        <v>39794</v>
      </c>
      <c r="I28" t="str">
        <f>"PCD00348"</f>
        <v>PCD00348</v>
      </c>
      <c r="J28" t="str">
        <f>"90067"</f>
        <v>90067</v>
      </c>
      <c r="K28" t="str">
        <f>"AS89"</f>
        <v>AS89</v>
      </c>
      <c r="L28" t="s">
        <v>1169</v>
      </c>
      <c r="M28">
        <v>968.96</v>
      </c>
    </row>
    <row r="29" spans="1:13" x14ac:dyDescent="0.25">
      <c r="A29" t="str">
        <f t="shared" si="5"/>
        <v>E111</v>
      </c>
      <c r="B29">
        <v>1</v>
      </c>
      <c r="C29" t="str">
        <f t="shared" si="2"/>
        <v>14185</v>
      </c>
      <c r="D29" t="str">
        <f t="shared" si="3"/>
        <v>5620</v>
      </c>
      <c r="E29" t="str">
        <f t="shared" si="4"/>
        <v>094OMS</v>
      </c>
      <c r="F29" t="str">
        <f>""</f>
        <v/>
      </c>
      <c r="G29" t="str">
        <f>""</f>
        <v/>
      </c>
      <c r="H29" s="1">
        <v>39813</v>
      </c>
      <c r="I29" t="str">
        <f>"587005"</f>
        <v>587005</v>
      </c>
      <c r="J29" t="str">
        <f>"F125338"</f>
        <v>F125338</v>
      </c>
      <c r="K29" t="str">
        <f>"INEI"</f>
        <v>INEI</v>
      </c>
      <c r="L29" t="s">
        <v>366</v>
      </c>
      <c r="M29" s="2">
        <v>1818.51</v>
      </c>
    </row>
    <row r="30" spans="1:13" x14ac:dyDescent="0.25">
      <c r="A30" t="str">
        <f t="shared" si="5"/>
        <v>E111</v>
      </c>
      <c r="B30">
        <v>1</v>
      </c>
      <c r="C30" t="str">
        <f t="shared" si="2"/>
        <v>14185</v>
      </c>
      <c r="D30" t="str">
        <f t="shared" si="3"/>
        <v>5620</v>
      </c>
      <c r="E30" t="str">
        <f t="shared" si="4"/>
        <v>094OMS</v>
      </c>
      <c r="F30" t="str">
        <f>""</f>
        <v/>
      </c>
      <c r="G30" t="str">
        <f>""</f>
        <v/>
      </c>
      <c r="H30" s="1">
        <v>39853</v>
      </c>
      <c r="I30" t="str">
        <f>"PCD00354"</f>
        <v>PCD00354</v>
      </c>
      <c r="J30" t="str">
        <f>"92084"</f>
        <v>92084</v>
      </c>
      <c r="K30" t="str">
        <f>"AS89"</f>
        <v>AS89</v>
      </c>
      <c r="L30" t="s">
        <v>1168</v>
      </c>
      <c r="M30">
        <v>182.9</v>
      </c>
    </row>
    <row r="31" spans="1:13" x14ac:dyDescent="0.25">
      <c r="A31" t="str">
        <f t="shared" si="5"/>
        <v>E111</v>
      </c>
      <c r="B31">
        <v>1</v>
      </c>
      <c r="C31" t="str">
        <f t="shared" si="2"/>
        <v>14185</v>
      </c>
      <c r="D31" t="str">
        <f t="shared" si="3"/>
        <v>5620</v>
      </c>
      <c r="E31" t="str">
        <f t="shared" si="4"/>
        <v>094OMS</v>
      </c>
      <c r="F31" t="str">
        <f>""</f>
        <v/>
      </c>
      <c r="G31" t="str">
        <f>""</f>
        <v/>
      </c>
      <c r="H31" s="1">
        <v>39853</v>
      </c>
      <c r="I31" t="str">
        <f>"PCD00354"</f>
        <v>PCD00354</v>
      </c>
      <c r="J31" t="str">
        <f>"92709"</f>
        <v>92709</v>
      </c>
      <c r="K31" t="str">
        <f>"AS89"</f>
        <v>AS89</v>
      </c>
      <c r="L31" t="s">
        <v>1146</v>
      </c>
      <c r="M31">
        <v>193.7</v>
      </c>
    </row>
    <row r="32" spans="1:13" x14ac:dyDescent="0.25">
      <c r="A32" t="str">
        <f t="shared" si="5"/>
        <v>E111</v>
      </c>
      <c r="B32">
        <v>1</v>
      </c>
      <c r="C32" t="str">
        <f t="shared" si="2"/>
        <v>14185</v>
      </c>
      <c r="D32" t="str">
        <f t="shared" si="3"/>
        <v>5620</v>
      </c>
      <c r="E32" t="str">
        <f t="shared" si="4"/>
        <v>094OMS</v>
      </c>
      <c r="F32" t="str">
        <f>""</f>
        <v/>
      </c>
      <c r="G32" t="str">
        <f>""</f>
        <v/>
      </c>
      <c r="H32" s="1">
        <v>39871</v>
      </c>
      <c r="I32" t="str">
        <f>"587460"</f>
        <v>587460</v>
      </c>
      <c r="J32" t="str">
        <f>"F125367"</f>
        <v>F125367</v>
      </c>
      <c r="K32" t="str">
        <f>"INEI"</f>
        <v>INEI</v>
      </c>
      <c r="L32" t="s">
        <v>366</v>
      </c>
      <c r="M32" s="2">
        <v>1267.17</v>
      </c>
    </row>
    <row r="33" spans="1:13" x14ac:dyDescent="0.25">
      <c r="A33" t="str">
        <f t="shared" si="5"/>
        <v>E111</v>
      </c>
      <c r="B33">
        <v>1</v>
      </c>
      <c r="C33" t="str">
        <f t="shared" si="2"/>
        <v>14185</v>
      </c>
      <c r="D33" t="str">
        <f t="shared" si="3"/>
        <v>5620</v>
      </c>
      <c r="E33" t="str">
        <f t="shared" si="4"/>
        <v>094OMS</v>
      </c>
      <c r="F33" t="str">
        <f>""</f>
        <v/>
      </c>
      <c r="G33" t="str">
        <f>""</f>
        <v/>
      </c>
      <c r="H33" s="1">
        <v>39913</v>
      </c>
      <c r="I33" t="str">
        <f>"PCD00363"</f>
        <v>PCD00363</v>
      </c>
      <c r="J33" t="str">
        <f>"95087"</f>
        <v>95087</v>
      </c>
      <c r="K33" t="str">
        <f t="shared" ref="K33:K38" si="6">"AS89"</f>
        <v>AS89</v>
      </c>
      <c r="L33" t="s">
        <v>1159</v>
      </c>
      <c r="M33">
        <v>109.14</v>
      </c>
    </row>
    <row r="34" spans="1:13" x14ac:dyDescent="0.25">
      <c r="A34" t="str">
        <f t="shared" si="5"/>
        <v>E111</v>
      </c>
      <c r="B34">
        <v>1</v>
      </c>
      <c r="C34" t="str">
        <f t="shared" si="2"/>
        <v>14185</v>
      </c>
      <c r="D34" t="str">
        <f t="shared" si="3"/>
        <v>5620</v>
      </c>
      <c r="E34" t="str">
        <f t="shared" si="4"/>
        <v>094OMS</v>
      </c>
      <c r="F34" t="str">
        <f>""</f>
        <v/>
      </c>
      <c r="G34" t="str">
        <f>""</f>
        <v/>
      </c>
      <c r="H34" s="1">
        <v>39941</v>
      </c>
      <c r="I34" t="str">
        <f>"PCD00366"</f>
        <v>PCD00366</v>
      </c>
      <c r="J34" t="str">
        <f>"97459"</f>
        <v>97459</v>
      </c>
      <c r="K34" t="str">
        <f t="shared" si="6"/>
        <v>AS89</v>
      </c>
      <c r="L34" t="s">
        <v>1003</v>
      </c>
      <c r="M34">
        <v>701.45</v>
      </c>
    </row>
    <row r="35" spans="1:13" x14ac:dyDescent="0.25">
      <c r="A35" t="str">
        <f t="shared" si="5"/>
        <v>E111</v>
      </c>
      <c r="B35">
        <v>1</v>
      </c>
      <c r="C35" t="str">
        <f t="shared" si="2"/>
        <v>14185</v>
      </c>
      <c r="D35" t="str">
        <f t="shared" si="3"/>
        <v>5620</v>
      </c>
      <c r="E35" t="str">
        <f t="shared" si="4"/>
        <v>094OMS</v>
      </c>
      <c r="F35" t="str">
        <f>""</f>
        <v/>
      </c>
      <c r="G35" t="str">
        <f>""</f>
        <v/>
      </c>
      <c r="H35" s="1">
        <v>39941</v>
      </c>
      <c r="I35" t="str">
        <f>"PCD00366"</f>
        <v>PCD00366</v>
      </c>
      <c r="J35" t="str">
        <f>"97753"</f>
        <v>97753</v>
      </c>
      <c r="K35" t="str">
        <f t="shared" si="6"/>
        <v>AS89</v>
      </c>
      <c r="L35" t="s">
        <v>1167</v>
      </c>
      <c r="M35">
        <v>213.75</v>
      </c>
    </row>
    <row r="36" spans="1:13" x14ac:dyDescent="0.25">
      <c r="A36" t="str">
        <f t="shared" si="5"/>
        <v>E111</v>
      </c>
      <c r="B36">
        <v>1</v>
      </c>
      <c r="C36" t="str">
        <f t="shared" si="2"/>
        <v>14185</v>
      </c>
      <c r="D36" t="str">
        <f t="shared" si="3"/>
        <v>5620</v>
      </c>
      <c r="E36" t="str">
        <f t="shared" si="4"/>
        <v>094OMS</v>
      </c>
      <c r="F36" t="str">
        <f>""</f>
        <v/>
      </c>
      <c r="G36" t="str">
        <f>""</f>
        <v/>
      </c>
      <c r="H36" s="1">
        <v>39941</v>
      </c>
      <c r="I36" t="str">
        <f>"PCD00366"</f>
        <v>PCD00366</v>
      </c>
      <c r="J36" t="str">
        <f>"97888"</f>
        <v>97888</v>
      </c>
      <c r="K36" t="str">
        <f t="shared" si="6"/>
        <v>AS89</v>
      </c>
      <c r="L36" t="s">
        <v>1166</v>
      </c>
      <c r="M36">
        <v>142.35</v>
      </c>
    </row>
    <row r="37" spans="1:13" x14ac:dyDescent="0.25">
      <c r="A37" t="str">
        <f t="shared" si="5"/>
        <v>E111</v>
      </c>
      <c r="B37">
        <v>1</v>
      </c>
      <c r="C37" t="str">
        <f t="shared" si="2"/>
        <v>14185</v>
      </c>
      <c r="D37" t="str">
        <f t="shared" si="3"/>
        <v>5620</v>
      </c>
      <c r="E37" t="str">
        <f t="shared" si="4"/>
        <v>094OMS</v>
      </c>
      <c r="F37" t="str">
        <f>""</f>
        <v/>
      </c>
      <c r="G37" t="str">
        <f>""</f>
        <v/>
      </c>
      <c r="H37" s="1">
        <v>39941</v>
      </c>
      <c r="I37" t="str">
        <f>"PCD00366"</f>
        <v>PCD00366</v>
      </c>
      <c r="J37" t="str">
        <f>"98114"</f>
        <v>98114</v>
      </c>
      <c r="K37" t="str">
        <f t="shared" si="6"/>
        <v>AS89</v>
      </c>
      <c r="L37" t="s">
        <v>1165</v>
      </c>
      <c r="M37">
        <v>587.26</v>
      </c>
    </row>
    <row r="38" spans="1:13" x14ac:dyDescent="0.25">
      <c r="A38" t="str">
        <f t="shared" si="5"/>
        <v>E111</v>
      </c>
      <c r="B38">
        <v>1</v>
      </c>
      <c r="C38" t="str">
        <f>"31040"</f>
        <v>31040</v>
      </c>
      <c r="D38" t="str">
        <f t="shared" si="3"/>
        <v>5620</v>
      </c>
      <c r="E38" t="str">
        <f t="shared" si="4"/>
        <v>094OMS</v>
      </c>
      <c r="F38" t="str">
        <f>""</f>
        <v/>
      </c>
      <c r="G38" t="str">
        <f>""</f>
        <v/>
      </c>
      <c r="H38" s="1">
        <v>39913</v>
      </c>
      <c r="I38" t="str">
        <f>"PCD00363"</f>
        <v>PCD00363</v>
      </c>
      <c r="J38" t="str">
        <f>"95966"</f>
        <v>95966</v>
      </c>
      <c r="K38" t="str">
        <f t="shared" si="6"/>
        <v>AS89</v>
      </c>
      <c r="L38" t="s">
        <v>1164</v>
      </c>
      <c r="M38">
        <v>100.79</v>
      </c>
    </row>
    <row r="39" spans="1:13" x14ac:dyDescent="0.25">
      <c r="A39" t="str">
        <f t="shared" si="5"/>
        <v>E111</v>
      </c>
      <c r="B39">
        <v>1</v>
      </c>
      <c r="C39" t="str">
        <f t="shared" ref="C39:C70" si="7">"32040"</f>
        <v>32040</v>
      </c>
      <c r="D39" t="str">
        <f t="shared" ref="D39:D70" si="8">"5610"</f>
        <v>5610</v>
      </c>
      <c r="E39" t="str">
        <f t="shared" ref="E39:E70" si="9">"850LOS"</f>
        <v>850LOS</v>
      </c>
      <c r="F39" t="str">
        <f>""</f>
        <v/>
      </c>
      <c r="G39" t="str">
        <f>""</f>
        <v/>
      </c>
      <c r="H39" s="1">
        <v>39646</v>
      </c>
      <c r="I39" t="str">
        <f>"66391501"</f>
        <v>66391501</v>
      </c>
      <c r="J39" t="str">
        <f>"BP52205M"</f>
        <v>BP52205M</v>
      </c>
      <c r="K39" t="str">
        <f>"INNI"</f>
        <v>INNI</v>
      </c>
      <c r="L39" t="s">
        <v>36</v>
      </c>
      <c r="M39">
        <v>713.88</v>
      </c>
    </row>
    <row r="40" spans="1:13" x14ac:dyDescent="0.25">
      <c r="A40" t="str">
        <f t="shared" si="5"/>
        <v>E111</v>
      </c>
      <c r="B40">
        <v>1</v>
      </c>
      <c r="C40" t="str">
        <f t="shared" si="7"/>
        <v>32040</v>
      </c>
      <c r="D40" t="str">
        <f t="shared" si="8"/>
        <v>5610</v>
      </c>
      <c r="E40" t="str">
        <f t="shared" si="9"/>
        <v>850LOS</v>
      </c>
      <c r="F40" t="str">
        <f>""</f>
        <v/>
      </c>
      <c r="G40" t="str">
        <f>""</f>
        <v/>
      </c>
      <c r="H40" s="1">
        <v>39647</v>
      </c>
      <c r="I40" t="str">
        <f>"PCD00326"</f>
        <v>PCD00326</v>
      </c>
      <c r="J40" t="str">
        <f>"82314"</f>
        <v>82314</v>
      </c>
      <c r="K40" t="str">
        <f>"AS89"</f>
        <v>AS89</v>
      </c>
      <c r="L40" t="s">
        <v>1163</v>
      </c>
      <c r="M40">
        <v>596.20000000000005</v>
      </c>
    </row>
    <row r="41" spans="1:13" x14ac:dyDescent="0.25">
      <c r="A41" t="str">
        <f t="shared" si="5"/>
        <v>E111</v>
      </c>
      <c r="B41">
        <v>1</v>
      </c>
      <c r="C41" t="str">
        <f t="shared" si="7"/>
        <v>32040</v>
      </c>
      <c r="D41" t="str">
        <f t="shared" si="8"/>
        <v>5610</v>
      </c>
      <c r="E41" t="str">
        <f t="shared" si="9"/>
        <v>850LOS</v>
      </c>
      <c r="F41" t="str">
        <f>""</f>
        <v/>
      </c>
      <c r="G41" t="str">
        <f>""</f>
        <v/>
      </c>
      <c r="H41" s="1">
        <v>39665</v>
      </c>
      <c r="I41" t="str">
        <f>"66605801"</f>
        <v>66605801</v>
      </c>
      <c r="J41" t="str">
        <f t="shared" ref="J41:J52" si="10">"BP52205M"</f>
        <v>BP52205M</v>
      </c>
      <c r="K41" t="str">
        <f t="shared" ref="K41:K52" si="11">"INNI"</f>
        <v>INNI</v>
      </c>
      <c r="L41" t="s">
        <v>36</v>
      </c>
      <c r="M41">
        <v>135.22999999999999</v>
      </c>
    </row>
    <row r="42" spans="1:13" x14ac:dyDescent="0.25">
      <c r="A42" t="str">
        <f t="shared" si="5"/>
        <v>E111</v>
      </c>
      <c r="B42">
        <v>1</v>
      </c>
      <c r="C42" t="str">
        <f t="shared" si="7"/>
        <v>32040</v>
      </c>
      <c r="D42" t="str">
        <f t="shared" si="8"/>
        <v>5610</v>
      </c>
      <c r="E42" t="str">
        <f t="shared" si="9"/>
        <v>850LOS</v>
      </c>
      <c r="F42" t="str">
        <f>""</f>
        <v/>
      </c>
      <c r="G42" t="str">
        <f>""</f>
        <v/>
      </c>
      <c r="H42" s="1">
        <v>39665</v>
      </c>
      <c r="I42" t="str">
        <f>"66635401"</f>
        <v>66635401</v>
      </c>
      <c r="J42" t="str">
        <f t="shared" si="10"/>
        <v>BP52205M</v>
      </c>
      <c r="K42" t="str">
        <f t="shared" si="11"/>
        <v>INNI</v>
      </c>
      <c r="L42" t="s">
        <v>36</v>
      </c>
      <c r="M42">
        <v>507.62</v>
      </c>
    </row>
    <row r="43" spans="1:13" x14ac:dyDescent="0.25">
      <c r="A43" t="str">
        <f t="shared" si="5"/>
        <v>E111</v>
      </c>
      <c r="B43">
        <v>1</v>
      </c>
      <c r="C43" t="str">
        <f t="shared" si="7"/>
        <v>32040</v>
      </c>
      <c r="D43" t="str">
        <f t="shared" si="8"/>
        <v>5610</v>
      </c>
      <c r="E43" t="str">
        <f t="shared" si="9"/>
        <v>850LOS</v>
      </c>
      <c r="F43" t="str">
        <f>""</f>
        <v/>
      </c>
      <c r="G43" t="str">
        <f>""</f>
        <v/>
      </c>
      <c r="H43" s="1">
        <v>39666</v>
      </c>
      <c r="I43" t="str">
        <f>"66163001"</f>
        <v>66163001</v>
      </c>
      <c r="J43" t="str">
        <f t="shared" si="10"/>
        <v>BP52205M</v>
      </c>
      <c r="K43" t="str">
        <f t="shared" si="11"/>
        <v>INNI</v>
      </c>
      <c r="L43" t="s">
        <v>36</v>
      </c>
      <c r="M43" s="2">
        <v>1649.06</v>
      </c>
    </row>
    <row r="44" spans="1:13" x14ac:dyDescent="0.25">
      <c r="A44" t="str">
        <f t="shared" si="5"/>
        <v>E111</v>
      </c>
      <c r="B44">
        <v>1</v>
      </c>
      <c r="C44" t="str">
        <f t="shared" si="7"/>
        <v>32040</v>
      </c>
      <c r="D44" t="str">
        <f t="shared" si="8"/>
        <v>5610</v>
      </c>
      <c r="E44" t="str">
        <f t="shared" si="9"/>
        <v>850LOS</v>
      </c>
      <c r="F44" t="str">
        <f>""</f>
        <v/>
      </c>
      <c r="G44" t="str">
        <f>""</f>
        <v/>
      </c>
      <c r="H44" s="1">
        <v>39672</v>
      </c>
      <c r="I44" t="str">
        <f>"66655601"</f>
        <v>66655601</v>
      </c>
      <c r="J44" t="str">
        <f t="shared" si="10"/>
        <v>BP52205M</v>
      </c>
      <c r="K44" t="str">
        <f t="shared" si="11"/>
        <v>INNI</v>
      </c>
      <c r="L44" t="s">
        <v>36</v>
      </c>
      <c r="M44">
        <v>739.82</v>
      </c>
    </row>
    <row r="45" spans="1:13" x14ac:dyDescent="0.25">
      <c r="A45" t="str">
        <f t="shared" si="5"/>
        <v>E111</v>
      </c>
      <c r="B45">
        <v>1</v>
      </c>
      <c r="C45" t="str">
        <f t="shared" si="7"/>
        <v>32040</v>
      </c>
      <c r="D45" t="str">
        <f t="shared" si="8"/>
        <v>5610</v>
      </c>
      <c r="E45" t="str">
        <f t="shared" si="9"/>
        <v>850LOS</v>
      </c>
      <c r="F45" t="str">
        <f>""</f>
        <v/>
      </c>
      <c r="G45" t="str">
        <f>""</f>
        <v/>
      </c>
      <c r="H45" s="1">
        <v>39687</v>
      </c>
      <c r="I45" t="str">
        <f>"66572501"</f>
        <v>66572501</v>
      </c>
      <c r="J45" t="str">
        <f t="shared" si="10"/>
        <v>BP52205M</v>
      </c>
      <c r="K45" t="str">
        <f t="shared" si="11"/>
        <v>INNI</v>
      </c>
      <c r="L45" t="s">
        <v>36</v>
      </c>
      <c r="M45">
        <v>858.89</v>
      </c>
    </row>
    <row r="46" spans="1:13" x14ac:dyDescent="0.25">
      <c r="A46" t="str">
        <f t="shared" si="5"/>
        <v>E111</v>
      </c>
      <c r="B46">
        <v>1</v>
      </c>
      <c r="C46" t="str">
        <f t="shared" si="7"/>
        <v>32040</v>
      </c>
      <c r="D46" t="str">
        <f t="shared" si="8"/>
        <v>5610</v>
      </c>
      <c r="E46" t="str">
        <f t="shared" si="9"/>
        <v>850LOS</v>
      </c>
      <c r="F46" t="str">
        <f>""</f>
        <v/>
      </c>
      <c r="G46" t="str">
        <f>""</f>
        <v/>
      </c>
      <c r="H46" s="1">
        <v>39687</v>
      </c>
      <c r="I46" t="str">
        <f>"66637501"</f>
        <v>66637501</v>
      </c>
      <c r="J46" t="str">
        <f t="shared" si="10"/>
        <v>BP52205M</v>
      </c>
      <c r="K46" t="str">
        <f t="shared" si="11"/>
        <v>INNI</v>
      </c>
      <c r="L46" t="s">
        <v>36</v>
      </c>
      <c r="M46">
        <v>721.58</v>
      </c>
    </row>
    <row r="47" spans="1:13" x14ac:dyDescent="0.25">
      <c r="A47" t="str">
        <f t="shared" si="5"/>
        <v>E111</v>
      </c>
      <c r="B47">
        <v>1</v>
      </c>
      <c r="C47" t="str">
        <f t="shared" si="7"/>
        <v>32040</v>
      </c>
      <c r="D47" t="str">
        <f t="shared" si="8"/>
        <v>5610</v>
      </c>
      <c r="E47" t="str">
        <f t="shared" si="9"/>
        <v>850LOS</v>
      </c>
      <c r="F47" t="str">
        <f>""</f>
        <v/>
      </c>
      <c r="G47" t="str">
        <f>""</f>
        <v/>
      </c>
      <c r="H47" s="1">
        <v>39700</v>
      </c>
      <c r="I47" t="str">
        <f>"65728101"</f>
        <v>65728101</v>
      </c>
      <c r="J47" t="str">
        <f t="shared" si="10"/>
        <v>BP52205M</v>
      </c>
      <c r="K47" t="str">
        <f t="shared" si="11"/>
        <v>INNI</v>
      </c>
      <c r="L47" t="s">
        <v>36</v>
      </c>
      <c r="M47">
        <v>622.61</v>
      </c>
    </row>
    <row r="48" spans="1:13" x14ac:dyDescent="0.25">
      <c r="A48" t="str">
        <f t="shared" si="5"/>
        <v>E111</v>
      </c>
      <c r="B48">
        <v>1</v>
      </c>
      <c r="C48" t="str">
        <f t="shared" si="7"/>
        <v>32040</v>
      </c>
      <c r="D48" t="str">
        <f t="shared" si="8"/>
        <v>5610</v>
      </c>
      <c r="E48" t="str">
        <f t="shared" si="9"/>
        <v>850LOS</v>
      </c>
      <c r="F48" t="str">
        <f>""</f>
        <v/>
      </c>
      <c r="G48" t="str">
        <f>""</f>
        <v/>
      </c>
      <c r="H48" s="1">
        <v>39701</v>
      </c>
      <c r="I48" t="str">
        <f>"66655901"</f>
        <v>66655901</v>
      </c>
      <c r="J48" t="str">
        <f t="shared" si="10"/>
        <v>BP52205M</v>
      </c>
      <c r="K48" t="str">
        <f t="shared" si="11"/>
        <v>INNI</v>
      </c>
      <c r="L48" t="s">
        <v>36</v>
      </c>
      <c r="M48" s="2">
        <v>1054.33</v>
      </c>
    </row>
    <row r="49" spans="1:13" x14ac:dyDescent="0.25">
      <c r="A49" t="str">
        <f t="shared" si="5"/>
        <v>E111</v>
      </c>
      <c r="B49">
        <v>1</v>
      </c>
      <c r="C49" t="str">
        <f t="shared" si="7"/>
        <v>32040</v>
      </c>
      <c r="D49" t="str">
        <f t="shared" si="8"/>
        <v>5610</v>
      </c>
      <c r="E49" t="str">
        <f t="shared" si="9"/>
        <v>850LOS</v>
      </c>
      <c r="F49" t="str">
        <f>""</f>
        <v/>
      </c>
      <c r="G49" t="str">
        <f>""</f>
        <v/>
      </c>
      <c r="H49" s="1">
        <v>39717</v>
      </c>
      <c r="I49" t="str">
        <f>"67204102"</f>
        <v>67204102</v>
      </c>
      <c r="J49" t="str">
        <f t="shared" si="10"/>
        <v>BP52205M</v>
      </c>
      <c r="K49" t="str">
        <f t="shared" si="11"/>
        <v>INNI</v>
      </c>
      <c r="L49" t="s">
        <v>36</v>
      </c>
      <c r="M49">
        <v>158.93</v>
      </c>
    </row>
    <row r="50" spans="1:13" x14ac:dyDescent="0.25">
      <c r="A50" t="str">
        <f t="shared" ref="A50:A81" si="12">"E111"</f>
        <v>E111</v>
      </c>
      <c r="B50">
        <v>1</v>
      </c>
      <c r="C50" t="str">
        <f t="shared" si="7"/>
        <v>32040</v>
      </c>
      <c r="D50" t="str">
        <f t="shared" si="8"/>
        <v>5610</v>
      </c>
      <c r="E50" t="str">
        <f t="shared" si="9"/>
        <v>850LOS</v>
      </c>
      <c r="F50" t="str">
        <f>""</f>
        <v/>
      </c>
      <c r="G50" t="str">
        <f>""</f>
        <v/>
      </c>
      <c r="H50" s="1">
        <v>39717</v>
      </c>
      <c r="I50" t="str">
        <f>"67204103"</f>
        <v>67204103</v>
      </c>
      <c r="J50" t="str">
        <f t="shared" si="10"/>
        <v>BP52205M</v>
      </c>
      <c r="K50" t="str">
        <f t="shared" si="11"/>
        <v>INNI</v>
      </c>
      <c r="L50" t="s">
        <v>36</v>
      </c>
      <c r="M50">
        <v>175.41</v>
      </c>
    </row>
    <row r="51" spans="1:13" x14ac:dyDescent="0.25">
      <c r="A51" t="str">
        <f t="shared" si="12"/>
        <v>E111</v>
      </c>
      <c r="B51">
        <v>1</v>
      </c>
      <c r="C51" t="str">
        <f t="shared" si="7"/>
        <v>32040</v>
      </c>
      <c r="D51" t="str">
        <f t="shared" si="8"/>
        <v>5610</v>
      </c>
      <c r="E51" t="str">
        <f t="shared" si="9"/>
        <v>850LOS</v>
      </c>
      <c r="F51" t="str">
        <f>""</f>
        <v/>
      </c>
      <c r="G51" t="str">
        <f>""</f>
        <v/>
      </c>
      <c r="H51" s="1">
        <v>39717</v>
      </c>
      <c r="I51" t="str">
        <f>"67204104"</f>
        <v>67204104</v>
      </c>
      <c r="J51" t="str">
        <f t="shared" si="10"/>
        <v>BP52205M</v>
      </c>
      <c r="K51" t="str">
        <f t="shared" si="11"/>
        <v>INNI</v>
      </c>
      <c r="L51" t="s">
        <v>36</v>
      </c>
      <c r="M51">
        <v>176.72</v>
      </c>
    </row>
    <row r="52" spans="1:13" x14ac:dyDescent="0.25">
      <c r="A52" t="str">
        <f t="shared" si="12"/>
        <v>E111</v>
      </c>
      <c r="B52">
        <v>1</v>
      </c>
      <c r="C52" t="str">
        <f t="shared" si="7"/>
        <v>32040</v>
      </c>
      <c r="D52" t="str">
        <f t="shared" si="8"/>
        <v>5610</v>
      </c>
      <c r="E52" t="str">
        <f t="shared" si="9"/>
        <v>850LOS</v>
      </c>
      <c r="F52" t="str">
        <f>""</f>
        <v/>
      </c>
      <c r="G52" t="str">
        <f>""</f>
        <v/>
      </c>
      <c r="H52" s="1">
        <v>39730</v>
      </c>
      <c r="I52" t="str">
        <f>"67017401"</f>
        <v>67017401</v>
      </c>
      <c r="J52" t="str">
        <f t="shared" si="10"/>
        <v>BP52205M</v>
      </c>
      <c r="K52" t="str">
        <f t="shared" si="11"/>
        <v>INNI</v>
      </c>
      <c r="L52" t="s">
        <v>36</v>
      </c>
      <c r="M52">
        <v>864.73</v>
      </c>
    </row>
    <row r="53" spans="1:13" x14ac:dyDescent="0.25">
      <c r="A53" t="str">
        <f t="shared" si="12"/>
        <v>E111</v>
      </c>
      <c r="B53">
        <v>1</v>
      </c>
      <c r="C53" t="str">
        <f t="shared" si="7"/>
        <v>32040</v>
      </c>
      <c r="D53" t="str">
        <f t="shared" si="8"/>
        <v>5610</v>
      </c>
      <c r="E53" t="str">
        <f t="shared" si="9"/>
        <v>850LOS</v>
      </c>
      <c r="F53" t="str">
        <f>""</f>
        <v/>
      </c>
      <c r="G53" t="str">
        <f>""</f>
        <v/>
      </c>
      <c r="H53" s="1">
        <v>39731</v>
      </c>
      <c r="I53" t="str">
        <f>"PCD00337"</f>
        <v>PCD00337</v>
      </c>
      <c r="J53" t="str">
        <f>"86169"</f>
        <v>86169</v>
      </c>
      <c r="K53" t="str">
        <f>"AS89"</f>
        <v>AS89</v>
      </c>
      <c r="L53" t="s">
        <v>1162</v>
      </c>
      <c r="M53">
        <v>346.44</v>
      </c>
    </row>
    <row r="54" spans="1:13" x14ac:dyDescent="0.25">
      <c r="A54" t="str">
        <f t="shared" si="12"/>
        <v>E111</v>
      </c>
      <c r="B54">
        <v>1</v>
      </c>
      <c r="C54" t="str">
        <f t="shared" si="7"/>
        <v>32040</v>
      </c>
      <c r="D54" t="str">
        <f t="shared" si="8"/>
        <v>5610</v>
      </c>
      <c r="E54" t="str">
        <f t="shared" si="9"/>
        <v>850LOS</v>
      </c>
      <c r="F54" t="str">
        <f>""</f>
        <v/>
      </c>
      <c r="G54" t="str">
        <f>""</f>
        <v/>
      </c>
      <c r="H54" s="1">
        <v>39731</v>
      </c>
      <c r="I54" t="str">
        <f>"PCD00337"</f>
        <v>PCD00337</v>
      </c>
      <c r="J54" t="str">
        <f>"86756"</f>
        <v>86756</v>
      </c>
      <c r="K54" t="str">
        <f>"AS89"</f>
        <v>AS89</v>
      </c>
      <c r="L54" t="s">
        <v>1161</v>
      </c>
      <c r="M54">
        <v>434.47</v>
      </c>
    </row>
    <row r="55" spans="1:13" x14ac:dyDescent="0.25">
      <c r="A55" t="str">
        <f t="shared" si="12"/>
        <v>E111</v>
      </c>
      <c r="B55">
        <v>1</v>
      </c>
      <c r="C55" t="str">
        <f t="shared" si="7"/>
        <v>32040</v>
      </c>
      <c r="D55" t="str">
        <f t="shared" si="8"/>
        <v>5610</v>
      </c>
      <c r="E55" t="str">
        <f t="shared" si="9"/>
        <v>850LOS</v>
      </c>
      <c r="F55" t="str">
        <f>""</f>
        <v/>
      </c>
      <c r="G55" t="str">
        <f>""</f>
        <v/>
      </c>
      <c r="H55" s="1">
        <v>39738</v>
      </c>
      <c r="I55" t="str">
        <f>"67268301"</f>
        <v>67268301</v>
      </c>
      <c r="J55" t="str">
        <f t="shared" ref="J55:J64" si="13">"BP52205M"</f>
        <v>BP52205M</v>
      </c>
      <c r="K55" t="str">
        <f t="shared" ref="K55:K64" si="14">"INNI"</f>
        <v>INNI</v>
      </c>
      <c r="L55" t="s">
        <v>36</v>
      </c>
      <c r="M55" s="2">
        <v>1944.05</v>
      </c>
    </row>
    <row r="56" spans="1:13" x14ac:dyDescent="0.25">
      <c r="A56" t="str">
        <f t="shared" si="12"/>
        <v>E111</v>
      </c>
      <c r="B56">
        <v>1</v>
      </c>
      <c r="C56" t="str">
        <f t="shared" si="7"/>
        <v>32040</v>
      </c>
      <c r="D56" t="str">
        <f t="shared" si="8"/>
        <v>5610</v>
      </c>
      <c r="E56" t="str">
        <f t="shared" si="9"/>
        <v>850LOS</v>
      </c>
      <c r="F56" t="str">
        <f>""</f>
        <v/>
      </c>
      <c r="G56" t="str">
        <f>""</f>
        <v/>
      </c>
      <c r="H56" s="1">
        <v>39738</v>
      </c>
      <c r="I56" t="str">
        <f>"67377101"</f>
        <v>67377101</v>
      </c>
      <c r="J56" t="str">
        <f t="shared" si="13"/>
        <v>BP52205M</v>
      </c>
      <c r="K56" t="str">
        <f t="shared" si="14"/>
        <v>INNI</v>
      </c>
      <c r="L56" t="s">
        <v>36</v>
      </c>
      <c r="M56">
        <v>236.24</v>
      </c>
    </row>
    <row r="57" spans="1:13" x14ac:dyDescent="0.25">
      <c r="A57" t="str">
        <f t="shared" si="12"/>
        <v>E111</v>
      </c>
      <c r="B57">
        <v>1</v>
      </c>
      <c r="C57" t="str">
        <f t="shared" si="7"/>
        <v>32040</v>
      </c>
      <c r="D57" t="str">
        <f t="shared" si="8"/>
        <v>5610</v>
      </c>
      <c r="E57" t="str">
        <f t="shared" si="9"/>
        <v>850LOS</v>
      </c>
      <c r="F57" t="str">
        <f>""</f>
        <v/>
      </c>
      <c r="G57" t="str">
        <f>""</f>
        <v/>
      </c>
      <c r="H57" s="1">
        <v>39738</v>
      </c>
      <c r="I57" t="str">
        <f>"67377102"</f>
        <v>67377102</v>
      </c>
      <c r="J57" t="str">
        <f t="shared" si="13"/>
        <v>BP52205M</v>
      </c>
      <c r="K57" t="str">
        <f t="shared" si="14"/>
        <v>INNI</v>
      </c>
      <c r="L57" t="s">
        <v>36</v>
      </c>
      <c r="M57">
        <v>173.8</v>
      </c>
    </row>
    <row r="58" spans="1:13" x14ac:dyDescent="0.25">
      <c r="A58" t="str">
        <f t="shared" si="12"/>
        <v>E111</v>
      </c>
      <c r="B58">
        <v>1</v>
      </c>
      <c r="C58" t="str">
        <f t="shared" si="7"/>
        <v>32040</v>
      </c>
      <c r="D58" t="str">
        <f t="shared" si="8"/>
        <v>5610</v>
      </c>
      <c r="E58" t="str">
        <f t="shared" si="9"/>
        <v>850LOS</v>
      </c>
      <c r="F58" t="str">
        <f>""</f>
        <v/>
      </c>
      <c r="G58" t="str">
        <f>""</f>
        <v/>
      </c>
      <c r="H58" s="1">
        <v>39743</v>
      </c>
      <c r="I58" t="str">
        <f>"67474801"</f>
        <v>67474801</v>
      </c>
      <c r="J58" t="str">
        <f t="shared" si="13"/>
        <v>BP52205M</v>
      </c>
      <c r="K58" t="str">
        <f t="shared" si="14"/>
        <v>INNI</v>
      </c>
      <c r="L58" t="s">
        <v>36</v>
      </c>
      <c r="M58">
        <v>260.25</v>
      </c>
    </row>
    <row r="59" spans="1:13" x14ac:dyDescent="0.25">
      <c r="A59" t="str">
        <f t="shared" si="12"/>
        <v>E111</v>
      </c>
      <c r="B59">
        <v>1</v>
      </c>
      <c r="C59" t="str">
        <f t="shared" si="7"/>
        <v>32040</v>
      </c>
      <c r="D59" t="str">
        <f t="shared" si="8"/>
        <v>5610</v>
      </c>
      <c r="E59" t="str">
        <f t="shared" si="9"/>
        <v>850LOS</v>
      </c>
      <c r="F59" t="str">
        <f>""</f>
        <v/>
      </c>
      <c r="G59" t="str">
        <f>""</f>
        <v/>
      </c>
      <c r="H59" s="1">
        <v>39752</v>
      </c>
      <c r="I59" t="str">
        <f>"67216801"</f>
        <v>67216801</v>
      </c>
      <c r="J59" t="str">
        <f t="shared" si="13"/>
        <v>BP52205M</v>
      </c>
      <c r="K59" t="str">
        <f t="shared" si="14"/>
        <v>INNI</v>
      </c>
      <c r="L59" t="s">
        <v>36</v>
      </c>
      <c r="M59" s="2">
        <v>5643.04</v>
      </c>
    </row>
    <row r="60" spans="1:13" x14ac:dyDescent="0.25">
      <c r="A60" t="str">
        <f t="shared" si="12"/>
        <v>E111</v>
      </c>
      <c r="B60">
        <v>1</v>
      </c>
      <c r="C60" t="str">
        <f t="shared" si="7"/>
        <v>32040</v>
      </c>
      <c r="D60" t="str">
        <f t="shared" si="8"/>
        <v>5610</v>
      </c>
      <c r="E60" t="str">
        <f t="shared" si="9"/>
        <v>850LOS</v>
      </c>
      <c r="F60" t="str">
        <f>""</f>
        <v/>
      </c>
      <c r="G60" t="str">
        <f>""</f>
        <v/>
      </c>
      <c r="H60" s="1">
        <v>39759</v>
      </c>
      <c r="I60" t="str">
        <f>"66766030"</f>
        <v>66766030</v>
      </c>
      <c r="J60" t="str">
        <f t="shared" si="13"/>
        <v>BP52205M</v>
      </c>
      <c r="K60" t="str">
        <f t="shared" si="14"/>
        <v>INNI</v>
      </c>
      <c r="L60" t="s">
        <v>36</v>
      </c>
      <c r="M60">
        <v>156.80000000000001</v>
      </c>
    </row>
    <row r="61" spans="1:13" x14ac:dyDescent="0.25">
      <c r="A61" t="str">
        <f t="shared" si="12"/>
        <v>E111</v>
      </c>
      <c r="B61">
        <v>1</v>
      </c>
      <c r="C61" t="str">
        <f t="shared" si="7"/>
        <v>32040</v>
      </c>
      <c r="D61" t="str">
        <f t="shared" si="8"/>
        <v>5610</v>
      </c>
      <c r="E61" t="str">
        <f t="shared" si="9"/>
        <v>850LOS</v>
      </c>
      <c r="F61" t="str">
        <f>""</f>
        <v/>
      </c>
      <c r="G61" t="str">
        <f>""</f>
        <v/>
      </c>
      <c r="H61" s="1">
        <v>39765</v>
      </c>
      <c r="I61" t="str">
        <f>"67660301"</f>
        <v>67660301</v>
      </c>
      <c r="J61" t="str">
        <f t="shared" si="13"/>
        <v>BP52205M</v>
      </c>
      <c r="K61" t="str">
        <f t="shared" si="14"/>
        <v>INNI</v>
      </c>
      <c r="L61" t="s">
        <v>36</v>
      </c>
      <c r="M61">
        <v>156.80000000000001</v>
      </c>
    </row>
    <row r="62" spans="1:13" x14ac:dyDescent="0.25">
      <c r="A62" t="str">
        <f t="shared" si="12"/>
        <v>E111</v>
      </c>
      <c r="B62">
        <v>1</v>
      </c>
      <c r="C62" t="str">
        <f t="shared" si="7"/>
        <v>32040</v>
      </c>
      <c r="D62" t="str">
        <f t="shared" si="8"/>
        <v>5610</v>
      </c>
      <c r="E62" t="str">
        <f t="shared" si="9"/>
        <v>850LOS</v>
      </c>
      <c r="F62" t="str">
        <f>""</f>
        <v/>
      </c>
      <c r="G62" t="str">
        <f>""</f>
        <v/>
      </c>
      <c r="H62" s="1">
        <v>39766</v>
      </c>
      <c r="I62" t="str">
        <f>"67377103"</f>
        <v>67377103</v>
      </c>
      <c r="J62" t="str">
        <f t="shared" si="13"/>
        <v>BP52205M</v>
      </c>
      <c r="K62" t="str">
        <f t="shared" si="14"/>
        <v>INNI</v>
      </c>
      <c r="L62" t="s">
        <v>36</v>
      </c>
      <c r="M62">
        <v>112.82</v>
      </c>
    </row>
    <row r="63" spans="1:13" x14ac:dyDescent="0.25">
      <c r="A63" t="str">
        <f t="shared" si="12"/>
        <v>E111</v>
      </c>
      <c r="B63">
        <v>1</v>
      </c>
      <c r="C63" t="str">
        <f t="shared" si="7"/>
        <v>32040</v>
      </c>
      <c r="D63" t="str">
        <f t="shared" si="8"/>
        <v>5610</v>
      </c>
      <c r="E63" t="str">
        <f t="shared" si="9"/>
        <v>850LOS</v>
      </c>
      <c r="F63" t="str">
        <f>""</f>
        <v/>
      </c>
      <c r="G63" t="str">
        <f>""</f>
        <v/>
      </c>
      <c r="H63" s="1">
        <v>39766</v>
      </c>
      <c r="I63" t="str">
        <f>"67573402"</f>
        <v>67573402</v>
      </c>
      <c r="J63" t="str">
        <f t="shared" si="13"/>
        <v>BP52205M</v>
      </c>
      <c r="K63" t="str">
        <f t="shared" si="14"/>
        <v>INNI</v>
      </c>
      <c r="L63" t="s">
        <v>36</v>
      </c>
      <c r="M63">
        <v>134.43</v>
      </c>
    </row>
    <row r="64" spans="1:13" x14ac:dyDescent="0.25">
      <c r="A64" t="str">
        <f t="shared" si="12"/>
        <v>E111</v>
      </c>
      <c r="B64">
        <v>1</v>
      </c>
      <c r="C64" t="str">
        <f t="shared" si="7"/>
        <v>32040</v>
      </c>
      <c r="D64" t="str">
        <f t="shared" si="8"/>
        <v>5610</v>
      </c>
      <c r="E64" t="str">
        <f t="shared" si="9"/>
        <v>850LOS</v>
      </c>
      <c r="F64" t="str">
        <f>""</f>
        <v/>
      </c>
      <c r="G64" t="str">
        <f>""</f>
        <v/>
      </c>
      <c r="H64" s="1">
        <v>39766</v>
      </c>
      <c r="I64" t="str">
        <f>"67715401"</f>
        <v>67715401</v>
      </c>
      <c r="J64" t="str">
        <f t="shared" si="13"/>
        <v>BP52205M</v>
      </c>
      <c r="K64" t="str">
        <f t="shared" si="14"/>
        <v>INNI</v>
      </c>
      <c r="L64" t="s">
        <v>36</v>
      </c>
      <c r="M64">
        <v>527.25</v>
      </c>
    </row>
    <row r="65" spans="1:13" x14ac:dyDescent="0.25">
      <c r="A65" t="str">
        <f t="shared" si="12"/>
        <v>E111</v>
      </c>
      <c r="B65">
        <v>1</v>
      </c>
      <c r="C65" t="str">
        <f t="shared" si="7"/>
        <v>32040</v>
      </c>
      <c r="D65" t="str">
        <f t="shared" si="8"/>
        <v>5610</v>
      </c>
      <c r="E65" t="str">
        <f t="shared" si="9"/>
        <v>850LOS</v>
      </c>
      <c r="F65" t="str">
        <f>""</f>
        <v/>
      </c>
      <c r="G65" t="str">
        <f>""</f>
        <v/>
      </c>
      <c r="H65" s="1">
        <v>39766</v>
      </c>
      <c r="I65" t="str">
        <f>"PCD00342"</f>
        <v>PCD00342</v>
      </c>
      <c r="J65" t="str">
        <f>"87484"</f>
        <v>87484</v>
      </c>
      <c r="K65" t="str">
        <f>"AS89"</f>
        <v>AS89</v>
      </c>
      <c r="L65" t="s">
        <v>1160</v>
      </c>
      <c r="M65">
        <v>422.76</v>
      </c>
    </row>
    <row r="66" spans="1:13" x14ac:dyDescent="0.25">
      <c r="A66" t="str">
        <f t="shared" si="12"/>
        <v>E111</v>
      </c>
      <c r="B66">
        <v>1</v>
      </c>
      <c r="C66" t="str">
        <f t="shared" si="7"/>
        <v>32040</v>
      </c>
      <c r="D66" t="str">
        <f t="shared" si="8"/>
        <v>5610</v>
      </c>
      <c r="E66" t="str">
        <f t="shared" si="9"/>
        <v>850LOS</v>
      </c>
      <c r="F66" t="str">
        <f>""</f>
        <v/>
      </c>
      <c r="G66" t="str">
        <f>""</f>
        <v/>
      </c>
      <c r="H66" s="1">
        <v>39778</v>
      </c>
      <c r="I66" t="str">
        <f>"67862501"</f>
        <v>67862501</v>
      </c>
      <c r="J66" t="str">
        <f t="shared" ref="J66:J72" si="15">"BP52205M"</f>
        <v>BP52205M</v>
      </c>
      <c r="K66" t="str">
        <f t="shared" ref="K66:K72" si="16">"INNI"</f>
        <v>INNI</v>
      </c>
      <c r="L66" t="s">
        <v>36</v>
      </c>
      <c r="M66">
        <v>388.81</v>
      </c>
    </row>
    <row r="67" spans="1:13" x14ac:dyDescent="0.25">
      <c r="A67" t="str">
        <f t="shared" si="12"/>
        <v>E111</v>
      </c>
      <c r="B67">
        <v>1</v>
      </c>
      <c r="C67" t="str">
        <f t="shared" si="7"/>
        <v>32040</v>
      </c>
      <c r="D67" t="str">
        <f t="shared" si="8"/>
        <v>5610</v>
      </c>
      <c r="E67" t="str">
        <f t="shared" si="9"/>
        <v>850LOS</v>
      </c>
      <c r="F67" t="str">
        <f>""</f>
        <v/>
      </c>
      <c r="G67" t="str">
        <f>""</f>
        <v/>
      </c>
      <c r="H67" s="1">
        <v>39778</v>
      </c>
      <c r="I67" t="str">
        <f>"67862502"</f>
        <v>67862502</v>
      </c>
      <c r="J67" t="str">
        <f t="shared" si="15"/>
        <v>BP52205M</v>
      </c>
      <c r="K67" t="str">
        <f t="shared" si="16"/>
        <v>INNI</v>
      </c>
      <c r="L67" t="s">
        <v>36</v>
      </c>
      <c r="M67">
        <v>342.6</v>
      </c>
    </row>
    <row r="68" spans="1:13" x14ac:dyDescent="0.25">
      <c r="A68" t="str">
        <f t="shared" si="12"/>
        <v>E111</v>
      </c>
      <c r="B68">
        <v>1</v>
      </c>
      <c r="C68" t="str">
        <f t="shared" si="7"/>
        <v>32040</v>
      </c>
      <c r="D68" t="str">
        <f t="shared" si="8"/>
        <v>5610</v>
      </c>
      <c r="E68" t="str">
        <f t="shared" si="9"/>
        <v>850LOS</v>
      </c>
      <c r="F68" t="str">
        <f>""</f>
        <v/>
      </c>
      <c r="G68" t="str">
        <f>""</f>
        <v/>
      </c>
      <c r="H68" s="1">
        <v>39791</v>
      </c>
      <c r="I68" t="str">
        <f>"67715402"</f>
        <v>67715402</v>
      </c>
      <c r="J68" t="str">
        <f t="shared" si="15"/>
        <v>BP52205M</v>
      </c>
      <c r="K68" t="str">
        <f t="shared" si="16"/>
        <v>INNI</v>
      </c>
      <c r="L68" t="s">
        <v>36</v>
      </c>
      <c r="M68">
        <v>142.57</v>
      </c>
    </row>
    <row r="69" spans="1:13" x14ac:dyDescent="0.25">
      <c r="A69" t="str">
        <f t="shared" si="12"/>
        <v>E111</v>
      </c>
      <c r="B69">
        <v>1</v>
      </c>
      <c r="C69" t="str">
        <f t="shared" si="7"/>
        <v>32040</v>
      </c>
      <c r="D69" t="str">
        <f t="shared" si="8"/>
        <v>5610</v>
      </c>
      <c r="E69" t="str">
        <f t="shared" si="9"/>
        <v>850LOS</v>
      </c>
      <c r="F69" t="str">
        <f>""</f>
        <v/>
      </c>
      <c r="G69" t="str">
        <f>""</f>
        <v/>
      </c>
      <c r="H69" s="1">
        <v>39791</v>
      </c>
      <c r="I69" t="str">
        <f>"67715403"</f>
        <v>67715403</v>
      </c>
      <c r="J69" t="str">
        <f t="shared" si="15"/>
        <v>BP52205M</v>
      </c>
      <c r="K69" t="str">
        <f t="shared" si="16"/>
        <v>INNI</v>
      </c>
      <c r="L69" t="s">
        <v>36</v>
      </c>
      <c r="M69">
        <v>224.04</v>
      </c>
    </row>
    <row r="70" spans="1:13" x14ac:dyDescent="0.25">
      <c r="A70" t="str">
        <f t="shared" si="12"/>
        <v>E111</v>
      </c>
      <c r="B70">
        <v>1</v>
      </c>
      <c r="C70" t="str">
        <f t="shared" si="7"/>
        <v>32040</v>
      </c>
      <c r="D70" t="str">
        <f t="shared" si="8"/>
        <v>5610</v>
      </c>
      <c r="E70" t="str">
        <f t="shared" si="9"/>
        <v>850LOS</v>
      </c>
      <c r="F70" t="str">
        <f>""</f>
        <v/>
      </c>
      <c r="G70" t="str">
        <f>""</f>
        <v/>
      </c>
      <c r="H70" s="1">
        <v>39791</v>
      </c>
      <c r="I70" t="str">
        <f>"67945101"</f>
        <v>67945101</v>
      </c>
      <c r="J70" t="str">
        <f t="shared" si="15"/>
        <v>BP52205M</v>
      </c>
      <c r="K70" t="str">
        <f t="shared" si="16"/>
        <v>INNI</v>
      </c>
      <c r="L70" t="s">
        <v>36</v>
      </c>
      <c r="M70">
        <v>449.36</v>
      </c>
    </row>
    <row r="71" spans="1:13" x14ac:dyDescent="0.25">
      <c r="A71" t="str">
        <f t="shared" si="12"/>
        <v>E111</v>
      </c>
      <c r="B71">
        <v>1</v>
      </c>
      <c r="C71" t="str">
        <f t="shared" ref="C71:C102" si="17">"32040"</f>
        <v>32040</v>
      </c>
      <c r="D71" t="str">
        <f t="shared" ref="D71:D102" si="18">"5610"</f>
        <v>5610</v>
      </c>
      <c r="E71" t="str">
        <f t="shared" ref="E71:E102" si="19">"850LOS"</f>
        <v>850LOS</v>
      </c>
      <c r="F71" t="str">
        <f>""</f>
        <v/>
      </c>
      <c r="G71" t="str">
        <f>""</f>
        <v/>
      </c>
      <c r="H71" s="1">
        <v>39794</v>
      </c>
      <c r="I71" t="str">
        <f>"67715404"</f>
        <v>67715404</v>
      </c>
      <c r="J71" t="str">
        <f t="shared" si="15"/>
        <v>BP52205M</v>
      </c>
      <c r="K71" t="str">
        <f t="shared" si="16"/>
        <v>INNI</v>
      </c>
      <c r="L71" t="s">
        <v>36</v>
      </c>
      <c r="M71">
        <v>790.88</v>
      </c>
    </row>
    <row r="72" spans="1:13" x14ac:dyDescent="0.25">
      <c r="A72" t="str">
        <f t="shared" si="12"/>
        <v>E111</v>
      </c>
      <c r="B72">
        <v>1</v>
      </c>
      <c r="C72" t="str">
        <f t="shared" si="17"/>
        <v>32040</v>
      </c>
      <c r="D72" t="str">
        <f t="shared" si="18"/>
        <v>5610</v>
      </c>
      <c r="E72" t="str">
        <f t="shared" si="19"/>
        <v>850LOS</v>
      </c>
      <c r="F72" t="str">
        <f>""</f>
        <v/>
      </c>
      <c r="G72" t="str">
        <f>""</f>
        <v/>
      </c>
      <c r="H72" s="1">
        <v>39794</v>
      </c>
      <c r="I72" t="str">
        <f>"67752101"</f>
        <v>67752101</v>
      </c>
      <c r="J72" t="str">
        <f t="shared" si="15"/>
        <v>BP52205M</v>
      </c>
      <c r="K72" t="str">
        <f t="shared" si="16"/>
        <v>INNI</v>
      </c>
      <c r="L72" t="s">
        <v>36</v>
      </c>
      <c r="M72">
        <v>270.17</v>
      </c>
    </row>
    <row r="73" spans="1:13" x14ac:dyDescent="0.25">
      <c r="A73" t="str">
        <f t="shared" si="12"/>
        <v>E111</v>
      </c>
      <c r="B73">
        <v>1</v>
      </c>
      <c r="C73" t="str">
        <f t="shared" si="17"/>
        <v>32040</v>
      </c>
      <c r="D73" t="str">
        <f t="shared" si="18"/>
        <v>5610</v>
      </c>
      <c r="E73" t="str">
        <f t="shared" si="19"/>
        <v>850LOS</v>
      </c>
      <c r="F73" t="str">
        <f>""</f>
        <v/>
      </c>
      <c r="G73" t="str">
        <f>""</f>
        <v/>
      </c>
      <c r="H73" s="1">
        <v>39794</v>
      </c>
      <c r="I73" t="str">
        <f>"PCD00348"</f>
        <v>PCD00348</v>
      </c>
      <c r="J73" t="str">
        <f>"89259"</f>
        <v>89259</v>
      </c>
      <c r="K73" t="str">
        <f>"AS89"</f>
        <v>AS89</v>
      </c>
      <c r="L73" t="s">
        <v>1147</v>
      </c>
      <c r="M73">
        <v>104.35</v>
      </c>
    </row>
    <row r="74" spans="1:13" x14ac:dyDescent="0.25">
      <c r="A74" t="str">
        <f t="shared" si="12"/>
        <v>E111</v>
      </c>
      <c r="B74">
        <v>1</v>
      </c>
      <c r="C74" t="str">
        <f t="shared" si="17"/>
        <v>32040</v>
      </c>
      <c r="D74" t="str">
        <f t="shared" si="18"/>
        <v>5610</v>
      </c>
      <c r="E74" t="str">
        <f t="shared" si="19"/>
        <v>850LOS</v>
      </c>
      <c r="F74" t="str">
        <f>""</f>
        <v/>
      </c>
      <c r="G74" t="str">
        <f>""</f>
        <v/>
      </c>
      <c r="H74" s="1">
        <v>39812</v>
      </c>
      <c r="I74" t="str">
        <f>"67602101"</f>
        <v>67602101</v>
      </c>
      <c r="J74" t="str">
        <f t="shared" ref="J74:J107" si="20">"BP52205M"</f>
        <v>BP52205M</v>
      </c>
      <c r="K74" t="str">
        <f t="shared" ref="K74:K107" si="21">"INNI"</f>
        <v>INNI</v>
      </c>
      <c r="L74" t="s">
        <v>36</v>
      </c>
      <c r="M74" s="2">
        <v>2854.52</v>
      </c>
    </row>
    <row r="75" spans="1:13" x14ac:dyDescent="0.25">
      <c r="A75" t="str">
        <f t="shared" si="12"/>
        <v>E111</v>
      </c>
      <c r="B75">
        <v>1</v>
      </c>
      <c r="C75" t="str">
        <f t="shared" si="17"/>
        <v>32040</v>
      </c>
      <c r="D75" t="str">
        <f t="shared" si="18"/>
        <v>5610</v>
      </c>
      <c r="E75" t="str">
        <f t="shared" si="19"/>
        <v>850LOS</v>
      </c>
      <c r="F75" t="str">
        <f>""</f>
        <v/>
      </c>
      <c r="G75" t="str">
        <f>""</f>
        <v/>
      </c>
      <c r="H75" s="1">
        <v>39819</v>
      </c>
      <c r="I75" t="str">
        <f>"67823801"</f>
        <v>67823801</v>
      </c>
      <c r="J75" t="str">
        <f t="shared" si="20"/>
        <v>BP52205M</v>
      </c>
      <c r="K75" t="str">
        <f t="shared" si="21"/>
        <v>INNI</v>
      </c>
      <c r="L75" t="s">
        <v>36</v>
      </c>
      <c r="M75">
        <v>371.8</v>
      </c>
    </row>
    <row r="76" spans="1:13" x14ac:dyDescent="0.25">
      <c r="A76" t="str">
        <f t="shared" si="12"/>
        <v>E111</v>
      </c>
      <c r="B76">
        <v>1</v>
      </c>
      <c r="C76" t="str">
        <f t="shared" si="17"/>
        <v>32040</v>
      </c>
      <c r="D76" t="str">
        <f t="shared" si="18"/>
        <v>5610</v>
      </c>
      <c r="E76" t="str">
        <f t="shared" si="19"/>
        <v>850LOS</v>
      </c>
      <c r="F76" t="str">
        <f>""</f>
        <v/>
      </c>
      <c r="G76" t="str">
        <f>""</f>
        <v/>
      </c>
      <c r="H76" s="1">
        <v>39820</v>
      </c>
      <c r="I76" t="str">
        <f>"67213401"</f>
        <v>67213401</v>
      </c>
      <c r="J76" t="str">
        <f t="shared" si="20"/>
        <v>BP52205M</v>
      </c>
      <c r="K76" t="str">
        <f t="shared" si="21"/>
        <v>INNI</v>
      </c>
      <c r="L76" t="s">
        <v>36</v>
      </c>
      <c r="M76">
        <v>440</v>
      </c>
    </row>
    <row r="77" spans="1:13" x14ac:dyDescent="0.25">
      <c r="A77" t="str">
        <f t="shared" si="12"/>
        <v>E111</v>
      </c>
      <c r="B77">
        <v>1</v>
      </c>
      <c r="C77" t="str">
        <f t="shared" si="17"/>
        <v>32040</v>
      </c>
      <c r="D77" t="str">
        <f t="shared" si="18"/>
        <v>5610</v>
      </c>
      <c r="E77" t="str">
        <f t="shared" si="19"/>
        <v>850LOS</v>
      </c>
      <c r="F77" t="str">
        <f>""</f>
        <v/>
      </c>
      <c r="G77" t="str">
        <f>""</f>
        <v/>
      </c>
      <c r="H77" s="1">
        <v>39820</v>
      </c>
      <c r="I77" t="str">
        <f>"67945102"</f>
        <v>67945102</v>
      </c>
      <c r="J77" t="str">
        <f t="shared" si="20"/>
        <v>BP52205M</v>
      </c>
      <c r="K77" t="str">
        <f t="shared" si="21"/>
        <v>INNI</v>
      </c>
      <c r="L77" t="s">
        <v>36</v>
      </c>
      <c r="M77" s="2">
        <v>1153.49</v>
      </c>
    </row>
    <row r="78" spans="1:13" x14ac:dyDescent="0.25">
      <c r="A78" t="str">
        <f t="shared" si="12"/>
        <v>E111</v>
      </c>
      <c r="B78">
        <v>1</v>
      </c>
      <c r="C78" t="str">
        <f t="shared" si="17"/>
        <v>32040</v>
      </c>
      <c r="D78" t="str">
        <f t="shared" si="18"/>
        <v>5610</v>
      </c>
      <c r="E78" t="str">
        <f t="shared" si="19"/>
        <v>850LOS</v>
      </c>
      <c r="F78" t="str">
        <f>""</f>
        <v/>
      </c>
      <c r="G78" t="str">
        <f>""</f>
        <v/>
      </c>
      <c r="H78" s="1">
        <v>39821</v>
      </c>
      <c r="I78" t="str">
        <f>"67986201"</f>
        <v>67986201</v>
      </c>
      <c r="J78" t="str">
        <f t="shared" si="20"/>
        <v>BP52205M</v>
      </c>
      <c r="K78" t="str">
        <f t="shared" si="21"/>
        <v>INNI</v>
      </c>
      <c r="L78" t="s">
        <v>36</v>
      </c>
      <c r="M78">
        <v>298.85000000000002</v>
      </c>
    </row>
    <row r="79" spans="1:13" x14ac:dyDescent="0.25">
      <c r="A79" t="str">
        <f t="shared" si="12"/>
        <v>E111</v>
      </c>
      <c r="B79">
        <v>1</v>
      </c>
      <c r="C79" t="str">
        <f t="shared" si="17"/>
        <v>32040</v>
      </c>
      <c r="D79" t="str">
        <f t="shared" si="18"/>
        <v>5610</v>
      </c>
      <c r="E79" t="str">
        <f t="shared" si="19"/>
        <v>850LOS</v>
      </c>
      <c r="F79" t="str">
        <f>""</f>
        <v/>
      </c>
      <c r="G79" t="str">
        <f>""</f>
        <v/>
      </c>
      <c r="H79" s="1">
        <v>39821</v>
      </c>
      <c r="I79" t="str">
        <f>"67986202"</f>
        <v>67986202</v>
      </c>
      <c r="J79" t="str">
        <f t="shared" si="20"/>
        <v>BP52205M</v>
      </c>
      <c r="K79" t="str">
        <f t="shared" si="21"/>
        <v>INNI</v>
      </c>
      <c r="L79" t="s">
        <v>36</v>
      </c>
      <c r="M79">
        <v>427.53</v>
      </c>
    </row>
    <row r="80" spans="1:13" x14ac:dyDescent="0.25">
      <c r="A80" t="str">
        <f t="shared" si="12"/>
        <v>E111</v>
      </c>
      <c r="B80">
        <v>1</v>
      </c>
      <c r="C80" t="str">
        <f t="shared" si="17"/>
        <v>32040</v>
      </c>
      <c r="D80" t="str">
        <f t="shared" si="18"/>
        <v>5610</v>
      </c>
      <c r="E80" t="str">
        <f t="shared" si="19"/>
        <v>850LOS</v>
      </c>
      <c r="F80" t="str">
        <f>""</f>
        <v/>
      </c>
      <c r="G80" t="str">
        <f>""</f>
        <v/>
      </c>
      <c r="H80" s="1">
        <v>39821</v>
      </c>
      <c r="I80" t="str">
        <f>"68167801"</f>
        <v>68167801</v>
      </c>
      <c r="J80" t="str">
        <f t="shared" si="20"/>
        <v>BP52205M</v>
      </c>
      <c r="K80" t="str">
        <f t="shared" si="21"/>
        <v>INNI</v>
      </c>
      <c r="L80" t="s">
        <v>36</v>
      </c>
      <c r="M80" s="2">
        <v>1613.88</v>
      </c>
    </row>
    <row r="81" spans="1:13" x14ac:dyDescent="0.25">
      <c r="A81" t="str">
        <f t="shared" si="12"/>
        <v>E111</v>
      </c>
      <c r="B81">
        <v>1</v>
      </c>
      <c r="C81" t="str">
        <f t="shared" si="17"/>
        <v>32040</v>
      </c>
      <c r="D81" t="str">
        <f t="shared" si="18"/>
        <v>5610</v>
      </c>
      <c r="E81" t="str">
        <f t="shared" si="19"/>
        <v>850LOS</v>
      </c>
      <c r="F81" t="str">
        <f>""</f>
        <v/>
      </c>
      <c r="G81" t="str">
        <f>""</f>
        <v/>
      </c>
      <c r="H81" s="1">
        <v>39829</v>
      </c>
      <c r="I81" t="str">
        <f>"68214601"</f>
        <v>68214601</v>
      </c>
      <c r="J81" t="str">
        <f t="shared" si="20"/>
        <v>BP52205M</v>
      </c>
      <c r="K81" t="str">
        <f t="shared" si="21"/>
        <v>INNI</v>
      </c>
      <c r="L81" t="s">
        <v>36</v>
      </c>
      <c r="M81">
        <v>364.38</v>
      </c>
    </row>
    <row r="82" spans="1:13" x14ac:dyDescent="0.25">
      <c r="A82" t="str">
        <f t="shared" ref="A82:A113" si="22">"E111"</f>
        <v>E111</v>
      </c>
      <c r="B82">
        <v>1</v>
      </c>
      <c r="C82" t="str">
        <f t="shared" si="17"/>
        <v>32040</v>
      </c>
      <c r="D82" t="str">
        <f t="shared" si="18"/>
        <v>5610</v>
      </c>
      <c r="E82" t="str">
        <f t="shared" si="19"/>
        <v>850LOS</v>
      </c>
      <c r="F82" t="str">
        <f>""</f>
        <v/>
      </c>
      <c r="G82" t="str">
        <f>""</f>
        <v/>
      </c>
      <c r="H82" s="1">
        <v>39835</v>
      </c>
      <c r="I82" t="str">
        <f>"68310601"</f>
        <v>68310601</v>
      </c>
      <c r="J82" t="str">
        <f t="shared" si="20"/>
        <v>BP52205M</v>
      </c>
      <c r="K82" t="str">
        <f t="shared" si="21"/>
        <v>INNI</v>
      </c>
      <c r="L82" t="s">
        <v>36</v>
      </c>
      <c r="M82">
        <v>754.43</v>
      </c>
    </row>
    <row r="83" spans="1:13" x14ac:dyDescent="0.25">
      <c r="A83" t="str">
        <f t="shared" si="22"/>
        <v>E111</v>
      </c>
      <c r="B83">
        <v>1</v>
      </c>
      <c r="C83" t="str">
        <f t="shared" si="17"/>
        <v>32040</v>
      </c>
      <c r="D83" t="str">
        <f t="shared" si="18"/>
        <v>5610</v>
      </c>
      <c r="E83" t="str">
        <f t="shared" si="19"/>
        <v>850LOS</v>
      </c>
      <c r="F83" t="str">
        <f>""</f>
        <v/>
      </c>
      <c r="G83" t="str">
        <f>""</f>
        <v/>
      </c>
      <c r="H83" s="1">
        <v>39836</v>
      </c>
      <c r="I83" t="str">
        <f>"67999701"</f>
        <v>67999701</v>
      </c>
      <c r="J83" t="str">
        <f t="shared" si="20"/>
        <v>BP52205M</v>
      </c>
      <c r="K83" t="str">
        <f t="shared" si="21"/>
        <v>INNI</v>
      </c>
      <c r="L83" t="s">
        <v>36</v>
      </c>
      <c r="M83" s="2">
        <v>1051.48</v>
      </c>
    </row>
    <row r="84" spans="1:13" x14ac:dyDescent="0.25">
      <c r="A84" t="str">
        <f t="shared" si="22"/>
        <v>E111</v>
      </c>
      <c r="B84">
        <v>1</v>
      </c>
      <c r="C84" t="str">
        <f t="shared" si="17"/>
        <v>32040</v>
      </c>
      <c r="D84" t="str">
        <f t="shared" si="18"/>
        <v>5610</v>
      </c>
      <c r="E84" t="str">
        <f t="shared" si="19"/>
        <v>850LOS</v>
      </c>
      <c r="F84" t="str">
        <f>""</f>
        <v/>
      </c>
      <c r="G84" t="str">
        <f>""</f>
        <v/>
      </c>
      <c r="H84" s="1">
        <v>39855</v>
      </c>
      <c r="I84" t="str">
        <f>"67862503"</f>
        <v>67862503</v>
      </c>
      <c r="J84" t="str">
        <f t="shared" si="20"/>
        <v>BP52205M</v>
      </c>
      <c r="K84" t="str">
        <f t="shared" si="21"/>
        <v>INNI</v>
      </c>
      <c r="L84" t="s">
        <v>36</v>
      </c>
      <c r="M84">
        <v>408.31</v>
      </c>
    </row>
    <row r="85" spans="1:13" x14ac:dyDescent="0.25">
      <c r="A85" t="str">
        <f t="shared" si="22"/>
        <v>E111</v>
      </c>
      <c r="B85">
        <v>1</v>
      </c>
      <c r="C85" t="str">
        <f t="shared" si="17"/>
        <v>32040</v>
      </c>
      <c r="D85" t="str">
        <f t="shared" si="18"/>
        <v>5610</v>
      </c>
      <c r="E85" t="str">
        <f t="shared" si="19"/>
        <v>850LOS</v>
      </c>
      <c r="F85" t="str">
        <f>""</f>
        <v/>
      </c>
      <c r="G85" t="str">
        <f>""</f>
        <v/>
      </c>
      <c r="H85" s="1">
        <v>39864</v>
      </c>
      <c r="I85" t="str">
        <f>"68556701"</f>
        <v>68556701</v>
      </c>
      <c r="J85" t="str">
        <f t="shared" si="20"/>
        <v>BP52205M</v>
      </c>
      <c r="K85" t="str">
        <f t="shared" si="21"/>
        <v>INNI</v>
      </c>
      <c r="L85" t="s">
        <v>36</v>
      </c>
      <c r="M85">
        <v>467.16</v>
      </c>
    </row>
    <row r="86" spans="1:13" x14ac:dyDescent="0.25">
      <c r="A86" t="str">
        <f t="shared" si="22"/>
        <v>E111</v>
      </c>
      <c r="B86">
        <v>1</v>
      </c>
      <c r="C86" t="str">
        <f t="shared" si="17"/>
        <v>32040</v>
      </c>
      <c r="D86" t="str">
        <f t="shared" si="18"/>
        <v>5610</v>
      </c>
      <c r="E86" t="str">
        <f t="shared" si="19"/>
        <v>850LOS</v>
      </c>
      <c r="F86" t="str">
        <f>""</f>
        <v/>
      </c>
      <c r="G86" t="str">
        <f>""</f>
        <v/>
      </c>
      <c r="H86" s="1">
        <v>39864</v>
      </c>
      <c r="I86" t="str">
        <f>"68566001"</f>
        <v>68566001</v>
      </c>
      <c r="J86" t="str">
        <f t="shared" si="20"/>
        <v>BP52205M</v>
      </c>
      <c r="K86" t="str">
        <f t="shared" si="21"/>
        <v>INNI</v>
      </c>
      <c r="L86" t="s">
        <v>36</v>
      </c>
      <c r="M86">
        <v>354.63</v>
      </c>
    </row>
    <row r="87" spans="1:13" x14ac:dyDescent="0.25">
      <c r="A87" t="str">
        <f t="shared" si="22"/>
        <v>E111</v>
      </c>
      <c r="B87">
        <v>1</v>
      </c>
      <c r="C87" t="str">
        <f t="shared" si="17"/>
        <v>32040</v>
      </c>
      <c r="D87" t="str">
        <f t="shared" si="18"/>
        <v>5610</v>
      </c>
      <c r="E87" t="str">
        <f t="shared" si="19"/>
        <v>850LOS</v>
      </c>
      <c r="F87" t="str">
        <f>""</f>
        <v/>
      </c>
      <c r="G87" t="str">
        <f>""</f>
        <v/>
      </c>
      <c r="H87" s="1">
        <v>39864</v>
      </c>
      <c r="I87" t="str">
        <f>"68566002"</f>
        <v>68566002</v>
      </c>
      <c r="J87" t="str">
        <f t="shared" si="20"/>
        <v>BP52205M</v>
      </c>
      <c r="K87" t="str">
        <f t="shared" si="21"/>
        <v>INNI</v>
      </c>
      <c r="L87" t="s">
        <v>36</v>
      </c>
      <c r="M87" s="2">
        <v>1048.92</v>
      </c>
    </row>
    <row r="88" spans="1:13" x14ac:dyDescent="0.25">
      <c r="A88" t="str">
        <f t="shared" si="22"/>
        <v>E111</v>
      </c>
      <c r="B88">
        <v>1</v>
      </c>
      <c r="C88" t="str">
        <f t="shared" si="17"/>
        <v>32040</v>
      </c>
      <c r="D88" t="str">
        <f t="shared" si="18"/>
        <v>5610</v>
      </c>
      <c r="E88" t="str">
        <f t="shared" si="19"/>
        <v>850LOS</v>
      </c>
      <c r="F88" t="str">
        <f>""</f>
        <v/>
      </c>
      <c r="G88" t="str">
        <f>""</f>
        <v/>
      </c>
      <c r="H88" s="1">
        <v>39864</v>
      </c>
      <c r="I88" t="str">
        <f>"68596501"</f>
        <v>68596501</v>
      </c>
      <c r="J88" t="str">
        <f t="shared" si="20"/>
        <v>BP52205M</v>
      </c>
      <c r="K88" t="str">
        <f t="shared" si="21"/>
        <v>INNI</v>
      </c>
      <c r="L88" t="s">
        <v>36</v>
      </c>
      <c r="M88" s="2">
        <v>1129.22</v>
      </c>
    </row>
    <row r="89" spans="1:13" x14ac:dyDescent="0.25">
      <c r="A89" t="str">
        <f t="shared" si="22"/>
        <v>E111</v>
      </c>
      <c r="B89">
        <v>1</v>
      </c>
      <c r="C89" t="str">
        <f t="shared" si="17"/>
        <v>32040</v>
      </c>
      <c r="D89" t="str">
        <f t="shared" si="18"/>
        <v>5610</v>
      </c>
      <c r="E89" t="str">
        <f t="shared" si="19"/>
        <v>850LOS</v>
      </c>
      <c r="F89" t="str">
        <f>""</f>
        <v/>
      </c>
      <c r="G89" t="str">
        <f>""</f>
        <v/>
      </c>
      <c r="H89" s="1">
        <v>39869</v>
      </c>
      <c r="I89" t="str">
        <f>"68665701"</f>
        <v>68665701</v>
      </c>
      <c r="J89" t="str">
        <f t="shared" si="20"/>
        <v>BP52205M</v>
      </c>
      <c r="K89" t="str">
        <f t="shared" si="21"/>
        <v>INNI</v>
      </c>
      <c r="L89" t="s">
        <v>36</v>
      </c>
      <c r="M89">
        <v>854.88</v>
      </c>
    </row>
    <row r="90" spans="1:13" x14ac:dyDescent="0.25">
      <c r="A90" t="str">
        <f t="shared" si="22"/>
        <v>E111</v>
      </c>
      <c r="B90">
        <v>1</v>
      </c>
      <c r="C90" t="str">
        <f t="shared" si="17"/>
        <v>32040</v>
      </c>
      <c r="D90" t="str">
        <f t="shared" si="18"/>
        <v>5610</v>
      </c>
      <c r="E90" t="str">
        <f t="shared" si="19"/>
        <v>850LOS</v>
      </c>
      <c r="F90" t="str">
        <f>""</f>
        <v/>
      </c>
      <c r="G90" t="str">
        <f>""</f>
        <v/>
      </c>
      <c r="H90" s="1">
        <v>39884</v>
      </c>
      <c r="I90" t="str">
        <f>"68777302"</f>
        <v>68777302</v>
      </c>
      <c r="J90" t="str">
        <f t="shared" si="20"/>
        <v>BP52205M</v>
      </c>
      <c r="K90" t="str">
        <f t="shared" si="21"/>
        <v>INNI</v>
      </c>
      <c r="L90" t="s">
        <v>36</v>
      </c>
      <c r="M90" s="2">
        <v>1229.1300000000001</v>
      </c>
    </row>
    <row r="91" spans="1:13" x14ac:dyDescent="0.25">
      <c r="A91" t="str">
        <f t="shared" si="22"/>
        <v>E111</v>
      </c>
      <c r="B91">
        <v>1</v>
      </c>
      <c r="C91" t="str">
        <f t="shared" si="17"/>
        <v>32040</v>
      </c>
      <c r="D91" t="str">
        <f t="shared" si="18"/>
        <v>5610</v>
      </c>
      <c r="E91" t="str">
        <f t="shared" si="19"/>
        <v>850LOS</v>
      </c>
      <c r="F91" t="str">
        <f>""</f>
        <v/>
      </c>
      <c r="G91" t="str">
        <f>""</f>
        <v/>
      </c>
      <c r="H91" s="1">
        <v>39891</v>
      </c>
      <c r="I91" t="str">
        <f>"68843801"</f>
        <v>68843801</v>
      </c>
      <c r="J91" t="str">
        <f t="shared" si="20"/>
        <v>BP52205M</v>
      </c>
      <c r="K91" t="str">
        <f t="shared" si="21"/>
        <v>INNI</v>
      </c>
      <c r="L91" t="s">
        <v>36</v>
      </c>
      <c r="M91">
        <v>321.04000000000002</v>
      </c>
    </row>
    <row r="92" spans="1:13" x14ac:dyDescent="0.25">
      <c r="A92" t="str">
        <f t="shared" si="22"/>
        <v>E111</v>
      </c>
      <c r="B92">
        <v>1</v>
      </c>
      <c r="C92" t="str">
        <f t="shared" si="17"/>
        <v>32040</v>
      </c>
      <c r="D92" t="str">
        <f t="shared" si="18"/>
        <v>5610</v>
      </c>
      <c r="E92" t="str">
        <f t="shared" si="19"/>
        <v>850LOS</v>
      </c>
      <c r="F92" t="str">
        <f>""</f>
        <v/>
      </c>
      <c r="G92" t="str">
        <f>""</f>
        <v/>
      </c>
      <c r="H92" s="1">
        <v>39898</v>
      </c>
      <c r="I92" t="str">
        <f>"68963801"</f>
        <v>68963801</v>
      </c>
      <c r="J92" t="str">
        <f t="shared" si="20"/>
        <v>BP52205M</v>
      </c>
      <c r="K92" t="str">
        <f t="shared" si="21"/>
        <v>INNI</v>
      </c>
      <c r="L92" t="s">
        <v>36</v>
      </c>
      <c r="M92">
        <v>464.04</v>
      </c>
    </row>
    <row r="93" spans="1:13" x14ac:dyDescent="0.25">
      <c r="A93" t="str">
        <f t="shared" si="22"/>
        <v>E111</v>
      </c>
      <c r="B93">
        <v>1</v>
      </c>
      <c r="C93" t="str">
        <f t="shared" si="17"/>
        <v>32040</v>
      </c>
      <c r="D93" t="str">
        <f t="shared" si="18"/>
        <v>5610</v>
      </c>
      <c r="E93" t="str">
        <f t="shared" si="19"/>
        <v>850LOS</v>
      </c>
      <c r="F93" t="str">
        <f>""</f>
        <v/>
      </c>
      <c r="G93" t="str">
        <f>""</f>
        <v/>
      </c>
      <c r="H93" s="1">
        <v>39905</v>
      </c>
      <c r="I93" t="str">
        <f>"68566003"</f>
        <v>68566003</v>
      </c>
      <c r="J93" t="str">
        <f t="shared" si="20"/>
        <v>BP52205M</v>
      </c>
      <c r="K93" t="str">
        <f t="shared" si="21"/>
        <v>INNI</v>
      </c>
      <c r="L93" t="s">
        <v>36</v>
      </c>
      <c r="M93">
        <v>361.41</v>
      </c>
    </row>
    <row r="94" spans="1:13" x14ac:dyDescent="0.25">
      <c r="A94" t="str">
        <f t="shared" si="22"/>
        <v>E111</v>
      </c>
      <c r="B94">
        <v>1</v>
      </c>
      <c r="C94" t="str">
        <f t="shared" si="17"/>
        <v>32040</v>
      </c>
      <c r="D94" t="str">
        <f t="shared" si="18"/>
        <v>5610</v>
      </c>
      <c r="E94" t="str">
        <f t="shared" si="19"/>
        <v>850LOS</v>
      </c>
      <c r="F94" t="str">
        <f>""</f>
        <v/>
      </c>
      <c r="G94" t="str">
        <f>""</f>
        <v/>
      </c>
      <c r="H94" s="1">
        <v>39905</v>
      </c>
      <c r="I94" t="str">
        <f>"68777303"</f>
        <v>68777303</v>
      </c>
      <c r="J94" t="str">
        <f t="shared" si="20"/>
        <v>BP52205M</v>
      </c>
      <c r="K94" t="str">
        <f t="shared" si="21"/>
        <v>INNI</v>
      </c>
      <c r="L94" t="s">
        <v>36</v>
      </c>
      <c r="M94">
        <v>144.57</v>
      </c>
    </row>
    <row r="95" spans="1:13" x14ac:dyDescent="0.25">
      <c r="A95" t="str">
        <f t="shared" si="22"/>
        <v>E111</v>
      </c>
      <c r="B95">
        <v>1</v>
      </c>
      <c r="C95" t="str">
        <f t="shared" si="17"/>
        <v>32040</v>
      </c>
      <c r="D95" t="str">
        <f t="shared" si="18"/>
        <v>5610</v>
      </c>
      <c r="E95" t="str">
        <f t="shared" si="19"/>
        <v>850LOS</v>
      </c>
      <c r="F95" t="str">
        <f>""</f>
        <v/>
      </c>
      <c r="G95" t="str">
        <f>""</f>
        <v/>
      </c>
      <c r="H95" s="1">
        <v>39909</v>
      </c>
      <c r="I95" t="str">
        <f>"68665702"</f>
        <v>68665702</v>
      </c>
      <c r="J95" t="str">
        <f t="shared" si="20"/>
        <v>BP52205M</v>
      </c>
      <c r="K95" t="str">
        <f t="shared" si="21"/>
        <v>INNI</v>
      </c>
      <c r="L95" t="s">
        <v>36</v>
      </c>
      <c r="M95">
        <v>127.26</v>
      </c>
    </row>
    <row r="96" spans="1:13" x14ac:dyDescent="0.25">
      <c r="A96" t="str">
        <f t="shared" si="22"/>
        <v>E111</v>
      </c>
      <c r="B96">
        <v>1</v>
      </c>
      <c r="C96" t="str">
        <f t="shared" si="17"/>
        <v>32040</v>
      </c>
      <c r="D96" t="str">
        <f t="shared" si="18"/>
        <v>5610</v>
      </c>
      <c r="E96" t="str">
        <f t="shared" si="19"/>
        <v>850LOS</v>
      </c>
      <c r="F96" t="str">
        <f>""</f>
        <v/>
      </c>
      <c r="G96" t="str">
        <f>""</f>
        <v/>
      </c>
      <c r="H96" s="1">
        <v>39911</v>
      </c>
      <c r="I96" t="str">
        <f>"68566004"</f>
        <v>68566004</v>
      </c>
      <c r="J96" t="str">
        <f t="shared" si="20"/>
        <v>BP52205M</v>
      </c>
      <c r="K96" t="str">
        <f t="shared" si="21"/>
        <v>INNI</v>
      </c>
      <c r="L96" t="s">
        <v>36</v>
      </c>
      <c r="M96">
        <v>361.37</v>
      </c>
    </row>
    <row r="97" spans="1:13" x14ac:dyDescent="0.25">
      <c r="A97" t="str">
        <f t="shared" si="22"/>
        <v>E111</v>
      </c>
      <c r="B97">
        <v>1</v>
      </c>
      <c r="C97" t="str">
        <f t="shared" si="17"/>
        <v>32040</v>
      </c>
      <c r="D97" t="str">
        <f t="shared" si="18"/>
        <v>5610</v>
      </c>
      <c r="E97" t="str">
        <f t="shared" si="19"/>
        <v>850LOS</v>
      </c>
      <c r="F97" t="str">
        <f>""</f>
        <v/>
      </c>
      <c r="G97" t="str">
        <f>""</f>
        <v/>
      </c>
      <c r="H97" s="1">
        <v>39911</v>
      </c>
      <c r="I97" t="str">
        <f>"68665703"</f>
        <v>68665703</v>
      </c>
      <c r="J97" t="str">
        <f t="shared" si="20"/>
        <v>BP52205M</v>
      </c>
      <c r="K97" t="str">
        <f t="shared" si="21"/>
        <v>INNI</v>
      </c>
      <c r="L97" t="s">
        <v>36</v>
      </c>
      <c r="M97" s="2">
        <v>1664.06</v>
      </c>
    </row>
    <row r="98" spans="1:13" x14ac:dyDescent="0.25">
      <c r="A98" t="str">
        <f t="shared" si="22"/>
        <v>E111</v>
      </c>
      <c r="B98">
        <v>1</v>
      </c>
      <c r="C98" t="str">
        <f t="shared" si="17"/>
        <v>32040</v>
      </c>
      <c r="D98" t="str">
        <f t="shared" si="18"/>
        <v>5610</v>
      </c>
      <c r="E98" t="str">
        <f t="shared" si="19"/>
        <v>850LOS</v>
      </c>
      <c r="F98" t="str">
        <f>""</f>
        <v/>
      </c>
      <c r="G98" t="str">
        <f>""</f>
        <v/>
      </c>
      <c r="H98" s="1">
        <v>39911</v>
      </c>
      <c r="I98" t="str">
        <f>"68777701"</f>
        <v>68777701</v>
      </c>
      <c r="J98" t="str">
        <f t="shared" si="20"/>
        <v>BP52205M</v>
      </c>
      <c r="K98" t="str">
        <f t="shared" si="21"/>
        <v>INNI</v>
      </c>
      <c r="L98" t="s">
        <v>36</v>
      </c>
      <c r="M98" s="2">
        <v>4359.22</v>
      </c>
    </row>
    <row r="99" spans="1:13" x14ac:dyDescent="0.25">
      <c r="A99" t="str">
        <f t="shared" si="22"/>
        <v>E111</v>
      </c>
      <c r="B99">
        <v>1</v>
      </c>
      <c r="C99" t="str">
        <f t="shared" si="17"/>
        <v>32040</v>
      </c>
      <c r="D99" t="str">
        <f t="shared" si="18"/>
        <v>5610</v>
      </c>
      <c r="E99" t="str">
        <f t="shared" si="19"/>
        <v>850LOS</v>
      </c>
      <c r="F99" t="str">
        <f>""</f>
        <v/>
      </c>
      <c r="G99" t="str">
        <f>""</f>
        <v/>
      </c>
      <c r="H99" s="1">
        <v>39911</v>
      </c>
      <c r="I99" t="str">
        <f>"69084701"</f>
        <v>69084701</v>
      </c>
      <c r="J99" t="str">
        <f t="shared" si="20"/>
        <v>BP52205M</v>
      </c>
      <c r="K99" t="str">
        <f t="shared" si="21"/>
        <v>INNI</v>
      </c>
      <c r="L99" t="s">
        <v>36</v>
      </c>
      <c r="M99">
        <v>875.63</v>
      </c>
    </row>
    <row r="100" spans="1:13" x14ac:dyDescent="0.25">
      <c r="A100" t="str">
        <f t="shared" si="22"/>
        <v>E111</v>
      </c>
      <c r="B100">
        <v>1</v>
      </c>
      <c r="C100" t="str">
        <f t="shared" si="17"/>
        <v>32040</v>
      </c>
      <c r="D100" t="str">
        <f t="shared" si="18"/>
        <v>5610</v>
      </c>
      <c r="E100" t="str">
        <f t="shared" si="19"/>
        <v>850LOS</v>
      </c>
      <c r="F100" t="str">
        <f>""</f>
        <v/>
      </c>
      <c r="G100" t="str">
        <f>""</f>
        <v/>
      </c>
      <c r="H100" s="1">
        <v>39911</v>
      </c>
      <c r="I100" t="str">
        <f>"69084703"</f>
        <v>69084703</v>
      </c>
      <c r="J100" t="str">
        <f t="shared" si="20"/>
        <v>BP52205M</v>
      </c>
      <c r="K100" t="str">
        <f t="shared" si="21"/>
        <v>INNI</v>
      </c>
      <c r="L100" t="s">
        <v>36</v>
      </c>
      <c r="M100">
        <v>920.25</v>
      </c>
    </row>
    <row r="101" spans="1:13" x14ac:dyDescent="0.25">
      <c r="A101" t="str">
        <f t="shared" si="22"/>
        <v>E111</v>
      </c>
      <c r="B101">
        <v>1</v>
      </c>
      <c r="C101" t="str">
        <f t="shared" si="17"/>
        <v>32040</v>
      </c>
      <c r="D101" t="str">
        <f t="shared" si="18"/>
        <v>5610</v>
      </c>
      <c r="E101" t="str">
        <f t="shared" si="19"/>
        <v>850LOS</v>
      </c>
      <c r="F101" t="str">
        <f>""</f>
        <v/>
      </c>
      <c r="G101" t="str">
        <f>""</f>
        <v/>
      </c>
      <c r="H101" s="1">
        <v>39911</v>
      </c>
      <c r="I101" t="str">
        <f>"69084704"</f>
        <v>69084704</v>
      </c>
      <c r="J101" t="str">
        <f t="shared" si="20"/>
        <v>BP52205M</v>
      </c>
      <c r="K101" t="str">
        <f t="shared" si="21"/>
        <v>INNI</v>
      </c>
      <c r="L101" t="s">
        <v>36</v>
      </c>
      <c r="M101">
        <v>189.43</v>
      </c>
    </row>
    <row r="102" spans="1:13" x14ac:dyDescent="0.25">
      <c r="A102" t="str">
        <f t="shared" si="22"/>
        <v>E111</v>
      </c>
      <c r="B102">
        <v>1</v>
      </c>
      <c r="C102" t="str">
        <f t="shared" si="17"/>
        <v>32040</v>
      </c>
      <c r="D102" t="str">
        <f t="shared" si="18"/>
        <v>5610</v>
      </c>
      <c r="E102" t="str">
        <f t="shared" si="19"/>
        <v>850LOS</v>
      </c>
      <c r="F102" t="str">
        <f>""</f>
        <v/>
      </c>
      <c r="G102" t="str">
        <f>""</f>
        <v/>
      </c>
      <c r="H102" s="1">
        <v>39930</v>
      </c>
      <c r="I102" t="str">
        <f>"68843805"</f>
        <v>68843805</v>
      </c>
      <c r="J102" t="str">
        <f t="shared" si="20"/>
        <v>BP52205M</v>
      </c>
      <c r="K102" t="str">
        <f t="shared" si="21"/>
        <v>INNI</v>
      </c>
      <c r="L102" t="s">
        <v>36</v>
      </c>
      <c r="M102">
        <v>349.02</v>
      </c>
    </row>
    <row r="103" spans="1:13" x14ac:dyDescent="0.25">
      <c r="A103" t="str">
        <f t="shared" si="22"/>
        <v>E111</v>
      </c>
      <c r="B103">
        <v>1</v>
      </c>
      <c r="C103" t="str">
        <f t="shared" ref="C103:C112" si="23">"32040"</f>
        <v>32040</v>
      </c>
      <c r="D103" t="str">
        <f t="shared" ref="D103:D112" si="24">"5610"</f>
        <v>5610</v>
      </c>
      <c r="E103" t="str">
        <f t="shared" ref="E103:E138" si="25">"850LOS"</f>
        <v>850LOS</v>
      </c>
      <c r="F103" t="str">
        <f>""</f>
        <v/>
      </c>
      <c r="G103" t="str">
        <f>""</f>
        <v/>
      </c>
      <c r="H103" s="1">
        <v>39941</v>
      </c>
      <c r="I103" t="str">
        <f>"69084705"</f>
        <v>69084705</v>
      </c>
      <c r="J103" t="str">
        <f t="shared" si="20"/>
        <v>BP52205M</v>
      </c>
      <c r="K103" t="str">
        <f t="shared" si="21"/>
        <v>INNI</v>
      </c>
      <c r="L103" t="s">
        <v>36</v>
      </c>
      <c r="M103">
        <v>349.02</v>
      </c>
    </row>
    <row r="104" spans="1:13" x14ac:dyDescent="0.25">
      <c r="A104" t="str">
        <f t="shared" si="22"/>
        <v>E111</v>
      </c>
      <c r="B104">
        <v>1</v>
      </c>
      <c r="C104" t="str">
        <f t="shared" si="23"/>
        <v>32040</v>
      </c>
      <c r="D104" t="str">
        <f t="shared" si="24"/>
        <v>5610</v>
      </c>
      <c r="E104" t="str">
        <f t="shared" si="25"/>
        <v>850LOS</v>
      </c>
      <c r="F104" t="str">
        <f>""</f>
        <v/>
      </c>
      <c r="G104" t="str">
        <f>""</f>
        <v/>
      </c>
      <c r="H104" s="1">
        <v>39941</v>
      </c>
      <c r="I104" t="str">
        <f>"69322201"</f>
        <v>69322201</v>
      </c>
      <c r="J104" t="str">
        <f t="shared" si="20"/>
        <v>BP52205M</v>
      </c>
      <c r="K104" t="str">
        <f t="shared" si="21"/>
        <v>INNI</v>
      </c>
      <c r="L104" t="s">
        <v>36</v>
      </c>
      <c r="M104">
        <v>522.25</v>
      </c>
    </row>
    <row r="105" spans="1:13" x14ac:dyDescent="0.25">
      <c r="A105" t="str">
        <f t="shared" si="22"/>
        <v>E111</v>
      </c>
      <c r="B105">
        <v>1</v>
      </c>
      <c r="C105" t="str">
        <f t="shared" si="23"/>
        <v>32040</v>
      </c>
      <c r="D105" t="str">
        <f t="shared" si="24"/>
        <v>5610</v>
      </c>
      <c r="E105" t="str">
        <f t="shared" si="25"/>
        <v>850LOS</v>
      </c>
      <c r="F105" t="str">
        <f>""</f>
        <v/>
      </c>
      <c r="G105" t="str">
        <f>""</f>
        <v/>
      </c>
      <c r="H105" s="1">
        <v>39941</v>
      </c>
      <c r="I105" t="str">
        <f>"69376801"</f>
        <v>69376801</v>
      </c>
      <c r="J105" t="str">
        <f t="shared" si="20"/>
        <v>BP52205M</v>
      </c>
      <c r="K105" t="str">
        <f t="shared" si="21"/>
        <v>INNI</v>
      </c>
      <c r="L105" t="s">
        <v>36</v>
      </c>
      <c r="M105">
        <v>194.95</v>
      </c>
    </row>
    <row r="106" spans="1:13" x14ac:dyDescent="0.25">
      <c r="A106" t="str">
        <f t="shared" si="22"/>
        <v>E111</v>
      </c>
      <c r="B106">
        <v>1</v>
      </c>
      <c r="C106" t="str">
        <f t="shared" si="23"/>
        <v>32040</v>
      </c>
      <c r="D106" t="str">
        <f t="shared" si="24"/>
        <v>5610</v>
      </c>
      <c r="E106" t="str">
        <f t="shared" si="25"/>
        <v>850LOS</v>
      </c>
      <c r="F106" t="str">
        <f>""</f>
        <v/>
      </c>
      <c r="G106" t="str">
        <f>""</f>
        <v/>
      </c>
      <c r="H106" s="1">
        <v>39941</v>
      </c>
      <c r="I106" t="str">
        <f>"7862503A"</f>
        <v>7862503A</v>
      </c>
      <c r="J106" t="str">
        <f t="shared" si="20"/>
        <v>BP52205M</v>
      </c>
      <c r="K106" t="str">
        <f t="shared" si="21"/>
        <v>INNI</v>
      </c>
      <c r="L106" t="s">
        <v>36</v>
      </c>
      <c r="M106">
        <v>416.64</v>
      </c>
    </row>
    <row r="107" spans="1:13" x14ac:dyDescent="0.25">
      <c r="A107" t="str">
        <f t="shared" si="22"/>
        <v>E111</v>
      </c>
      <c r="B107">
        <v>1</v>
      </c>
      <c r="C107" t="str">
        <f t="shared" si="23"/>
        <v>32040</v>
      </c>
      <c r="D107" t="str">
        <f t="shared" si="24"/>
        <v>5610</v>
      </c>
      <c r="E107" t="str">
        <f t="shared" si="25"/>
        <v>850LOS</v>
      </c>
      <c r="F107" t="str">
        <f>""</f>
        <v/>
      </c>
      <c r="G107" t="str">
        <f>""</f>
        <v/>
      </c>
      <c r="H107" s="1">
        <v>39948</v>
      </c>
      <c r="I107" t="str">
        <f>"69457301"</f>
        <v>69457301</v>
      </c>
      <c r="J107" t="str">
        <f t="shared" si="20"/>
        <v>BP52205M</v>
      </c>
      <c r="K107" t="str">
        <f t="shared" si="21"/>
        <v>INNI</v>
      </c>
      <c r="L107" t="s">
        <v>36</v>
      </c>
      <c r="M107">
        <v>347.7</v>
      </c>
    </row>
    <row r="108" spans="1:13" x14ac:dyDescent="0.25">
      <c r="A108" t="str">
        <f t="shared" si="22"/>
        <v>E111</v>
      </c>
      <c r="B108">
        <v>1</v>
      </c>
      <c r="C108" t="str">
        <f t="shared" si="23"/>
        <v>32040</v>
      </c>
      <c r="D108" t="str">
        <f t="shared" si="24"/>
        <v>5610</v>
      </c>
      <c r="E108" t="str">
        <f t="shared" si="25"/>
        <v>850LOS</v>
      </c>
      <c r="F108" t="str">
        <f>""</f>
        <v/>
      </c>
      <c r="G108" t="str">
        <f>""</f>
        <v/>
      </c>
      <c r="H108" s="1">
        <v>39969</v>
      </c>
      <c r="I108" t="str">
        <f>"PCD00370"</f>
        <v>PCD00370</v>
      </c>
      <c r="J108" t="str">
        <f>"99065"</f>
        <v>99065</v>
      </c>
      <c r="K108" t="str">
        <f>"AS89"</f>
        <v>AS89</v>
      </c>
      <c r="L108" t="s">
        <v>1158</v>
      </c>
      <c r="M108">
        <v>217</v>
      </c>
    </row>
    <row r="109" spans="1:13" x14ac:dyDescent="0.25">
      <c r="A109" t="str">
        <f t="shared" si="22"/>
        <v>E111</v>
      </c>
      <c r="B109">
        <v>1</v>
      </c>
      <c r="C109" t="str">
        <f t="shared" si="23"/>
        <v>32040</v>
      </c>
      <c r="D109" t="str">
        <f t="shared" si="24"/>
        <v>5610</v>
      </c>
      <c r="E109" t="str">
        <f t="shared" si="25"/>
        <v>850LOS</v>
      </c>
      <c r="F109" t="str">
        <f>""</f>
        <v/>
      </c>
      <c r="G109" t="str">
        <f>""</f>
        <v/>
      </c>
      <c r="H109" s="1">
        <v>39973</v>
      </c>
      <c r="I109" t="str">
        <f>"69382502"</f>
        <v>69382502</v>
      </c>
      <c r="J109" t="str">
        <f>"BP52205M"</f>
        <v>BP52205M</v>
      </c>
      <c r="K109" t="str">
        <f>"INNI"</f>
        <v>INNI</v>
      </c>
      <c r="L109" t="s">
        <v>36</v>
      </c>
      <c r="M109" s="2">
        <v>2066.5</v>
      </c>
    </row>
    <row r="110" spans="1:13" x14ac:dyDescent="0.25">
      <c r="A110" t="str">
        <f t="shared" si="22"/>
        <v>E111</v>
      </c>
      <c r="B110">
        <v>1</v>
      </c>
      <c r="C110" t="str">
        <f t="shared" si="23"/>
        <v>32040</v>
      </c>
      <c r="D110" t="str">
        <f t="shared" si="24"/>
        <v>5610</v>
      </c>
      <c r="E110" t="str">
        <f t="shared" si="25"/>
        <v>850LOS</v>
      </c>
      <c r="F110" t="str">
        <f>""</f>
        <v/>
      </c>
      <c r="G110" t="str">
        <f>""</f>
        <v/>
      </c>
      <c r="H110" s="1">
        <v>39973</v>
      </c>
      <c r="I110" t="str">
        <f>"69458501"</f>
        <v>69458501</v>
      </c>
      <c r="J110" t="str">
        <f>"BP52205M"</f>
        <v>BP52205M</v>
      </c>
      <c r="K110" t="str">
        <f>"INNI"</f>
        <v>INNI</v>
      </c>
      <c r="L110" t="s">
        <v>36</v>
      </c>
      <c r="M110" s="2">
        <v>1185.58</v>
      </c>
    </row>
    <row r="111" spans="1:13" x14ac:dyDescent="0.25">
      <c r="A111" t="str">
        <f t="shared" si="22"/>
        <v>E111</v>
      </c>
      <c r="B111">
        <v>1</v>
      </c>
      <c r="C111" t="str">
        <f t="shared" si="23"/>
        <v>32040</v>
      </c>
      <c r="D111" t="str">
        <f t="shared" si="24"/>
        <v>5610</v>
      </c>
      <c r="E111" t="str">
        <f t="shared" si="25"/>
        <v>850LOS</v>
      </c>
      <c r="F111" t="str">
        <f>""</f>
        <v/>
      </c>
      <c r="G111" t="str">
        <f>""</f>
        <v/>
      </c>
      <c r="H111" s="1">
        <v>39975</v>
      </c>
      <c r="I111" t="str">
        <f>"68963901"</f>
        <v>68963901</v>
      </c>
      <c r="J111" t="str">
        <f>"BP52205M"</f>
        <v>BP52205M</v>
      </c>
      <c r="K111" t="str">
        <f>"INNI"</f>
        <v>INNI</v>
      </c>
      <c r="L111" t="s">
        <v>36</v>
      </c>
      <c r="M111" s="2">
        <v>8529.19</v>
      </c>
    </row>
    <row r="112" spans="1:13" x14ac:dyDescent="0.25">
      <c r="A112" t="str">
        <f t="shared" si="22"/>
        <v>E111</v>
      </c>
      <c r="B112">
        <v>1</v>
      </c>
      <c r="C112" t="str">
        <f t="shared" si="23"/>
        <v>32040</v>
      </c>
      <c r="D112" t="str">
        <f t="shared" si="24"/>
        <v>5610</v>
      </c>
      <c r="E112" t="str">
        <f t="shared" si="25"/>
        <v>850LOS</v>
      </c>
      <c r="F112" t="str">
        <f>""</f>
        <v/>
      </c>
      <c r="G112" t="str">
        <f>""</f>
        <v/>
      </c>
      <c r="H112" s="1">
        <v>39983</v>
      </c>
      <c r="I112" t="str">
        <f>"69765101"</f>
        <v>69765101</v>
      </c>
      <c r="J112" t="str">
        <f>"BP52205M"</f>
        <v>BP52205M</v>
      </c>
      <c r="K112" t="str">
        <f>"INNI"</f>
        <v>INNI</v>
      </c>
      <c r="L112" t="s">
        <v>36</v>
      </c>
      <c r="M112">
        <v>395.55</v>
      </c>
    </row>
    <row r="113" spans="1:13" x14ac:dyDescent="0.25">
      <c r="A113" t="str">
        <f t="shared" si="22"/>
        <v>E111</v>
      </c>
      <c r="B113">
        <v>1</v>
      </c>
      <c r="C113" t="str">
        <f t="shared" ref="C113:C142" si="26">"43000"</f>
        <v>43000</v>
      </c>
      <c r="D113" t="str">
        <f t="shared" ref="D113:D143" si="27">"5740"</f>
        <v>5740</v>
      </c>
      <c r="E113" t="str">
        <f t="shared" si="25"/>
        <v>850LOS</v>
      </c>
      <c r="F113" t="str">
        <f t="shared" ref="F113:F118" si="28">"PKOLOT"</f>
        <v>PKOLOT</v>
      </c>
      <c r="G113" t="str">
        <f>""</f>
        <v/>
      </c>
      <c r="H113" s="1">
        <v>39668</v>
      </c>
      <c r="I113" t="str">
        <f>"PCD00329"</f>
        <v>PCD00329</v>
      </c>
      <c r="J113" t="str">
        <f>"83361"</f>
        <v>83361</v>
      </c>
      <c r="K113" t="str">
        <f t="shared" ref="K113:K118" si="29">"AS89"</f>
        <v>AS89</v>
      </c>
      <c r="L113" t="s">
        <v>1157</v>
      </c>
      <c r="M113">
        <v>365.98</v>
      </c>
    </row>
    <row r="114" spans="1:13" x14ac:dyDescent="0.25">
      <c r="A114" t="str">
        <f t="shared" ref="A114:A145" si="30">"E111"</f>
        <v>E111</v>
      </c>
      <c r="B114">
        <v>1</v>
      </c>
      <c r="C114" t="str">
        <f t="shared" si="26"/>
        <v>43000</v>
      </c>
      <c r="D114" t="str">
        <f t="shared" si="27"/>
        <v>5740</v>
      </c>
      <c r="E114" t="str">
        <f t="shared" si="25"/>
        <v>850LOS</v>
      </c>
      <c r="F114" t="str">
        <f t="shared" si="28"/>
        <v>PKOLOT</v>
      </c>
      <c r="G114" t="str">
        <f>""</f>
        <v/>
      </c>
      <c r="H114" s="1">
        <v>39668</v>
      </c>
      <c r="I114" t="str">
        <f>"PCD00329"</f>
        <v>PCD00329</v>
      </c>
      <c r="J114" t="str">
        <f>"83614"</f>
        <v>83614</v>
      </c>
      <c r="K114" t="str">
        <f t="shared" si="29"/>
        <v>AS89</v>
      </c>
      <c r="L114" t="s">
        <v>1156</v>
      </c>
      <c r="M114">
        <v>150.34</v>
      </c>
    </row>
    <row r="115" spans="1:13" x14ac:dyDescent="0.25">
      <c r="A115" t="str">
        <f t="shared" si="30"/>
        <v>E111</v>
      </c>
      <c r="B115">
        <v>1</v>
      </c>
      <c r="C115" t="str">
        <f t="shared" si="26"/>
        <v>43000</v>
      </c>
      <c r="D115" t="str">
        <f t="shared" si="27"/>
        <v>5740</v>
      </c>
      <c r="E115" t="str">
        <f t="shared" si="25"/>
        <v>850LOS</v>
      </c>
      <c r="F115" t="str">
        <f t="shared" si="28"/>
        <v>PKOLOT</v>
      </c>
      <c r="G115" t="str">
        <f>""</f>
        <v/>
      </c>
      <c r="H115" s="1">
        <v>39766</v>
      </c>
      <c r="I115" t="str">
        <f>"PCD00342"</f>
        <v>PCD00342</v>
      </c>
      <c r="J115" t="str">
        <f>"87794"</f>
        <v>87794</v>
      </c>
      <c r="K115" t="str">
        <f t="shared" si="29"/>
        <v>AS89</v>
      </c>
      <c r="L115" t="s">
        <v>1155</v>
      </c>
      <c r="M115">
        <v>146.43</v>
      </c>
    </row>
    <row r="116" spans="1:13" x14ac:dyDescent="0.25">
      <c r="A116" t="str">
        <f t="shared" si="30"/>
        <v>E111</v>
      </c>
      <c r="B116">
        <v>1</v>
      </c>
      <c r="C116" t="str">
        <f t="shared" si="26"/>
        <v>43000</v>
      </c>
      <c r="D116" t="str">
        <f t="shared" si="27"/>
        <v>5740</v>
      </c>
      <c r="E116" t="str">
        <f t="shared" si="25"/>
        <v>850LOS</v>
      </c>
      <c r="F116" t="str">
        <f t="shared" si="28"/>
        <v>PKOLOT</v>
      </c>
      <c r="G116" t="str">
        <f>""</f>
        <v/>
      </c>
      <c r="H116" s="1">
        <v>39941</v>
      </c>
      <c r="I116" t="str">
        <f>"PCD00366"</f>
        <v>PCD00366</v>
      </c>
      <c r="J116" t="str">
        <f>"97716"</f>
        <v>97716</v>
      </c>
      <c r="K116" t="str">
        <f t="shared" si="29"/>
        <v>AS89</v>
      </c>
      <c r="L116" t="s">
        <v>1154</v>
      </c>
      <c r="M116">
        <v>140.93</v>
      </c>
    </row>
    <row r="117" spans="1:13" x14ac:dyDescent="0.25">
      <c r="A117" t="str">
        <f t="shared" si="30"/>
        <v>E111</v>
      </c>
      <c r="B117">
        <v>1</v>
      </c>
      <c r="C117" t="str">
        <f t="shared" si="26"/>
        <v>43000</v>
      </c>
      <c r="D117" t="str">
        <f t="shared" si="27"/>
        <v>5740</v>
      </c>
      <c r="E117" t="str">
        <f t="shared" si="25"/>
        <v>850LOS</v>
      </c>
      <c r="F117" t="str">
        <f t="shared" si="28"/>
        <v>PKOLOT</v>
      </c>
      <c r="G117" t="str">
        <f>""</f>
        <v/>
      </c>
      <c r="H117" s="1">
        <v>39941</v>
      </c>
      <c r="I117" t="str">
        <f>"PCD00366"</f>
        <v>PCD00366</v>
      </c>
      <c r="J117" t="str">
        <f>"97852"</f>
        <v>97852</v>
      </c>
      <c r="K117" t="str">
        <f t="shared" si="29"/>
        <v>AS89</v>
      </c>
      <c r="L117" t="s">
        <v>1153</v>
      </c>
      <c r="M117">
        <v>213.69</v>
      </c>
    </row>
    <row r="118" spans="1:13" x14ac:dyDescent="0.25">
      <c r="A118" t="str">
        <f t="shared" si="30"/>
        <v>E111</v>
      </c>
      <c r="B118">
        <v>1</v>
      </c>
      <c r="C118" t="str">
        <f t="shared" si="26"/>
        <v>43000</v>
      </c>
      <c r="D118" t="str">
        <f t="shared" si="27"/>
        <v>5740</v>
      </c>
      <c r="E118" t="str">
        <f t="shared" si="25"/>
        <v>850LOS</v>
      </c>
      <c r="F118" t="str">
        <f t="shared" si="28"/>
        <v>PKOLOT</v>
      </c>
      <c r="G118" t="str">
        <f>""</f>
        <v/>
      </c>
      <c r="H118" s="1">
        <v>39994</v>
      </c>
      <c r="I118" t="str">
        <f>"PCD00374"</f>
        <v>PCD00374</v>
      </c>
      <c r="J118" t="str">
        <f>"100205"</f>
        <v>100205</v>
      </c>
      <c r="K118" t="str">
        <f t="shared" si="29"/>
        <v>AS89</v>
      </c>
      <c r="L118" t="s">
        <v>1152</v>
      </c>
      <c r="M118">
        <v>130.19</v>
      </c>
    </row>
    <row r="119" spans="1:13" x14ac:dyDescent="0.25">
      <c r="A119" t="str">
        <f t="shared" si="30"/>
        <v>E111</v>
      </c>
      <c r="B119">
        <v>1</v>
      </c>
      <c r="C119" t="str">
        <f t="shared" si="26"/>
        <v>43000</v>
      </c>
      <c r="D119" t="str">
        <f t="shared" si="27"/>
        <v>5740</v>
      </c>
      <c r="E119" t="str">
        <f t="shared" si="25"/>
        <v>850LOS</v>
      </c>
      <c r="F119" t="str">
        <f>""</f>
        <v/>
      </c>
      <c r="G119" t="str">
        <f>""</f>
        <v/>
      </c>
      <c r="H119" s="1">
        <v>39657</v>
      </c>
      <c r="I119" t="str">
        <f>"C0012285"</f>
        <v>C0012285</v>
      </c>
      <c r="J119" t="str">
        <f>""</f>
        <v/>
      </c>
      <c r="K119" t="str">
        <f>"ISSU"</f>
        <v>ISSU</v>
      </c>
      <c r="L119" t="s">
        <v>15</v>
      </c>
      <c r="M119">
        <v>258.01</v>
      </c>
    </row>
    <row r="120" spans="1:13" x14ac:dyDescent="0.25">
      <c r="A120" t="str">
        <f t="shared" si="30"/>
        <v>E111</v>
      </c>
      <c r="B120">
        <v>1</v>
      </c>
      <c r="C120" t="str">
        <f t="shared" si="26"/>
        <v>43000</v>
      </c>
      <c r="D120" t="str">
        <f t="shared" si="27"/>
        <v>5740</v>
      </c>
      <c r="E120" t="str">
        <f t="shared" si="25"/>
        <v>850LOS</v>
      </c>
      <c r="F120" t="str">
        <f>""</f>
        <v/>
      </c>
      <c r="G120" t="str">
        <f>""</f>
        <v/>
      </c>
      <c r="H120" s="1">
        <v>39668</v>
      </c>
      <c r="I120" t="str">
        <f>"PCD00329"</f>
        <v>PCD00329</v>
      </c>
      <c r="J120" t="str">
        <f>"83285"</f>
        <v>83285</v>
      </c>
      <c r="K120" t="str">
        <f>"AS89"</f>
        <v>AS89</v>
      </c>
      <c r="L120" t="s">
        <v>1151</v>
      </c>
      <c r="M120">
        <v>257.07</v>
      </c>
    </row>
    <row r="121" spans="1:13" x14ac:dyDescent="0.25">
      <c r="A121" t="str">
        <f t="shared" si="30"/>
        <v>E111</v>
      </c>
      <c r="B121">
        <v>1</v>
      </c>
      <c r="C121" t="str">
        <f t="shared" si="26"/>
        <v>43000</v>
      </c>
      <c r="D121" t="str">
        <f t="shared" si="27"/>
        <v>5740</v>
      </c>
      <c r="E121" t="str">
        <f t="shared" si="25"/>
        <v>850LOS</v>
      </c>
      <c r="F121" t="str">
        <f>""</f>
        <v/>
      </c>
      <c r="G121" t="str">
        <f>""</f>
        <v/>
      </c>
      <c r="H121" s="1">
        <v>39710</v>
      </c>
      <c r="I121" t="str">
        <f>"PCD00335"</f>
        <v>PCD00335</v>
      </c>
      <c r="J121" t="str">
        <f>"84224"</f>
        <v>84224</v>
      </c>
      <c r="K121" t="str">
        <f>"AS89"</f>
        <v>AS89</v>
      </c>
      <c r="L121" t="s">
        <v>1150</v>
      </c>
      <c r="M121">
        <v>173.98</v>
      </c>
    </row>
    <row r="122" spans="1:13" x14ac:dyDescent="0.25">
      <c r="A122" t="str">
        <f t="shared" si="30"/>
        <v>E111</v>
      </c>
      <c r="B122">
        <v>1</v>
      </c>
      <c r="C122" t="str">
        <f t="shared" si="26"/>
        <v>43000</v>
      </c>
      <c r="D122" t="str">
        <f t="shared" si="27"/>
        <v>5740</v>
      </c>
      <c r="E122" t="str">
        <f t="shared" si="25"/>
        <v>850LOS</v>
      </c>
      <c r="F122" t="str">
        <f>""</f>
        <v/>
      </c>
      <c r="G122" t="str">
        <f>""</f>
        <v/>
      </c>
      <c r="H122" s="1">
        <v>39715</v>
      </c>
      <c r="I122" t="str">
        <f>"C0012479"</f>
        <v>C0012479</v>
      </c>
      <c r="J122" t="str">
        <f>""</f>
        <v/>
      </c>
      <c r="K122" t="str">
        <f>"ISSU"</f>
        <v>ISSU</v>
      </c>
      <c r="L122" t="s">
        <v>15</v>
      </c>
      <c r="M122">
        <v>215.73</v>
      </c>
    </row>
    <row r="123" spans="1:13" x14ac:dyDescent="0.25">
      <c r="A123" t="str">
        <f t="shared" si="30"/>
        <v>E111</v>
      </c>
      <c r="B123">
        <v>1</v>
      </c>
      <c r="C123" t="str">
        <f t="shared" si="26"/>
        <v>43000</v>
      </c>
      <c r="D123" t="str">
        <f t="shared" si="27"/>
        <v>5740</v>
      </c>
      <c r="E123" t="str">
        <f t="shared" si="25"/>
        <v>850LOS</v>
      </c>
      <c r="F123" t="str">
        <f>""</f>
        <v/>
      </c>
      <c r="G123" t="str">
        <f>""</f>
        <v/>
      </c>
      <c r="H123" s="1">
        <v>39731</v>
      </c>
      <c r="I123" t="str">
        <f>"PCD00337"</f>
        <v>PCD00337</v>
      </c>
      <c r="J123" t="str">
        <f>"86038"</f>
        <v>86038</v>
      </c>
      <c r="K123" t="str">
        <f>"AS89"</f>
        <v>AS89</v>
      </c>
      <c r="L123" t="s">
        <v>1149</v>
      </c>
      <c r="M123">
        <v>307.39</v>
      </c>
    </row>
    <row r="124" spans="1:13" x14ac:dyDescent="0.25">
      <c r="A124" t="str">
        <f t="shared" si="30"/>
        <v>E111</v>
      </c>
      <c r="B124">
        <v>1</v>
      </c>
      <c r="C124" t="str">
        <f t="shared" si="26"/>
        <v>43000</v>
      </c>
      <c r="D124" t="str">
        <f t="shared" si="27"/>
        <v>5740</v>
      </c>
      <c r="E124" t="str">
        <f t="shared" si="25"/>
        <v>850LOS</v>
      </c>
      <c r="F124" t="str">
        <f>""</f>
        <v/>
      </c>
      <c r="G124" t="str">
        <f>""</f>
        <v/>
      </c>
      <c r="H124" s="1">
        <v>39731</v>
      </c>
      <c r="I124" t="str">
        <f>"PCD00337"</f>
        <v>PCD00337</v>
      </c>
      <c r="J124" t="str">
        <f>"86732"</f>
        <v>86732</v>
      </c>
      <c r="K124" t="str">
        <f>"AS89"</f>
        <v>AS89</v>
      </c>
      <c r="L124" t="s">
        <v>1148</v>
      </c>
      <c r="M124">
        <v>720.77</v>
      </c>
    </row>
    <row r="125" spans="1:13" x14ac:dyDescent="0.25">
      <c r="A125" t="str">
        <f t="shared" si="30"/>
        <v>E111</v>
      </c>
      <c r="B125">
        <v>1</v>
      </c>
      <c r="C125" t="str">
        <f t="shared" si="26"/>
        <v>43000</v>
      </c>
      <c r="D125" t="str">
        <f t="shared" si="27"/>
        <v>5740</v>
      </c>
      <c r="E125" t="str">
        <f t="shared" si="25"/>
        <v>850LOS</v>
      </c>
      <c r="F125" t="str">
        <f>""</f>
        <v/>
      </c>
      <c r="G125" t="str">
        <f>""</f>
        <v/>
      </c>
      <c r="H125" s="1">
        <v>39777</v>
      </c>
      <c r="I125" t="str">
        <f>"C0012802"</f>
        <v>C0012802</v>
      </c>
      <c r="J125" t="str">
        <f>""</f>
        <v/>
      </c>
      <c r="K125" t="str">
        <f>"ISSU"</f>
        <v>ISSU</v>
      </c>
      <c r="L125" t="s">
        <v>23</v>
      </c>
      <c r="M125">
        <v>104.87</v>
      </c>
    </row>
    <row r="126" spans="1:13" x14ac:dyDescent="0.25">
      <c r="A126" t="str">
        <f t="shared" si="30"/>
        <v>E111</v>
      </c>
      <c r="B126">
        <v>1</v>
      </c>
      <c r="C126" t="str">
        <f t="shared" si="26"/>
        <v>43000</v>
      </c>
      <c r="D126" t="str">
        <f t="shared" si="27"/>
        <v>5740</v>
      </c>
      <c r="E126" t="str">
        <f t="shared" si="25"/>
        <v>850LOS</v>
      </c>
      <c r="F126" t="str">
        <f>""</f>
        <v/>
      </c>
      <c r="G126" t="str">
        <f>""</f>
        <v/>
      </c>
      <c r="H126" s="1">
        <v>39794</v>
      </c>
      <c r="I126" t="str">
        <f>"PCD00348"</f>
        <v>PCD00348</v>
      </c>
      <c r="J126" t="str">
        <f>"88844"</f>
        <v>88844</v>
      </c>
      <c r="K126" t="str">
        <f>"AS89"</f>
        <v>AS89</v>
      </c>
      <c r="L126" t="s">
        <v>1138</v>
      </c>
      <c r="M126">
        <v>263.11</v>
      </c>
    </row>
    <row r="127" spans="1:13" x14ac:dyDescent="0.25">
      <c r="A127" t="str">
        <f t="shared" si="30"/>
        <v>E111</v>
      </c>
      <c r="B127">
        <v>1</v>
      </c>
      <c r="C127" t="str">
        <f t="shared" si="26"/>
        <v>43000</v>
      </c>
      <c r="D127" t="str">
        <f t="shared" si="27"/>
        <v>5740</v>
      </c>
      <c r="E127" t="str">
        <f t="shared" si="25"/>
        <v>850LOS</v>
      </c>
      <c r="F127" t="str">
        <f>""</f>
        <v/>
      </c>
      <c r="G127" t="str">
        <f>""</f>
        <v/>
      </c>
      <c r="H127" s="1">
        <v>39794</v>
      </c>
      <c r="I127" t="str">
        <f>"PCD00348"</f>
        <v>PCD00348</v>
      </c>
      <c r="J127" t="str">
        <f>"89259"</f>
        <v>89259</v>
      </c>
      <c r="K127" t="str">
        <f>"AS89"</f>
        <v>AS89</v>
      </c>
      <c r="L127" t="s">
        <v>1147</v>
      </c>
      <c r="M127">
        <v>146.58000000000001</v>
      </c>
    </row>
    <row r="128" spans="1:13" x14ac:dyDescent="0.25">
      <c r="A128" t="str">
        <f t="shared" si="30"/>
        <v>E111</v>
      </c>
      <c r="B128">
        <v>1</v>
      </c>
      <c r="C128" t="str">
        <f t="shared" si="26"/>
        <v>43000</v>
      </c>
      <c r="D128" t="str">
        <f t="shared" si="27"/>
        <v>5740</v>
      </c>
      <c r="E128" t="str">
        <f t="shared" si="25"/>
        <v>850LOS</v>
      </c>
      <c r="F128" t="str">
        <f>""</f>
        <v/>
      </c>
      <c r="G128" t="str">
        <f>""</f>
        <v/>
      </c>
      <c r="H128" s="1">
        <v>39794</v>
      </c>
      <c r="I128" t="str">
        <f>"PCD00348"</f>
        <v>PCD00348</v>
      </c>
      <c r="J128" t="str">
        <f>"89260"</f>
        <v>89260</v>
      </c>
      <c r="K128" t="str">
        <f>"AS89"</f>
        <v>AS89</v>
      </c>
      <c r="L128" t="s">
        <v>1147</v>
      </c>
      <c r="M128">
        <v>223.72</v>
      </c>
    </row>
    <row r="129" spans="1:13" x14ac:dyDescent="0.25">
      <c r="A129" t="str">
        <f t="shared" si="30"/>
        <v>E111</v>
      </c>
      <c r="B129">
        <v>1</v>
      </c>
      <c r="C129" t="str">
        <f t="shared" si="26"/>
        <v>43000</v>
      </c>
      <c r="D129" t="str">
        <f t="shared" si="27"/>
        <v>5740</v>
      </c>
      <c r="E129" t="str">
        <f t="shared" si="25"/>
        <v>850LOS</v>
      </c>
      <c r="F129" t="str">
        <f>""</f>
        <v/>
      </c>
      <c r="G129" t="str">
        <f>""</f>
        <v/>
      </c>
      <c r="H129" s="1">
        <v>39836</v>
      </c>
      <c r="I129" t="str">
        <f>"C0013010"</f>
        <v>C0013010</v>
      </c>
      <c r="J129" t="str">
        <f>""</f>
        <v/>
      </c>
      <c r="K129" t="str">
        <f>"ISSU"</f>
        <v>ISSU</v>
      </c>
      <c r="L129" t="s">
        <v>15</v>
      </c>
      <c r="M129">
        <v>194.66</v>
      </c>
    </row>
    <row r="130" spans="1:13" x14ac:dyDescent="0.25">
      <c r="A130" t="str">
        <f t="shared" si="30"/>
        <v>E111</v>
      </c>
      <c r="B130">
        <v>1</v>
      </c>
      <c r="C130" t="str">
        <f t="shared" si="26"/>
        <v>43000</v>
      </c>
      <c r="D130" t="str">
        <f t="shared" si="27"/>
        <v>5740</v>
      </c>
      <c r="E130" t="str">
        <f t="shared" si="25"/>
        <v>850LOS</v>
      </c>
      <c r="F130" t="str">
        <f>""</f>
        <v/>
      </c>
      <c r="G130" t="str">
        <f>""</f>
        <v/>
      </c>
      <c r="H130" s="1">
        <v>39885</v>
      </c>
      <c r="I130" t="str">
        <f>"PCD00359"</f>
        <v>PCD00359</v>
      </c>
      <c r="J130" t="str">
        <f>"94573"</f>
        <v>94573</v>
      </c>
      <c r="K130" t="str">
        <f>"AS89"</f>
        <v>AS89</v>
      </c>
      <c r="L130" t="s">
        <v>1145</v>
      </c>
      <c r="M130">
        <v>141.31</v>
      </c>
    </row>
    <row r="131" spans="1:13" x14ac:dyDescent="0.25">
      <c r="A131" t="str">
        <f t="shared" si="30"/>
        <v>E111</v>
      </c>
      <c r="B131">
        <v>1</v>
      </c>
      <c r="C131" t="str">
        <f t="shared" si="26"/>
        <v>43000</v>
      </c>
      <c r="D131" t="str">
        <f t="shared" si="27"/>
        <v>5740</v>
      </c>
      <c r="E131" t="str">
        <f t="shared" si="25"/>
        <v>850LOS</v>
      </c>
      <c r="F131" t="str">
        <f>""</f>
        <v/>
      </c>
      <c r="G131" t="str">
        <f>""</f>
        <v/>
      </c>
      <c r="H131" s="1">
        <v>39895</v>
      </c>
      <c r="I131" t="str">
        <f>"C0013293"</f>
        <v>C0013293</v>
      </c>
      <c r="J131" t="str">
        <f>""</f>
        <v/>
      </c>
      <c r="K131" t="str">
        <f>"ISSU"</f>
        <v>ISSU</v>
      </c>
      <c r="L131" t="s">
        <v>15</v>
      </c>
      <c r="M131">
        <v>242.41</v>
      </c>
    </row>
    <row r="132" spans="1:13" x14ac:dyDescent="0.25">
      <c r="A132" t="str">
        <f t="shared" si="30"/>
        <v>E111</v>
      </c>
      <c r="B132">
        <v>1</v>
      </c>
      <c r="C132" t="str">
        <f t="shared" si="26"/>
        <v>43000</v>
      </c>
      <c r="D132" t="str">
        <f t="shared" si="27"/>
        <v>5740</v>
      </c>
      <c r="E132" t="str">
        <f t="shared" si="25"/>
        <v>850LOS</v>
      </c>
      <c r="F132" t="str">
        <f>""</f>
        <v/>
      </c>
      <c r="G132" t="str">
        <f>""</f>
        <v/>
      </c>
      <c r="H132" s="1">
        <v>39913</v>
      </c>
      <c r="I132" t="str">
        <f>"PCD00363"</f>
        <v>PCD00363</v>
      </c>
      <c r="J132" t="str">
        <f>"94976"</f>
        <v>94976</v>
      </c>
      <c r="K132" t="str">
        <f>"AS89"</f>
        <v>AS89</v>
      </c>
      <c r="L132" t="s">
        <v>1144</v>
      </c>
      <c r="M132">
        <v>179.96</v>
      </c>
    </row>
    <row r="133" spans="1:13" x14ac:dyDescent="0.25">
      <c r="A133" t="str">
        <f t="shared" si="30"/>
        <v>E111</v>
      </c>
      <c r="B133">
        <v>1</v>
      </c>
      <c r="C133" t="str">
        <f t="shared" si="26"/>
        <v>43000</v>
      </c>
      <c r="D133" t="str">
        <f t="shared" si="27"/>
        <v>5740</v>
      </c>
      <c r="E133" t="str">
        <f t="shared" si="25"/>
        <v>850LOS</v>
      </c>
      <c r="F133" t="str">
        <f>""</f>
        <v/>
      </c>
      <c r="G133" t="str">
        <f>""</f>
        <v/>
      </c>
      <c r="H133" s="1">
        <v>39913</v>
      </c>
      <c r="I133" t="str">
        <f>"PCD00363"</f>
        <v>PCD00363</v>
      </c>
      <c r="J133" t="str">
        <f>"94977"</f>
        <v>94977</v>
      </c>
      <c r="K133" t="str">
        <f>"AS89"</f>
        <v>AS89</v>
      </c>
      <c r="L133" t="s">
        <v>1144</v>
      </c>
      <c r="M133">
        <v>241.98</v>
      </c>
    </row>
    <row r="134" spans="1:13" x14ac:dyDescent="0.25">
      <c r="A134" t="str">
        <f t="shared" si="30"/>
        <v>E111</v>
      </c>
      <c r="B134">
        <v>1</v>
      </c>
      <c r="C134" t="str">
        <f t="shared" si="26"/>
        <v>43000</v>
      </c>
      <c r="D134" t="str">
        <f t="shared" si="27"/>
        <v>5740</v>
      </c>
      <c r="E134" t="str">
        <f t="shared" si="25"/>
        <v>850LOS</v>
      </c>
      <c r="F134" t="str">
        <f>""</f>
        <v/>
      </c>
      <c r="G134" t="str">
        <f>""</f>
        <v/>
      </c>
      <c r="H134" s="1">
        <v>39941</v>
      </c>
      <c r="I134" t="str">
        <f>"PCD00366"</f>
        <v>PCD00366</v>
      </c>
      <c r="J134" t="str">
        <f>"97343"</f>
        <v>97343</v>
      </c>
      <c r="K134" t="str">
        <f>"AS89"</f>
        <v>AS89</v>
      </c>
      <c r="L134" t="s">
        <v>1143</v>
      </c>
      <c r="M134">
        <v>134.76</v>
      </c>
    </row>
    <row r="135" spans="1:13" x14ac:dyDescent="0.25">
      <c r="A135" t="str">
        <f t="shared" si="30"/>
        <v>E111</v>
      </c>
      <c r="B135">
        <v>1</v>
      </c>
      <c r="C135" t="str">
        <f t="shared" si="26"/>
        <v>43000</v>
      </c>
      <c r="D135" t="str">
        <f t="shared" si="27"/>
        <v>5740</v>
      </c>
      <c r="E135" t="str">
        <f t="shared" si="25"/>
        <v>850LOS</v>
      </c>
      <c r="F135" t="str">
        <f>""</f>
        <v/>
      </c>
      <c r="G135" t="str">
        <f>""</f>
        <v/>
      </c>
      <c r="H135" s="1">
        <v>39947</v>
      </c>
      <c r="I135" t="str">
        <f>"C0013582"</f>
        <v>C0013582</v>
      </c>
      <c r="J135" t="str">
        <f>""</f>
        <v/>
      </c>
      <c r="K135" t="str">
        <f>"ISSU"</f>
        <v>ISSU</v>
      </c>
      <c r="L135" t="s">
        <v>15</v>
      </c>
      <c r="M135">
        <v>356.45</v>
      </c>
    </row>
    <row r="136" spans="1:13" x14ac:dyDescent="0.25">
      <c r="A136" t="str">
        <f t="shared" si="30"/>
        <v>E111</v>
      </c>
      <c r="B136">
        <v>1</v>
      </c>
      <c r="C136" t="str">
        <f t="shared" si="26"/>
        <v>43000</v>
      </c>
      <c r="D136" t="str">
        <f t="shared" si="27"/>
        <v>5740</v>
      </c>
      <c r="E136" t="str">
        <f t="shared" si="25"/>
        <v>850LOS</v>
      </c>
      <c r="F136" t="str">
        <f>""</f>
        <v/>
      </c>
      <c r="G136" t="str">
        <f>""</f>
        <v/>
      </c>
      <c r="H136" s="1">
        <v>39994</v>
      </c>
      <c r="I136" t="str">
        <f>"PCD00374"</f>
        <v>PCD00374</v>
      </c>
      <c r="J136" t="str">
        <f>"100385"</f>
        <v>100385</v>
      </c>
      <c r="K136" t="str">
        <f t="shared" ref="K136:K148" si="31">"AS89"</f>
        <v>AS89</v>
      </c>
      <c r="L136" t="s">
        <v>1142</v>
      </c>
      <c r="M136">
        <v>145.43</v>
      </c>
    </row>
    <row r="137" spans="1:13" x14ac:dyDescent="0.25">
      <c r="A137" t="str">
        <f t="shared" si="30"/>
        <v>E111</v>
      </c>
      <c r="B137">
        <v>1</v>
      </c>
      <c r="C137" t="str">
        <f t="shared" si="26"/>
        <v>43000</v>
      </c>
      <c r="D137" t="str">
        <f t="shared" si="27"/>
        <v>5740</v>
      </c>
      <c r="E137" t="str">
        <f t="shared" si="25"/>
        <v>850LOS</v>
      </c>
      <c r="F137" t="str">
        <f>""</f>
        <v/>
      </c>
      <c r="G137" t="str">
        <f>""</f>
        <v/>
      </c>
      <c r="H137" s="1">
        <v>39994</v>
      </c>
      <c r="I137" t="str">
        <f>"PCD00374"</f>
        <v>PCD00374</v>
      </c>
      <c r="J137" t="str">
        <f>"100723"</f>
        <v>100723</v>
      </c>
      <c r="K137" t="str">
        <f t="shared" si="31"/>
        <v>AS89</v>
      </c>
      <c r="L137" t="s">
        <v>1141</v>
      </c>
      <c r="M137">
        <v>762.9</v>
      </c>
    </row>
    <row r="138" spans="1:13" x14ac:dyDescent="0.25">
      <c r="A138" t="str">
        <f t="shared" si="30"/>
        <v>E111</v>
      </c>
      <c r="B138">
        <v>1</v>
      </c>
      <c r="C138" t="str">
        <f t="shared" si="26"/>
        <v>43000</v>
      </c>
      <c r="D138" t="str">
        <f t="shared" si="27"/>
        <v>5740</v>
      </c>
      <c r="E138" t="str">
        <f t="shared" si="25"/>
        <v>850LOS</v>
      </c>
      <c r="F138" t="str">
        <f>""</f>
        <v/>
      </c>
      <c r="G138" t="str">
        <f>""</f>
        <v/>
      </c>
      <c r="H138" s="1">
        <v>39994</v>
      </c>
      <c r="I138" t="str">
        <f>"PCD00374"</f>
        <v>PCD00374</v>
      </c>
      <c r="J138" t="str">
        <f>"101136"</f>
        <v>101136</v>
      </c>
      <c r="K138" t="str">
        <f t="shared" si="31"/>
        <v>AS89</v>
      </c>
      <c r="L138" t="s">
        <v>1140</v>
      </c>
      <c r="M138">
        <v>127.82</v>
      </c>
    </row>
    <row r="139" spans="1:13" x14ac:dyDescent="0.25">
      <c r="A139" t="str">
        <f t="shared" si="30"/>
        <v>E111</v>
      </c>
      <c r="B139">
        <v>1</v>
      </c>
      <c r="C139" t="str">
        <f t="shared" si="26"/>
        <v>43000</v>
      </c>
      <c r="D139" t="str">
        <f t="shared" si="27"/>
        <v>5740</v>
      </c>
      <c r="E139" t="str">
        <f>"850PKE"</f>
        <v>850PKE</v>
      </c>
      <c r="F139" t="str">
        <f>""</f>
        <v/>
      </c>
      <c r="G139" t="str">
        <f>""</f>
        <v/>
      </c>
      <c r="H139" s="1">
        <v>39722</v>
      </c>
      <c r="I139" t="str">
        <f>"PCD00336"</f>
        <v>PCD00336</v>
      </c>
      <c r="J139" t="str">
        <f>"85322"</f>
        <v>85322</v>
      </c>
      <c r="K139" t="str">
        <f t="shared" si="31"/>
        <v>AS89</v>
      </c>
      <c r="L139" t="s">
        <v>1139</v>
      </c>
      <c r="M139" s="2">
        <v>1070</v>
      </c>
    </row>
    <row r="140" spans="1:13" x14ac:dyDescent="0.25">
      <c r="A140" t="str">
        <f t="shared" si="30"/>
        <v>E111</v>
      </c>
      <c r="B140">
        <v>1</v>
      </c>
      <c r="C140" t="str">
        <f t="shared" si="26"/>
        <v>43000</v>
      </c>
      <c r="D140" t="str">
        <f t="shared" si="27"/>
        <v>5740</v>
      </c>
      <c r="E140" t="str">
        <f>"850PKE"</f>
        <v>850PKE</v>
      </c>
      <c r="F140" t="str">
        <f>""</f>
        <v/>
      </c>
      <c r="G140" t="str">
        <f>""</f>
        <v/>
      </c>
      <c r="H140" s="1">
        <v>39822</v>
      </c>
      <c r="I140" t="str">
        <f>"PCD00351"</f>
        <v>PCD00351</v>
      </c>
      <c r="J140" t="str">
        <f>"90722"</f>
        <v>90722</v>
      </c>
      <c r="K140" t="str">
        <f t="shared" si="31"/>
        <v>AS89</v>
      </c>
      <c r="L140" t="s">
        <v>1137</v>
      </c>
      <c r="M140">
        <v>212.25</v>
      </c>
    </row>
    <row r="141" spans="1:13" x14ac:dyDescent="0.25">
      <c r="A141" t="str">
        <f t="shared" si="30"/>
        <v>E111</v>
      </c>
      <c r="B141">
        <v>1</v>
      </c>
      <c r="C141" t="str">
        <f t="shared" si="26"/>
        <v>43000</v>
      </c>
      <c r="D141" t="str">
        <f t="shared" si="27"/>
        <v>5740</v>
      </c>
      <c r="E141" t="str">
        <f>"850PKE"</f>
        <v>850PKE</v>
      </c>
      <c r="F141" t="str">
        <f>""</f>
        <v/>
      </c>
      <c r="G141" t="str">
        <f>""</f>
        <v/>
      </c>
      <c r="H141" s="1">
        <v>39885</v>
      </c>
      <c r="I141" t="str">
        <f>"PCD00359"</f>
        <v>PCD00359</v>
      </c>
      <c r="J141" t="str">
        <f>"93783"</f>
        <v>93783</v>
      </c>
      <c r="K141" t="str">
        <f t="shared" si="31"/>
        <v>AS89</v>
      </c>
      <c r="L141" t="s">
        <v>1136</v>
      </c>
      <c r="M141">
        <v>231.92</v>
      </c>
    </row>
    <row r="142" spans="1:13" x14ac:dyDescent="0.25">
      <c r="A142" t="str">
        <f t="shared" si="30"/>
        <v>E111</v>
      </c>
      <c r="B142">
        <v>1</v>
      </c>
      <c r="C142" t="str">
        <f t="shared" si="26"/>
        <v>43000</v>
      </c>
      <c r="D142" t="str">
        <f t="shared" si="27"/>
        <v>5740</v>
      </c>
      <c r="E142" t="str">
        <f>"850PKE"</f>
        <v>850PKE</v>
      </c>
      <c r="F142" t="str">
        <f>""</f>
        <v/>
      </c>
      <c r="G142" t="str">
        <f>""</f>
        <v/>
      </c>
      <c r="H142" s="1">
        <v>39941</v>
      </c>
      <c r="I142" t="str">
        <f>"PCD00366"</f>
        <v>PCD00366</v>
      </c>
      <c r="J142" t="str">
        <f>"97922"</f>
        <v>97922</v>
      </c>
      <c r="K142" t="str">
        <f t="shared" si="31"/>
        <v>AS89</v>
      </c>
      <c r="L142" t="s">
        <v>1135</v>
      </c>
      <c r="M142">
        <v>989.82</v>
      </c>
    </row>
    <row r="143" spans="1:13" x14ac:dyDescent="0.25">
      <c r="A143" t="str">
        <f t="shared" si="30"/>
        <v>E111</v>
      </c>
      <c r="B143">
        <v>1</v>
      </c>
      <c r="C143" t="str">
        <f t="shared" ref="C143:C160" si="32">"55729"</f>
        <v>55729</v>
      </c>
      <c r="D143" t="str">
        <f t="shared" si="27"/>
        <v>5740</v>
      </c>
      <c r="E143" t="str">
        <f t="shared" ref="E143:E160" si="33">"111ZAA"</f>
        <v>111ZAA</v>
      </c>
      <c r="F143" t="str">
        <f>""</f>
        <v/>
      </c>
      <c r="G143" t="str">
        <f>""</f>
        <v/>
      </c>
      <c r="H143" s="1">
        <v>39691</v>
      </c>
      <c r="I143" t="str">
        <f>"BKS01049"</f>
        <v>BKS01049</v>
      </c>
      <c r="J143" t="str">
        <f>"70816"</f>
        <v>70816</v>
      </c>
      <c r="K143" t="str">
        <f t="shared" si="31"/>
        <v>AS89</v>
      </c>
      <c r="L143" t="s">
        <v>746</v>
      </c>
      <c r="M143">
        <v>105.69</v>
      </c>
    </row>
    <row r="144" spans="1:13" x14ac:dyDescent="0.25">
      <c r="A144" t="str">
        <f t="shared" si="30"/>
        <v>E111</v>
      </c>
      <c r="B144">
        <v>1</v>
      </c>
      <c r="C144" t="str">
        <f t="shared" si="32"/>
        <v>55729</v>
      </c>
      <c r="D144" t="str">
        <f t="shared" ref="D144:D160" si="34">"5741"</f>
        <v>5741</v>
      </c>
      <c r="E144" t="str">
        <f t="shared" si="33"/>
        <v>111ZAA</v>
      </c>
      <c r="F144" t="str">
        <f>""</f>
        <v/>
      </c>
      <c r="G144" t="str">
        <f>""</f>
        <v/>
      </c>
      <c r="H144" s="1">
        <v>39782</v>
      </c>
      <c r="I144" t="str">
        <f>"BKS01066"</f>
        <v>BKS01066</v>
      </c>
      <c r="J144" t="str">
        <f>"71540"</f>
        <v>71540</v>
      </c>
      <c r="K144" t="str">
        <f t="shared" si="31"/>
        <v>AS89</v>
      </c>
      <c r="L144" t="s">
        <v>746</v>
      </c>
      <c r="M144">
        <v>100</v>
      </c>
    </row>
    <row r="145" spans="1:13" x14ac:dyDescent="0.25">
      <c r="A145" t="str">
        <f t="shared" si="30"/>
        <v>E111</v>
      </c>
      <c r="B145">
        <v>1</v>
      </c>
      <c r="C145" t="str">
        <f t="shared" si="32"/>
        <v>55729</v>
      </c>
      <c r="D145" t="str">
        <f t="shared" si="34"/>
        <v>5741</v>
      </c>
      <c r="E145" t="str">
        <f t="shared" si="33"/>
        <v>111ZAA</v>
      </c>
      <c r="F145" t="str">
        <f>""</f>
        <v/>
      </c>
      <c r="G145" t="str">
        <f>""</f>
        <v/>
      </c>
      <c r="H145" s="1">
        <v>39783</v>
      </c>
      <c r="I145" t="str">
        <f>"PCD00345"</f>
        <v>PCD00345</v>
      </c>
      <c r="J145" t="str">
        <f>"89711"</f>
        <v>89711</v>
      </c>
      <c r="K145" t="str">
        <f t="shared" si="31"/>
        <v>AS89</v>
      </c>
      <c r="L145" t="s">
        <v>1134</v>
      </c>
      <c r="M145">
        <v>108.13</v>
      </c>
    </row>
    <row r="146" spans="1:13" x14ac:dyDescent="0.25">
      <c r="A146" t="str">
        <f t="shared" ref="A146:A160" si="35">"E111"</f>
        <v>E111</v>
      </c>
      <c r="B146">
        <v>1</v>
      </c>
      <c r="C146" t="str">
        <f t="shared" si="32"/>
        <v>55729</v>
      </c>
      <c r="D146" t="str">
        <f t="shared" si="34"/>
        <v>5741</v>
      </c>
      <c r="E146" t="str">
        <f t="shared" si="33"/>
        <v>111ZAA</v>
      </c>
      <c r="F146" t="str">
        <f>""</f>
        <v/>
      </c>
      <c r="G146" t="str">
        <f>""</f>
        <v/>
      </c>
      <c r="H146" s="1">
        <v>39787</v>
      </c>
      <c r="I146" t="str">
        <f>"PCD00347"</f>
        <v>PCD00347</v>
      </c>
      <c r="J146" t="str">
        <f>"90130"</f>
        <v>90130</v>
      </c>
      <c r="K146" t="str">
        <f t="shared" si="31"/>
        <v>AS89</v>
      </c>
      <c r="L146" t="s">
        <v>1133</v>
      </c>
      <c r="M146">
        <v>555.6</v>
      </c>
    </row>
    <row r="147" spans="1:13" x14ac:dyDescent="0.25">
      <c r="A147" t="str">
        <f t="shared" si="35"/>
        <v>E111</v>
      </c>
      <c r="B147">
        <v>1</v>
      </c>
      <c r="C147" t="str">
        <f t="shared" si="32"/>
        <v>55729</v>
      </c>
      <c r="D147" t="str">
        <f t="shared" si="34"/>
        <v>5741</v>
      </c>
      <c r="E147" t="str">
        <f t="shared" si="33"/>
        <v>111ZAA</v>
      </c>
      <c r="F147" t="str">
        <f>""</f>
        <v/>
      </c>
      <c r="G147" t="str">
        <f>""</f>
        <v/>
      </c>
      <c r="H147" s="1">
        <v>39813</v>
      </c>
      <c r="I147" t="str">
        <f>"PCD00350"</f>
        <v>PCD00350</v>
      </c>
      <c r="J147" t="str">
        <f>"91031"</f>
        <v>91031</v>
      </c>
      <c r="K147" t="str">
        <f t="shared" si="31"/>
        <v>AS89</v>
      </c>
      <c r="L147" t="s">
        <v>1132</v>
      </c>
      <c r="M147">
        <v>916.74</v>
      </c>
    </row>
    <row r="148" spans="1:13" x14ac:dyDescent="0.25">
      <c r="A148" t="str">
        <f t="shared" si="35"/>
        <v>E111</v>
      </c>
      <c r="B148">
        <v>1</v>
      </c>
      <c r="C148" t="str">
        <f t="shared" si="32"/>
        <v>55729</v>
      </c>
      <c r="D148" t="str">
        <f t="shared" si="34"/>
        <v>5741</v>
      </c>
      <c r="E148" t="str">
        <f t="shared" si="33"/>
        <v>111ZAA</v>
      </c>
      <c r="F148" t="str">
        <f>""</f>
        <v/>
      </c>
      <c r="G148" t="str">
        <f>""</f>
        <v/>
      </c>
      <c r="H148" s="1">
        <v>39813</v>
      </c>
      <c r="I148" t="str">
        <f>"BKS01076"</f>
        <v>BKS01076</v>
      </c>
      <c r="J148" t="str">
        <f>"71536"</f>
        <v>71536</v>
      </c>
      <c r="K148" t="str">
        <f t="shared" si="31"/>
        <v>AS89</v>
      </c>
      <c r="L148" t="s">
        <v>746</v>
      </c>
      <c r="M148">
        <v>176.15</v>
      </c>
    </row>
    <row r="149" spans="1:13" x14ac:dyDescent="0.25">
      <c r="A149" t="str">
        <f t="shared" si="35"/>
        <v>E111</v>
      </c>
      <c r="B149">
        <v>1</v>
      </c>
      <c r="C149" t="str">
        <f t="shared" si="32"/>
        <v>55729</v>
      </c>
      <c r="D149" t="str">
        <f t="shared" si="34"/>
        <v>5741</v>
      </c>
      <c r="E149" t="str">
        <f t="shared" si="33"/>
        <v>111ZAA</v>
      </c>
      <c r="F149" t="str">
        <f>""</f>
        <v/>
      </c>
      <c r="G149" t="str">
        <f>""</f>
        <v/>
      </c>
      <c r="H149" s="1">
        <v>39833</v>
      </c>
      <c r="I149" t="str">
        <f>"G0907001"</f>
        <v>G0907001</v>
      </c>
      <c r="J149" t="str">
        <f>""</f>
        <v/>
      </c>
      <c r="K149" t="str">
        <f>"J096"</f>
        <v>J096</v>
      </c>
      <c r="L149" t="s">
        <v>950</v>
      </c>
      <c r="M149">
        <v>227.61</v>
      </c>
    </row>
    <row r="150" spans="1:13" x14ac:dyDescent="0.25">
      <c r="A150" t="str">
        <f t="shared" si="35"/>
        <v>E111</v>
      </c>
      <c r="B150">
        <v>1</v>
      </c>
      <c r="C150" t="str">
        <f t="shared" si="32"/>
        <v>55729</v>
      </c>
      <c r="D150" t="str">
        <f t="shared" si="34"/>
        <v>5741</v>
      </c>
      <c r="E150" t="str">
        <f t="shared" si="33"/>
        <v>111ZAA</v>
      </c>
      <c r="F150" t="str">
        <f>""</f>
        <v/>
      </c>
      <c r="G150" t="str">
        <f>""</f>
        <v/>
      </c>
      <c r="H150" s="1">
        <v>39833</v>
      </c>
      <c r="I150" t="str">
        <f>"G0907001"</f>
        <v>G0907001</v>
      </c>
      <c r="J150" t="str">
        <f>""</f>
        <v/>
      </c>
      <c r="K150" t="str">
        <f>"J096"</f>
        <v>J096</v>
      </c>
      <c r="L150" t="s">
        <v>950</v>
      </c>
      <c r="M150">
        <v>400.44</v>
      </c>
    </row>
    <row r="151" spans="1:13" x14ac:dyDescent="0.25">
      <c r="A151" t="str">
        <f t="shared" si="35"/>
        <v>E111</v>
      </c>
      <c r="B151">
        <v>1</v>
      </c>
      <c r="C151" t="str">
        <f t="shared" si="32"/>
        <v>55729</v>
      </c>
      <c r="D151" t="str">
        <f t="shared" si="34"/>
        <v>5741</v>
      </c>
      <c r="E151" t="str">
        <f t="shared" si="33"/>
        <v>111ZAA</v>
      </c>
      <c r="F151" t="str">
        <f>""</f>
        <v/>
      </c>
      <c r="G151" t="str">
        <f>""</f>
        <v/>
      </c>
      <c r="H151" s="1">
        <v>39836</v>
      </c>
      <c r="I151" t="str">
        <f>"PCD00352"</f>
        <v>PCD00352</v>
      </c>
      <c r="J151" t="str">
        <f>"91421"</f>
        <v>91421</v>
      </c>
      <c r="K151" t="str">
        <f t="shared" ref="K151:K162" si="36">"AS89"</f>
        <v>AS89</v>
      </c>
      <c r="L151" t="s">
        <v>995</v>
      </c>
      <c r="M151">
        <v>719.99</v>
      </c>
    </row>
    <row r="152" spans="1:13" x14ac:dyDescent="0.25">
      <c r="A152" t="str">
        <f t="shared" si="35"/>
        <v>E111</v>
      </c>
      <c r="B152">
        <v>1</v>
      </c>
      <c r="C152" t="str">
        <f t="shared" si="32"/>
        <v>55729</v>
      </c>
      <c r="D152" t="str">
        <f t="shared" si="34"/>
        <v>5741</v>
      </c>
      <c r="E152" t="str">
        <f t="shared" si="33"/>
        <v>111ZAA</v>
      </c>
      <c r="F152" t="str">
        <f>""</f>
        <v/>
      </c>
      <c r="G152" t="str">
        <f>""</f>
        <v/>
      </c>
      <c r="H152" s="1">
        <v>39853</v>
      </c>
      <c r="I152" t="str">
        <f>"PCD00354"</f>
        <v>PCD00354</v>
      </c>
      <c r="J152" t="str">
        <f>"91874"</f>
        <v>91874</v>
      </c>
      <c r="K152" t="str">
        <f t="shared" si="36"/>
        <v>AS89</v>
      </c>
      <c r="L152" t="s">
        <v>1131</v>
      </c>
      <c r="M152" s="2">
        <v>1331.55</v>
      </c>
    </row>
    <row r="153" spans="1:13" x14ac:dyDescent="0.25">
      <c r="A153" t="str">
        <f t="shared" si="35"/>
        <v>E111</v>
      </c>
      <c r="B153">
        <v>1</v>
      </c>
      <c r="C153" t="str">
        <f t="shared" si="32"/>
        <v>55729</v>
      </c>
      <c r="D153" t="str">
        <f t="shared" si="34"/>
        <v>5741</v>
      </c>
      <c r="E153" t="str">
        <f t="shared" si="33"/>
        <v>111ZAA</v>
      </c>
      <c r="F153" t="str">
        <f>""</f>
        <v/>
      </c>
      <c r="G153" t="str">
        <f>""</f>
        <v/>
      </c>
      <c r="H153" s="1">
        <v>39853</v>
      </c>
      <c r="I153" t="str">
        <f>"PCD00354"</f>
        <v>PCD00354</v>
      </c>
      <c r="J153" t="str">
        <f>"91874"</f>
        <v>91874</v>
      </c>
      <c r="K153" t="str">
        <f t="shared" si="36"/>
        <v>AS89</v>
      </c>
      <c r="L153" t="s">
        <v>1130</v>
      </c>
      <c r="M153">
        <v>113.18</v>
      </c>
    </row>
    <row r="154" spans="1:13" x14ac:dyDescent="0.25">
      <c r="A154" t="str">
        <f t="shared" si="35"/>
        <v>E111</v>
      </c>
      <c r="B154">
        <v>1</v>
      </c>
      <c r="C154" t="str">
        <f t="shared" si="32"/>
        <v>55729</v>
      </c>
      <c r="D154" t="str">
        <f t="shared" si="34"/>
        <v>5741</v>
      </c>
      <c r="E154" t="str">
        <f t="shared" si="33"/>
        <v>111ZAA</v>
      </c>
      <c r="F154" t="str">
        <f>""</f>
        <v/>
      </c>
      <c r="G154" t="str">
        <f>""</f>
        <v/>
      </c>
      <c r="H154" s="1">
        <v>39933</v>
      </c>
      <c r="I154" t="str">
        <f>"BKS01099"</f>
        <v>BKS01099</v>
      </c>
      <c r="J154" t="str">
        <f>"71546"</f>
        <v>71546</v>
      </c>
      <c r="K154" t="str">
        <f t="shared" si="36"/>
        <v>AS89</v>
      </c>
      <c r="L154" t="s">
        <v>746</v>
      </c>
      <c r="M154">
        <v>305</v>
      </c>
    </row>
    <row r="155" spans="1:13" x14ac:dyDescent="0.25">
      <c r="A155" t="str">
        <f t="shared" si="35"/>
        <v>E111</v>
      </c>
      <c r="B155">
        <v>1</v>
      </c>
      <c r="C155" t="str">
        <f t="shared" si="32"/>
        <v>55729</v>
      </c>
      <c r="D155" t="str">
        <f t="shared" si="34"/>
        <v>5741</v>
      </c>
      <c r="E155" t="str">
        <f t="shared" si="33"/>
        <v>111ZAA</v>
      </c>
      <c r="F155" t="str">
        <f>""</f>
        <v/>
      </c>
      <c r="G155" t="str">
        <f>""</f>
        <v/>
      </c>
      <c r="H155" s="1">
        <v>39934</v>
      </c>
      <c r="I155" t="str">
        <f>"PCD00365"</f>
        <v>PCD00365</v>
      </c>
      <c r="J155" t="str">
        <f>"96690"</f>
        <v>96690</v>
      </c>
      <c r="K155" t="str">
        <f t="shared" si="36"/>
        <v>AS89</v>
      </c>
      <c r="L155" t="s">
        <v>1129</v>
      </c>
      <c r="M155">
        <v>161.81</v>
      </c>
    </row>
    <row r="156" spans="1:13" x14ac:dyDescent="0.25">
      <c r="A156" t="str">
        <f t="shared" si="35"/>
        <v>E111</v>
      </c>
      <c r="B156">
        <v>1</v>
      </c>
      <c r="C156" t="str">
        <f t="shared" si="32"/>
        <v>55729</v>
      </c>
      <c r="D156" t="str">
        <f t="shared" si="34"/>
        <v>5741</v>
      </c>
      <c r="E156" t="str">
        <f t="shared" si="33"/>
        <v>111ZAA</v>
      </c>
      <c r="F156" t="str">
        <f>""</f>
        <v/>
      </c>
      <c r="G156" t="str">
        <f>""</f>
        <v/>
      </c>
      <c r="H156" s="1">
        <v>39962</v>
      </c>
      <c r="I156" t="str">
        <f>"PCD00369"</f>
        <v>PCD00369</v>
      </c>
      <c r="J156" t="str">
        <f>"99232"</f>
        <v>99232</v>
      </c>
      <c r="K156" t="str">
        <f t="shared" si="36"/>
        <v>AS89</v>
      </c>
      <c r="L156" t="s">
        <v>1128</v>
      </c>
      <c r="M156">
        <v>612.49</v>
      </c>
    </row>
    <row r="157" spans="1:13" x14ac:dyDescent="0.25">
      <c r="A157" t="str">
        <f t="shared" si="35"/>
        <v>E111</v>
      </c>
      <c r="B157">
        <v>1</v>
      </c>
      <c r="C157" t="str">
        <f t="shared" si="32"/>
        <v>55729</v>
      </c>
      <c r="D157" t="str">
        <f t="shared" si="34"/>
        <v>5741</v>
      </c>
      <c r="E157" t="str">
        <f t="shared" si="33"/>
        <v>111ZAA</v>
      </c>
      <c r="F157" t="str">
        <f>""</f>
        <v/>
      </c>
      <c r="G157" t="str">
        <f>""</f>
        <v/>
      </c>
      <c r="H157" s="1">
        <v>39964</v>
      </c>
      <c r="I157" t="str">
        <f>"BKS01104"</f>
        <v>BKS01104</v>
      </c>
      <c r="J157" t="str">
        <f>"71541"</f>
        <v>71541</v>
      </c>
      <c r="K157" t="str">
        <f t="shared" si="36"/>
        <v>AS89</v>
      </c>
      <c r="L157" t="s">
        <v>746</v>
      </c>
      <c r="M157">
        <v>146.47999999999999</v>
      </c>
    </row>
    <row r="158" spans="1:13" x14ac:dyDescent="0.25">
      <c r="A158" t="str">
        <f t="shared" si="35"/>
        <v>E111</v>
      </c>
      <c r="B158">
        <v>1</v>
      </c>
      <c r="C158" t="str">
        <f t="shared" si="32"/>
        <v>55729</v>
      </c>
      <c r="D158" t="str">
        <f t="shared" si="34"/>
        <v>5741</v>
      </c>
      <c r="E158" t="str">
        <f t="shared" si="33"/>
        <v>111ZAA</v>
      </c>
      <c r="F158" t="str">
        <f>""</f>
        <v/>
      </c>
      <c r="G158" t="str">
        <f>""</f>
        <v/>
      </c>
      <c r="H158" s="1">
        <v>39964</v>
      </c>
      <c r="I158" t="str">
        <f>"BKS01104"</f>
        <v>BKS01104</v>
      </c>
      <c r="J158" t="str">
        <f>"75109"</f>
        <v>75109</v>
      </c>
      <c r="K158" t="str">
        <f t="shared" si="36"/>
        <v>AS89</v>
      </c>
      <c r="L158" t="s">
        <v>746</v>
      </c>
      <c r="M158">
        <v>300</v>
      </c>
    </row>
    <row r="159" spans="1:13" x14ac:dyDescent="0.25">
      <c r="A159" t="str">
        <f t="shared" si="35"/>
        <v>E111</v>
      </c>
      <c r="B159">
        <v>1</v>
      </c>
      <c r="C159" t="str">
        <f t="shared" si="32"/>
        <v>55729</v>
      </c>
      <c r="D159" t="str">
        <f t="shared" si="34"/>
        <v>5741</v>
      </c>
      <c r="E159" t="str">
        <f t="shared" si="33"/>
        <v>111ZAA</v>
      </c>
      <c r="F159" t="str">
        <f>""</f>
        <v/>
      </c>
      <c r="G159" t="str">
        <f>""</f>
        <v/>
      </c>
      <c r="H159" s="1">
        <v>39964</v>
      </c>
      <c r="I159" t="str">
        <f>"VUU09011"</f>
        <v>VUU09011</v>
      </c>
      <c r="J159" t="str">
        <f>"AS - OC"</f>
        <v>AS - OC</v>
      </c>
      <c r="K159" t="str">
        <f t="shared" si="36"/>
        <v>AS89</v>
      </c>
      <c r="L159" t="s">
        <v>1127</v>
      </c>
      <c r="M159">
        <v>384.88</v>
      </c>
    </row>
    <row r="160" spans="1:13" x14ac:dyDescent="0.25">
      <c r="A160" t="str">
        <f t="shared" si="35"/>
        <v>E111</v>
      </c>
      <c r="B160">
        <v>1</v>
      </c>
      <c r="C160" t="str">
        <f t="shared" si="32"/>
        <v>55729</v>
      </c>
      <c r="D160" t="str">
        <f t="shared" si="34"/>
        <v>5741</v>
      </c>
      <c r="E160" t="str">
        <f t="shared" si="33"/>
        <v>111ZAA</v>
      </c>
      <c r="F160" t="str">
        <f>""</f>
        <v/>
      </c>
      <c r="G160" t="str">
        <f>""</f>
        <v/>
      </c>
      <c r="H160" s="1">
        <v>39979</v>
      </c>
      <c r="I160" t="str">
        <f>"PCD00371"</f>
        <v>PCD00371</v>
      </c>
      <c r="J160" t="str">
        <f>"100100"</f>
        <v>100100</v>
      </c>
      <c r="K160" t="str">
        <f t="shared" si="36"/>
        <v>AS89</v>
      </c>
      <c r="L160" t="s">
        <v>1126</v>
      </c>
      <c r="M160">
        <v>228.58</v>
      </c>
    </row>
    <row r="161" spans="1:13" x14ac:dyDescent="0.25">
      <c r="A161" t="str">
        <f>"E112"</f>
        <v>E112</v>
      </c>
      <c r="B161">
        <v>1</v>
      </c>
      <c r="C161" t="str">
        <f>"14185"</f>
        <v>14185</v>
      </c>
      <c r="D161" t="str">
        <f>"5620"</f>
        <v>5620</v>
      </c>
      <c r="E161" t="str">
        <f>"094OMS"</f>
        <v>094OMS</v>
      </c>
      <c r="F161" t="str">
        <f>""</f>
        <v/>
      </c>
      <c r="G161" t="str">
        <f>""</f>
        <v/>
      </c>
      <c r="H161" s="1">
        <v>39710</v>
      </c>
      <c r="I161" t="str">
        <f>"PCD00335"</f>
        <v>PCD00335</v>
      </c>
      <c r="J161" t="str">
        <f>"84424"</f>
        <v>84424</v>
      </c>
      <c r="K161" t="str">
        <f t="shared" si="36"/>
        <v>AS89</v>
      </c>
      <c r="L161" t="s">
        <v>1125</v>
      </c>
      <c r="M161">
        <v>254.7</v>
      </c>
    </row>
    <row r="162" spans="1:13" x14ac:dyDescent="0.25">
      <c r="A162" t="str">
        <f>"E117"</f>
        <v>E117</v>
      </c>
      <c r="B162">
        <v>1</v>
      </c>
      <c r="C162" t="str">
        <f>"43001"</f>
        <v>43001</v>
      </c>
      <c r="D162" t="str">
        <f>"5740"</f>
        <v>5740</v>
      </c>
      <c r="E162" t="str">
        <f>"850LOS"</f>
        <v>850LOS</v>
      </c>
      <c r="F162" t="str">
        <f>""</f>
        <v/>
      </c>
      <c r="G162" t="str">
        <f>""</f>
        <v/>
      </c>
      <c r="H162" s="1">
        <v>39731</v>
      </c>
      <c r="I162" t="str">
        <f>"PCD00337"</f>
        <v>PCD00337</v>
      </c>
      <c r="J162" t="str">
        <f>"86583"</f>
        <v>86583</v>
      </c>
      <c r="K162" t="str">
        <f t="shared" si="36"/>
        <v>AS89</v>
      </c>
      <c r="L162" t="s">
        <v>1124</v>
      </c>
      <c r="M162">
        <v>238.87</v>
      </c>
    </row>
    <row r="163" spans="1:13" x14ac:dyDescent="0.25">
      <c r="A163" t="str">
        <f>"E117"</f>
        <v>E117</v>
      </c>
      <c r="B163">
        <v>1</v>
      </c>
      <c r="C163" t="str">
        <f>"43001"</f>
        <v>43001</v>
      </c>
      <c r="D163" t="str">
        <f>"5741"</f>
        <v>5741</v>
      </c>
      <c r="E163" t="str">
        <f>"850LOS"</f>
        <v>850LOS</v>
      </c>
      <c r="F163" t="str">
        <f>""</f>
        <v/>
      </c>
      <c r="G163" t="str">
        <f>""</f>
        <v/>
      </c>
      <c r="H163" s="1">
        <v>39964</v>
      </c>
      <c r="I163" t="str">
        <f>"G0911217"</f>
        <v>G0911217</v>
      </c>
      <c r="J163" t="str">
        <f>""</f>
        <v/>
      </c>
      <c r="K163" t="str">
        <f>"J096"</f>
        <v>J096</v>
      </c>
      <c r="L163" t="s">
        <v>949</v>
      </c>
      <c r="M163">
        <v>238.87</v>
      </c>
    </row>
    <row r="164" spans="1:13" x14ac:dyDescent="0.25">
      <c r="A164" t="str">
        <f>"E120"</f>
        <v>E120</v>
      </c>
      <c r="B164">
        <v>1</v>
      </c>
      <c r="C164" t="str">
        <f>"43000"</f>
        <v>43000</v>
      </c>
      <c r="D164" t="str">
        <f>"5740"</f>
        <v>5740</v>
      </c>
      <c r="E164" t="str">
        <f>"850LOS"</f>
        <v>850LOS</v>
      </c>
      <c r="F164" t="str">
        <f>""</f>
        <v/>
      </c>
      <c r="G164" t="str">
        <f>""</f>
        <v/>
      </c>
      <c r="H164" s="1">
        <v>39706</v>
      </c>
      <c r="I164" t="str">
        <f>"20159B"</f>
        <v>20159B</v>
      </c>
      <c r="J164" t="str">
        <f>"B125309"</f>
        <v>B125309</v>
      </c>
      <c r="K164" t="str">
        <f>"INNI"</f>
        <v>INNI</v>
      </c>
      <c r="L164" t="s">
        <v>48</v>
      </c>
      <c r="M164" s="2">
        <v>8534.39</v>
      </c>
    </row>
    <row r="165" spans="1:13" x14ac:dyDescent="0.25">
      <c r="A165" t="str">
        <f>"E120"</f>
        <v>E120</v>
      </c>
      <c r="B165">
        <v>1</v>
      </c>
      <c r="C165" t="str">
        <f>"43000"</f>
        <v>43000</v>
      </c>
      <c r="D165" t="str">
        <f>"5740"</f>
        <v>5740</v>
      </c>
      <c r="E165" t="str">
        <f>"850LOS"</f>
        <v>850LOS</v>
      </c>
      <c r="F165" t="str">
        <f>""</f>
        <v/>
      </c>
      <c r="G165" t="str">
        <f>""</f>
        <v/>
      </c>
      <c r="H165" s="1">
        <v>39972</v>
      </c>
      <c r="I165" t="str">
        <f>"135474"</f>
        <v>135474</v>
      </c>
      <c r="J165" t="str">
        <f>""</f>
        <v/>
      </c>
      <c r="K165" t="str">
        <f>"INNI"</f>
        <v>INNI</v>
      </c>
      <c r="L165" t="s">
        <v>840</v>
      </c>
      <c r="M165" s="2">
        <v>1199.51</v>
      </c>
    </row>
    <row r="166" spans="1:13" x14ac:dyDescent="0.25">
      <c r="A166" t="str">
        <f t="shared" ref="A166:A182" si="37">"E121"</f>
        <v>E121</v>
      </c>
      <c r="B166">
        <v>1</v>
      </c>
      <c r="C166" t="str">
        <f>"14185"</f>
        <v>14185</v>
      </c>
      <c r="D166" t="str">
        <f>"5620"</f>
        <v>5620</v>
      </c>
      <c r="E166" t="str">
        <f>"094OMS"</f>
        <v>094OMS</v>
      </c>
      <c r="F166" t="str">
        <f>""</f>
        <v/>
      </c>
      <c r="G166" t="str">
        <f>""</f>
        <v/>
      </c>
      <c r="H166" s="1">
        <v>39720</v>
      </c>
      <c r="I166" t="str">
        <f>"G0903148"</f>
        <v>G0903148</v>
      </c>
      <c r="J166" t="str">
        <f>""</f>
        <v/>
      </c>
      <c r="K166" t="str">
        <f>"J096"</f>
        <v>J096</v>
      </c>
      <c r="L166" t="s">
        <v>1120</v>
      </c>
      <c r="M166">
        <v>495.93</v>
      </c>
    </row>
    <row r="167" spans="1:13" x14ac:dyDescent="0.25">
      <c r="A167" t="str">
        <f t="shared" si="37"/>
        <v>E121</v>
      </c>
      <c r="B167">
        <v>1</v>
      </c>
      <c r="C167" t="str">
        <f t="shared" ref="C167:C182" si="38">"43000"</f>
        <v>43000</v>
      </c>
      <c r="D167" t="str">
        <f t="shared" ref="D167:D182" si="39">"5740"</f>
        <v>5740</v>
      </c>
      <c r="E167" t="str">
        <f t="shared" ref="E167:E182" si="40">"850LOS"</f>
        <v>850LOS</v>
      </c>
      <c r="F167" t="str">
        <f>"PKOLOT"</f>
        <v>PKOLOT</v>
      </c>
      <c r="G167" t="str">
        <f>""</f>
        <v/>
      </c>
      <c r="H167" s="1">
        <v>39766</v>
      </c>
      <c r="I167" t="str">
        <f>"PCD00342"</f>
        <v>PCD00342</v>
      </c>
      <c r="J167" t="str">
        <f>"87866"</f>
        <v>87866</v>
      </c>
      <c r="K167" t="str">
        <f>"AS89"</f>
        <v>AS89</v>
      </c>
      <c r="L167" t="s">
        <v>1123</v>
      </c>
      <c r="M167">
        <v>108.4</v>
      </c>
    </row>
    <row r="168" spans="1:13" x14ac:dyDescent="0.25">
      <c r="A168" t="str">
        <f t="shared" si="37"/>
        <v>E121</v>
      </c>
      <c r="B168">
        <v>1</v>
      </c>
      <c r="C168" t="str">
        <f t="shared" si="38"/>
        <v>43000</v>
      </c>
      <c r="D168" t="str">
        <f t="shared" si="39"/>
        <v>5740</v>
      </c>
      <c r="E168" t="str">
        <f t="shared" si="40"/>
        <v>850LOS</v>
      </c>
      <c r="F168" t="str">
        <f>"PKOLOT"</f>
        <v>PKOLOT</v>
      </c>
      <c r="G168" t="str">
        <f>""</f>
        <v/>
      </c>
      <c r="H168" s="1">
        <v>39853</v>
      </c>
      <c r="I168" t="str">
        <f>"PCD00354"</f>
        <v>PCD00354</v>
      </c>
      <c r="J168" t="str">
        <f>"91663"</f>
        <v>91663</v>
      </c>
      <c r="K168" t="str">
        <f>"AS89"</f>
        <v>AS89</v>
      </c>
      <c r="L168" t="s">
        <v>1122</v>
      </c>
      <c r="M168">
        <v>980.84</v>
      </c>
    </row>
    <row r="169" spans="1:13" x14ac:dyDescent="0.25">
      <c r="A169" t="str">
        <f t="shared" si="37"/>
        <v>E121</v>
      </c>
      <c r="B169">
        <v>1</v>
      </c>
      <c r="C169" t="str">
        <f t="shared" si="38"/>
        <v>43000</v>
      </c>
      <c r="D169" t="str">
        <f t="shared" si="39"/>
        <v>5740</v>
      </c>
      <c r="E169" t="str">
        <f t="shared" si="40"/>
        <v>850LOS</v>
      </c>
      <c r="F169" t="str">
        <f>"PKOLOT"</f>
        <v>PKOLOT</v>
      </c>
      <c r="G169" t="str">
        <f>""</f>
        <v/>
      </c>
      <c r="H169" s="1">
        <v>39885</v>
      </c>
      <c r="I169" t="str">
        <f>"PCD00359"</f>
        <v>PCD00359</v>
      </c>
      <c r="J169" t="str">
        <f>"93984"</f>
        <v>93984</v>
      </c>
      <c r="K169" t="str">
        <f>"AS89"</f>
        <v>AS89</v>
      </c>
      <c r="L169" t="s">
        <v>1121</v>
      </c>
      <c r="M169">
        <v>124.78</v>
      </c>
    </row>
    <row r="170" spans="1:13" x14ac:dyDescent="0.25">
      <c r="A170" t="str">
        <f t="shared" si="37"/>
        <v>E121</v>
      </c>
      <c r="B170">
        <v>1</v>
      </c>
      <c r="C170" t="str">
        <f t="shared" si="38"/>
        <v>43000</v>
      </c>
      <c r="D170" t="str">
        <f t="shared" si="39"/>
        <v>5740</v>
      </c>
      <c r="E170" t="str">
        <f t="shared" si="40"/>
        <v>850LOS</v>
      </c>
      <c r="F170" t="str">
        <f>""</f>
        <v/>
      </c>
      <c r="G170" t="str">
        <f>""</f>
        <v/>
      </c>
      <c r="H170" s="1">
        <v>39671</v>
      </c>
      <c r="I170" t="str">
        <f>"ACG01738"</f>
        <v>ACG01738</v>
      </c>
      <c r="J170" t="str">
        <f>"292200CR"</f>
        <v>292200CR</v>
      </c>
      <c r="K170" t="str">
        <f>"AS89"</f>
        <v>AS89</v>
      </c>
      <c r="L170" t="s">
        <v>1106</v>
      </c>
      <c r="M170">
        <v>101.69</v>
      </c>
    </row>
    <row r="171" spans="1:13" x14ac:dyDescent="0.25">
      <c r="A171" t="str">
        <f t="shared" si="37"/>
        <v>E121</v>
      </c>
      <c r="B171">
        <v>1</v>
      </c>
      <c r="C171" t="str">
        <f t="shared" si="38"/>
        <v>43000</v>
      </c>
      <c r="D171" t="str">
        <f t="shared" si="39"/>
        <v>5740</v>
      </c>
      <c r="E171" t="str">
        <f t="shared" si="40"/>
        <v>850LOS</v>
      </c>
      <c r="F171" t="str">
        <f>""</f>
        <v/>
      </c>
      <c r="G171" t="str">
        <f>""</f>
        <v/>
      </c>
      <c r="H171" s="1">
        <v>39695</v>
      </c>
      <c r="I171" t="str">
        <f>"NV299228"</f>
        <v>NV299228</v>
      </c>
      <c r="J171" t="str">
        <f>"B113857"</f>
        <v>B113857</v>
      </c>
      <c r="K171" t="str">
        <f t="shared" ref="K171:K181" si="41">"INNI"</f>
        <v>INNI</v>
      </c>
      <c r="L171" t="s">
        <v>76</v>
      </c>
      <c r="M171">
        <v>495.93</v>
      </c>
    </row>
    <row r="172" spans="1:13" x14ac:dyDescent="0.25">
      <c r="A172" t="str">
        <f t="shared" si="37"/>
        <v>E121</v>
      </c>
      <c r="B172">
        <v>1</v>
      </c>
      <c r="C172" t="str">
        <f t="shared" si="38"/>
        <v>43000</v>
      </c>
      <c r="D172" t="str">
        <f t="shared" si="39"/>
        <v>5740</v>
      </c>
      <c r="E172" t="str">
        <f t="shared" si="40"/>
        <v>850LOS</v>
      </c>
      <c r="F172" t="str">
        <f>""</f>
        <v/>
      </c>
      <c r="G172" t="str">
        <f>""</f>
        <v/>
      </c>
      <c r="H172" s="1">
        <v>39706</v>
      </c>
      <c r="I172" t="str">
        <f>"NV299520"</f>
        <v>NV299520</v>
      </c>
      <c r="J172" t="str">
        <f>"B113857"</f>
        <v>B113857</v>
      </c>
      <c r="K172" t="str">
        <f t="shared" si="41"/>
        <v>INNI</v>
      </c>
      <c r="L172" t="s">
        <v>76</v>
      </c>
      <c r="M172">
        <v>136.59</v>
      </c>
    </row>
    <row r="173" spans="1:13" x14ac:dyDescent="0.25">
      <c r="A173" t="str">
        <f t="shared" si="37"/>
        <v>E121</v>
      </c>
      <c r="B173">
        <v>1</v>
      </c>
      <c r="C173" t="str">
        <f t="shared" si="38"/>
        <v>43000</v>
      </c>
      <c r="D173" t="str">
        <f t="shared" si="39"/>
        <v>5740</v>
      </c>
      <c r="E173" t="str">
        <f t="shared" si="40"/>
        <v>850LOS</v>
      </c>
      <c r="F173" t="str">
        <f>""</f>
        <v/>
      </c>
      <c r="G173" t="str">
        <f>""</f>
        <v/>
      </c>
      <c r="H173" s="1">
        <v>39783</v>
      </c>
      <c r="I173" t="str">
        <f>"NV300586"</f>
        <v>NV300586</v>
      </c>
      <c r="J173" t="str">
        <f t="shared" ref="J173:J181" si="42">"B113857A"</f>
        <v>B113857A</v>
      </c>
      <c r="K173" t="str">
        <f t="shared" si="41"/>
        <v>INNI</v>
      </c>
      <c r="L173" t="s">
        <v>76</v>
      </c>
      <c r="M173">
        <v>164.01</v>
      </c>
    </row>
    <row r="174" spans="1:13" x14ac:dyDescent="0.25">
      <c r="A174" t="str">
        <f t="shared" si="37"/>
        <v>E121</v>
      </c>
      <c r="B174">
        <v>1</v>
      </c>
      <c r="C174" t="str">
        <f t="shared" si="38"/>
        <v>43000</v>
      </c>
      <c r="D174" t="str">
        <f t="shared" si="39"/>
        <v>5740</v>
      </c>
      <c r="E174" t="str">
        <f t="shared" si="40"/>
        <v>850LOS</v>
      </c>
      <c r="F174" t="str">
        <f>""</f>
        <v/>
      </c>
      <c r="G174" t="str">
        <f>""</f>
        <v/>
      </c>
      <c r="H174" s="1">
        <v>39821</v>
      </c>
      <c r="I174" t="str">
        <f>"NV301411"</f>
        <v>NV301411</v>
      </c>
      <c r="J174" t="str">
        <f t="shared" si="42"/>
        <v>B113857A</v>
      </c>
      <c r="K174" t="str">
        <f t="shared" si="41"/>
        <v>INNI</v>
      </c>
      <c r="L174" t="s">
        <v>76</v>
      </c>
      <c r="M174">
        <v>348.68</v>
      </c>
    </row>
    <row r="175" spans="1:13" x14ac:dyDescent="0.25">
      <c r="A175" t="str">
        <f t="shared" si="37"/>
        <v>E121</v>
      </c>
      <c r="B175">
        <v>1</v>
      </c>
      <c r="C175" t="str">
        <f t="shared" si="38"/>
        <v>43000</v>
      </c>
      <c r="D175" t="str">
        <f t="shared" si="39"/>
        <v>5740</v>
      </c>
      <c r="E175" t="str">
        <f t="shared" si="40"/>
        <v>850LOS</v>
      </c>
      <c r="F175" t="str">
        <f>""</f>
        <v/>
      </c>
      <c r="G175" t="str">
        <f>""</f>
        <v/>
      </c>
      <c r="H175" s="1">
        <v>39843</v>
      </c>
      <c r="I175" t="str">
        <f>"NV300016"</f>
        <v>NV300016</v>
      </c>
      <c r="J175" t="str">
        <f t="shared" si="42"/>
        <v>B113857A</v>
      </c>
      <c r="K175" t="str">
        <f t="shared" si="41"/>
        <v>INNI</v>
      </c>
      <c r="L175" t="s">
        <v>76</v>
      </c>
      <c r="M175">
        <v>393.59</v>
      </c>
    </row>
    <row r="176" spans="1:13" x14ac:dyDescent="0.25">
      <c r="A176" t="str">
        <f t="shared" si="37"/>
        <v>E121</v>
      </c>
      <c r="B176">
        <v>1</v>
      </c>
      <c r="C176" t="str">
        <f t="shared" si="38"/>
        <v>43000</v>
      </c>
      <c r="D176" t="str">
        <f t="shared" si="39"/>
        <v>5740</v>
      </c>
      <c r="E176" t="str">
        <f t="shared" si="40"/>
        <v>850LOS</v>
      </c>
      <c r="F176" t="str">
        <f>""</f>
        <v/>
      </c>
      <c r="G176" t="str">
        <f>""</f>
        <v/>
      </c>
      <c r="H176" s="1">
        <v>39843</v>
      </c>
      <c r="I176" t="str">
        <f>"NV300234"</f>
        <v>NV300234</v>
      </c>
      <c r="J176" t="str">
        <f t="shared" si="42"/>
        <v>B113857A</v>
      </c>
      <c r="K176" t="str">
        <f t="shared" si="41"/>
        <v>INNI</v>
      </c>
      <c r="L176" t="s">
        <v>76</v>
      </c>
      <c r="M176">
        <v>133.4</v>
      </c>
    </row>
    <row r="177" spans="1:13" x14ac:dyDescent="0.25">
      <c r="A177" t="str">
        <f t="shared" si="37"/>
        <v>E121</v>
      </c>
      <c r="B177">
        <v>1</v>
      </c>
      <c r="C177" t="str">
        <f t="shared" si="38"/>
        <v>43000</v>
      </c>
      <c r="D177" t="str">
        <f t="shared" si="39"/>
        <v>5740</v>
      </c>
      <c r="E177" t="str">
        <f t="shared" si="40"/>
        <v>850LOS</v>
      </c>
      <c r="F177" t="str">
        <f>""</f>
        <v/>
      </c>
      <c r="G177" t="str">
        <f>""</f>
        <v/>
      </c>
      <c r="H177" s="1">
        <v>39891</v>
      </c>
      <c r="I177" t="str">
        <f>"NV301972"</f>
        <v>NV301972</v>
      </c>
      <c r="J177" t="str">
        <f t="shared" si="42"/>
        <v>B113857A</v>
      </c>
      <c r="K177" t="str">
        <f t="shared" si="41"/>
        <v>INNI</v>
      </c>
      <c r="L177" t="s">
        <v>76</v>
      </c>
      <c r="M177">
        <v>581.9</v>
      </c>
    </row>
    <row r="178" spans="1:13" x14ac:dyDescent="0.25">
      <c r="A178" t="str">
        <f t="shared" si="37"/>
        <v>E121</v>
      </c>
      <c r="B178">
        <v>1</v>
      </c>
      <c r="C178" t="str">
        <f t="shared" si="38"/>
        <v>43000</v>
      </c>
      <c r="D178" t="str">
        <f t="shared" si="39"/>
        <v>5740</v>
      </c>
      <c r="E178" t="str">
        <f t="shared" si="40"/>
        <v>850LOS</v>
      </c>
      <c r="F178" t="str">
        <f>""</f>
        <v/>
      </c>
      <c r="G178" t="str">
        <f>""</f>
        <v/>
      </c>
      <c r="H178" s="1">
        <v>39891</v>
      </c>
      <c r="I178" t="str">
        <f>"NV302649"</f>
        <v>NV302649</v>
      </c>
      <c r="J178" t="str">
        <f t="shared" si="42"/>
        <v>B113857A</v>
      </c>
      <c r="K178" t="str">
        <f t="shared" si="41"/>
        <v>INNI</v>
      </c>
      <c r="L178" t="s">
        <v>76</v>
      </c>
      <c r="M178">
        <v>582.42999999999995</v>
      </c>
    </row>
    <row r="179" spans="1:13" x14ac:dyDescent="0.25">
      <c r="A179" t="str">
        <f t="shared" si="37"/>
        <v>E121</v>
      </c>
      <c r="B179">
        <v>1</v>
      </c>
      <c r="C179" t="str">
        <f t="shared" si="38"/>
        <v>43000</v>
      </c>
      <c r="D179" t="str">
        <f t="shared" si="39"/>
        <v>5740</v>
      </c>
      <c r="E179" t="str">
        <f t="shared" si="40"/>
        <v>850LOS</v>
      </c>
      <c r="F179" t="str">
        <f>""</f>
        <v/>
      </c>
      <c r="G179" t="str">
        <f>""</f>
        <v/>
      </c>
      <c r="H179" s="1">
        <v>39906</v>
      </c>
      <c r="I179" t="str">
        <f>"NV302561"</f>
        <v>NV302561</v>
      </c>
      <c r="J179" t="str">
        <f t="shared" si="42"/>
        <v>B113857A</v>
      </c>
      <c r="K179" t="str">
        <f t="shared" si="41"/>
        <v>INNI</v>
      </c>
      <c r="L179" t="s">
        <v>76</v>
      </c>
      <c r="M179">
        <v>120.01</v>
      </c>
    </row>
    <row r="180" spans="1:13" x14ac:dyDescent="0.25">
      <c r="A180" t="str">
        <f t="shared" si="37"/>
        <v>E121</v>
      </c>
      <c r="B180">
        <v>1</v>
      </c>
      <c r="C180" t="str">
        <f t="shared" si="38"/>
        <v>43000</v>
      </c>
      <c r="D180" t="str">
        <f t="shared" si="39"/>
        <v>5740</v>
      </c>
      <c r="E180" t="str">
        <f t="shared" si="40"/>
        <v>850LOS</v>
      </c>
      <c r="F180" t="str">
        <f>""</f>
        <v/>
      </c>
      <c r="G180" t="str">
        <f>""</f>
        <v/>
      </c>
      <c r="H180" s="1">
        <v>39906</v>
      </c>
      <c r="I180" t="str">
        <f>"NV302835"</f>
        <v>NV302835</v>
      </c>
      <c r="J180" t="str">
        <f t="shared" si="42"/>
        <v>B113857A</v>
      </c>
      <c r="K180" t="str">
        <f t="shared" si="41"/>
        <v>INNI</v>
      </c>
      <c r="L180" t="s">
        <v>76</v>
      </c>
      <c r="M180">
        <v>340.42</v>
      </c>
    </row>
    <row r="181" spans="1:13" x14ac:dyDescent="0.25">
      <c r="A181" t="str">
        <f t="shared" si="37"/>
        <v>E121</v>
      </c>
      <c r="B181">
        <v>1</v>
      </c>
      <c r="C181" t="str">
        <f t="shared" si="38"/>
        <v>43000</v>
      </c>
      <c r="D181" t="str">
        <f t="shared" si="39"/>
        <v>5740</v>
      </c>
      <c r="E181" t="str">
        <f t="shared" si="40"/>
        <v>850LOS</v>
      </c>
      <c r="F181" t="str">
        <f>""</f>
        <v/>
      </c>
      <c r="G181" t="str">
        <f>""</f>
        <v/>
      </c>
      <c r="H181" s="1">
        <v>39981</v>
      </c>
      <c r="I181" t="str">
        <f>"NV303358"</f>
        <v>NV303358</v>
      </c>
      <c r="J181" t="str">
        <f t="shared" si="42"/>
        <v>B113857A</v>
      </c>
      <c r="K181" t="str">
        <f t="shared" si="41"/>
        <v>INNI</v>
      </c>
      <c r="L181" t="s">
        <v>76</v>
      </c>
      <c r="M181">
        <v>149.72999999999999</v>
      </c>
    </row>
    <row r="182" spans="1:13" x14ac:dyDescent="0.25">
      <c r="A182" t="str">
        <f t="shared" si="37"/>
        <v>E121</v>
      </c>
      <c r="B182">
        <v>1</v>
      </c>
      <c r="C182" t="str">
        <f t="shared" si="38"/>
        <v>43000</v>
      </c>
      <c r="D182" t="str">
        <f t="shared" si="39"/>
        <v>5740</v>
      </c>
      <c r="E182" t="str">
        <f t="shared" si="40"/>
        <v>850LOS</v>
      </c>
      <c r="F182" t="str">
        <f>""</f>
        <v/>
      </c>
      <c r="G182" t="str">
        <f>""</f>
        <v/>
      </c>
      <c r="H182" s="1">
        <v>39994</v>
      </c>
      <c r="I182" t="str">
        <f>"PCD00374"</f>
        <v>PCD00374</v>
      </c>
      <c r="J182" t="str">
        <f>"100909"</f>
        <v>100909</v>
      </c>
      <c r="K182" t="str">
        <f t="shared" ref="K182:K213" si="43">"AS89"</f>
        <v>AS89</v>
      </c>
      <c r="L182" t="s">
        <v>1119</v>
      </c>
      <c r="M182">
        <v>124.78</v>
      </c>
    </row>
    <row r="183" spans="1:13" x14ac:dyDescent="0.25">
      <c r="A183" t="str">
        <f t="shared" ref="A183:A214" si="44">"E131"</f>
        <v>E131</v>
      </c>
      <c r="B183">
        <v>1</v>
      </c>
      <c r="C183" t="str">
        <f t="shared" ref="C183:C194" si="45">"14185"</f>
        <v>14185</v>
      </c>
      <c r="D183" t="str">
        <f t="shared" ref="D183:D194" si="46">"5620"</f>
        <v>5620</v>
      </c>
      <c r="E183" t="str">
        <f t="shared" ref="E183:E194" si="47">"094OMS"</f>
        <v>094OMS</v>
      </c>
      <c r="F183" t="str">
        <f>""</f>
        <v/>
      </c>
      <c r="G183" t="str">
        <f>""</f>
        <v/>
      </c>
      <c r="H183" s="1">
        <v>39673</v>
      </c>
      <c r="I183" t="str">
        <f>"TEL00566"</f>
        <v>TEL00566</v>
      </c>
      <c r="J183" t="str">
        <f>""</f>
        <v/>
      </c>
      <c r="K183" t="str">
        <f t="shared" si="43"/>
        <v>AS89</v>
      </c>
      <c r="L183" t="s">
        <v>1118</v>
      </c>
      <c r="M183">
        <v>686.47</v>
      </c>
    </row>
    <row r="184" spans="1:13" x14ac:dyDescent="0.25">
      <c r="A184" t="str">
        <f t="shared" si="44"/>
        <v>E131</v>
      </c>
      <c r="B184">
        <v>1</v>
      </c>
      <c r="C184" t="str">
        <f t="shared" si="45"/>
        <v>14185</v>
      </c>
      <c r="D184" t="str">
        <f t="shared" si="46"/>
        <v>5620</v>
      </c>
      <c r="E184" t="str">
        <f t="shared" si="47"/>
        <v>094OMS</v>
      </c>
      <c r="F184" t="str">
        <f>""</f>
        <v/>
      </c>
      <c r="G184" t="str">
        <f>""</f>
        <v/>
      </c>
      <c r="H184" s="1">
        <v>39700</v>
      </c>
      <c r="I184" t="str">
        <f>"TEL00567"</f>
        <v>TEL00567</v>
      </c>
      <c r="J184" t="str">
        <f>""</f>
        <v/>
      </c>
      <c r="K184" t="str">
        <f t="shared" si="43"/>
        <v>AS89</v>
      </c>
      <c r="L184" t="s">
        <v>1117</v>
      </c>
      <c r="M184">
        <v>389.09</v>
      </c>
    </row>
    <row r="185" spans="1:13" x14ac:dyDescent="0.25">
      <c r="A185" t="str">
        <f t="shared" si="44"/>
        <v>E131</v>
      </c>
      <c r="B185">
        <v>1</v>
      </c>
      <c r="C185" t="str">
        <f t="shared" si="45"/>
        <v>14185</v>
      </c>
      <c r="D185" t="str">
        <f t="shared" si="46"/>
        <v>5620</v>
      </c>
      <c r="E185" t="str">
        <f t="shared" si="47"/>
        <v>094OMS</v>
      </c>
      <c r="F185" t="str">
        <f>""</f>
        <v/>
      </c>
      <c r="G185" t="str">
        <f>""</f>
        <v/>
      </c>
      <c r="H185" s="1">
        <v>39742</v>
      </c>
      <c r="I185" t="str">
        <f>"TEL00568"</f>
        <v>TEL00568</v>
      </c>
      <c r="J185" t="str">
        <f>""</f>
        <v/>
      </c>
      <c r="K185" t="str">
        <f t="shared" si="43"/>
        <v>AS89</v>
      </c>
      <c r="L185" t="s">
        <v>1116</v>
      </c>
      <c r="M185">
        <v>350.38</v>
      </c>
    </row>
    <row r="186" spans="1:13" x14ac:dyDescent="0.25">
      <c r="A186" t="str">
        <f t="shared" si="44"/>
        <v>E131</v>
      </c>
      <c r="B186">
        <v>1</v>
      </c>
      <c r="C186" t="str">
        <f t="shared" si="45"/>
        <v>14185</v>
      </c>
      <c r="D186" t="str">
        <f t="shared" si="46"/>
        <v>5620</v>
      </c>
      <c r="E186" t="str">
        <f t="shared" si="47"/>
        <v>094OMS</v>
      </c>
      <c r="F186" t="str">
        <f>""</f>
        <v/>
      </c>
      <c r="G186" t="str">
        <f>""</f>
        <v/>
      </c>
      <c r="H186" s="1">
        <v>39765</v>
      </c>
      <c r="I186" t="str">
        <f>"TEL00569"</f>
        <v>TEL00569</v>
      </c>
      <c r="J186" t="str">
        <f>""</f>
        <v/>
      </c>
      <c r="K186" t="str">
        <f t="shared" si="43"/>
        <v>AS89</v>
      </c>
      <c r="L186" t="s">
        <v>1115</v>
      </c>
      <c r="M186">
        <v>379.44</v>
      </c>
    </row>
    <row r="187" spans="1:13" x14ac:dyDescent="0.25">
      <c r="A187" t="str">
        <f t="shared" si="44"/>
        <v>E131</v>
      </c>
      <c r="B187">
        <v>1</v>
      </c>
      <c r="C187" t="str">
        <f t="shared" si="45"/>
        <v>14185</v>
      </c>
      <c r="D187" t="str">
        <f t="shared" si="46"/>
        <v>5620</v>
      </c>
      <c r="E187" t="str">
        <f t="shared" si="47"/>
        <v>094OMS</v>
      </c>
      <c r="F187" t="str">
        <f>""</f>
        <v/>
      </c>
      <c r="G187" t="str">
        <f>""</f>
        <v/>
      </c>
      <c r="H187" s="1">
        <v>39792</v>
      </c>
      <c r="I187" t="str">
        <f>"TEL00570"</f>
        <v>TEL00570</v>
      </c>
      <c r="J187" t="str">
        <f>""</f>
        <v/>
      </c>
      <c r="K187" t="str">
        <f t="shared" si="43"/>
        <v>AS89</v>
      </c>
      <c r="L187" t="s">
        <v>1114</v>
      </c>
      <c r="M187">
        <v>339.66</v>
      </c>
    </row>
    <row r="188" spans="1:13" x14ac:dyDescent="0.25">
      <c r="A188" t="str">
        <f t="shared" si="44"/>
        <v>E131</v>
      </c>
      <c r="B188">
        <v>1</v>
      </c>
      <c r="C188" t="str">
        <f t="shared" si="45"/>
        <v>14185</v>
      </c>
      <c r="D188" t="str">
        <f t="shared" si="46"/>
        <v>5620</v>
      </c>
      <c r="E188" t="str">
        <f t="shared" si="47"/>
        <v>094OMS</v>
      </c>
      <c r="F188" t="str">
        <f>""</f>
        <v/>
      </c>
      <c r="G188" t="str">
        <f>""</f>
        <v/>
      </c>
      <c r="H188" s="1">
        <v>39826</v>
      </c>
      <c r="I188" t="str">
        <f>"TEL00571"</f>
        <v>TEL00571</v>
      </c>
      <c r="J188" t="str">
        <f>""</f>
        <v/>
      </c>
      <c r="K188" t="str">
        <f t="shared" si="43"/>
        <v>AS89</v>
      </c>
      <c r="L188" t="s">
        <v>1113</v>
      </c>
      <c r="M188">
        <v>321.27999999999997</v>
      </c>
    </row>
    <row r="189" spans="1:13" x14ac:dyDescent="0.25">
      <c r="A189" t="str">
        <f t="shared" si="44"/>
        <v>E131</v>
      </c>
      <c r="B189">
        <v>1</v>
      </c>
      <c r="C189" t="str">
        <f t="shared" si="45"/>
        <v>14185</v>
      </c>
      <c r="D189" t="str">
        <f t="shared" si="46"/>
        <v>5620</v>
      </c>
      <c r="E189" t="str">
        <f t="shared" si="47"/>
        <v>094OMS</v>
      </c>
      <c r="F189" t="str">
        <f>""</f>
        <v/>
      </c>
      <c r="G189" t="str">
        <f>""</f>
        <v/>
      </c>
      <c r="H189" s="1">
        <v>39855</v>
      </c>
      <c r="I189" t="str">
        <f>"TEL00572"</f>
        <v>TEL00572</v>
      </c>
      <c r="J189" t="str">
        <f>""</f>
        <v/>
      </c>
      <c r="K189" t="str">
        <f t="shared" si="43"/>
        <v>AS89</v>
      </c>
      <c r="L189" t="s">
        <v>1112</v>
      </c>
      <c r="M189">
        <v>350.14</v>
      </c>
    </row>
    <row r="190" spans="1:13" x14ac:dyDescent="0.25">
      <c r="A190" t="str">
        <f t="shared" si="44"/>
        <v>E131</v>
      </c>
      <c r="B190">
        <v>1</v>
      </c>
      <c r="C190" t="str">
        <f t="shared" si="45"/>
        <v>14185</v>
      </c>
      <c r="D190" t="str">
        <f t="shared" si="46"/>
        <v>5620</v>
      </c>
      <c r="E190" t="str">
        <f t="shared" si="47"/>
        <v>094OMS</v>
      </c>
      <c r="F190" t="str">
        <f>""</f>
        <v/>
      </c>
      <c r="G190" t="str">
        <f>""</f>
        <v/>
      </c>
      <c r="H190" s="1">
        <v>39882</v>
      </c>
      <c r="I190" t="str">
        <f>"TEL00573"</f>
        <v>TEL00573</v>
      </c>
      <c r="J190" t="str">
        <f>""</f>
        <v/>
      </c>
      <c r="K190" t="str">
        <f t="shared" si="43"/>
        <v>AS89</v>
      </c>
      <c r="L190" t="s">
        <v>1111</v>
      </c>
      <c r="M190">
        <v>358.13</v>
      </c>
    </row>
    <row r="191" spans="1:13" x14ac:dyDescent="0.25">
      <c r="A191" t="str">
        <f t="shared" si="44"/>
        <v>E131</v>
      </c>
      <c r="B191">
        <v>1</v>
      </c>
      <c r="C191" t="str">
        <f t="shared" si="45"/>
        <v>14185</v>
      </c>
      <c r="D191" t="str">
        <f t="shared" si="46"/>
        <v>5620</v>
      </c>
      <c r="E191" t="str">
        <f t="shared" si="47"/>
        <v>094OMS</v>
      </c>
      <c r="F191" t="str">
        <f>""</f>
        <v/>
      </c>
      <c r="G191" t="str">
        <f>""</f>
        <v/>
      </c>
      <c r="H191" s="1">
        <v>39910</v>
      </c>
      <c r="I191" t="str">
        <f>"TEL00574"</f>
        <v>TEL00574</v>
      </c>
      <c r="J191" t="str">
        <f>""</f>
        <v/>
      </c>
      <c r="K191" t="str">
        <f t="shared" si="43"/>
        <v>AS89</v>
      </c>
      <c r="L191" t="s">
        <v>1110</v>
      </c>
      <c r="M191">
        <v>383.39</v>
      </c>
    </row>
    <row r="192" spans="1:13" x14ac:dyDescent="0.25">
      <c r="A192" t="str">
        <f t="shared" si="44"/>
        <v>E131</v>
      </c>
      <c r="B192">
        <v>1</v>
      </c>
      <c r="C192" t="str">
        <f t="shared" si="45"/>
        <v>14185</v>
      </c>
      <c r="D192" t="str">
        <f t="shared" si="46"/>
        <v>5620</v>
      </c>
      <c r="E192" t="str">
        <f t="shared" si="47"/>
        <v>094OMS</v>
      </c>
      <c r="F192" t="str">
        <f>""</f>
        <v/>
      </c>
      <c r="G192" t="str">
        <f>""</f>
        <v/>
      </c>
      <c r="H192" s="1">
        <v>39945</v>
      </c>
      <c r="I192" t="str">
        <f>"TEL00575"</f>
        <v>TEL00575</v>
      </c>
      <c r="J192" t="str">
        <f>""</f>
        <v/>
      </c>
      <c r="K192" t="str">
        <f t="shared" si="43"/>
        <v>AS89</v>
      </c>
      <c r="L192" t="s">
        <v>1109</v>
      </c>
      <c r="M192">
        <v>410.85</v>
      </c>
    </row>
    <row r="193" spans="1:13" x14ac:dyDescent="0.25">
      <c r="A193" t="str">
        <f t="shared" si="44"/>
        <v>E131</v>
      </c>
      <c r="B193">
        <v>1</v>
      </c>
      <c r="C193" t="str">
        <f t="shared" si="45"/>
        <v>14185</v>
      </c>
      <c r="D193" t="str">
        <f t="shared" si="46"/>
        <v>5620</v>
      </c>
      <c r="E193" t="str">
        <f t="shared" si="47"/>
        <v>094OMS</v>
      </c>
      <c r="F193" t="str">
        <f>""</f>
        <v/>
      </c>
      <c r="G193" t="str">
        <f>""</f>
        <v/>
      </c>
      <c r="H193" s="1">
        <v>39981</v>
      </c>
      <c r="I193" t="str">
        <f>"TEL00576"</f>
        <v>TEL00576</v>
      </c>
      <c r="J193" t="str">
        <f>""</f>
        <v/>
      </c>
      <c r="K193" t="str">
        <f t="shared" si="43"/>
        <v>AS89</v>
      </c>
      <c r="L193" t="s">
        <v>1108</v>
      </c>
      <c r="M193">
        <v>367.6</v>
      </c>
    </row>
    <row r="194" spans="1:13" x14ac:dyDescent="0.25">
      <c r="A194" t="str">
        <f t="shared" si="44"/>
        <v>E131</v>
      </c>
      <c r="B194">
        <v>1</v>
      </c>
      <c r="C194" t="str">
        <f t="shared" si="45"/>
        <v>14185</v>
      </c>
      <c r="D194" t="str">
        <f t="shared" si="46"/>
        <v>5620</v>
      </c>
      <c r="E194" t="str">
        <f t="shared" si="47"/>
        <v>094OMS</v>
      </c>
      <c r="F194" t="str">
        <f>""</f>
        <v/>
      </c>
      <c r="G194" t="str">
        <f>""</f>
        <v/>
      </c>
      <c r="H194" s="1">
        <v>39994</v>
      </c>
      <c r="I194" t="str">
        <f>"TEL00577"</f>
        <v>TEL00577</v>
      </c>
      <c r="J194" t="str">
        <f>""</f>
        <v/>
      </c>
      <c r="K194" t="str">
        <f t="shared" si="43"/>
        <v>AS89</v>
      </c>
      <c r="L194" t="s">
        <v>1107</v>
      </c>
      <c r="M194">
        <v>345.69</v>
      </c>
    </row>
    <row r="195" spans="1:13" x14ac:dyDescent="0.25">
      <c r="A195" t="str">
        <f t="shared" si="44"/>
        <v>E131</v>
      </c>
      <c r="B195">
        <v>1</v>
      </c>
      <c r="C195" t="str">
        <f t="shared" ref="C195:C206" si="48">"32040"</f>
        <v>32040</v>
      </c>
      <c r="D195" t="str">
        <f t="shared" ref="D195:D206" si="49">"5610"</f>
        <v>5610</v>
      </c>
      <c r="E195" t="str">
        <f t="shared" ref="E195:E218" si="50">"850LOS"</f>
        <v>850LOS</v>
      </c>
      <c r="F195" t="str">
        <f>""</f>
        <v/>
      </c>
      <c r="G195" t="str">
        <f>""</f>
        <v/>
      </c>
      <c r="H195" s="1">
        <v>39673</v>
      </c>
      <c r="I195" t="str">
        <f>"TEL00566"</f>
        <v>TEL00566</v>
      </c>
      <c r="J195" t="str">
        <f>""</f>
        <v/>
      </c>
      <c r="K195" t="str">
        <f t="shared" si="43"/>
        <v>AS89</v>
      </c>
      <c r="L195" t="s">
        <v>1118</v>
      </c>
      <c r="M195">
        <v>270.36</v>
      </c>
    </row>
    <row r="196" spans="1:13" x14ac:dyDescent="0.25">
      <c r="A196" t="str">
        <f t="shared" si="44"/>
        <v>E131</v>
      </c>
      <c r="B196">
        <v>1</v>
      </c>
      <c r="C196" t="str">
        <f t="shared" si="48"/>
        <v>32040</v>
      </c>
      <c r="D196" t="str">
        <f t="shared" si="49"/>
        <v>5610</v>
      </c>
      <c r="E196" t="str">
        <f t="shared" si="50"/>
        <v>850LOS</v>
      </c>
      <c r="F196" t="str">
        <f>""</f>
        <v/>
      </c>
      <c r="G196" t="str">
        <f>""</f>
        <v/>
      </c>
      <c r="H196" s="1">
        <v>39700</v>
      </c>
      <c r="I196" t="str">
        <f>"TEL00567"</f>
        <v>TEL00567</v>
      </c>
      <c r="J196" t="str">
        <f>""</f>
        <v/>
      </c>
      <c r="K196" t="str">
        <f t="shared" si="43"/>
        <v>AS89</v>
      </c>
      <c r="L196" t="s">
        <v>1117</v>
      </c>
      <c r="M196">
        <v>270.39</v>
      </c>
    </row>
    <row r="197" spans="1:13" x14ac:dyDescent="0.25">
      <c r="A197" t="str">
        <f t="shared" si="44"/>
        <v>E131</v>
      </c>
      <c r="B197">
        <v>1</v>
      </c>
      <c r="C197" t="str">
        <f t="shared" si="48"/>
        <v>32040</v>
      </c>
      <c r="D197" t="str">
        <f t="shared" si="49"/>
        <v>5610</v>
      </c>
      <c r="E197" t="str">
        <f t="shared" si="50"/>
        <v>850LOS</v>
      </c>
      <c r="F197" t="str">
        <f>""</f>
        <v/>
      </c>
      <c r="G197" t="str">
        <f>""</f>
        <v/>
      </c>
      <c r="H197" s="1">
        <v>39742</v>
      </c>
      <c r="I197" t="str">
        <f>"TEL00568"</f>
        <v>TEL00568</v>
      </c>
      <c r="J197" t="str">
        <f>""</f>
        <v/>
      </c>
      <c r="K197" t="str">
        <f t="shared" si="43"/>
        <v>AS89</v>
      </c>
      <c r="L197" t="s">
        <v>1116</v>
      </c>
      <c r="M197">
        <v>272.25</v>
      </c>
    </row>
    <row r="198" spans="1:13" x14ac:dyDescent="0.25">
      <c r="A198" t="str">
        <f t="shared" si="44"/>
        <v>E131</v>
      </c>
      <c r="B198">
        <v>1</v>
      </c>
      <c r="C198" t="str">
        <f t="shared" si="48"/>
        <v>32040</v>
      </c>
      <c r="D198" t="str">
        <f t="shared" si="49"/>
        <v>5610</v>
      </c>
      <c r="E198" t="str">
        <f t="shared" si="50"/>
        <v>850LOS</v>
      </c>
      <c r="F198" t="str">
        <f>""</f>
        <v/>
      </c>
      <c r="G198" t="str">
        <f>""</f>
        <v/>
      </c>
      <c r="H198" s="1">
        <v>39765</v>
      </c>
      <c r="I198" t="str">
        <f>"TEL00569"</f>
        <v>TEL00569</v>
      </c>
      <c r="J198" t="str">
        <f>""</f>
        <v/>
      </c>
      <c r="K198" t="str">
        <f t="shared" si="43"/>
        <v>AS89</v>
      </c>
      <c r="L198" t="s">
        <v>1115</v>
      </c>
      <c r="M198">
        <v>270.44</v>
      </c>
    </row>
    <row r="199" spans="1:13" x14ac:dyDescent="0.25">
      <c r="A199" t="str">
        <f t="shared" si="44"/>
        <v>E131</v>
      </c>
      <c r="B199">
        <v>1</v>
      </c>
      <c r="C199" t="str">
        <f t="shared" si="48"/>
        <v>32040</v>
      </c>
      <c r="D199" t="str">
        <f t="shared" si="49"/>
        <v>5610</v>
      </c>
      <c r="E199" t="str">
        <f t="shared" si="50"/>
        <v>850LOS</v>
      </c>
      <c r="F199" t="str">
        <f>""</f>
        <v/>
      </c>
      <c r="G199" t="str">
        <f>""</f>
        <v/>
      </c>
      <c r="H199" s="1">
        <v>39792</v>
      </c>
      <c r="I199" t="str">
        <f>"TEL00570"</f>
        <v>TEL00570</v>
      </c>
      <c r="J199" t="str">
        <f>""</f>
        <v/>
      </c>
      <c r="K199" t="str">
        <f t="shared" si="43"/>
        <v>AS89</v>
      </c>
      <c r="L199" t="s">
        <v>1114</v>
      </c>
      <c r="M199">
        <v>270.36</v>
      </c>
    </row>
    <row r="200" spans="1:13" x14ac:dyDescent="0.25">
      <c r="A200" t="str">
        <f t="shared" si="44"/>
        <v>E131</v>
      </c>
      <c r="B200">
        <v>1</v>
      </c>
      <c r="C200" t="str">
        <f t="shared" si="48"/>
        <v>32040</v>
      </c>
      <c r="D200" t="str">
        <f t="shared" si="49"/>
        <v>5610</v>
      </c>
      <c r="E200" t="str">
        <f t="shared" si="50"/>
        <v>850LOS</v>
      </c>
      <c r="F200" t="str">
        <f>""</f>
        <v/>
      </c>
      <c r="G200" t="str">
        <f>""</f>
        <v/>
      </c>
      <c r="H200" s="1">
        <v>39826</v>
      </c>
      <c r="I200" t="str">
        <f>"TEL00571"</f>
        <v>TEL00571</v>
      </c>
      <c r="J200" t="str">
        <f>""</f>
        <v/>
      </c>
      <c r="K200" t="str">
        <f t="shared" si="43"/>
        <v>AS89</v>
      </c>
      <c r="L200" t="s">
        <v>1113</v>
      </c>
      <c r="M200">
        <v>270.36</v>
      </c>
    </row>
    <row r="201" spans="1:13" x14ac:dyDescent="0.25">
      <c r="A201" t="str">
        <f t="shared" si="44"/>
        <v>E131</v>
      </c>
      <c r="B201">
        <v>1</v>
      </c>
      <c r="C201" t="str">
        <f t="shared" si="48"/>
        <v>32040</v>
      </c>
      <c r="D201" t="str">
        <f t="shared" si="49"/>
        <v>5610</v>
      </c>
      <c r="E201" t="str">
        <f t="shared" si="50"/>
        <v>850LOS</v>
      </c>
      <c r="F201" t="str">
        <f>""</f>
        <v/>
      </c>
      <c r="G201" t="str">
        <f>""</f>
        <v/>
      </c>
      <c r="H201" s="1">
        <v>39855</v>
      </c>
      <c r="I201" t="str">
        <f>"TEL00572"</f>
        <v>TEL00572</v>
      </c>
      <c r="J201" t="str">
        <f>""</f>
        <v/>
      </c>
      <c r="K201" t="str">
        <f t="shared" si="43"/>
        <v>AS89</v>
      </c>
      <c r="L201" t="s">
        <v>1112</v>
      </c>
      <c r="M201">
        <v>262.2</v>
      </c>
    </row>
    <row r="202" spans="1:13" x14ac:dyDescent="0.25">
      <c r="A202" t="str">
        <f t="shared" si="44"/>
        <v>E131</v>
      </c>
      <c r="B202">
        <v>1</v>
      </c>
      <c r="C202" t="str">
        <f t="shared" si="48"/>
        <v>32040</v>
      </c>
      <c r="D202" t="str">
        <f t="shared" si="49"/>
        <v>5610</v>
      </c>
      <c r="E202" t="str">
        <f t="shared" si="50"/>
        <v>850LOS</v>
      </c>
      <c r="F202" t="str">
        <f>""</f>
        <v/>
      </c>
      <c r="G202" t="str">
        <f>""</f>
        <v/>
      </c>
      <c r="H202" s="1">
        <v>39882</v>
      </c>
      <c r="I202" t="str">
        <f>"TEL00573"</f>
        <v>TEL00573</v>
      </c>
      <c r="J202" t="str">
        <f>""</f>
        <v/>
      </c>
      <c r="K202" t="str">
        <f t="shared" si="43"/>
        <v>AS89</v>
      </c>
      <c r="L202" t="s">
        <v>1111</v>
      </c>
      <c r="M202">
        <v>256.98</v>
      </c>
    </row>
    <row r="203" spans="1:13" x14ac:dyDescent="0.25">
      <c r="A203" t="str">
        <f t="shared" si="44"/>
        <v>E131</v>
      </c>
      <c r="B203">
        <v>1</v>
      </c>
      <c r="C203" t="str">
        <f t="shared" si="48"/>
        <v>32040</v>
      </c>
      <c r="D203" t="str">
        <f t="shared" si="49"/>
        <v>5610</v>
      </c>
      <c r="E203" t="str">
        <f t="shared" si="50"/>
        <v>850LOS</v>
      </c>
      <c r="F203" t="str">
        <f>""</f>
        <v/>
      </c>
      <c r="G203" t="str">
        <f>""</f>
        <v/>
      </c>
      <c r="H203" s="1">
        <v>39910</v>
      </c>
      <c r="I203" t="str">
        <f>"TEL00574"</f>
        <v>TEL00574</v>
      </c>
      <c r="J203" t="str">
        <f>""</f>
        <v/>
      </c>
      <c r="K203" t="str">
        <f t="shared" si="43"/>
        <v>AS89</v>
      </c>
      <c r="L203" t="s">
        <v>1110</v>
      </c>
      <c r="M203">
        <v>256.98</v>
      </c>
    </row>
    <row r="204" spans="1:13" x14ac:dyDescent="0.25">
      <c r="A204" t="str">
        <f t="shared" si="44"/>
        <v>E131</v>
      </c>
      <c r="B204">
        <v>1</v>
      </c>
      <c r="C204" t="str">
        <f t="shared" si="48"/>
        <v>32040</v>
      </c>
      <c r="D204" t="str">
        <f t="shared" si="49"/>
        <v>5610</v>
      </c>
      <c r="E204" t="str">
        <f t="shared" si="50"/>
        <v>850LOS</v>
      </c>
      <c r="F204" t="str">
        <f>""</f>
        <v/>
      </c>
      <c r="G204" t="str">
        <f>""</f>
        <v/>
      </c>
      <c r="H204" s="1">
        <v>39945</v>
      </c>
      <c r="I204" t="str">
        <f>"TEL00575"</f>
        <v>TEL00575</v>
      </c>
      <c r="J204" t="str">
        <f>""</f>
        <v/>
      </c>
      <c r="K204" t="str">
        <f t="shared" si="43"/>
        <v>AS89</v>
      </c>
      <c r="L204" t="s">
        <v>1109</v>
      </c>
      <c r="M204">
        <v>256.98</v>
      </c>
    </row>
    <row r="205" spans="1:13" x14ac:dyDescent="0.25">
      <c r="A205" t="str">
        <f t="shared" si="44"/>
        <v>E131</v>
      </c>
      <c r="B205">
        <v>1</v>
      </c>
      <c r="C205" t="str">
        <f t="shared" si="48"/>
        <v>32040</v>
      </c>
      <c r="D205" t="str">
        <f t="shared" si="49"/>
        <v>5610</v>
      </c>
      <c r="E205" t="str">
        <f t="shared" si="50"/>
        <v>850LOS</v>
      </c>
      <c r="F205" t="str">
        <f>""</f>
        <v/>
      </c>
      <c r="G205" t="str">
        <f>""</f>
        <v/>
      </c>
      <c r="H205" s="1">
        <v>39981</v>
      </c>
      <c r="I205" t="str">
        <f>"TEL00576"</f>
        <v>TEL00576</v>
      </c>
      <c r="J205" t="str">
        <f>""</f>
        <v/>
      </c>
      <c r="K205" t="str">
        <f t="shared" si="43"/>
        <v>AS89</v>
      </c>
      <c r="L205" t="s">
        <v>1108</v>
      </c>
      <c r="M205">
        <v>257.29000000000002</v>
      </c>
    </row>
    <row r="206" spans="1:13" x14ac:dyDescent="0.25">
      <c r="A206" t="str">
        <f t="shared" si="44"/>
        <v>E131</v>
      </c>
      <c r="B206">
        <v>1</v>
      </c>
      <c r="C206" t="str">
        <f t="shared" si="48"/>
        <v>32040</v>
      </c>
      <c r="D206" t="str">
        <f t="shared" si="49"/>
        <v>5610</v>
      </c>
      <c r="E206" t="str">
        <f t="shared" si="50"/>
        <v>850LOS</v>
      </c>
      <c r="F206" t="str">
        <f>""</f>
        <v/>
      </c>
      <c r="G206" t="str">
        <f>""</f>
        <v/>
      </c>
      <c r="H206" s="1">
        <v>39994</v>
      </c>
      <c r="I206" t="str">
        <f>"TEL00577"</f>
        <v>TEL00577</v>
      </c>
      <c r="J206" t="str">
        <f>""</f>
        <v/>
      </c>
      <c r="K206" t="str">
        <f t="shared" si="43"/>
        <v>AS89</v>
      </c>
      <c r="L206" t="s">
        <v>1107</v>
      </c>
      <c r="M206">
        <v>257.64999999999998</v>
      </c>
    </row>
    <row r="207" spans="1:13" x14ac:dyDescent="0.25">
      <c r="A207" t="str">
        <f t="shared" si="44"/>
        <v>E131</v>
      </c>
      <c r="B207">
        <v>1</v>
      </c>
      <c r="C207" t="str">
        <f t="shared" ref="C207:C230" si="51">"43000"</f>
        <v>43000</v>
      </c>
      <c r="D207" t="str">
        <f t="shared" ref="D207:D235" si="52">"5740"</f>
        <v>5740</v>
      </c>
      <c r="E207" t="str">
        <f t="shared" si="50"/>
        <v>850LOS</v>
      </c>
      <c r="F207" t="str">
        <f>""</f>
        <v/>
      </c>
      <c r="G207" t="str">
        <f>""</f>
        <v/>
      </c>
      <c r="H207" s="1">
        <v>39673</v>
      </c>
      <c r="I207" t="str">
        <f>"TEL00566"</f>
        <v>TEL00566</v>
      </c>
      <c r="J207" t="str">
        <f>""</f>
        <v/>
      </c>
      <c r="K207" t="str">
        <f t="shared" si="43"/>
        <v>AS89</v>
      </c>
      <c r="L207" t="s">
        <v>1118</v>
      </c>
      <c r="M207">
        <v>740.38</v>
      </c>
    </row>
    <row r="208" spans="1:13" x14ac:dyDescent="0.25">
      <c r="A208" t="str">
        <f t="shared" si="44"/>
        <v>E131</v>
      </c>
      <c r="B208">
        <v>1</v>
      </c>
      <c r="C208" t="str">
        <f t="shared" si="51"/>
        <v>43000</v>
      </c>
      <c r="D208" t="str">
        <f t="shared" si="52"/>
        <v>5740</v>
      </c>
      <c r="E208" t="str">
        <f t="shared" si="50"/>
        <v>850LOS</v>
      </c>
      <c r="F208" t="str">
        <f>""</f>
        <v/>
      </c>
      <c r="G208" t="str">
        <f>""</f>
        <v/>
      </c>
      <c r="H208" s="1">
        <v>39700</v>
      </c>
      <c r="I208" t="str">
        <f>"TEL00567"</f>
        <v>TEL00567</v>
      </c>
      <c r="J208" t="str">
        <f>""</f>
        <v/>
      </c>
      <c r="K208" t="str">
        <f t="shared" si="43"/>
        <v>AS89</v>
      </c>
      <c r="L208" t="s">
        <v>1117</v>
      </c>
      <c r="M208">
        <v>639.94000000000005</v>
      </c>
    </row>
    <row r="209" spans="1:13" x14ac:dyDescent="0.25">
      <c r="A209" t="str">
        <f t="shared" si="44"/>
        <v>E131</v>
      </c>
      <c r="B209">
        <v>1</v>
      </c>
      <c r="C209" t="str">
        <f t="shared" si="51"/>
        <v>43000</v>
      </c>
      <c r="D209" t="str">
        <f t="shared" si="52"/>
        <v>5740</v>
      </c>
      <c r="E209" t="str">
        <f t="shared" si="50"/>
        <v>850LOS</v>
      </c>
      <c r="F209" t="str">
        <f>""</f>
        <v/>
      </c>
      <c r="G209" t="str">
        <f>""</f>
        <v/>
      </c>
      <c r="H209" s="1">
        <v>39742</v>
      </c>
      <c r="I209" t="str">
        <f>"TEL00568"</f>
        <v>TEL00568</v>
      </c>
      <c r="J209" t="str">
        <f>""</f>
        <v/>
      </c>
      <c r="K209" t="str">
        <f t="shared" si="43"/>
        <v>AS89</v>
      </c>
      <c r="L209" t="s">
        <v>1116</v>
      </c>
      <c r="M209">
        <v>608.41999999999996</v>
      </c>
    </row>
    <row r="210" spans="1:13" x14ac:dyDescent="0.25">
      <c r="A210" t="str">
        <f t="shared" si="44"/>
        <v>E131</v>
      </c>
      <c r="B210">
        <v>1</v>
      </c>
      <c r="C210" t="str">
        <f t="shared" si="51"/>
        <v>43000</v>
      </c>
      <c r="D210" t="str">
        <f t="shared" si="52"/>
        <v>5740</v>
      </c>
      <c r="E210" t="str">
        <f t="shared" si="50"/>
        <v>850LOS</v>
      </c>
      <c r="F210" t="str">
        <f>""</f>
        <v/>
      </c>
      <c r="G210" t="str">
        <f>""</f>
        <v/>
      </c>
      <c r="H210" s="1">
        <v>39765</v>
      </c>
      <c r="I210" t="str">
        <f>"TEL00569"</f>
        <v>TEL00569</v>
      </c>
      <c r="J210" t="str">
        <f>""</f>
        <v/>
      </c>
      <c r="K210" t="str">
        <f t="shared" si="43"/>
        <v>AS89</v>
      </c>
      <c r="L210" t="s">
        <v>1115</v>
      </c>
      <c r="M210">
        <v>869.62</v>
      </c>
    </row>
    <row r="211" spans="1:13" x14ac:dyDescent="0.25">
      <c r="A211" t="str">
        <f t="shared" si="44"/>
        <v>E131</v>
      </c>
      <c r="B211">
        <v>1</v>
      </c>
      <c r="C211" t="str">
        <f t="shared" si="51"/>
        <v>43000</v>
      </c>
      <c r="D211" t="str">
        <f t="shared" si="52"/>
        <v>5740</v>
      </c>
      <c r="E211" t="str">
        <f t="shared" si="50"/>
        <v>850LOS</v>
      </c>
      <c r="F211" t="str">
        <f>""</f>
        <v/>
      </c>
      <c r="G211" t="str">
        <f>""</f>
        <v/>
      </c>
      <c r="H211" s="1">
        <v>39792</v>
      </c>
      <c r="I211" t="str">
        <f>"TEL00570"</f>
        <v>TEL00570</v>
      </c>
      <c r="J211" t="str">
        <f>""</f>
        <v/>
      </c>
      <c r="K211" t="str">
        <f t="shared" si="43"/>
        <v>AS89</v>
      </c>
      <c r="L211" t="s">
        <v>1114</v>
      </c>
      <c r="M211">
        <v>634.87</v>
      </c>
    </row>
    <row r="212" spans="1:13" x14ac:dyDescent="0.25">
      <c r="A212" t="str">
        <f t="shared" si="44"/>
        <v>E131</v>
      </c>
      <c r="B212">
        <v>1</v>
      </c>
      <c r="C212" t="str">
        <f t="shared" si="51"/>
        <v>43000</v>
      </c>
      <c r="D212" t="str">
        <f t="shared" si="52"/>
        <v>5740</v>
      </c>
      <c r="E212" t="str">
        <f t="shared" si="50"/>
        <v>850LOS</v>
      </c>
      <c r="F212" t="str">
        <f>""</f>
        <v/>
      </c>
      <c r="G212" t="str">
        <f>""</f>
        <v/>
      </c>
      <c r="H212" s="1">
        <v>39826</v>
      </c>
      <c r="I212" t="str">
        <f>"TEL00571"</f>
        <v>TEL00571</v>
      </c>
      <c r="J212" t="str">
        <f>""</f>
        <v/>
      </c>
      <c r="K212" t="str">
        <f t="shared" si="43"/>
        <v>AS89</v>
      </c>
      <c r="L212" t="s">
        <v>1113</v>
      </c>
      <c r="M212">
        <v>605.37</v>
      </c>
    </row>
    <row r="213" spans="1:13" x14ac:dyDescent="0.25">
      <c r="A213" t="str">
        <f t="shared" si="44"/>
        <v>E131</v>
      </c>
      <c r="B213">
        <v>1</v>
      </c>
      <c r="C213" t="str">
        <f t="shared" si="51"/>
        <v>43000</v>
      </c>
      <c r="D213" t="str">
        <f t="shared" si="52"/>
        <v>5740</v>
      </c>
      <c r="E213" t="str">
        <f t="shared" si="50"/>
        <v>850LOS</v>
      </c>
      <c r="F213" t="str">
        <f>""</f>
        <v/>
      </c>
      <c r="G213" t="str">
        <f>""</f>
        <v/>
      </c>
      <c r="H213" s="1">
        <v>39855</v>
      </c>
      <c r="I213" t="str">
        <f>"TEL00572"</f>
        <v>TEL00572</v>
      </c>
      <c r="J213" t="str">
        <f>""</f>
        <v/>
      </c>
      <c r="K213" t="str">
        <f t="shared" si="43"/>
        <v>AS89</v>
      </c>
      <c r="L213" t="s">
        <v>1112</v>
      </c>
      <c r="M213">
        <v>610.87</v>
      </c>
    </row>
    <row r="214" spans="1:13" x14ac:dyDescent="0.25">
      <c r="A214" t="str">
        <f t="shared" si="44"/>
        <v>E131</v>
      </c>
      <c r="B214">
        <v>1</v>
      </c>
      <c r="C214" t="str">
        <f t="shared" si="51"/>
        <v>43000</v>
      </c>
      <c r="D214" t="str">
        <f t="shared" si="52"/>
        <v>5740</v>
      </c>
      <c r="E214" t="str">
        <f t="shared" si="50"/>
        <v>850LOS</v>
      </c>
      <c r="F214" t="str">
        <f>""</f>
        <v/>
      </c>
      <c r="G214" t="str">
        <f>""</f>
        <v/>
      </c>
      <c r="H214" s="1">
        <v>39882</v>
      </c>
      <c r="I214" t="str">
        <f>"TEL00573"</f>
        <v>TEL00573</v>
      </c>
      <c r="J214" t="str">
        <f>""</f>
        <v/>
      </c>
      <c r="K214" t="str">
        <f t="shared" ref="K214:K241" si="53">"AS89"</f>
        <v>AS89</v>
      </c>
      <c r="L214" t="s">
        <v>1111</v>
      </c>
      <c r="M214">
        <v>647.47</v>
      </c>
    </row>
    <row r="215" spans="1:13" x14ac:dyDescent="0.25">
      <c r="A215" t="str">
        <f t="shared" ref="A215:A244" si="54">"E131"</f>
        <v>E131</v>
      </c>
      <c r="B215">
        <v>1</v>
      </c>
      <c r="C215" t="str">
        <f t="shared" si="51"/>
        <v>43000</v>
      </c>
      <c r="D215" t="str">
        <f t="shared" si="52"/>
        <v>5740</v>
      </c>
      <c r="E215" t="str">
        <f t="shared" si="50"/>
        <v>850LOS</v>
      </c>
      <c r="F215" t="str">
        <f>""</f>
        <v/>
      </c>
      <c r="G215" t="str">
        <f>""</f>
        <v/>
      </c>
      <c r="H215" s="1">
        <v>39910</v>
      </c>
      <c r="I215" t="str">
        <f>"TEL00574"</f>
        <v>TEL00574</v>
      </c>
      <c r="J215" t="str">
        <f>""</f>
        <v/>
      </c>
      <c r="K215" t="str">
        <f t="shared" si="53"/>
        <v>AS89</v>
      </c>
      <c r="L215" t="s">
        <v>1110</v>
      </c>
      <c r="M215">
        <v>637.98</v>
      </c>
    </row>
    <row r="216" spans="1:13" x14ac:dyDescent="0.25">
      <c r="A216" t="str">
        <f t="shared" si="54"/>
        <v>E131</v>
      </c>
      <c r="B216">
        <v>1</v>
      </c>
      <c r="C216" t="str">
        <f t="shared" si="51"/>
        <v>43000</v>
      </c>
      <c r="D216" t="str">
        <f t="shared" si="52"/>
        <v>5740</v>
      </c>
      <c r="E216" t="str">
        <f t="shared" si="50"/>
        <v>850LOS</v>
      </c>
      <c r="F216" t="str">
        <f>""</f>
        <v/>
      </c>
      <c r="G216" t="str">
        <f>""</f>
        <v/>
      </c>
      <c r="H216" s="1">
        <v>39945</v>
      </c>
      <c r="I216" t="str">
        <f>"TEL00575"</f>
        <v>TEL00575</v>
      </c>
      <c r="J216" t="str">
        <f>""</f>
        <v/>
      </c>
      <c r="K216" t="str">
        <f t="shared" si="53"/>
        <v>AS89</v>
      </c>
      <c r="L216" t="s">
        <v>1109</v>
      </c>
      <c r="M216">
        <v>614.80999999999995</v>
      </c>
    </row>
    <row r="217" spans="1:13" x14ac:dyDescent="0.25">
      <c r="A217" t="str">
        <f t="shared" si="54"/>
        <v>E131</v>
      </c>
      <c r="B217">
        <v>1</v>
      </c>
      <c r="C217" t="str">
        <f t="shared" si="51"/>
        <v>43000</v>
      </c>
      <c r="D217" t="str">
        <f t="shared" si="52"/>
        <v>5740</v>
      </c>
      <c r="E217" t="str">
        <f t="shared" si="50"/>
        <v>850LOS</v>
      </c>
      <c r="F217" t="str">
        <f>""</f>
        <v/>
      </c>
      <c r="G217" t="str">
        <f>""</f>
        <v/>
      </c>
      <c r="H217" s="1">
        <v>39981</v>
      </c>
      <c r="I217" t="str">
        <f>"TEL00576"</f>
        <v>TEL00576</v>
      </c>
      <c r="J217" t="str">
        <f>""</f>
        <v/>
      </c>
      <c r="K217" t="str">
        <f t="shared" si="53"/>
        <v>AS89</v>
      </c>
      <c r="L217" t="s">
        <v>1108</v>
      </c>
      <c r="M217">
        <v>613.22</v>
      </c>
    </row>
    <row r="218" spans="1:13" x14ac:dyDescent="0.25">
      <c r="A218" t="str">
        <f t="shared" si="54"/>
        <v>E131</v>
      </c>
      <c r="B218">
        <v>1</v>
      </c>
      <c r="C218" t="str">
        <f t="shared" si="51"/>
        <v>43000</v>
      </c>
      <c r="D218" t="str">
        <f t="shared" si="52"/>
        <v>5740</v>
      </c>
      <c r="E218" t="str">
        <f t="shared" si="50"/>
        <v>850LOS</v>
      </c>
      <c r="F218" t="str">
        <f>""</f>
        <v/>
      </c>
      <c r="G218" t="str">
        <f>""</f>
        <v/>
      </c>
      <c r="H218" s="1">
        <v>39994</v>
      </c>
      <c r="I218" t="str">
        <f>"TEL00577"</f>
        <v>TEL00577</v>
      </c>
      <c r="J218" t="str">
        <f>""</f>
        <v/>
      </c>
      <c r="K218" t="str">
        <f t="shared" si="53"/>
        <v>AS89</v>
      </c>
      <c r="L218" t="s">
        <v>1107</v>
      </c>
      <c r="M218">
        <v>614.41</v>
      </c>
    </row>
    <row r="219" spans="1:13" x14ac:dyDescent="0.25">
      <c r="A219" t="str">
        <f t="shared" si="54"/>
        <v>E131</v>
      </c>
      <c r="B219">
        <v>1</v>
      </c>
      <c r="C219" t="str">
        <f t="shared" si="51"/>
        <v>43000</v>
      </c>
      <c r="D219" t="str">
        <f t="shared" si="52"/>
        <v>5740</v>
      </c>
      <c r="E219" t="str">
        <f t="shared" ref="E219:E230" si="55">"850PKE"</f>
        <v>850PKE</v>
      </c>
      <c r="F219" t="str">
        <f>""</f>
        <v/>
      </c>
      <c r="G219" t="str">
        <f>""</f>
        <v/>
      </c>
      <c r="H219" s="1">
        <v>39673</v>
      </c>
      <c r="I219" t="str">
        <f>"TEL00566"</f>
        <v>TEL00566</v>
      </c>
      <c r="J219" t="str">
        <f>""</f>
        <v/>
      </c>
      <c r="K219" t="str">
        <f t="shared" si="53"/>
        <v>AS89</v>
      </c>
      <c r="L219" t="s">
        <v>1118</v>
      </c>
      <c r="M219">
        <v>481.4</v>
      </c>
    </row>
    <row r="220" spans="1:13" x14ac:dyDescent="0.25">
      <c r="A220" t="str">
        <f t="shared" si="54"/>
        <v>E131</v>
      </c>
      <c r="B220">
        <v>1</v>
      </c>
      <c r="C220" t="str">
        <f t="shared" si="51"/>
        <v>43000</v>
      </c>
      <c r="D220" t="str">
        <f t="shared" si="52"/>
        <v>5740</v>
      </c>
      <c r="E220" t="str">
        <f t="shared" si="55"/>
        <v>850PKE</v>
      </c>
      <c r="F220" t="str">
        <f>""</f>
        <v/>
      </c>
      <c r="G220" t="str">
        <f>""</f>
        <v/>
      </c>
      <c r="H220" s="1">
        <v>39700</v>
      </c>
      <c r="I220" t="str">
        <f>"TEL00567"</f>
        <v>TEL00567</v>
      </c>
      <c r="J220" t="str">
        <f>""</f>
        <v/>
      </c>
      <c r="K220" t="str">
        <f t="shared" si="53"/>
        <v>AS89</v>
      </c>
      <c r="L220" t="s">
        <v>1117</v>
      </c>
      <c r="M220">
        <v>375.56</v>
      </c>
    </row>
    <row r="221" spans="1:13" x14ac:dyDescent="0.25">
      <c r="A221" t="str">
        <f t="shared" si="54"/>
        <v>E131</v>
      </c>
      <c r="B221">
        <v>1</v>
      </c>
      <c r="C221" t="str">
        <f t="shared" si="51"/>
        <v>43000</v>
      </c>
      <c r="D221" t="str">
        <f t="shared" si="52"/>
        <v>5740</v>
      </c>
      <c r="E221" t="str">
        <f t="shared" si="55"/>
        <v>850PKE</v>
      </c>
      <c r="F221" t="str">
        <f>""</f>
        <v/>
      </c>
      <c r="G221" t="str">
        <f>""</f>
        <v/>
      </c>
      <c r="H221" s="1">
        <v>39742</v>
      </c>
      <c r="I221" t="str">
        <f>"TEL00568"</f>
        <v>TEL00568</v>
      </c>
      <c r="J221" t="str">
        <f>""</f>
        <v/>
      </c>
      <c r="K221" t="str">
        <f t="shared" si="53"/>
        <v>AS89</v>
      </c>
      <c r="L221" t="s">
        <v>1116</v>
      </c>
      <c r="M221">
        <v>379.03</v>
      </c>
    </row>
    <row r="222" spans="1:13" x14ac:dyDescent="0.25">
      <c r="A222" t="str">
        <f t="shared" si="54"/>
        <v>E131</v>
      </c>
      <c r="B222">
        <v>1</v>
      </c>
      <c r="C222" t="str">
        <f t="shared" si="51"/>
        <v>43000</v>
      </c>
      <c r="D222" t="str">
        <f t="shared" si="52"/>
        <v>5740</v>
      </c>
      <c r="E222" t="str">
        <f t="shared" si="55"/>
        <v>850PKE</v>
      </c>
      <c r="F222" t="str">
        <f>""</f>
        <v/>
      </c>
      <c r="G222" t="str">
        <f>""</f>
        <v/>
      </c>
      <c r="H222" s="1">
        <v>39765</v>
      </c>
      <c r="I222" t="str">
        <f>"TEL00569"</f>
        <v>TEL00569</v>
      </c>
      <c r="J222" t="str">
        <f>""</f>
        <v/>
      </c>
      <c r="K222" t="str">
        <f t="shared" si="53"/>
        <v>AS89</v>
      </c>
      <c r="L222" t="s">
        <v>1115</v>
      </c>
      <c r="M222">
        <v>365.56</v>
      </c>
    </row>
    <row r="223" spans="1:13" x14ac:dyDescent="0.25">
      <c r="A223" t="str">
        <f t="shared" si="54"/>
        <v>E131</v>
      </c>
      <c r="B223">
        <v>1</v>
      </c>
      <c r="C223" t="str">
        <f t="shared" si="51"/>
        <v>43000</v>
      </c>
      <c r="D223" t="str">
        <f t="shared" si="52"/>
        <v>5740</v>
      </c>
      <c r="E223" t="str">
        <f t="shared" si="55"/>
        <v>850PKE</v>
      </c>
      <c r="F223" t="str">
        <f>""</f>
        <v/>
      </c>
      <c r="G223" t="str">
        <f>""</f>
        <v/>
      </c>
      <c r="H223" s="1">
        <v>39792</v>
      </c>
      <c r="I223" t="str">
        <f>"TEL00570"</f>
        <v>TEL00570</v>
      </c>
      <c r="J223" t="str">
        <f>""</f>
        <v/>
      </c>
      <c r="K223" t="str">
        <f t="shared" si="53"/>
        <v>AS89</v>
      </c>
      <c r="L223" t="s">
        <v>1114</v>
      </c>
      <c r="M223">
        <v>367.31</v>
      </c>
    </row>
    <row r="224" spans="1:13" x14ac:dyDescent="0.25">
      <c r="A224" t="str">
        <f t="shared" si="54"/>
        <v>E131</v>
      </c>
      <c r="B224">
        <v>1</v>
      </c>
      <c r="C224" t="str">
        <f t="shared" si="51"/>
        <v>43000</v>
      </c>
      <c r="D224" t="str">
        <f t="shared" si="52"/>
        <v>5740</v>
      </c>
      <c r="E224" t="str">
        <f t="shared" si="55"/>
        <v>850PKE</v>
      </c>
      <c r="F224" t="str">
        <f>""</f>
        <v/>
      </c>
      <c r="G224" t="str">
        <f>""</f>
        <v/>
      </c>
      <c r="H224" s="1">
        <v>39826</v>
      </c>
      <c r="I224" t="str">
        <f>"TEL00571"</f>
        <v>TEL00571</v>
      </c>
      <c r="J224" t="str">
        <f>""</f>
        <v/>
      </c>
      <c r="K224" t="str">
        <f t="shared" si="53"/>
        <v>AS89</v>
      </c>
      <c r="L224" t="s">
        <v>1113</v>
      </c>
      <c r="M224">
        <v>366.58</v>
      </c>
    </row>
    <row r="225" spans="1:13" x14ac:dyDescent="0.25">
      <c r="A225" t="str">
        <f t="shared" si="54"/>
        <v>E131</v>
      </c>
      <c r="B225">
        <v>1</v>
      </c>
      <c r="C225" t="str">
        <f t="shared" si="51"/>
        <v>43000</v>
      </c>
      <c r="D225" t="str">
        <f t="shared" si="52"/>
        <v>5740</v>
      </c>
      <c r="E225" t="str">
        <f t="shared" si="55"/>
        <v>850PKE</v>
      </c>
      <c r="F225" t="str">
        <f>""</f>
        <v/>
      </c>
      <c r="G225" t="str">
        <f>""</f>
        <v/>
      </c>
      <c r="H225" s="1">
        <v>39855</v>
      </c>
      <c r="I225" t="str">
        <f>"TEL00572"</f>
        <v>TEL00572</v>
      </c>
      <c r="J225" t="str">
        <f>""</f>
        <v/>
      </c>
      <c r="K225" t="str">
        <f t="shared" si="53"/>
        <v>AS89</v>
      </c>
      <c r="L225" t="s">
        <v>1112</v>
      </c>
      <c r="M225">
        <v>379.25</v>
      </c>
    </row>
    <row r="226" spans="1:13" x14ac:dyDescent="0.25">
      <c r="A226" t="str">
        <f t="shared" si="54"/>
        <v>E131</v>
      </c>
      <c r="B226">
        <v>1</v>
      </c>
      <c r="C226" t="str">
        <f t="shared" si="51"/>
        <v>43000</v>
      </c>
      <c r="D226" t="str">
        <f t="shared" si="52"/>
        <v>5740</v>
      </c>
      <c r="E226" t="str">
        <f t="shared" si="55"/>
        <v>850PKE</v>
      </c>
      <c r="F226" t="str">
        <f>""</f>
        <v/>
      </c>
      <c r="G226" t="str">
        <f>""</f>
        <v/>
      </c>
      <c r="H226" s="1">
        <v>39882</v>
      </c>
      <c r="I226" t="str">
        <f>"TEL00573"</f>
        <v>TEL00573</v>
      </c>
      <c r="J226" t="str">
        <f>""</f>
        <v/>
      </c>
      <c r="K226" t="str">
        <f t="shared" si="53"/>
        <v>AS89</v>
      </c>
      <c r="L226" t="s">
        <v>1111</v>
      </c>
      <c r="M226">
        <v>350.5</v>
      </c>
    </row>
    <row r="227" spans="1:13" x14ac:dyDescent="0.25">
      <c r="A227" t="str">
        <f t="shared" si="54"/>
        <v>E131</v>
      </c>
      <c r="B227">
        <v>1</v>
      </c>
      <c r="C227" t="str">
        <f t="shared" si="51"/>
        <v>43000</v>
      </c>
      <c r="D227" t="str">
        <f t="shared" si="52"/>
        <v>5740</v>
      </c>
      <c r="E227" t="str">
        <f t="shared" si="55"/>
        <v>850PKE</v>
      </c>
      <c r="F227" t="str">
        <f>""</f>
        <v/>
      </c>
      <c r="G227" t="str">
        <f>""</f>
        <v/>
      </c>
      <c r="H227" s="1">
        <v>39910</v>
      </c>
      <c r="I227" t="str">
        <f>"TEL00574"</f>
        <v>TEL00574</v>
      </c>
      <c r="J227" t="str">
        <f>""</f>
        <v/>
      </c>
      <c r="K227" t="str">
        <f t="shared" si="53"/>
        <v>AS89</v>
      </c>
      <c r="L227" t="s">
        <v>1110</v>
      </c>
      <c r="M227">
        <v>308.87</v>
      </c>
    </row>
    <row r="228" spans="1:13" x14ac:dyDescent="0.25">
      <c r="A228" t="str">
        <f t="shared" si="54"/>
        <v>E131</v>
      </c>
      <c r="B228">
        <v>1</v>
      </c>
      <c r="C228" t="str">
        <f t="shared" si="51"/>
        <v>43000</v>
      </c>
      <c r="D228" t="str">
        <f t="shared" si="52"/>
        <v>5740</v>
      </c>
      <c r="E228" t="str">
        <f t="shared" si="55"/>
        <v>850PKE</v>
      </c>
      <c r="F228" t="str">
        <f>""</f>
        <v/>
      </c>
      <c r="G228" t="str">
        <f>""</f>
        <v/>
      </c>
      <c r="H228" s="1">
        <v>39945</v>
      </c>
      <c r="I228" t="str">
        <f>"TEL00575"</f>
        <v>TEL00575</v>
      </c>
      <c r="J228" t="str">
        <f>""</f>
        <v/>
      </c>
      <c r="K228" t="str">
        <f t="shared" si="53"/>
        <v>AS89</v>
      </c>
      <c r="L228" t="s">
        <v>1109</v>
      </c>
      <c r="M228">
        <v>302.26</v>
      </c>
    </row>
    <row r="229" spans="1:13" x14ac:dyDescent="0.25">
      <c r="A229" t="str">
        <f t="shared" si="54"/>
        <v>E131</v>
      </c>
      <c r="B229">
        <v>1</v>
      </c>
      <c r="C229" t="str">
        <f t="shared" si="51"/>
        <v>43000</v>
      </c>
      <c r="D229" t="str">
        <f t="shared" si="52"/>
        <v>5740</v>
      </c>
      <c r="E229" t="str">
        <f t="shared" si="55"/>
        <v>850PKE</v>
      </c>
      <c r="F229" t="str">
        <f>""</f>
        <v/>
      </c>
      <c r="G229" t="str">
        <f>""</f>
        <v/>
      </c>
      <c r="H229" s="1">
        <v>39981</v>
      </c>
      <c r="I229" t="str">
        <f>"TEL00576"</f>
        <v>TEL00576</v>
      </c>
      <c r="J229" t="str">
        <f>""</f>
        <v/>
      </c>
      <c r="K229" t="str">
        <f t="shared" si="53"/>
        <v>AS89</v>
      </c>
      <c r="L229" t="s">
        <v>1108</v>
      </c>
      <c r="M229">
        <v>291.17</v>
      </c>
    </row>
    <row r="230" spans="1:13" x14ac:dyDescent="0.25">
      <c r="A230" t="str">
        <f t="shared" si="54"/>
        <v>E131</v>
      </c>
      <c r="B230">
        <v>1</v>
      </c>
      <c r="C230" t="str">
        <f t="shared" si="51"/>
        <v>43000</v>
      </c>
      <c r="D230" t="str">
        <f t="shared" si="52"/>
        <v>5740</v>
      </c>
      <c r="E230" t="str">
        <f t="shared" si="55"/>
        <v>850PKE</v>
      </c>
      <c r="F230" t="str">
        <f>""</f>
        <v/>
      </c>
      <c r="G230" t="str">
        <f>""</f>
        <v/>
      </c>
      <c r="H230" s="1">
        <v>39994</v>
      </c>
      <c r="I230" t="str">
        <f>"TEL00577"</f>
        <v>TEL00577</v>
      </c>
      <c r="J230" t="str">
        <f>""</f>
        <v/>
      </c>
      <c r="K230" t="str">
        <f t="shared" si="53"/>
        <v>AS89</v>
      </c>
      <c r="L230" t="s">
        <v>1107</v>
      </c>
      <c r="M230">
        <v>267.48</v>
      </c>
    </row>
    <row r="231" spans="1:13" x14ac:dyDescent="0.25">
      <c r="A231" t="str">
        <f t="shared" si="54"/>
        <v>E131</v>
      </c>
      <c r="B231">
        <v>1</v>
      </c>
      <c r="C231" t="str">
        <f t="shared" ref="C231:C244" si="56">"43001"</f>
        <v>43001</v>
      </c>
      <c r="D231" t="str">
        <f t="shared" si="52"/>
        <v>5740</v>
      </c>
      <c r="E231" t="str">
        <f t="shared" ref="E231:E244" si="57">"850LOS"</f>
        <v>850LOS</v>
      </c>
      <c r="F231" t="str">
        <f>""</f>
        <v/>
      </c>
      <c r="G231" t="str">
        <f>""</f>
        <v/>
      </c>
      <c r="H231" s="1">
        <v>39673</v>
      </c>
      <c r="I231" t="str">
        <f>"TEL00566"</f>
        <v>TEL00566</v>
      </c>
      <c r="J231" t="str">
        <f>""</f>
        <v/>
      </c>
      <c r="K231" t="str">
        <f t="shared" si="53"/>
        <v>AS89</v>
      </c>
      <c r="L231" t="s">
        <v>1118</v>
      </c>
      <c r="M231">
        <v>310.31</v>
      </c>
    </row>
    <row r="232" spans="1:13" x14ac:dyDescent="0.25">
      <c r="A232" t="str">
        <f t="shared" si="54"/>
        <v>E131</v>
      </c>
      <c r="B232">
        <v>1</v>
      </c>
      <c r="C232" t="str">
        <f t="shared" si="56"/>
        <v>43001</v>
      </c>
      <c r="D232" t="str">
        <f t="shared" si="52"/>
        <v>5740</v>
      </c>
      <c r="E232" t="str">
        <f t="shared" si="57"/>
        <v>850LOS</v>
      </c>
      <c r="F232" t="str">
        <f>""</f>
        <v/>
      </c>
      <c r="G232" t="str">
        <f>""</f>
        <v/>
      </c>
      <c r="H232" s="1">
        <v>39700</v>
      </c>
      <c r="I232" t="str">
        <f>"TEL00567"</f>
        <v>TEL00567</v>
      </c>
      <c r="J232" t="str">
        <f>""</f>
        <v/>
      </c>
      <c r="K232" t="str">
        <f t="shared" si="53"/>
        <v>AS89</v>
      </c>
      <c r="L232" t="s">
        <v>1117</v>
      </c>
      <c r="M232">
        <v>310.32</v>
      </c>
    </row>
    <row r="233" spans="1:13" x14ac:dyDescent="0.25">
      <c r="A233" t="str">
        <f t="shared" si="54"/>
        <v>E131</v>
      </c>
      <c r="B233">
        <v>1</v>
      </c>
      <c r="C233" t="str">
        <f t="shared" si="56"/>
        <v>43001</v>
      </c>
      <c r="D233" t="str">
        <f t="shared" si="52"/>
        <v>5740</v>
      </c>
      <c r="E233" t="str">
        <f t="shared" si="57"/>
        <v>850LOS</v>
      </c>
      <c r="F233" t="str">
        <f>""</f>
        <v/>
      </c>
      <c r="G233" t="str">
        <f>""</f>
        <v/>
      </c>
      <c r="H233" s="1">
        <v>39742</v>
      </c>
      <c r="I233" t="str">
        <f>"TEL00568"</f>
        <v>TEL00568</v>
      </c>
      <c r="J233" t="str">
        <f>""</f>
        <v/>
      </c>
      <c r="K233" t="str">
        <f t="shared" si="53"/>
        <v>AS89</v>
      </c>
      <c r="L233" t="s">
        <v>1116</v>
      </c>
      <c r="M233">
        <v>310.32</v>
      </c>
    </row>
    <row r="234" spans="1:13" x14ac:dyDescent="0.25">
      <c r="A234" t="str">
        <f t="shared" si="54"/>
        <v>E131</v>
      </c>
      <c r="B234">
        <v>1</v>
      </c>
      <c r="C234" t="str">
        <f t="shared" si="56"/>
        <v>43001</v>
      </c>
      <c r="D234" t="str">
        <f t="shared" si="52"/>
        <v>5740</v>
      </c>
      <c r="E234" t="str">
        <f t="shared" si="57"/>
        <v>850LOS</v>
      </c>
      <c r="F234" t="str">
        <f>""</f>
        <v/>
      </c>
      <c r="G234" t="str">
        <f>""</f>
        <v/>
      </c>
      <c r="H234" s="1">
        <v>39765</v>
      </c>
      <c r="I234" t="str">
        <f>"TEL00569"</f>
        <v>TEL00569</v>
      </c>
      <c r="J234" t="str">
        <f>""</f>
        <v/>
      </c>
      <c r="K234" t="str">
        <f t="shared" si="53"/>
        <v>AS89</v>
      </c>
      <c r="L234" t="s">
        <v>1115</v>
      </c>
      <c r="M234">
        <v>310.32</v>
      </c>
    </row>
    <row r="235" spans="1:13" x14ac:dyDescent="0.25">
      <c r="A235" t="str">
        <f t="shared" si="54"/>
        <v>E131</v>
      </c>
      <c r="B235">
        <v>1</v>
      </c>
      <c r="C235" t="str">
        <f t="shared" si="56"/>
        <v>43001</v>
      </c>
      <c r="D235" t="str">
        <f t="shared" si="52"/>
        <v>5740</v>
      </c>
      <c r="E235" t="str">
        <f t="shared" si="57"/>
        <v>850LOS</v>
      </c>
      <c r="F235" t="str">
        <f>""</f>
        <v/>
      </c>
      <c r="G235" t="str">
        <f>""</f>
        <v/>
      </c>
      <c r="H235" s="1">
        <v>39792</v>
      </c>
      <c r="I235" t="str">
        <f>"TEL00570"</f>
        <v>TEL00570</v>
      </c>
      <c r="J235" t="str">
        <f>""</f>
        <v/>
      </c>
      <c r="K235" t="str">
        <f t="shared" si="53"/>
        <v>AS89</v>
      </c>
      <c r="L235" t="s">
        <v>1114</v>
      </c>
      <c r="M235">
        <v>125.51</v>
      </c>
    </row>
    <row r="236" spans="1:13" x14ac:dyDescent="0.25">
      <c r="A236" t="str">
        <f t="shared" si="54"/>
        <v>E131</v>
      </c>
      <c r="B236">
        <v>1</v>
      </c>
      <c r="C236" t="str">
        <f t="shared" si="56"/>
        <v>43001</v>
      </c>
      <c r="D236" t="str">
        <f t="shared" ref="D236:D244" si="58">"5741"</f>
        <v>5741</v>
      </c>
      <c r="E236" t="str">
        <f t="shared" si="57"/>
        <v>850LOS</v>
      </c>
      <c r="F236" t="str">
        <f>""</f>
        <v/>
      </c>
      <c r="G236" t="str">
        <f>""</f>
        <v/>
      </c>
      <c r="H236" s="1">
        <v>39792</v>
      </c>
      <c r="I236" t="str">
        <f>"TEL00570"</f>
        <v>TEL00570</v>
      </c>
      <c r="J236" t="str">
        <f>""</f>
        <v/>
      </c>
      <c r="K236" t="str">
        <f t="shared" si="53"/>
        <v>AS89</v>
      </c>
      <c r="L236" t="s">
        <v>1114</v>
      </c>
      <c r="M236">
        <v>125.4</v>
      </c>
    </row>
    <row r="237" spans="1:13" x14ac:dyDescent="0.25">
      <c r="A237" t="str">
        <f t="shared" si="54"/>
        <v>E131</v>
      </c>
      <c r="B237">
        <v>1</v>
      </c>
      <c r="C237" t="str">
        <f t="shared" si="56"/>
        <v>43001</v>
      </c>
      <c r="D237" t="str">
        <f t="shared" si="58"/>
        <v>5741</v>
      </c>
      <c r="E237" t="str">
        <f t="shared" si="57"/>
        <v>850LOS</v>
      </c>
      <c r="F237" t="str">
        <f>""</f>
        <v/>
      </c>
      <c r="G237" t="str">
        <f>""</f>
        <v/>
      </c>
      <c r="H237" s="1">
        <v>39826</v>
      </c>
      <c r="I237" t="str">
        <f>"TEL00571"</f>
        <v>TEL00571</v>
      </c>
      <c r="J237" t="str">
        <f>""</f>
        <v/>
      </c>
      <c r="K237" t="str">
        <f t="shared" si="53"/>
        <v>AS89</v>
      </c>
      <c r="L237" t="s">
        <v>1113</v>
      </c>
      <c r="M237">
        <v>167.13</v>
      </c>
    </row>
    <row r="238" spans="1:13" x14ac:dyDescent="0.25">
      <c r="A238" t="str">
        <f t="shared" si="54"/>
        <v>E131</v>
      </c>
      <c r="B238">
        <v>1</v>
      </c>
      <c r="C238" t="str">
        <f t="shared" si="56"/>
        <v>43001</v>
      </c>
      <c r="D238" t="str">
        <f t="shared" si="58"/>
        <v>5741</v>
      </c>
      <c r="E238" t="str">
        <f t="shared" si="57"/>
        <v>850LOS</v>
      </c>
      <c r="F238" t="str">
        <f>""</f>
        <v/>
      </c>
      <c r="G238" t="str">
        <f>""</f>
        <v/>
      </c>
      <c r="H238" s="1">
        <v>39855</v>
      </c>
      <c r="I238" t="str">
        <f>"TEL00572"</f>
        <v>TEL00572</v>
      </c>
      <c r="J238" t="str">
        <f>""</f>
        <v/>
      </c>
      <c r="K238" t="str">
        <f t="shared" si="53"/>
        <v>AS89</v>
      </c>
      <c r="L238" t="s">
        <v>1112</v>
      </c>
      <c r="M238">
        <v>167.13</v>
      </c>
    </row>
    <row r="239" spans="1:13" x14ac:dyDescent="0.25">
      <c r="A239" t="str">
        <f t="shared" si="54"/>
        <v>E131</v>
      </c>
      <c r="B239">
        <v>1</v>
      </c>
      <c r="C239" t="str">
        <f t="shared" si="56"/>
        <v>43001</v>
      </c>
      <c r="D239" t="str">
        <f t="shared" si="58"/>
        <v>5741</v>
      </c>
      <c r="E239" t="str">
        <f t="shared" si="57"/>
        <v>850LOS</v>
      </c>
      <c r="F239" t="str">
        <f>""</f>
        <v/>
      </c>
      <c r="G239" t="str">
        <f>""</f>
        <v/>
      </c>
      <c r="H239" s="1">
        <v>39882</v>
      </c>
      <c r="I239" t="str">
        <f>"TEL00573"</f>
        <v>TEL00573</v>
      </c>
      <c r="J239" t="str">
        <f>""</f>
        <v/>
      </c>
      <c r="K239" t="str">
        <f t="shared" si="53"/>
        <v>AS89</v>
      </c>
      <c r="L239" t="s">
        <v>1111</v>
      </c>
      <c r="M239">
        <v>167.04</v>
      </c>
    </row>
    <row r="240" spans="1:13" x14ac:dyDescent="0.25">
      <c r="A240" t="str">
        <f t="shared" si="54"/>
        <v>E131</v>
      </c>
      <c r="B240">
        <v>1</v>
      </c>
      <c r="C240" t="str">
        <f t="shared" si="56"/>
        <v>43001</v>
      </c>
      <c r="D240" t="str">
        <f t="shared" si="58"/>
        <v>5741</v>
      </c>
      <c r="E240" t="str">
        <f t="shared" si="57"/>
        <v>850LOS</v>
      </c>
      <c r="F240" t="str">
        <f>""</f>
        <v/>
      </c>
      <c r="G240" t="str">
        <f>""</f>
        <v/>
      </c>
      <c r="H240" s="1">
        <v>39910</v>
      </c>
      <c r="I240" t="str">
        <f>"TEL00574"</f>
        <v>TEL00574</v>
      </c>
      <c r="J240" t="str">
        <f>""</f>
        <v/>
      </c>
      <c r="K240" t="str">
        <f t="shared" si="53"/>
        <v>AS89</v>
      </c>
      <c r="L240" t="s">
        <v>1110</v>
      </c>
      <c r="M240">
        <v>167.04</v>
      </c>
    </row>
    <row r="241" spans="1:13" x14ac:dyDescent="0.25">
      <c r="A241" t="str">
        <f t="shared" si="54"/>
        <v>E131</v>
      </c>
      <c r="B241">
        <v>1</v>
      </c>
      <c r="C241" t="str">
        <f t="shared" si="56"/>
        <v>43001</v>
      </c>
      <c r="D241" t="str">
        <f t="shared" si="58"/>
        <v>5741</v>
      </c>
      <c r="E241" t="str">
        <f t="shared" si="57"/>
        <v>850LOS</v>
      </c>
      <c r="F241" t="str">
        <f>""</f>
        <v/>
      </c>
      <c r="G241" t="str">
        <f>""</f>
        <v/>
      </c>
      <c r="H241" s="1">
        <v>39945</v>
      </c>
      <c r="I241" t="str">
        <f>"TEL00575"</f>
        <v>TEL00575</v>
      </c>
      <c r="J241" t="str">
        <f>""</f>
        <v/>
      </c>
      <c r="K241" t="str">
        <f t="shared" si="53"/>
        <v>AS89</v>
      </c>
      <c r="L241" t="s">
        <v>1109</v>
      </c>
      <c r="M241">
        <v>167.04</v>
      </c>
    </row>
    <row r="242" spans="1:13" x14ac:dyDescent="0.25">
      <c r="A242" t="str">
        <f t="shared" si="54"/>
        <v>E131</v>
      </c>
      <c r="B242">
        <v>1</v>
      </c>
      <c r="C242" t="str">
        <f t="shared" si="56"/>
        <v>43001</v>
      </c>
      <c r="D242" t="str">
        <f t="shared" si="58"/>
        <v>5741</v>
      </c>
      <c r="E242" t="str">
        <f t="shared" si="57"/>
        <v>850LOS</v>
      </c>
      <c r="F242" t="str">
        <f>""</f>
        <v/>
      </c>
      <c r="G242" t="str">
        <f>""</f>
        <v/>
      </c>
      <c r="H242" s="1">
        <v>39964</v>
      </c>
      <c r="I242" t="str">
        <f>"G0911217"</f>
        <v>G0911217</v>
      </c>
      <c r="J242" t="str">
        <f>""</f>
        <v/>
      </c>
      <c r="K242" t="str">
        <f>"J096"</f>
        <v>J096</v>
      </c>
      <c r="L242" t="s">
        <v>949</v>
      </c>
      <c r="M242" s="2">
        <v>1534.34</v>
      </c>
    </row>
    <row r="243" spans="1:13" x14ac:dyDescent="0.25">
      <c r="A243" t="str">
        <f t="shared" si="54"/>
        <v>E131</v>
      </c>
      <c r="B243">
        <v>1</v>
      </c>
      <c r="C243" t="str">
        <f t="shared" si="56"/>
        <v>43001</v>
      </c>
      <c r="D243" t="str">
        <f t="shared" si="58"/>
        <v>5741</v>
      </c>
      <c r="E243" t="str">
        <f t="shared" si="57"/>
        <v>850LOS</v>
      </c>
      <c r="F243" t="str">
        <f>""</f>
        <v/>
      </c>
      <c r="G243" t="str">
        <f>""</f>
        <v/>
      </c>
      <c r="H243" s="1">
        <v>39981</v>
      </c>
      <c r="I243" t="str">
        <f>"TEL00576"</f>
        <v>TEL00576</v>
      </c>
      <c r="J243" t="str">
        <f>""</f>
        <v/>
      </c>
      <c r="K243" t="str">
        <f>"AS89"</f>
        <v>AS89</v>
      </c>
      <c r="L243" t="s">
        <v>1108</v>
      </c>
      <c r="M243">
        <v>167.31</v>
      </c>
    </row>
    <row r="244" spans="1:13" x14ac:dyDescent="0.25">
      <c r="A244" t="str">
        <f t="shared" si="54"/>
        <v>E131</v>
      </c>
      <c r="B244">
        <v>1</v>
      </c>
      <c r="C244" t="str">
        <f t="shared" si="56"/>
        <v>43001</v>
      </c>
      <c r="D244" t="str">
        <f t="shared" si="58"/>
        <v>5741</v>
      </c>
      <c r="E244" t="str">
        <f t="shared" si="57"/>
        <v>850LOS</v>
      </c>
      <c r="F244" t="str">
        <f>""</f>
        <v/>
      </c>
      <c r="G244" t="str">
        <f>""</f>
        <v/>
      </c>
      <c r="H244" s="1">
        <v>39994</v>
      </c>
      <c r="I244" t="str">
        <f>"TEL00577"</f>
        <v>TEL00577</v>
      </c>
      <c r="J244" t="str">
        <f>""</f>
        <v/>
      </c>
      <c r="K244" t="str">
        <f>"AS89"</f>
        <v>AS89</v>
      </c>
      <c r="L244" t="s">
        <v>1107</v>
      </c>
      <c r="M244">
        <v>167.17</v>
      </c>
    </row>
    <row r="245" spans="1:13" x14ac:dyDescent="0.25">
      <c r="A245" t="str">
        <f t="shared" ref="A245:A252" si="59">"E133"</f>
        <v>E133</v>
      </c>
      <c r="B245">
        <v>1</v>
      </c>
      <c r="C245" t="str">
        <f t="shared" ref="C245:C254" si="60">"14185"</f>
        <v>14185</v>
      </c>
      <c r="D245" t="str">
        <f t="shared" ref="D245:D254" si="61">"5620"</f>
        <v>5620</v>
      </c>
      <c r="E245" t="str">
        <f t="shared" ref="E245:E254" si="62">"094OMS"</f>
        <v>094OMS</v>
      </c>
      <c r="F245" t="str">
        <f>""</f>
        <v/>
      </c>
      <c r="G245" t="str">
        <f>""</f>
        <v/>
      </c>
      <c r="H245" s="1">
        <v>39667</v>
      </c>
      <c r="I245" t="str">
        <f>"08036575"</f>
        <v>08036575</v>
      </c>
      <c r="J245" t="str">
        <f>"N171000N"</f>
        <v>N171000N</v>
      </c>
      <c r="K245" t="str">
        <f t="shared" ref="K245:K251" si="63">"INEI"</f>
        <v>INEI</v>
      </c>
      <c r="L245" t="s">
        <v>78</v>
      </c>
      <c r="M245">
        <v>180</v>
      </c>
    </row>
    <row r="246" spans="1:13" x14ac:dyDescent="0.25">
      <c r="A246" t="str">
        <f t="shared" si="59"/>
        <v>E133</v>
      </c>
      <c r="B246">
        <v>1</v>
      </c>
      <c r="C246" t="str">
        <f t="shared" si="60"/>
        <v>14185</v>
      </c>
      <c r="D246" t="str">
        <f t="shared" si="61"/>
        <v>5620</v>
      </c>
      <c r="E246" t="str">
        <f t="shared" si="62"/>
        <v>094OMS</v>
      </c>
      <c r="F246" t="str">
        <f>""</f>
        <v/>
      </c>
      <c r="G246" t="str">
        <f>""</f>
        <v/>
      </c>
      <c r="H246" s="1">
        <v>39721</v>
      </c>
      <c r="I246" t="str">
        <f>"00035157"</f>
        <v>00035157</v>
      </c>
      <c r="J246" t="str">
        <f t="shared" ref="J246:J251" si="64">"N171000P"</f>
        <v>N171000P</v>
      </c>
      <c r="K246" t="str">
        <f t="shared" si="63"/>
        <v>INEI</v>
      </c>
      <c r="L246" t="s">
        <v>78</v>
      </c>
      <c r="M246">
        <v>750</v>
      </c>
    </row>
    <row r="247" spans="1:13" x14ac:dyDescent="0.25">
      <c r="A247" t="str">
        <f t="shared" si="59"/>
        <v>E133</v>
      </c>
      <c r="B247">
        <v>1</v>
      </c>
      <c r="C247" t="str">
        <f t="shared" si="60"/>
        <v>14185</v>
      </c>
      <c r="D247" t="str">
        <f t="shared" si="61"/>
        <v>5620</v>
      </c>
      <c r="E247" t="str">
        <f t="shared" si="62"/>
        <v>094OMS</v>
      </c>
      <c r="F247" t="str">
        <f>""</f>
        <v/>
      </c>
      <c r="G247" t="str">
        <f>""</f>
        <v/>
      </c>
      <c r="H247" s="1">
        <v>39776</v>
      </c>
      <c r="I247" t="str">
        <f>"09000840"</f>
        <v>09000840</v>
      </c>
      <c r="J247" t="str">
        <f t="shared" si="64"/>
        <v>N171000P</v>
      </c>
      <c r="K247" t="str">
        <f t="shared" si="63"/>
        <v>INEI</v>
      </c>
      <c r="L247" t="s">
        <v>78</v>
      </c>
      <c r="M247">
        <v>150</v>
      </c>
    </row>
    <row r="248" spans="1:13" x14ac:dyDescent="0.25">
      <c r="A248" t="str">
        <f t="shared" si="59"/>
        <v>E133</v>
      </c>
      <c r="B248">
        <v>1</v>
      </c>
      <c r="C248" t="str">
        <f t="shared" si="60"/>
        <v>14185</v>
      </c>
      <c r="D248" t="str">
        <f t="shared" si="61"/>
        <v>5620</v>
      </c>
      <c r="E248" t="str">
        <f t="shared" si="62"/>
        <v>094OMS</v>
      </c>
      <c r="F248" t="str">
        <f>""</f>
        <v/>
      </c>
      <c r="G248" t="str">
        <f>""</f>
        <v/>
      </c>
      <c r="H248" s="1">
        <v>39841</v>
      </c>
      <c r="I248" t="str">
        <f>"380A00A"</f>
        <v>380A00A</v>
      </c>
      <c r="J248" t="str">
        <f t="shared" si="64"/>
        <v>N171000P</v>
      </c>
      <c r="K248" t="str">
        <f t="shared" si="63"/>
        <v>INEI</v>
      </c>
      <c r="L248" t="s">
        <v>78</v>
      </c>
      <c r="M248">
        <v>750</v>
      </c>
    </row>
    <row r="249" spans="1:13" x14ac:dyDescent="0.25">
      <c r="A249" t="str">
        <f t="shared" si="59"/>
        <v>E133</v>
      </c>
      <c r="B249">
        <v>1</v>
      </c>
      <c r="C249" t="str">
        <f t="shared" si="60"/>
        <v>14185</v>
      </c>
      <c r="D249" t="str">
        <f t="shared" si="61"/>
        <v>5620</v>
      </c>
      <c r="E249" t="str">
        <f t="shared" si="62"/>
        <v>094OMS</v>
      </c>
      <c r="F249" t="str">
        <f>""</f>
        <v/>
      </c>
      <c r="G249" t="str">
        <f>""</f>
        <v/>
      </c>
      <c r="H249" s="1">
        <v>39918</v>
      </c>
      <c r="I249" t="str">
        <f>"00036799"</f>
        <v>00036799</v>
      </c>
      <c r="J249" t="str">
        <f t="shared" si="64"/>
        <v>N171000P</v>
      </c>
      <c r="K249" t="str">
        <f t="shared" si="63"/>
        <v>INEI</v>
      </c>
      <c r="L249" t="s">
        <v>78</v>
      </c>
      <c r="M249">
        <v>750</v>
      </c>
    </row>
    <row r="250" spans="1:13" x14ac:dyDescent="0.25">
      <c r="A250" t="str">
        <f t="shared" si="59"/>
        <v>E133</v>
      </c>
      <c r="B250">
        <v>1</v>
      </c>
      <c r="C250" t="str">
        <f t="shared" si="60"/>
        <v>14185</v>
      </c>
      <c r="D250" t="str">
        <f t="shared" si="61"/>
        <v>5620</v>
      </c>
      <c r="E250" t="str">
        <f t="shared" si="62"/>
        <v>094OMS</v>
      </c>
      <c r="F250" t="str">
        <f>""</f>
        <v/>
      </c>
      <c r="G250" t="str">
        <f>""</f>
        <v/>
      </c>
      <c r="H250" s="1">
        <v>39918</v>
      </c>
      <c r="I250" t="str">
        <f>"09007002"</f>
        <v>09007002</v>
      </c>
      <c r="J250" t="str">
        <f t="shared" si="64"/>
        <v>N171000P</v>
      </c>
      <c r="K250" t="str">
        <f t="shared" si="63"/>
        <v>INEI</v>
      </c>
      <c r="L250" t="s">
        <v>78</v>
      </c>
      <c r="M250">
        <v>580</v>
      </c>
    </row>
    <row r="251" spans="1:13" x14ac:dyDescent="0.25">
      <c r="A251" t="str">
        <f t="shared" si="59"/>
        <v>E133</v>
      </c>
      <c r="B251">
        <v>1</v>
      </c>
      <c r="C251" t="str">
        <f t="shared" si="60"/>
        <v>14185</v>
      </c>
      <c r="D251" t="str">
        <f t="shared" si="61"/>
        <v>5620</v>
      </c>
      <c r="E251" t="str">
        <f t="shared" si="62"/>
        <v>094OMS</v>
      </c>
      <c r="F251" t="str">
        <f>""</f>
        <v/>
      </c>
      <c r="G251" t="str">
        <f>""</f>
        <v/>
      </c>
      <c r="H251" s="1">
        <v>39966</v>
      </c>
      <c r="I251" t="str">
        <f>"09007864"</f>
        <v>09007864</v>
      </c>
      <c r="J251" t="str">
        <f t="shared" si="64"/>
        <v>N171000P</v>
      </c>
      <c r="K251" t="str">
        <f t="shared" si="63"/>
        <v>INEI</v>
      </c>
      <c r="L251" t="s">
        <v>78</v>
      </c>
      <c r="M251">
        <v>320</v>
      </c>
    </row>
    <row r="252" spans="1:13" x14ac:dyDescent="0.25">
      <c r="A252" t="str">
        <f t="shared" si="59"/>
        <v>E133</v>
      </c>
      <c r="B252">
        <v>1</v>
      </c>
      <c r="C252" t="str">
        <f t="shared" si="60"/>
        <v>14185</v>
      </c>
      <c r="D252" t="str">
        <f t="shared" si="61"/>
        <v>5620</v>
      </c>
      <c r="E252" t="str">
        <f t="shared" si="62"/>
        <v>094OMS</v>
      </c>
      <c r="F252" t="str">
        <f>""</f>
        <v/>
      </c>
      <c r="G252" t="str">
        <f>""</f>
        <v/>
      </c>
      <c r="H252" s="1">
        <v>39994</v>
      </c>
      <c r="I252" t="str">
        <f>"ACG01846"</f>
        <v>ACG01846</v>
      </c>
      <c r="J252" t="str">
        <f>"00037569"</f>
        <v>00037569</v>
      </c>
      <c r="K252" t="str">
        <f>"AS79"</f>
        <v>AS79</v>
      </c>
      <c r="L252" t="s">
        <v>1105</v>
      </c>
      <c r="M252">
        <v>750</v>
      </c>
    </row>
    <row r="253" spans="1:13" x14ac:dyDescent="0.25">
      <c r="A253" t="str">
        <f>"E150"</f>
        <v>E150</v>
      </c>
      <c r="B253">
        <v>1</v>
      </c>
      <c r="C253" t="str">
        <f t="shared" si="60"/>
        <v>14185</v>
      </c>
      <c r="D253" t="str">
        <f t="shared" si="61"/>
        <v>5620</v>
      </c>
      <c r="E253" t="str">
        <f t="shared" si="62"/>
        <v>094OMS</v>
      </c>
      <c r="F253" t="str">
        <f>""</f>
        <v/>
      </c>
      <c r="G253" t="str">
        <f>""</f>
        <v/>
      </c>
      <c r="H253" s="1">
        <v>39690</v>
      </c>
      <c r="I253" t="str">
        <f>"MPG00347"</f>
        <v>MPG00347</v>
      </c>
      <c r="J253" t="str">
        <f>""</f>
        <v/>
      </c>
      <c r="K253" t="str">
        <f>"AS89"</f>
        <v>AS89</v>
      </c>
      <c r="L253" t="s">
        <v>1104</v>
      </c>
      <c r="M253" s="2">
        <v>41000</v>
      </c>
    </row>
    <row r="254" spans="1:13" x14ac:dyDescent="0.25">
      <c r="A254" t="str">
        <f>"E150"</f>
        <v>E150</v>
      </c>
      <c r="B254">
        <v>1</v>
      </c>
      <c r="C254" t="str">
        <f t="shared" si="60"/>
        <v>14185</v>
      </c>
      <c r="D254" t="str">
        <f t="shared" si="61"/>
        <v>5620</v>
      </c>
      <c r="E254" t="str">
        <f t="shared" si="62"/>
        <v>094OMS</v>
      </c>
      <c r="F254" t="str">
        <f>""</f>
        <v/>
      </c>
      <c r="G254" t="str">
        <f>""</f>
        <v/>
      </c>
      <c r="H254" s="1">
        <v>39857</v>
      </c>
      <c r="I254" t="str">
        <f>"125374"</f>
        <v>125374</v>
      </c>
      <c r="J254" t="str">
        <f>""</f>
        <v/>
      </c>
      <c r="K254" t="str">
        <f>"INNI"</f>
        <v>INNI</v>
      </c>
      <c r="L254" t="s">
        <v>92</v>
      </c>
      <c r="M254" s="2">
        <v>1400</v>
      </c>
    </row>
    <row r="255" spans="1:13" x14ac:dyDescent="0.25">
      <c r="A255" t="str">
        <f>"E150"</f>
        <v>E150</v>
      </c>
      <c r="B255">
        <v>1</v>
      </c>
      <c r="C255" t="str">
        <f>"43000"</f>
        <v>43000</v>
      </c>
      <c r="D255" t="str">
        <f>"5740"</f>
        <v>5740</v>
      </c>
      <c r="E255" t="str">
        <f>"850LOS"</f>
        <v>850LOS</v>
      </c>
      <c r="F255" t="str">
        <f>""</f>
        <v/>
      </c>
      <c r="G255" t="str">
        <f>""</f>
        <v/>
      </c>
      <c r="H255" s="1">
        <v>39994</v>
      </c>
      <c r="I255" t="str">
        <f>"G0912301"</f>
        <v>G0912301</v>
      </c>
      <c r="J255" t="str">
        <f>"428354"</f>
        <v>428354</v>
      </c>
      <c r="K255" t="str">
        <f>"J096"</f>
        <v>J096</v>
      </c>
      <c r="L255" t="s">
        <v>1103</v>
      </c>
      <c r="M255">
        <v>270</v>
      </c>
    </row>
    <row r="256" spans="1:13" x14ac:dyDescent="0.25">
      <c r="A256" t="str">
        <f>"E150"</f>
        <v>E150</v>
      </c>
      <c r="B256">
        <v>1</v>
      </c>
      <c r="C256" t="str">
        <f>"43000"</f>
        <v>43000</v>
      </c>
      <c r="D256" t="str">
        <f>"5740"</f>
        <v>5740</v>
      </c>
      <c r="E256" t="str">
        <f>"850PKE"</f>
        <v>850PKE</v>
      </c>
      <c r="F256" t="str">
        <f>""</f>
        <v/>
      </c>
      <c r="G256" t="str">
        <f>""</f>
        <v/>
      </c>
      <c r="H256" s="1">
        <v>39857</v>
      </c>
      <c r="I256" t="str">
        <f>"125374"</f>
        <v>125374</v>
      </c>
      <c r="J256" t="str">
        <f>""</f>
        <v/>
      </c>
      <c r="K256" t="str">
        <f>"INNI"</f>
        <v>INNI</v>
      </c>
      <c r="L256" t="s">
        <v>92</v>
      </c>
      <c r="M256">
        <v>700</v>
      </c>
    </row>
    <row r="257" spans="1:13" x14ac:dyDescent="0.25">
      <c r="A257" t="str">
        <f>"E157"</f>
        <v>E157</v>
      </c>
      <c r="B257">
        <v>1</v>
      </c>
      <c r="C257" t="str">
        <f>"14185"</f>
        <v>14185</v>
      </c>
      <c r="D257" t="str">
        <f>"5620"</f>
        <v>5620</v>
      </c>
      <c r="E257" t="str">
        <f>"094OMS"</f>
        <v>094OMS</v>
      </c>
      <c r="F257" t="str">
        <f>""</f>
        <v/>
      </c>
      <c r="G257" t="str">
        <f>""</f>
        <v/>
      </c>
      <c r="H257" s="1">
        <v>39772</v>
      </c>
      <c r="I257" t="str">
        <f>"125355"</f>
        <v>125355</v>
      </c>
      <c r="J257" t="str">
        <f>""</f>
        <v/>
      </c>
      <c r="K257" t="str">
        <f>"INNI"</f>
        <v>INNI</v>
      </c>
      <c r="L257" t="s">
        <v>1102</v>
      </c>
      <c r="M257">
        <v>600</v>
      </c>
    </row>
    <row r="258" spans="1:13" x14ac:dyDescent="0.25">
      <c r="A258" t="str">
        <f>"E157"</f>
        <v>E157</v>
      </c>
      <c r="B258">
        <v>1</v>
      </c>
      <c r="C258" t="str">
        <f>"32040"</f>
        <v>32040</v>
      </c>
      <c r="D258" t="str">
        <f>"5610"</f>
        <v>5610</v>
      </c>
      <c r="E258" t="str">
        <f>"850LOS"</f>
        <v>850LOS</v>
      </c>
      <c r="F258" t="str">
        <f>""</f>
        <v/>
      </c>
      <c r="G258" t="str">
        <f>""</f>
        <v/>
      </c>
      <c r="H258" s="1">
        <v>39743</v>
      </c>
      <c r="I258" t="str">
        <f>"Q45617"</f>
        <v>Q45617</v>
      </c>
      <c r="J258" t="str">
        <f>""</f>
        <v/>
      </c>
      <c r="K258" t="str">
        <f>"INNI"</f>
        <v>INNI</v>
      </c>
      <c r="L258" t="s">
        <v>337</v>
      </c>
      <c r="M258">
        <v>199</v>
      </c>
    </row>
    <row r="259" spans="1:13" x14ac:dyDescent="0.25">
      <c r="A259" t="str">
        <f t="shared" ref="A259:A280" si="65">"E160"</f>
        <v>E160</v>
      </c>
      <c r="B259">
        <v>1</v>
      </c>
      <c r="C259" t="str">
        <f t="shared" ref="C259:C270" si="66">"14185"</f>
        <v>14185</v>
      </c>
      <c r="D259" t="str">
        <f t="shared" ref="D259:D271" si="67">"5620"</f>
        <v>5620</v>
      </c>
      <c r="E259" t="str">
        <f t="shared" ref="E259:E271" si="68">"094OMS"</f>
        <v>094OMS</v>
      </c>
      <c r="F259" t="str">
        <f>""</f>
        <v/>
      </c>
      <c r="G259" t="str">
        <f>""</f>
        <v/>
      </c>
      <c r="H259" s="1">
        <v>39630</v>
      </c>
      <c r="I259" t="str">
        <f>"PHY00485"</f>
        <v>PHY00485</v>
      </c>
      <c r="J259" t="str">
        <f>"W0022835"</f>
        <v>W0022835</v>
      </c>
      <c r="K259" t="str">
        <f t="shared" ref="K259:K270" si="69">"AS89"</f>
        <v>AS89</v>
      </c>
      <c r="L259" t="s">
        <v>1101</v>
      </c>
      <c r="M259">
        <v>500.79</v>
      </c>
    </row>
    <row r="260" spans="1:13" x14ac:dyDescent="0.25">
      <c r="A260" t="str">
        <f t="shared" si="65"/>
        <v>E160</v>
      </c>
      <c r="B260">
        <v>1</v>
      </c>
      <c r="C260" t="str">
        <f t="shared" si="66"/>
        <v>14185</v>
      </c>
      <c r="D260" t="str">
        <f t="shared" si="67"/>
        <v>5620</v>
      </c>
      <c r="E260" t="str">
        <f t="shared" si="68"/>
        <v>094OMS</v>
      </c>
      <c r="F260" t="str">
        <f>""</f>
        <v/>
      </c>
      <c r="G260" t="str">
        <f>""</f>
        <v/>
      </c>
      <c r="H260" s="1">
        <v>39783</v>
      </c>
      <c r="I260" t="str">
        <f>"PHY00495"</f>
        <v>PHY00495</v>
      </c>
      <c r="J260" t="str">
        <f>"W0030724"</f>
        <v>W0030724</v>
      </c>
      <c r="K260" t="str">
        <f t="shared" si="69"/>
        <v>AS89</v>
      </c>
      <c r="L260" t="s">
        <v>1100</v>
      </c>
      <c r="M260">
        <v>321.77</v>
      </c>
    </row>
    <row r="261" spans="1:13" x14ac:dyDescent="0.25">
      <c r="A261" t="str">
        <f t="shared" si="65"/>
        <v>E160</v>
      </c>
      <c r="B261">
        <v>1</v>
      </c>
      <c r="C261" t="str">
        <f t="shared" si="66"/>
        <v>14185</v>
      </c>
      <c r="D261" t="str">
        <f t="shared" si="67"/>
        <v>5620</v>
      </c>
      <c r="E261" t="str">
        <f t="shared" si="68"/>
        <v>094OMS</v>
      </c>
      <c r="F261" t="str">
        <f>""</f>
        <v/>
      </c>
      <c r="G261" t="str">
        <f>""</f>
        <v/>
      </c>
      <c r="H261" s="1">
        <v>39783</v>
      </c>
      <c r="I261" t="str">
        <f>"PHY00495"</f>
        <v>PHY00495</v>
      </c>
      <c r="J261" t="str">
        <f>"W0031755"</f>
        <v>W0031755</v>
      </c>
      <c r="K261" t="str">
        <f t="shared" si="69"/>
        <v>AS89</v>
      </c>
      <c r="L261" t="s">
        <v>1097</v>
      </c>
      <c r="M261">
        <v>271.5</v>
      </c>
    </row>
    <row r="262" spans="1:13" x14ac:dyDescent="0.25">
      <c r="A262" t="str">
        <f t="shared" si="65"/>
        <v>E160</v>
      </c>
      <c r="B262">
        <v>1</v>
      </c>
      <c r="C262" t="str">
        <f t="shared" si="66"/>
        <v>14185</v>
      </c>
      <c r="D262" t="str">
        <f t="shared" si="67"/>
        <v>5620</v>
      </c>
      <c r="E262" t="str">
        <f t="shared" si="68"/>
        <v>094OMS</v>
      </c>
      <c r="F262" t="str">
        <f>""</f>
        <v/>
      </c>
      <c r="G262" t="str">
        <f>""</f>
        <v/>
      </c>
      <c r="H262" s="1">
        <v>39814</v>
      </c>
      <c r="I262" t="str">
        <f>"PHY00497"</f>
        <v>PHY00497</v>
      </c>
      <c r="J262" t="str">
        <f>"W0002456"</f>
        <v>W0002456</v>
      </c>
      <c r="K262" t="str">
        <f t="shared" si="69"/>
        <v>AS89</v>
      </c>
      <c r="L262" t="s">
        <v>1099</v>
      </c>
      <c r="M262">
        <v>452.81</v>
      </c>
    </row>
    <row r="263" spans="1:13" x14ac:dyDescent="0.25">
      <c r="A263" t="str">
        <f t="shared" si="65"/>
        <v>E160</v>
      </c>
      <c r="B263">
        <v>1</v>
      </c>
      <c r="C263" t="str">
        <f t="shared" si="66"/>
        <v>14185</v>
      </c>
      <c r="D263" t="str">
        <f t="shared" si="67"/>
        <v>5620</v>
      </c>
      <c r="E263" t="str">
        <f t="shared" si="68"/>
        <v>094OMS</v>
      </c>
      <c r="F263" t="str">
        <f>""</f>
        <v/>
      </c>
      <c r="G263" t="str">
        <f>""</f>
        <v/>
      </c>
      <c r="H263" s="1">
        <v>39845</v>
      </c>
      <c r="I263" t="str">
        <f>"PHY00499"</f>
        <v>PHY00499</v>
      </c>
      <c r="J263" t="str">
        <f>"W0031755"</f>
        <v>W0031755</v>
      </c>
      <c r="K263" t="str">
        <f t="shared" si="69"/>
        <v>AS89</v>
      </c>
      <c r="L263" t="s">
        <v>1097</v>
      </c>
      <c r="M263" s="2">
        <v>3593.5</v>
      </c>
    </row>
    <row r="264" spans="1:13" x14ac:dyDescent="0.25">
      <c r="A264" t="str">
        <f t="shared" si="65"/>
        <v>E160</v>
      </c>
      <c r="B264">
        <v>1</v>
      </c>
      <c r="C264" t="str">
        <f t="shared" si="66"/>
        <v>14185</v>
      </c>
      <c r="D264" t="str">
        <f t="shared" si="67"/>
        <v>5620</v>
      </c>
      <c r="E264" t="str">
        <f t="shared" si="68"/>
        <v>094OMS</v>
      </c>
      <c r="F264" t="str">
        <f>""</f>
        <v/>
      </c>
      <c r="G264" t="str">
        <f>""</f>
        <v/>
      </c>
      <c r="H264" s="1">
        <v>39845</v>
      </c>
      <c r="I264" t="str">
        <f>"PHY00499"</f>
        <v>PHY00499</v>
      </c>
      <c r="J264" t="str">
        <f>"W0036764"</f>
        <v>W0036764</v>
      </c>
      <c r="K264" t="str">
        <f t="shared" si="69"/>
        <v>AS89</v>
      </c>
      <c r="L264" t="s">
        <v>1095</v>
      </c>
      <c r="M264">
        <v>440.64</v>
      </c>
    </row>
    <row r="265" spans="1:13" x14ac:dyDescent="0.25">
      <c r="A265" t="str">
        <f t="shared" si="65"/>
        <v>E160</v>
      </c>
      <c r="B265">
        <v>1</v>
      </c>
      <c r="C265" t="str">
        <f t="shared" si="66"/>
        <v>14185</v>
      </c>
      <c r="D265" t="str">
        <f t="shared" si="67"/>
        <v>5620</v>
      </c>
      <c r="E265" t="str">
        <f t="shared" si="68"/>
        <v>094OMS</v>
      </c>
      <c r="F265" t="str">
        <f>""</f>
        <v/>
      </c>
      <c r="G265" t="str">
        <f>""</f>
        <v/>
      </c>
      <c r="H265" s="1">
        <v>39873</v>
      </c>
      <c r="I265" t="str">
        <f>"PHY00501"</f>
        <v>PHY00501</v>
      </c>
      <c r="J265" t="str">
        <f>"W0036764"</f>
        <v>W0036764</v>
      </c>
      <c r="K265" t="str">
        <f t="shared" si="69"/>
        <v>AS89</v>
      </c>
      <c r="L265" t="s">
        <v>1095</v>
      </c>
      <c r="M265" s="2">
        <v>1255.67</v>
      </c>
    </row>
    <row r="266" spans="1:13" x14ac:dyDescent="0.25">
      <c r="A266" t="str">
        <f t="shared" si="65"/>
        <v>E160</v>
      </c>
      <c r="B266">
        <v>1</v>
      </c>
      <c r="C266" t="str">
        <f t="shared" si="66"/>
        <v>14185</v>
      </c>
      <c r="D266" t="str">
        <f t="shared" si="67"/>
        <v>5620</v>
      </c>
      <c r="E266" t="str">
        <f t="shared" si="68"/>
        <v>094OMS</v>
      </c>
      <c r="F266" t="str">
        <f>""</f>
        <v/>
      </c>
      <c r="G266" t="str">
        <f>""</f>
        <v/>
      </c>
      <c r="H266" s="1">
        <v>39873</v>
      </c>
      <c r="I266" t="str">
        <f>"PHY00501"</f>
        <v>PHY00501</v>
      </c>
      <c r="J266" t="str">
        <f>"W0037322"</f>
        <v>W0037322</v>
      </c>
      <c r="K266" t="str">
        <f t="shared" si="69"/>
        <v>AS89</v>
      </c>
      <c r="L266" t="s">
        <v>1098</v>
      </c>
      <c r="M266">
        <v>300.32</v>
      </c>
    </row>
    <row r="267" spans="1:13" x14ac:dyDescent="0.25">
      <c r="A267" t="str">
        <f t="shared" si="65"/>
        <v>E160</v>
      </c>
      <c r="B267">
        <v>1</v>
      </c>
      <c r="C267" t="str">
        <f t="shared" si="66"/>
        <v>14185</v>
      </c>
      <c r="D267" t="str">
        <f t="shared" si="67"/>
        <v>5620</v>
      </c>
      <c r="E267" t="str">
        <f t="shared" si="68"/>
        <v>094OMS</v>
      </c>
      <c r="F267" t="str">
        <f>""</f>
        <v/>
      </c>
      <c r="G267" t="str">
        <f>""</f>
        <v/>
      </c>
      <c r="H267" s="1">
        <v>39904</v>
      </c>
      <c r="I267" t="str">
        <f>"PHY00503"</f>
        <v>PHY00503</v>
      </c>
      <c r="J267" t="str">
        <f>"W0031755"</f>
        <v>W0031755</v>
      </c>
      <c r="K267" t="str">
        <f t="shared" si="69"/>
        <v>AS89</v>
      </c>
      <c r="L267" t="s">
        <v>1097</v>
      </c>
      <c r="M267">
        <v>560.84</v>
      </c>
    </row>
    <row r="268" spans="1:13" x14ac:dyDescent="0.25">
      <c r="A268" t="str">
        <f t="shared" si="65"/>
        <v>E160</v>
      </c>
      <c r="B268">
        <v>1</v>
      </c>
      <c r="C268" t="str">
        <f t="shared" si="66"/>
        <v>14185</v>
      </c>
      <c r="D268" t="str">
        <f t="shared" si="67"/>
        <v>5620</v>
      </c>
      <c r="E268" t="str">
        <f t="shared" si="68"/>
        <v>094OMS</v>
      </c>
      <c r="F268" t="str">
        <f>""</f>
        <v/>
      </c>
      <c r="G268" t="str">
        <f>""</f>
        <v/>
      </c>
      <c r="H268" s="1">
        <v>39904</v>
      </c>
      <c r="I268" t="str">
        <f>"PHY00503"</f>
        <v>PHY00503</v>
      </c>
      <c r="J268" t="str">
        <f>"W0036764"</f>
        <v>W0036764</v>
      </c>
      <c r="K268" t="str">
        <f t="shared" si="69"/>
        <v>AS89</v>
      </c>
      <c r="L268" t="s">
        <v>1095</v>
      </c>
      <c r="M268">
        <v>623.15</v>
      </c>
    </row>
    <row r="269" spans="1:13" x14ac:dyDescent="0.25">
      <c r="A269" t="str">
        <f t="shared" si="65"/>
        <v>E160</v>
      </c>
      <c r="B269">
        <v>1</v>
      </c>
      <c r="C269" t="str">
        <f t="shared" si="66"/>
        <v>14185</v>
      </c>
      <c r="D269" t="str">
        <f t="shared" si="67"/>
        <v>5620</v>
      </c>
      <c r="E269" t="str">
        <f t="shared" si="68"/>
        <v>094OMS</v>
      </c>
      <c r="F269" t="str">
        <f>""</f>
        <v/>
      </c>
      <c r="G269" t="str">
        <f>""</f>
        <v/>
      </c>
      <c r="H269" s="1">
        <v>39934</v>
      </c>
      <c r="I269" t="str">
        <f>"PHY00505"</f>
        <v>PHY00505</v>
      </c>
      <c r="J269" t="str">
        <f>"W0031755"</f>
        <v>W0031755</v>
      </c>
      <c r="K269" t="str">
        <f t="shared" si="69"/>
        <v>AS89</v>
      </c>
      <c r="L269" t="s">
        <v>1097</v>
      </c>
      <c r="M269">
        <v>343.21</v>
      </c>
    </row>
    <row r="270" spans="1:13" x14ac:dyDescent="0.25">
      <c r="A270" t="str">
        <f t="shared" si="65"/>
        <v>E160</v>
      </c>
      <c r="B270">
        <v>1</v>
      </c>
      <c r="C270" t="str">
        <f t="shared" si="66"/>
        <v>14185</v>
      </c>
      <c r="D270" t="str">
        <f t="shared" si="67"/>
        <v>5620</v>
      </c>
      <c r="E270" t="str">
        <f t="shared" si="68"/>
        <v>094OMS</v>
      </c>
      <c r="F270" t="str">
        <f>""</f>
        <v/>
      </c>
      <c r="G270" t="str">
        <f>""</f>
        <v/>
      </c>
      <c r="H270" s="1">
        <v>39965</v>
      </c>
      <c r="I270" t="str">
        <f>"PHY00507"</f>
        <v>PHY00507</v>
      </c>
      <c r="J270" t="str">
        <f>"W0031755"</f>
        <v>W0031755</v>
      </c>
      <c r="K270" t="str">
        <f t="shared" si="69"/>
        <v>AS89</v>
      </c>
      <c r="L270" t="s">
        <v>1096</v>
      </c>
      <c r="M270">
        <v>188.37</v>
      </c>
    </row>
    <row r="271" spans="1:13" x14ac:dyDescent="0.25">
      <c r="A271" t="str">
        <f t="shared" si="65"/>
        <v>E160</v>
      </c>
      <c r="B271">
        <v>1</v>
      </c>
      <c r="C271" t="str">
        <f>"31040"</f>
        <v>31040</v>
      </c>
      <c r="D271" t="str">
        <f t="shared" si="67"/>
        <v>5620</v>
      </c>
      <c r="E271" t="str">
        <f t="shared" si="68"/>
        <v>094OMS</v>
      </c>
      <c r="F271" t="str">
        <f>""</f>
        <v/>
      </c>
      <c r="G271" t="str">
        <f>""</f>
        <v/>
      </c>
      <c r="H271" s="1">
        <v>39899</v>
      </c>
      <c r="I271" t="str">
        <f>"G0909175"</f>
        <v>G0909175</v>
      </c>
      <c r="J271" t="str">
        <f>""</f>
        <v/>
      </c>
      <c r="K271" t="str">
        <f>"J096"</f>
        <v>J096</v>
      </c>
      <c r="L271" t="s">
        <v>1094</v>
      </c>
      <c r="M271">
        <v>396</v>
      </c>
    </row>
    <row r="272" spans="1:13" x14ac:dyDescent="0.25">
      <c r="A272" t="str">
        <f t="shared" si="65"/>
        <v>E160</v>
      </c>
      <c r="B272">
        <v>1</v>
      </c>
      <c r="C272" t="str">
        <f t="shared" ref="C272:C280" si="70">"43000"</f>
        <v>43000</v>
      </c>
      <c r="D272" t="str">
        <f t="shared" ref="D272:D280" si="71">"5740"</f>
        <v>5740</v>
      </c>
      <c r="E272" t="str">
        <f>"850LOS"</f>
        <v>850LOS</v>
      </c>
      <c r="F272" t="str">
        <f>""</f>
        <v/>
      </c>
      <c r="G272" t="str">
        <f>""</f>
        <v/>
      </c>
      <c r="H272" s="1">
        <v>39661</v>
      </c>
      <c r="I272" t="str">
        <f>"PHY00487"</f>
        <v>PHY00487</v>
      </c>
      <c r="J272" t="str">
        <f>"W0024260"</f>
        <v>W0024260</v>
      </c>
      <c r="K272" t="str">
        <f t="shared" ref="K272:K282" si="72">"AS89"</f>
        <v>AS89</v>
      </c>
      <c r="L272" t="s">
        <v>721</v>
      </c>
      <c r="M272">
        <v>113.18</v>
      </c>
    </row>
    <row r="273" spans="1:13" x14ac:dyDescent="0.25">
      <c r="A273" t="str">
        <f t="shared" si="65"/>
        <v>E160</v>
      </c>
      <c r="B273">
        <v>1</v>
      </c>
      <c r="C273" t="str">
        <f t="shared" si="70"/>
        <v>43000</v>
      </c>
      <c r="D273" t="str">
        <f t="shared" si="71"/>
        <v>5740</v>
      </c>
      <c r="E273" t="str">
        <f>"850LOS"</f>
        <v>850LOS</v>
      </c>
      <c r="F273" t="str">
        <f>""</f>
        <v/>
      </c>
      <c r="G273" t="str">
        <f>""</f>
        <v/>
      </c>
      <c r="H273" s="1">
        <v>39692</v>
      </c>
      <c r="I273" t="str">
        <f>"PHY00489"</f>
        <v>PHY00489</v>
      </c>
      <c r="J273" t="str">
        <f>"W0024260"</f>
        <v>W0024260</v>
      </c>
      <c r="K273" t="str">
        <f t="shared" si="72"/>
        <v>AS89</v>
      </c>
      <c r="L273" t="s">
        <v>721</v>
      </c>
      <c r="M273">
        <v>240.48</v>
      </c>
    </row>
    <row r="274" spans="1:13" x14ac:dyDescent="0.25">
      <c r="A274" t="str">
        <f t="shared" si="65"/>
        <v>E160</v>
      </c>
      <c r="B274">
        <v>1</v>
      </c>
      <c r="C274" t="str">
        <f t="shared" si="70"/>
        <v>43000</v>
      </c>
      <c r="D274" t="str">
        <f t="shared" si="71"/>
        <v>5740</v>
      </c>
      <c r="E274" t="str">
        <f>"850LOS"</f>
        <v>850LOS</v>
      </c>
      <c r="F274" t="str">
        <f>""</f>
        <v/>
      </c>
      <c r="G274" t="str">
        <f>""</f>
        <v/>
      </c>
      <c r="H274" s="1">
        <v>39753</v>
      </c>
      <c r="I274" t="str">
        <f>"PHY00493"</f>
        <v>PHY00493</v>
      </c>
      <c r="J274" t="str">
        <f>"W0025938"</f>
        <v>W0025938</v>
      </c>
      <c r="K274" t="str">
        <f t="shared" si="72"/>
        <v>AS89</v>
      </c>
      <c r="L274" t="s">
        <v>1092</v>
      </c>
      <c r="M274">
        <v>177.59</v>
      </c>
    </row>
    <row r="275" spans="1:13" x14ac:dyDescent="0.25">
      <c r="A275" t="str">
        <f t="shared" si="65"/>
        <v>E160</v>
      </c>
      <c r="B275">
        <v>1</v>
      </c>
      <c r="C275" t="str">
        <f t="shared" si="70"/>
        <v>43000</v>
      </c>
      <c r="D275" t="str">
        <f t="shared" si="71"/>
        <v>5740</v>
      </c>
      <c r="E275" t="str">
        <f>"850LOS"</f>
        <v>850LOS</v>
      </c>
      <c r="F275" t="str">
        <f>""</f>
        <v/>
      </c>
      <c r="G275" t="str">
        <f>""</f>
        <v/>
      </c>
      <c r="H275" s="1">
        <v>39783</v>
      </c>
      <c r="I275" t="str">
        <f>"PHY00495"</f>
        <v>PHY00495</v>
      </c>
      <c r="J275" t="str">
        <f>"W0030726"</f>
        <v>W0030726</v>
      </c>
      <c r="K275" t="str">
        <f t="shared" si="72"/>
        <v>AS89</v>
      </c>
      <c r="L275" t="s">
        <v>1091</v>
      </c>
      <c r="M275">
        <v>242.19</v>
      </c>
    </row>
    <row r="276" spans="1:13" x14ac:dyDescent="0.25">
      <c r="A276" t="str">
        <f t="shared" si="65"/>
        <v>E160</v>
      </c>
      <c r="B276">
        <v>1</v>
      </c>
      <c r="C276" t="str">
        <f t="shared" si="70"/>
        <v>43000</v>
      </c>
      <c r="D276" t="str">
        <f t="shared" si="71"/>
        <v>5740</v>
      </c>
      <c r="E276" t="str">
        <f>"850PKE"</f>
        <v>850PKE</v>
      </c>
      <c r="F276" t="str">
        <f>""</f>
        <v/>
      </c>
      <c r="G276" t="str">
        <f>""</f>
        <v/>
      </c>
      <c r="H276" s="1">
        <v>39692</v>
      </c>
      <c r="I276" t="str">
        <f>"PHY00489"</f>
        <v>PHY00489</v>
      </c>
      <c r="J276" t="str">
        <f>"W0002253"</f>
        <v>W0002253</v>
      </c>
      <c r="K276" t="str">
        <f t="shared" si="72"/>
        <v>AS89</v>
      </c>
      <c r="L276" t="s">
        <v>423</v>
      </c>
      <c r="M276">
        <v>113.04</v>
      </c>
    </row>
    <row r="277" spans="1:13" x14ac:dyDescent="0.25">
      <c r="A277" t="str">
        <f t="shared" si="65"/>
        <v>E160</v>
      </c>
      <c r="B277">
        <v>1</v>
      </c>
      <c r="C277" t="str">
        <f t="shared" si="70"/>
        <v>43000</v>
      </c>
      <c r="D277" t="str">
        <f t="shared" si="71"/>
        <v>5740</v>
      </c>
      <c r="E277" t="str">
        <f>"850PKE"</f>
        <v>850PKE</v>
      </c>
      <c r="F277" t="str">
        <f>""</f>
        <v/>
      </c>
      <c r="G277" t="str">
        <f>""</f>
        <v/>
      </c>
      <c r="H277" s="1">
        <v>39753</v>
      </c>
      <c r="I277" t="str">
        <f>"PHY00493"</f>
        <v>PHY00493</v>
      </c>
      <c r="J277" t="str">
        <f>"W0030713"</f>
        <v>W0030713</v>
      </c>
      <c r="K277" t="str">
        <f t="shared" si="72"/>
        <v>AS89</v>
      </c>
      <c r="L277" t="s">
        <v>1090</v>
      </c>
      <c r="M277">
        <v>199.29</v>
      </c>
    </row>
    <row r="278" spans="1:13" x14ac:dyDescent="0.25">
      <c r="A278" t="str">
        <f t="shared" si="65"/>
        <v>E160</v>
      </c>
      <c r="B278">
        <v>1</v>
      </c>
      <c r="C278" t="str">
        <f t="shared" si="70"/>
        <v>43000</v>
      </c>
      <c r="D278" t="str">
        <f t="shared" si="71"/>
        <v>5740</v>
      </c>
      <c r="E278" t="str">
        <f>"850PKE"</f>
        <v>850PKE</v>
      </c>
      <c r="F278" t="str">
        <f>""</f>
        <v/>
      </c>
      <c r="G278" t="str">
        <f>""</f>
        <v/>
      </c>
      <c r="H278" s="1">
        <v>39783</v>
      </c>
      <c r="I278" t="str">
        <f>"PHY00495"</f>
        <v>PHY00495</v>
      </c>
      <c r="J278" t="str">
        <f>"W0030713"</f>
        <v>W0030713</v>
      </c>
      <c r="K278" t="str">
        <f t="shared" si="72"/>
        <v>AS89</v>
      </c>
      <c r="L278" t="s">
        <v>1090</v>
      </c>
      <c r="M278" s="2">
        <v>1213.1500000000001</v>
      </c>
    </row>
    <row r="279" spans="1:13" x14ac:dyDescent="0.25">
      <c r="A279" t="str">
        <f t="shared" si="65"/>
        <v>E160</v>
      </c>
      <c r="B279">
        <v>1</v>
      </c>
      <c r="C279" t="str">
        <f t="shared" si="70"/>
        <v>43000</v>
      </c>
      <c r="D279" t="str">
        <f t="shared" si="71"/>
        <v>5740</v>
      </c>
      <c r="E279" t="str">
        <f>"850PKE"</f>
        <v>850PKE</v>
      </c>
      <c r="F279" t="str">
        <f>""</f>
        <v/>
      </c>
      <c r="G279" t="str">
        <f>""</f>
        <v/>
      </c>
      <c r="H279" s="1">
        <v>39814</v>
      </c>
      <c r="I279" t="str">
        <f>"PHY00497"</f>
        <v>PHY00497</v>
      </c>
      <c r="J279" t="str">
        <f>"W0030713"</f>
        <v>W0030713</v>
      </c>
      <c r="K279" t="str">
        <f t="shared" si="72"/>
        <v>AS89</v>
      </c>
      <c r="L279" t="s">
        <v>1090</v>
      </c>
      <c r="M279">
        <v>158.47</v>
      </c>
    </row>
    <row r="280" spans="1:13" x14ac:dyDescent="0.25">
      <c r="A280" t="str">
        <f t="shared" si="65"/>
        <v>E160</v>
      </c>
      <c r="B280">
        <v>1</v>
      </c>
      <c r="C280" t="str">
        <f t="shared" si="70"/>
        <v>43000</v>
      </c>
      <c r="D280" t="str">
        <f t="shared" si="71"/>
        <v>5740</v>
      </c>
      <c r="E280" t="str">
        <f>"850PKE"</f>
        <v>850PKE</v>
      </c>
      <c r="F280" t="str">
        <f>""</f>
        <v/>
      </c>
      <c r="G280" t="str">
        <f>""</f>
        <v/>
      </c>
      <c r="H280" s="1">
        <v>39934</v>
      </c>
      <c r="I280" t="str">
        <f>"PHY00505"</f>
        <v>PHY00505</v>
      </c>
      <c r="J280" t="str">
        <f>"W0040124"</f>
        <v>W0040124</v>
      </c>
      <c r="K280" t="str">
        <f t="shared" si="72"/>
        <v>AS89</v>
      </c>
      <c r="L280" t="s">
        <v>1089</v>
      </c>
      <c r="M280">
        <v>388.61</v>
      </c>
    </row>
    <row r="281" spans="1:13" x14ac:dyDescent="0.25">
      <c r="A281" t="str">
        <f t="shared" ref="A281:A290" si="73">"E162"</f>
        <v>E162</v>
      </c>
      <c r="B281">
        <v>1</v>
      </c>
      <c r="C281" t="str">
        <f>"14185"</f>
        <v>14185</v>
      </c>
      <c r="D281" t="str">
        <f>"5620"</f>
        <v>5620</v>
      </c>
      <c r="E281" t="str">
        <f>"094OMS"</f>
        <v>094OMS</v>
      </c>
      <c r="F281" t="str">
        <f>""</f>
        <v/>
      </c>
      <c r="G281" t="str">
        <f>""</f>
        <v/>
      </c>
      <c r="H281" s="1">
        <v>39941</v>
      </c>
      <c r="I281" t="str">
        <f>"PCD00366"</f>
        <v>PCD00366</v>
      </c>
      <c r="J281" t="str">
        <f>"96823"</f>
        <v>96823</v>
      </c>
      <c r="K281" t="str">
        <f t="shared" si="72"/>
        <v>AS89</v>
      </c>
      <c r="L281" t="s">
        <v>1088</v>
      </c>
      <c r="M281">
        <v>162.76</v>
      </c>
    </row>
    <row r="282" spans="1:13" x14ac:dyDescent="0.25">
      <c r="A282" t="str">
        <f t="shared" si="73"/>
        <v>E162</v>
      </c>
      <c r="B282">
        <v>1</v>
      </c>
      <c r="C282" t="str">
        <f>"32040"</f>
        <v>32040</v>
      </c>
      <c r="D282" t="str">
        <f>"5610"</f>
        <v>5610</v>
      </c>
      <c r="E282" t="str">
        <f t="shared" ref="E282:E290" si="74">"850LOS"</f>
        <v>850LOS</v>
      </c>
      <c r="F282" t="str">
        <f>""</f>
        <v/>
      </c>
      <c r="G282" t="str">
        <f>""</f>
        <v/>
      </c>
      <c r="H282" s="1">
        <v>39885</v>
      </c>
      <c r="I282" t="str">
        <f>"PCD00359"</f>
        <v>PCD00359</v>
      </c>
      <c r="J282" t="str">
        <f>"94937"</f>
        <v>94937</v>
      </c>
      <c r="K282" t="str">
        <f t="shared" si="72"/>
        <v>AS89</v>
      </c>
      <c r="L282" t="s">
        <v>1087</v>
      </c>
      <c r="M282">
        <v>520.32000000000005</v>
      </c>
    </row>
    <row r="283" spans="1:13" x14ac:dyDescent="0.25">
      <c r="A283" t="str">
        <f t="shared" si="73"/>
        <v>E162</v>
      </c>
      <c r="B283">
        <v>1</v>
      </c>
      <c r="C283" t="str">
        <f t="shared" ref="C283:C288" si="75">"43000"</f>
        <v>43000</v>
      </c>
      <c r="D283" t="str">
        <f t="shared" ref="D283:D290" si="76">"5740"</f>
        <v>5740</v>
      </c>
      <c r="E283" t="str">
        <f t="shared" si="74"/>
        <v>850LOS</v>
      </c>
      <c r="F283" t="str">
        <f>""</f>
        <v/>
      </c>
      <c r="G283" t="str">
        <f>""</f>
        <v/>
      </c>
      <c r="H283" s="1">
        <v>39663</v>
      </c>
      <c r="I283" t="str">
        <f>"G0902138"</f>
        <v>G0902138</v>
      </c>
      <c r="J283" t="str">
        <f>""</f>
        <v/>
      </c>
      <c r="K283" t="str">
        <f>"J096"</f>
        <v>J096</v>
      </c>
      <c r="L283" t="s">
        <v>420</v>
      </c>
      <c r="M283">
        <v>900</v>
      </c>
    </row>
    <row r="284" spans="1:13" x14ac:dyDescent="0.25">
      <c r="A284" t="str">
        <f t="shared" si="73"/>
        <v>E162</v>
      </c>
      <c r="B284">
        <v>1</v>
      </c>
      <c r="C284" t="str">
        <f t="shared" si="75"/>
        <v>43000</v>
      </c>
      <c r="D284" t="str">
        <f t="shared" si="76"/>
        <v>5740</v>
      </c>
      <c r="E284" t="str">
        <f t="shared" si="74"/>
        <v>850LOS</v>
      </c>
      <c r="F284" t="str">
        <f>""</f>
        <v/>
      </c>
      <c r="G284" t="str">
        <f>""</f>
        <v/>
      </c>
      <c r="H284" s="1">
        <v>39722</v>
      </c>
      <c r="I284" t="str">
        <f>"PCD00336"</f>
        <v>PCD00336</v>
      </c>
      <c r="J284" t="str">
        <f>"85210"</f>
        <v>85210</v>
      </c>
      <c r="K284" t="str">
        <f>"AS89"</f>
        <v>AS89</v>
      </c>
      <c r="L284" t="s">
        <v>1086</v>
      </c>
      <c r="M284">
        <v>108.94</v>
      </c>
    </row>
    <row r="285" spans="1:13" x14ac:dyDescent="0.25">
      <c r="A285" t="str">
        <f t="shared" si="73"/>
        <v>E162</v>
      </c>
      <c r="B285">
        <v>1</v>
      </c>
      <c r="C285" t="str">
        <f t="shared" si="75"/>
        <v>43000</v>
      </c>
      <c r="D285" t="str">
        <f t="shared" si="76"/>
        <v>5740</v>
      </c>
      <c r="E285" t="str">
        <f t="shared" si="74"/>
        <v>850LOS</v>
      </c>
      <c r="F285" t="str">
        <f>""</f>
        <v/>
      </c>
      <c r="G285" t="str">
        <f>""</f>
        <v/>
      </c>
      <c r="H285" s="1">
        <v>39773</v>
      </c>
      <c r="I285" t="str">
        <f>"G0905141"</f>
        <v>G0905141</v>
      </c>
      <c r="J285" t="str">
        <f>""</f>
        <v/>
      </c>
      <c r="K285" t="str">
        <f>"J096"</f>
        <v>J096</v>
      </c>
      <c r="L285" t="s">
        <v>420</v>
      </c>
      <c r="M285">
        <v>900</v>
      </c>
    </row>
    <row r="286" spans="1:13" x14ac:dyDescent="0.25">
      <c r="A286" t="str">
        <f t="shared" si="73"/>
        <v>E162</v>
      </c>
      <c r="B286">
        <v>1</v>
      </c>
      <c r="C286" t="str">
        <f t="shared" si="75"/>
        <v>43000</v>
      </c>
      <c r="D286" t="str">
        <f t="shared" si="76"/>
        <v>5740</v>
      </c>
      <c r="E286" t="str">
        <f t="shared" si="74"/>
        <v>850LOS</v>
      </c>
      <c r="F286" t="str">
        <f>""</f>
        <v/>
      </c>
      <c r="G286" t="str">
        <f>""</f>
        <v/>
      </c>
      <c r="H286" s="1">
        <v>39834</v>
      </c>
      <c r="I286" t="str">
        <f>"G0907113"</f>
        <v>G0907113</v>
      </c>
      <c r="J286" t="str">
        <f>""</f>
        <v/>
      </c>
      <c r="K286" t="str">
        <f>"J096"</f>
        <v>J096</v>
      </c>
      <c r="L286" t="s">
        <v>420</v>
      </c>
      <c r="M286">
        <v>900</v>
      </c>
    </row>
    <row r="287" spans="1:13" x14ac:dyDescent="0.25">
      <c r="A287" t="str">
        <f t="shared" si="73"/>
        <v>E162</v>
      </c>
      <c r="B287">
        <v>1</v>
      </c>
      <c r="C287" t="str">
        <f t="shared" si="75"/>
        <v>43000</v>
      </c>
      <c r="D287" t="str">
        <f t="shared" si="76"/>
        <v>5740</v>
      </c>
      <c r="E287" t="str">
        <f t="shared" si="74"/>
        <v>850LOS</v>
      </c>
      <c r="F287" t="str">
        <f>""</f>
        <v/>
      </c>
      <c r="G287" t="str">
        <f>""</f>
        <v/>
      </c>
      <c r="H287" s="1">
        <v>39885</v>
      </c>
      <c r="I287" t="str">
        <f>"PCD00359"</f>
        <v>PCD00359</v>
      </c>
      <c r="J287" t="str">
        <f>"94429"</f>
        <v>94429</v>
      </c>
      <c r="K287" t="str">
        <f>"AS89"</f>
        <v>AS89</v>
      </c>
      <c r="L287" t="s">
        <v>1085</v>
      </c>
      <c r="M287">
        <v>266.31</v>
      </c>
    </row>
    <row r="288" spans="1:13" x14ac:dyDescent="0.25">
      <c r="A288" t="str">
        <f t="shared" si="73"/>
        <v>E162</v>
      </c>
      <c r="B288">
        <v>1</v>
      </c>
      <c r="C288" t="str">
        <f t="shared" si="75"/>
        <v>43000</v>
      </c>
      <c r="D288" t="str">
        <f t="shared" si="76"/>
        <v>5740</v>
      </c>
      <c r="E288" t="str">
        <f t="shared" si="74"/>
        <v>850LOS</v>
      </c>
      <c r="F288" t="str">
        <f>""</f>
        <v/>
      </c>
      <c r="G288" t="str">
        <f>""</f>
        <v/>
      </c>
      <c r="H288" s="1">
        <v>39913</v>
      </c>
      <c r="I288" t="str">
        <f>"G0910044"</f>
        <v>G0910044</v>
      </c>
      <c r="J288" t="str">
        <f>""</f>
        <v/>
      </c>
      <c r="K288" t="str">
        <f>"J096"</f>
        <v>J096</v>
      </c>
      <c r="L288" t="s">
        <v>419</v>
      </c>
      <c r="M288">
        <v>900</v>
      </c>
    </row>
    <row r="289" spans="1:13" x14ac:dyDescent="0.25">
      <c r="A289" t="str">
        <f t="shared" si="73"/>
        <v>E162</v>
      </c>
      <c r="B289">
        <v>1</v>
      </c>
      <c r="C289" t="str">
        <f>"43003"</f>
        <v>43003</v>
      </c>
      <c r="D289" t="str">
        <f t="shared" si="76"/>
        <v>5740</v>
      </c>
      <c r="E289" t="str">
        <f t="shared" si="74"/>
        <v>850LOS</v>
      </c>
      <c r="F289" t="str">
        <f>""</f>
        <v/>
      </c>
      <c r="G289" t="str">
        <f>""</f>
        <v/>
      </c>
      <c r="H289" s="1">
        <v>39731</v>
      </c>
      <c r="I289" t="str">
        <f>"PCD00337"</f>
        <v>PCD00337</v>
      </c>
      <c r="J289" t="str">
        <f>"86437"</f>
        <v>86437</v>
      </c>
      <c r="K289" t="str">
        <f>"AS89"</f>
        <v>AS89</v>
      </c>
      <c r="L289" t="s">
        <v>1084</v>
      </c>
      <c r="M289">
        <v>474.25</v>
      </c>
    </row>
    <row r="290" spans="1:13" x14ac:dyDescent="0.25">
      <c r="A290" t="str">
        <f t="shared" si="73"/>
        <v>E162</v>
      </c>
      <c r="B290">
        <v>1</v>
      </c>
      <c r="C290" t="str">
        <f>"43003"</f>
        <v>43003</v>
      </c>
      <c r="D290" t="str">
        <f t="shared" si="76"/>
        <v>5740</v>
      </c>
      <c r="E290" t="str">
        <f t="shared" si="74"/>
        <v>850LOS</v>
      </c>
      <c r="F290" t="str">
        <f>""</f>
        <v/>
      </c>
      <c r="G290" t="str">
        <f>""</f>
        <v/>
      </c>
      <c r="H290" s="1">
        <v>39794</v>
      </c>
      <c r="I290" t="str">
        <f>"PCD00348"</f>
        <v>PCD00348</v>
      </c>
      <c r="J290" t="str">
        <f>"90043"</f>
        <v>90043</v>
      </c>
      <c r="K290" t="str">
        <f>"AS89"</f>
        <v>AS89</v>
      </c>
      <c r="L290" t="s">
        <v>1083</v>
      </c>
      <c r="M290">
        <v>238.99</v>
      </c>
    </row>
    <row r="291" spans="1:13" x14ac:dyDescent="0.25">
      <c r="A291" t="str">
        <f t="shared" ref="A291:A297" si="77">"E163"</f>
        <v>E163</v>
      </c>
      <c r="B291">
        <v>1</v>
      </c>
      <c r="C291" t="str">
        <f>"14185"</f>
        <v>14185</v>
      </c>
      <c r="D291" t="str">
        <f>"5620"</f>
        <v>5620</v>
      </c>
      <c r="E291" t="str">
        <f>"094OMS"</f>
        <v>094OMS</v>
      </c>
      <c r="F291" t="str">
        <f>""</f>
        <v/>
      </c>
      <c r="G291" t="str">
        <f>""</f>
        <v/>
      </c>
      <c r="H291" s="1">
        <v>39668</v>
      </c>
      <c r="I291" t="str">
        <f>"PCD00329"</f>
        <v>PCD00329</v>
      </c>
      <c r="J291" t="str">
        <f>"83129"</f>
        <v>83129</v>
      </c>
      <c r="K291" t="str">
        <f>"AS89"</f>
        <v>AS89</v>
      </c>
      <c r="L291" t="s">
        <v>1082</v>
      </c>
      <c r="M291">
        <v>370.19</v>
      </c>
    </row>
    <row r="292" spans="1:13" x14ac:dyDescent="0.25">
      <c r="A292" t="str">
        <f t="shared" si="77"/>
        <v>E163</v>
      </c>
      <c r="B292">
        <v>1</v>
      </c>
      <c r="C292" t="str">
        <f>"14185"</f>
        <v>14185</v>
      </c>
      <c r="D292" t="str">
        <f>"5620"</f>
        <v>5620</v>
      </c>
      <c r="E292" t="str">
        <f>"094OMS"</f>
        <v>094OMS</v>
      </c>
      <c r="F292" t="str">
        <f>""</f>
        <v/>
      </c>
      <c r="G292" t="str">
        <f>""</f>
        <v/>
      </c>
      <c r="H292" s="1">
        <v>39752</v>
      </c>
      <c r="I292" t="str">
        <f>"OMS00199"</f>
        <v>OMS00199</v>
      </c>
      <c r="J292" t="str">
        <f>"RO9972C"</f>
        <v>RO9972C</v>
      </c>
      <c r="K292" t="str">
        <f>"OM01"</f>
        <v>OM01</v>
      </c>
      <c r="L292" t="s">
        <v>1080</v>
      </c>
      <c r="M292">
        <v>752.02</v>
      </c>
    </row>
    <row r="293" spans="1:13" x14ac:dyDescent="0.25">
      <c r="A293" t="str">
        <f t="shared" si="77"/>
        <v>E163</v>
      </c>
      <c r="B293">
        <v>1</v>
      </c>
      <c r="C293" t="str">
        <f>"14185"</f>
        <v>14185</v>
      </c>
      <c r="D293" t="str">
        <f>"5620"</f>
        <v>5620</v>
      </c>
      <c r="E293" t="str">
        <f>"094OMS"</f>
        <v>094OMS</v>
      </c>
      <c r="F293" t="str">
        <f>""</f>
        <v/>
      </c>
      <c r="G293" t="str">
        <f>""</f>
        <v/>
      </c>
      <c r="H293" s="1">
        <v>39994</v>
      </c>
      <c r="I293" t="str">
        <f>"ACG01868"</f>
        <v>ACG01868</v>
      </c>
      <c r="J293" t="str">
        <f>"138257"</f>
        <v>138257</v>
      </c>
      <c r="K293" t="str">
        <f>"AS96"</f>
        <v>AS96</v>
      </c>
      <c r="L293" t="s">
        <v>956</v>
      </c>
      <c r="M293">
        <v>108.5</v>
      </c>
    </row>
    <row r="294" spans="1:13" x14ac:dyDescent="0.25">
      <c r="A294" t="str">
        <f t="shared" si="77"/>
        <v>E163</v>
      </c>
      <c r="B294">
        <v>1</v>
      </c>
      <c r="C294" t="str">
        <f>"32040"</f>
        <v>32040</v>
      </c>
      <c r="D294" t="str">
        <f>"5610"</f>
        <v>5610</v>
      </c>
      <c r="E294" t="str">
        <f>"850LOS"</f>
        <v>850LOS</v>
      </c>
      <c r="F294" t="str">
        <f>""</f>
        <v/>
      </c>
      <c r="G294" t="str">
        <f>""</f>
        <v/>
      </c>
      <c r="H294" s="1">
        <v>39752</v>
      </c>
      <c r="I294" t="str">
        <f>"OMS00199"</f>
        <v>OMS00199</v>
      </c>
      <c r="J294" t="str">
        <f>"RO9972B"</f>
        <v>RO9972B</v>
      </c>
      <c r="K294" t="str">
        <f>"OM01"</f>
        <v>OM01</v>
      </c>
      <c r="L294" t="s">
        <v>1080</v>
      </c>
      <c r="M294">
        <v>752.02</v>
      </c>
    </row>
    <row r="295" spans="1:13" x14ac:dyDescent="0.25">
      <c r="A295" t="str">
        <f t="shared" si="77"/>
        <v>E163</v>
      </c>
      <c r="B295">
        <v>1</v>
      </c>
      <c r="C295" t="str">
        <f>"43000"</f>
        <v>43000</v>
      </c>
      <c r="D295" t="str">
        <f>"5740"</f>
        <v>5740</v>
      </c>
      <c r="E295" t="str">
        <f>"850LOS"</f>
        <v>850LOS</v>
      </c>
      <c r="F295" t="str">
        <f>"PKOLOT"</f>
        <v>PKOLOT</v>
      </c>
      <c r="G295" t="str">
        <f>""</f>
        <v/>
      </c>
      <c r="H295" s="1">
        <v>39913</v>
      </c>
      <c r="I295" t="str">
        <f>"PCD00363"</f>
        <v>PCD00363</v>
      </c>
      <c r="J295" t="str">
        <f>"95403"</f>
        <v>95403</v>
      </c>
      <c r="K295" t="str">
        <f>"AS89"</f>
        <v>AS89</v>
      </c>
      <c r="L295" t="s">
        <v>1081</v>
      </c>
      <c r="M295">
        <v>511.36</v>
      </c>
    </row>
    <row r="296" spans="1:13" x14ac:dyDescent="0.25">
      <c r="A296" t="str">
        <f t="shared" si="77"/>
        <v>E163</v>
      </c>
      <c r="B296">
        <v>1</v>
      </c>
      <c r="C296" t="str">
        <f>"43000"</f>
        <v>43000</v>
      </c>
      <c r="D296" t="str">
        <f>"5740"</f>
        <v>5740</v>
      </c>
      <c r="E296" t="str">
        <f>"850LOS"</f>
        <v>850LOS</v>
      </c>
      <c r="F296" t="str">
        <f>""</f>
        <v/>
      </c>
      <c r="G296" t="str">
        <f>""</f>
        <v/>
      </c>
      <c r="H296" s="1">
        <v>39752</v>
      </c>
      <c r="I296" t="str">
        <f>"OMS00199"</f>
        <v>OMS00199</v>
      </c>
      <c r="J296" t="str">
        <f>"RO9972A"</f>
        <v>RO9972A</v>
      </c>
      <c r="K296" t="str">
        <f>"OM01"</f>
        <v>OM01</v>
      </c>
      <c r="L296" t="s">
        <v>1080</v>
      </c>
      <c r="M296">
        <v>752.02</v>
      </c>
    </row>
    <row r="297" spans="1:13" x14ac:dyDescent="0.25">
      <c r="A297" t="str">
        <f t="shared" si="77"/>
        <v>E163</v>
      </c>
      <c r="B297">
        <v>1</v>
      </c>
      <c r="C297" t="str">
        <f>"43000"</f>
        <v>43000</v>
      </c>
      <c r="D297" t="str">
        <f>"5740"</f>
        <v>5740</v>
      </c>
      <c r="E297" t="str">
        <f>"850LOS"</f>
        <v>850LOS</v>
      </c>
      <c r="F297" t="str">
        <f>""</f>
        <v/>
      </c>
      <c r="G297" t="str">
        <f>""</f>
        <v/>
      </c>
      <c r="H297" s="1">
        <v>39778</v>
      </c>
      <c r="I297" t="str">
        <f>"OMS00200"</f>
        <v>OMS00200</v>
      </c>
      <c r="J297" t="str">
        <f>"RO10042"</f>
        <v>RO10042</v>
      </c>
      <c r="K297" t="str">
        <f>"OM01"</f>
        <v>OM01</v>
      </c>
      <c r="L297" t="s">
        <v>1079</v>
      </c>
      <c r="M297">
        <v>111.86</v>
      </c>
    </row>
    <row r="298" spans="1:13" x14ac:dyDescent="0.25">
      <c r="A298" t="str">
        <f>"E164"</f>
        <v>E164</v>
      </c>
      <c r="B298">
        <v>1</v>
      </c>
      <c r="C298" t="str">
        <f>"14185"</f>
        <v>14185</v>
      </c>
      <c r="D298" t="str">
        <f>"5620"</f>
        <v>5620</v>
      </c>
      <c r="E298" t="str">
        <f>"094OMS"</f>
        <v>094OMS</v>
      </c>
      <c r="F298" t="str">
        <f>""</f>
        <v/>
      </c>
      <c r="G298" t="str">
        <f>""</f>
        <v/>
      </c>
      <c r="H298" s="1">
        <v>39843</v>
      </c>
      <c r="I298" t="str">
        <f>"LKS00159"</f>
        <v>LKS00159</v>
      </c>
      <c r="J298" t="str">
        <f>"L30034"</f>
        <v>L30034</v>
      </c>
      <c r="K298" t="str">
        <f>"LKW1"</f>
        <v>LKW1</v>
      </c>
      <c r="L298" t="s">
        <v>133</v>
      </c>
      <c r="M298">
        <v>101.78</v>
      </c>
    </row>
    <row r="299" spans="1:13" x14ac:dyDescent="0.25">
      <c r="A299" t="str">
        <f>"E164"</f>
        <v>E164</v>
      </c>
      <c r="B299">
        <v>1</v>
      </c>
      <c r="C299" t="str">
        <f>"14185"</f>
        <v>14185</v>
      </c>
      <c r="D299" t="str">
        <f>"5620"</f>
        <v>5620</v>
      </c>
      <c r="E299" t="str">
        <f>"094OMS"</f>
        <v>094OMS</v>
      </c>
      <c r="F299" t="str">
        <f>""</f>
        <v/>
      </c>
      <c r="G299" t="str">
        <f>""</f>
        <v/>
      </c>
      <c r="H299" s="1">
        <v>39933</v>
      </c>
      <c r="I299" t="str">
        <f>"LKS00162"</f>
        <v>LKS00162</v>
      </c>
      <c r="J299" t="str">
        <f>"L30034"</f>
        <v>L30034</v>
      </c>
      <c r="K299" t="str">
        <f>"LKW1"</f>
        <v>LKW1</v>
      </c>
      <c r="L299" t="s">
        <v>133</v>
      </c>
      <c r="M299">
        <v>215</v>
      </c>
    </row>
    <row r="300" spans="1:13" x14ac:dyDescent="0.25">
      <c r="A300" t="str">
        <f>"E165"</f>
        <v>E165</v>
      </c>
      <c r="B300">
        <v>1</v>
      </c>
      <c r="C300" t="str">
        <f t="shared" ref="C300:C306" si="78">"43000"</f>
        <v>43000</v>
      </c>
      <c r="D300" t="str">
        <f t="shared" ref="D300:D306" si="79">"5740"</f>
        <v>5740</v>
      </c>
      <c r="E300" t="str">
        <f>"850PKC"</f>
        <v>850PKC</v>
      </c>
      <c r="F300" t="str">
        <f>""</f>
        <v/>
      </c>
      <c r="G300" t="str">
        <f>""</f>
        <v/>
      </c>
      <c r="H300" s="1">
        <v>39819</v>
      </c>
      <c r="I300" t="str">
        <f>"60016"</f>
        <v>60016</v>
      </c>
      <c r="J300" t="str">
        <f>"B113824A"</f>
        <v>B113824A</v>
      </c>
      <c r="K300" t="str">
        <f>"INNI"</f>
        <v>INNI</v>
      </c>
      <c r="L300" t="s">
        <v>882</v>
      </c>
      <c r="M300">
        <v>715.44</v>
      </c>
    </row>
    <row r="301" spans="1:13" x14ac:dyDescent="0.25">
      <c r="A301" t="str">
        <f>"E165"</f>
        <v>E165</v>
      </c>
      <c r="B301">
        <v>1</v>
      </c>
      <c r="C301" t="str">
        <f t="shared" si="78"/>
        <v>43000</v>
      </c>
      <c r="D301" t="str">
        <f t="shared" si="79"/>
        <v>5740</v>
      </c>
      <c r="E301" t="str">
        <f>"850PKC"</f>
        <v>850PKC</v>
      </c>
      <c r="F301" t="str">
        <f>""</f>
        <v/>
      </c>
      <c r="G301" t="str">
        <f>""</f>
        <v/>
      </c>
      <c r="H301" s="1">
        <v>39994</v>
      </c>
      <c r="I301" t="str">
        <f>"ACG01864"</f>
        <v>ACG01864</v>
      </c>
      <c r="J301" t="str">
        <f>"73702B"</f>
        <v>73702B</v>
      </c>
      <c r="K301" t="str">
        <f>"AS96"</f>
        <v>AS96</v>
      </c>
      <c r="L301" t="s">
        <v>956</v>
      </c>
      <c r="M301">
        <v>281.56</v>
      </c>
    </row>
    <row r="302" spans="1:13" x14ac:dyDescent="0.25">
      <c r="A302" t="str">
        <f>"E166"</f>
        <v>E166</v>
      </c>
      <c r="B302">
        <v>1</v>
      </c>
      <c r="C302" t="str">
        <f t="shared" si="78"/>
        <v>43000</v>
      </c>
      <c r="D302" t="str">
        <f t="shared" si="79"/>
        <v>5740</v>
      </c>
      <c r="E302" t="str">
        <f>"850LOS"</f>
        <v>850LOS</v>
      </c>
      <c r="F302" t="str">
        <f>"PKOLOT"</f>
        <v>PKOLOT</v>
      </c>
      <c r="G302" t="str">
        <f>""</f>
        <v/>
      </c>
      <c r="H302" s="1">
        <v>39856</v>
      </c>
      <c r="I302" t="str">
        <f>"91416A"</f>
        <v>91416A</v>
      </c>
      <c r="J302" t="str">
        <f>"B076383C"</f>
        <v>B076383C</v>
      </c>
      <c r="K302" t="str">
        <f t="shared" ref="K302:K307" si="80">"INNI"</f>
        <v>INNI</v>
      </c>
      <c r="L302" t="s">
        <v>140</v>
      </c>
      <c r="M302">
        <v>718.81</v>
      </c>
    </row>
    <row r="303" spans="1:13" x14ac:dyDescent="0.25">
      <c r="A303" t="str">
        <f>"E166"</f>
        <v>E166</v>
      </c>
      <c r="B303">
        <v>1</v>
      </c>
      <c r="C303" t="str">
        <f t="shared" si="78"/>
        <v>43000</v>
      </c>
      <c r="D303" t="str">
        <f t="shared" si="79"/>
        <v>5740</v>
      </c>
      <c r="E303" t="str">
        <f>"850LOS"</f>
        <v>850LOS</v>
      </c>
      <c r="F303" t="str">
        <f>"PKOLOT"</f>
        <v>PKOLOT</v>
      </c>
      <c r="G303" t="str">
        <f>""</f>
        <v/>
      </c>
      <c r="H303" s="1">
        <v>39856</v>
      </c>
      <c r="I303" t="str">
        <f>"91452"</f>
        <v>91452</v>
      </c>
      <c r="J303" t="str">
        <f>"B076383C"</f>
        <v>B076383C</v>
      </c>
      <c r="K303" t="str">
        <f t="shared" si="80"/>
        <v>INNI</v>
      </c>
      <c r="L303" t="s">
        <v>140</v>
      </c>
      <c r="M303">
        <v>556.05999999999995</v>
      </c>
    </row>
    <row r="304" spans="1:13" x14ac:dyDescent="0.25">
      <c r="A304" t="str">
        <f>"E166"</f>
        <v>E166</v>
      </c>
      <c r="B304">
        <v>1</v>
      </c>
      <c r="C304" t="str">
        <f t="shared" si="78"/>
        <v>43000</v>
      </c>
      <c r="D304" t="str">
        <f t="shared" si="79"/>
        <v>5740</v>
      </c>
      <c r="E304" t="str">
        <f>"850LOS"</f>
        <v>850LOS</v>
      </c>
      <c r="F304" t="str">
        <f>"PKOLOT"</f>
        <v>PKOLOT</v>
      </c>
      <c r="G304" t="str">
        <f>""</f>
        <v/>
      </c>
      <c r="H304" s="1">
        <v>39945</v>
      </c>
      <c r="I304" t="str">
        <f>"93433"</f>
        <v>93433</v>
      </c>
      <c r="J304" t="str">
        <f>"B076383C"</f>
        <v>B076383C</v>
      </c>
      <c r="K304" t="str">
        <f t="shared" si="80"/>
        <v>INNI</v>
      </c>
      <c r="L304" t="s">
        <v>140</v>
      </c>
      <c r="M304">
        <v>718.81</v>
      </c>
    </row>
    <row r="305" spans="1:13" x14ac:dyDescent="0.25">
      <c r="A305" t="str">
        <f>"E166"</f>
        <v>E166</v>
      </c>
      <c r="B305">
        <v>1</v>
      </c>
      <c r="C305" t="str">
        <f t="shared" si="78"/>
        <v>43000</v>
      </c>
      <c r="D305" t="str">
        <f t="shared" si="79"/>
        <v>5740</v>
      </c>
      <c r="E305" t="str">
        <f>"850LOS"</f>
        <v>850LOS</v>
      </c>
      <c r="F305" t="str">
        <f>"PKOLOT"</f>
        <v>PKOLOT</v>
      </c>
      <c r="G305" t="str">
        <f>""</f>
        <v/>
      </c>
      <c r="H305" s="1">
        <v>39945</v>
      </c>
      <c r="I305" t="str">
        <f>"93434"</f>
        <v>93434</v>
      </c>
      <c r="J305" t="str">
        <f>"B076383C"</f>
        <v>B076383C</v>
      </c>
      <c r="K305" t="str">
        <f t="shared" si="80"/>
        <v>INNI</v>
      </c>
      <c r="L305" t="s">
        <v>140</v>
      </c>
      <c r="M305">
        <v>556.05999999999995</v>
      </c>
    </row>
    <row r="306" spans="1:13" x14ac:dyDescent="0.25">
      <c r="A306" t="str">
        <f>"E166"</f>
        <v>E166</v>
      </c>
      <c r="B306">
        <v>1</v>
      </c>
      <c r="C306" t="str">
        <f t="shared" si="78"/>
        <v>43000</v>
      </c>
      <c r="D306" t="str">
        <f t="shared" si="79"/>
        <v>5740</v>
      </c>
      <c r="E306" t="str">
        <f>"850LOS"</f>
        <v>850LOS</v>
      </c>
      <c r="F306" t="str">
        <f>"PKOLOT"</f>
        <v>PKOLOT</v>
      </c>
      <c r="G306" t="str">
        <f>""</f>
        <v/>
      </c>
      <c r="H306" s="1">
        <v>39991</v>
      </c>
      <c r="I306" t="str">
        <f>"95274"</f>
        <v>95274</v>
      </c>
      <c r="J306" t="str">
        <f>"B076383C"</f>
        <v>B076383C</v>
      </c>
      <c r="K306" t="str">
        <f t="shared" si="80"/>
        <v>INNI</v>
      </c>
      <c r="L306" t="s">
        <v>140</v>
      </c>
      <c r="M306" s="2">
        <v>1112.1300000000001</v>
      </c>
    </row>
    <row r="307" spans="1:13" x14ac:dyDescent="0.25">
      <c r="A307" t="str">
        <f t="shared" ref="A307:A318" si="81">"E171"</f>
        <v>E171</v>
      </c>
      <c r="B307">
        <v>1</v>
      </c>
      <c r="C307" t="str">
        <f>"14185"</f>
        <v>14185</v>
      </c>
      <c r="D307" t="str">
        <f>"5620"</f>
        <v>5620</v>
      </c>
      <c r="E307" t="str">
        <f>"094OMS"</f>
        <v>094OMS</v>
      </c>
      <c r="F307" t="str">
        <f>""</f>
        <v/>
      </c>
      <c r="G307" t="str">
        <f>""</f>
        <v/>
      </c>
      <c r="H307" s="1">
        <v>39822</v>
      </c>
      <c r="I307" t="str">
        <f>"125363"</f>
        <v>125363</v>
      </c>
      <c r="J307" t="str">
        <f>""</f>
        <v/>
      </c>
      <c r="K307" t="str">
        <f t="shared" si="80"/>
        <v>INNI</v>
      </c>
      <c r="L307" t="s">
        <v>1078</v>
      </c>
      <c r="M307">
        <v>915.13</v>
      </c>
    </row>
    <row r="308" spans="1:13" x14ac:dyDescent="0.25">
      <c r="A308" t="str">
        <f t="shared" si="81"/>
        <v>E171</v>
      </c>
      <c r="B308">
        <v>1</v>
      </c>
      <c r="C308" t="str">
        <f>"14185"</f>
        <v>14185</v>
      </c>
      <c r="D308" t="str">
        <f>"5620"</f>
        <v>5620</v>
      </c>
      <c r="E308" t="str">
        <f>"094OMS"</f>
        <v>094OMS</v>
      </c>
      <c r="F308" t="str">
        <f>""</f>
        <v/>
      </c>
      <c r="G308" t="str">
        <f>""</f>
        <v/>
      </c>
      <c r="H308" s="1">
        <v>39903</v>
      </c>
      <c r="I308" t="str">
        <f>"PRT00266"</f>
        <v>PRT00266</v>
      </c>
      <c r="J308" t="str">
        <f>""</f>
        <v/>
      </c>
      <c r="K308" t="str">
        <f t="shared" ref="K308:K313" si="82">"PR01"</f>
        <v>PR01</v>
      </c>
      <c r="L308" t="s">
        <v>1077</v>
      </c>
      <c r="M308">
        <v>120</v>
      </c>
    </row>
    <row r="309" spans="1:13" x14ac:dyDescent="0.25">
      <c r="A309" t="str">
        <f t="shared" si="81"/>
        <v>E171</v>
      </c>
      <c r="B309">
        <v>1</v>
      </c>
      <c r="C309" t="str">
        <f>"14185"</f>
        <v>14185</v>
      </c>
      <c r="D309" t="str">
        <f>"5620"</f>
        <v>5620</v>
      </c>
      <c r="E309" t="str">
        <f>"094OMS"</f>
        <v>094OMS</v>
      </c>
      <c r="F309" t="str">
        <f>""</f>
        <v/>
      </c>
      <c r="G309" t="str">
        <f>""</f>
        <v/>
      </c>
      <c r="H309" s="1">
        <v>39994</v>
      </c>
      <c r="I309" t="str">
        <f>"PRT00271"</f>
        <v>PRT00271</v>
      </c>
      <c r="J309" t="str">
        <f>"429166"</f>
        <v>429166</v>
      </c>
      <c r="K309" t="str">
        <f t="shared" si="82"/>
        <v>PR01</v>
      </c>
      <c r="L309" t="s">
        <v>1076</v>
      </c>
      <c r="M309">
        <v>120</v>
      </c>
    </row>
    <row r="310" spans="1:13" x14ac:dyDescent="0.25">
      <c r="A310" t="str">
        <f t="shared" si="81"/>
        <v>E171</v>
      </c>
      <c r="B310">
        <v>1</v>
      </c>
      <c r="C310" t="str">
        <f>"32040"</f>
        <v>32040</v>
      </c>
      <c r="D310" t="str">
        <f>"5610"</f>
        <v>5610</v>
      </c>
      <c r="E310" t="str">
        <f>"850LOS"</f>
        <v>850LOS</v>
      </c>
      <c r="F310" t="str">
        <f>""</f>
        <v/>
      </c>
      <c r="G310" t="str">
        <f>""</f>
        <v/>
      </c>
      <c r="H310" s="1">
        <v>39660</v>
      </c>
      <c r="I310" t="str">
        <f>"PRT00248"</f>
        <v>PRT00248</v>
      </c>
      <c r="J310" t="str">
        <f>"355563"</f>
        <v>355563</v>
      </c>
      <c r="K310" t="str">
        <f t="shared" si="82"/>
        <v>PR01</v>
      </c>
      <c r="L310" t="s">
        <v>1075</v>
      </c>
      <c r="M310">
        <v>766.27</v>
      </c>
    </row>
    <row r="311" spans="1:13" x14ac:dyDescent="0.25">
      <c r="A311" t="str">
        <f t="shared" si="81"/>
        <v>E171</v>
      </c>
      <c r="B311">
        <v>1</v>
      </c>
      <c r="C311" t="str">
        <f>"43000"</f>
        <v>43000</v>
      </c>
      <c r="D311" t="str">
        <f t="shared" ref="D311:D316" si="83">"5740"</f>
        <v>5740</v>
      </c>
      <c r="E311" t="str">
        <f>"850LOS"</f>
        <v>850LOS</v>
      </c>
      <c r="F311" t="str">
        <f>""</f>
        <v/>
      </c>
      <c r="G311" t="str">
        <f>""</f>
        <v/>
      </c>
      <c r="H311" s="1">
        <v>39689</v>
      </c>
      <c r="I311" t="str">
        <f>"PRT00250"</f>
        <v>PRT00250</v>
      </c>
      <c r="J311" t="str">
        <f>"352095"</f>
        <v>352095</v>
      </c>
      <c r="K311" t="str">
        <f t="shared" si="82"/>
        <v>PR01</v>
      </c>
      <c r="L311" t="s">
        <v>146</v>
      </c>
      <c r="M311" s="2">
        <v>1668</v>
      </c>
    </row>
    <row r="312" spans="1:13" x14ac:dyDescent="0.25">
      <c r="A312" t="str">
        <f t="shared" si="81"/>
        <v>E171</v>
      </c>
      <c r="B312">
        <v>1</v>
      </c>
      <c r="C312" t="str">
        <f>"43000"</f>
        <v>43000</v>
      </c>
      <c r="D312" t="str">
        <f t="shared" si="83"/>
        <v>5740</v>
      </c>
      <c r="E312" t="str">
        <f>"850PKE"</f>
        <v>850PKE</v>
      </c>
      <c r="F312" t="str">
        <f>""</f>
        <v/>
      </c>
      <c r="G312" t="str">
        <f>""</f>
        <v/>
      </c>
      <c r="H312" s="1">
        <v>39689</v>
      </c>
      <c r="I312" t="str">
        <f>"PRT00250"</f>
        <v>PRT00250</v>
      </c>
      <c r="J312" t="str">
        <f>"351696"</f>
        <v>351696</v>
      </c>
      <c r="K312" t="str">
        <f t="shared" si="82"/>
        <v>PR01</v>
      </c>
      <c r="L312" t="s">
        <v>1074</v>
      </c>
      <c r="M312">
        <v>286.27</v>
      </c>
    </row>
    <row r="313" spans="1:13" x14ac:dyDescent="0.25">
      <c r="A313" t="str">
        <f t="shared" si="81"/>
        <v>E171</v>
      </c>
      <c r="B313">
        <v>1</v>
      </c>
      <c r="C313" t="str">
        <f>"43000"</f>
        <v>43000</v>
      </c>
      <c r="D313" t="str">
        <f t="shared" si="83"/>
        <v>5740</v>
      </c>
      <c r="E313" t="str">
        <f>"850PKE"</f>
        <v>850PKE</v>
      </c>
      <c r="F313" t="str">
        <f>""</f>
        <v/>
      </c>
      <c r="G313" t="str">
        <f>""</f>
        <v/>
      </c>
      <c r="H313" s="1">
        <v>39689</v>
      </c>
      <c r="I313" t="str">
        <f>"PRT00250"</f>
        <v>PRT00250</v>
      </c>
      <c r="J313" t="str">
        <f>"359937"</f>
        <v>359937</v>
      </c>
      <c r="K313" t="str">
        <f t="shared" si="82"/>
        <v>PR01</v>
      </c>
      <c r="L313" t="s">
        <v>1073</v>
      </c>
      <c r="M313">
        <v>398.65</v>
      </c>
    </row>
    <row r="314" spans="1:13" x14ac:dyDescent="0.25">
      <c r="A314" t="str">
        <f t="shared" si="81"/>
        <v>E171</v>
      </c>
      <c r="B314">
        <v>1</v>
      </c>
      <c r="C314" t="str">
        <f>"43000"</f>
        <v>43000</v>
      </c>
      <c r="D314" t="str">
        <f t="shared" si="83"/>
        <v>5740</v>
      </c>
      <c r="E314" t="str">
        <f>"850PKE"</f>
        <v>850PKE</v>
      </c>
      <c r="F314" t="str">
        <f>""</f>
        <v/>
      </c>
      <c r="G314" t="str">
        <f>""</f>
        <v/>
      </c>
      <c r="H314" s="1">
        <v>39766</v>
      </c>
      <c r="I314" t="str">
        <f>"PCD00342"</f>
        <v>PCD00342</v>
      </c>
      <c r="J314" t="str">
        <f>"87201"</f>
        <v>87201</v>
      </c>
      <c r="K314" t="str">
        <f>"AS89"</f>
        <v>AS89</v>
      </c>
      <c r="L314" t="s">
        <v>1072</v>
      </c>
      <c r="M314" s="2">
        <v>1000</v>
      </c>
    </row>
    <row r="315" spans="1:13" x14ac:dyDescent="0.25">
      <c r="A315" t="str">
        <f t="shared" si="81"/>
        <v>E171</v>
      </c>
      <c r="B315">
        <v>1</v>
      </c>
      <c r="C315" t="str">
        <f>"43000"</f>
        <v>43000</v>
      </c>
      <c r="D315" t="str">
        <f t="shared" si="83"/>
        <v>5740</v>
      </c>
      <c r="E315" t="str">
        <f>"850PKE"</f>
        <v>850PKE</v>
      </c>
      <c r="F315" t="str">
        <f>""</f>
        <v/>
      </c>
      <c r="G315" t="str">
        <f>""</f>
        <v/>
      </c>
      <c r="H315" s="1">
        <v>39844</v>
      </c>
      <c r="I315" t="str">
        <f>"PRT00263"</f>
        <v>PRT00263</v>
      </c>
      <c r="J315" t="str">
        <f>"393811"</f>
        <v>393811</v>
      </c>
      <c r="K315" t="str">
        <f>"PR01"</f>
        <v>PR01</v>
      </c>
      <c r="L315" t="s">
        <v>1071</v>
      </c>
      <c r="M315">
        <v>407.39</v>
      </c>
    </row>
    <row r="316" spans="1:13" x14ac:dyDescent="0.25">
      <c r="A316" t="str">
        <f t="shared" si="81"/>
        <v>E171</v>
      </c>
      <c r="B316">
        <v>1</v>
      </c>
      <c r="C316" t="str">
        <f>"55729"</f>
        <v>55729</v>
      </c>
      <c r="D316" t="str">
        <f t="shared" si="83"/>
        <v>5740</v>
      </c>
      <c r="E316" t="str">
        <f>"111ZAA"</f>
        <v>111ZAA</v>
      </c>
      <c r="F316" t="str">
        <f>""</f>
        <v/>
      </c>
      <c r="G316" t="str">
        <f>""</f>
        <v/>
      </c>
      <c r="H316" s="1">
        <v>39689</v>
      </c>
      <c r="I316" t="str">
        <f>"PRT00250"</f>
        <v>PRT00250</v>
      </c>
      <c r="J316" t="str">
        <f>"355611"</f>
        <v>355611</v>
      </c>
      <c r="K316" t="str">
        <f>"PR01"</f>
        <v>PR01</v>
      </c>
      <c r="L316" t="s">
        <v>1070</v>
      </c>
      <c r="M316">
        <v>131.81</v>
      </c>
    </row>
    <row r="317" spans="1:13" x14ac:dyDescent="0.25">
      <c r="A317" t="str">
        <f t="shared" si="81"/>
        <v>E171</v>
      </c>
      <c r="B317">
        <v>1</v>
      </c>
      <c r="C317" t="str">
        <f>"55729"</f>
        <v>55729</v>
      </c>
      <c r="D317" t="str">
        <f>"5741"</f>
        <v>5741</v>
      </c>
      <c r="E317" t="str">
        <f>"111ZAA"</f>
        <v>111ZAA</v>
      </c>
      <c r="F317" t="str">
        <f>""</f>
        <v/>
      </c>
      <c r="G317" t="str">
        <f>""</f>
        <v/>
      </c>
      <c r="H317" s="1">
        <v>39833</v>
      </c>
      <c r="I317" t="str">
        <f>"G0907001"</f>
        <v>G0907001</v>
      </c>
      <c r="J317" t="str">
        <f>""</f>
        <v/>
      </c>
      <c r="K317" t="str">
        <f>"J096"</f>
        <v>J096</v>
      </c>
      <c r="L317" t="s">
        <v>950</v>
      </c>
      <c r="M317">
        <v>131.81</v>
      </c>
    </row>
    <row r="318" spans="1:13" x14ac:dyDescent="0.25">
      <c r="A318" t="str">
        <f t="shared" si="81"/>
        <v>E171</v>
      </c>
      <c r="B318">
        <v>1</v>
      </c>
      <c r="C318" t="str">
        <f>"55729"</f>
        <v>55729</v>
      </c>
      <c r="D318" t="str">
        <f>"5741"</f>
        <v>5741</v>
      </c>
      <c r="E318" t="str">
        <f>"111ZAA"</f>
        <v>111ZAA</v>
      </c>
      <c r="F318" t="str">
        <f>""</f>
        <v/>
      </c>
      <c r="G318" t="str">
        <f>""</f>
        <v/>
      </c>
      <c r="H318" s="1">
        <v>39964</v>
      </c>
      <c r="I318" t="str">
        <f>"PRT00270"</f>
        <v>PRT00270</v>
      </c>
      <c r="J318" t="str">
        <f>"409089"</f>
        <v>409089</v>
      </c>
      <c r="K318" t="str">
        <f>"PR01"</f>
        <v>PR01</v>
      </c>
      <c r="L318" t="s">
        <v>1069</v>
      </c>
      <c r="M318" s="2">
        <v>1276.46</v>
      </c>
    </row>
    <row r="319" spans="1:13" x14ac:dyDescent="0.25">
      <c r="A319" t="str">
        <f t="shared" ref="A319:A329" si="84">"E172"</f>
        <v>E172</v>
      </c>
      <c r="B319">
        <v>1</v>
      </c>
      <c r="C319" t="str">
        <f t="shared" ref="C319:C324" si="85">"43000"</f>
        <v>43000</v>
      </c>
      <c r="D319" t="str">
        <f t="shared" ref="D319:D325" si="86">"5740"</f>
        <v>5740</v>
      </c>
      <c r="E319" t="str">
        <f>"850LOS"</f>
        <v>850LOS</v>
      </c>
      <c r="F319" t="str">
        <f>""</f>
        <v/>
      </c>
      <c r="G319" t="str">
        <f>""</f>
        <v/>
      </c>
      <c r="H319" s="1">
        <v>39720</v>
      </c>
      <c r="I319" t="str">
        <f>"COP00218"</f>
        <v>COP00218</v>
      </c>
      <c r="J319" t="str">
        <f t="shared" ref="J319:J326" si="87">"JOB ORDR"</f>
        <v>JOB ORDR</v>
      </c>
      <c r="K319" t="str">
        <f t="shared" ref="K319:K326" si="88">"AS89"</f>
        <v>AS89</v>
      </c>
      <c r="L319" t="s">
        <v>1065</v>
      </c>
      <c r="M319">
        <v>719.93</v>
      </c>
    </row>
    <row r="320" spans="1:13" x14ac:dyDescent="0.25">
      <c r="A320" t="str">
        <f t="shared" si="84"/>
        <v>E172</v>
      </c>
      <c r="B320">
        <v>1</v>
      </c>
      <c r="C320" t="str">
        <f t="shared" si="85"/>
        <v>43000</v>
      </c>
      <c r="D320" t="str">
        <f t="shared" si="86"/>
        <v>5740</v>
      </c>
      <c r="E320" t="str">
        <f>"850LOS"</f>
        <v>850LOS</v>
      </c>
      <c r="F320" t="str">
        <f>""</f>
        <v/>
      </c>
      <c r="G320" t="str">
        <f>""</f>
        <v/>
      </c>
      <c r="H320" s="1">
        <v>39932</v>
      </c>
      <c r="I320" t="str">
        <f>"COP00225"</f>
        <v>COP00225</v>
      </c>
      <c r="J320" t="str">
        <f t="shared" si="87"/>
        <v>JOB ORDR</v>
      </c>
      <c r="K320" t="str">
        <f t="shared" si="88"/>
        <v>AS89</v>
      </c>
      <c r="L320" t="s">
        <v>1059</v>
      </c>
      <c r="M320">
        <v>274.55</v>
      </c>
    </row>
    <row r="321" spans="1:13" x14ac:dyDescent="0.25">
      <c r="A321" t="str">
        <f t="shared" si="84"/>
        <v>E172</v>
      </c>
      <c r="B321">
        <v>1</v>
      </c>
      <c r="C321" t="str">
        <f t="shared" si="85"/>
        <v>43000</v>
      </c>
      <c r="D321" t="str">
        <f t="shared" si="86"/>
        <v>5740</v>
      </c>
      <c r="E321" t="str">
        <f>"850LOS"</f>
        <v>850LOS</v>
      </c>
      <c r="F321" t="str">
        <f>""</f>
        <v/>
      </c>
      <c r="G321" t="str">
        <f>""</f>
        <v/>
      </c>
      <c r="H321" s="1">
        <v>39961</v>
      </c>
      <c r="I321" t="str">
        <f>"COP00226"</f>
        <v>COP00226</v>
      </c>
      <c r="J321" t="str">
        <f t="shared" si="87"/>
        <v>JOB ORDR</v>
      </c>
      <c r="K321" t="str">
        <f t="shared" si="88"/>
        <v>AS89</v>
      </c>
      <c r="L321" t="s">
        <v>1067</v>
      </c>
      <c r="M321">
        <v>110.11</v>
      </c>
    </row>
    <row r="322" spans="1:13" x14ac:dyDescent="0.25">
      <c r="A322" t="str">
        <f t="shared" si="84"/>
        <v>E172</v>
      </c>
      <c r="B322">
        <v>1</v>
      </c>
      <c r="C322" t="str">
        <f t="shared" si="85"/>
        <v>43000</v>
      </c>
      <c r="D322" t="str">
        <f t="shared" si="86"/>
        <v>5740</v>
      </c>
      <c r="E322" t="str">
        <f>"850LOS"</f>
        <v>850LOS</v>
      </c>
      <c r="F322" t="str">
        <f>""</f>
        <v/>
      </c>
      <c r="G322" t="str">
        <f>""</f>
        <v/>
      </c>
      <c r="H322" s="1">
        <v>39990</v>
      </c>
      <c r="I322" t="str">
        <f>"COP00227"</f>
        <v>COP00227</v>
      </c>
      <c r="J322" t="str">
        <f t="shared" si="87"/>
        <v>JOB ORDR</v>
      </c>
      <c r="K322" t="str">
        <f t="shared" si="88"/>
        <v>AS89</v>
      </c>
      <c r="L322" t="s">
        <v>1068</v>
      </c>
      <c r="M322">
        <v>499.95</v>
      </c>
    </row>
    <row r="323" spans="1:13" x14ac:dyDescent="0.25">
      <c r="A323" t="str">
        <f t="shared" si="84"/>
        <v>E172</v>
      </c>
      <c r="B323">
        <v>1</v>
      </c>
      <c r="C323" t="str">
        <f t="shared" si="85"/>
        <v>43000</v>
      </c>
      <c r="D323" t="str">
        <f t="shared" si="86"/>
        <v>5740</v>
      </c>
      <c r="E323" t="str">
        <f>"850PKE"</f>
        <v>850PKE</v>
      </c>
      <c r="F323" t="str">
        <f>""</f>
        <v/>
      </c>
      <c r="G323" t="str">
        <f>""</f>
        <v/>
      </c>
      <c r="H323" s="1">
        <v>39842</v>
      </c>
      <c r="I323" t="str">
        <f>"COP00222"</f>
        <v>COP00222</v>
      </c>
      <c r="J323" t="str">
        <f t="shared" si="87"/>
        <v>JOB ORDR</v>
      </c>
      <c r="K323" t="str">
        <f t="shared" si="88"/>
        <v>AS89</v>
      </c>
      <c r="L323" t="s">
        <v>1061</v>
      </c>
      <c r="M323">
        <v>408.85</v>
      </c>
    </row>
    <row r="324" spans="1:13" x14ac:dyDescent="0.25">
      <c r="A324" t="str">
        <f t="shared" si="84"/>
        <v>E172</v>
      </c>
      <c r="B324">
        <v>1</v>
      </c>
      <c r="C324" t="str">
        <f t="shared" si="85"/>
        <v>43000</v>
      </c>
      <c r="D324" t="str">
        <f t="shared" si="86"/>
        <v>5740</v>
      </c>
      <c r="E324" t="str">
        <f>"850PKE"</f>
        <v>850PKE</v>
      </c>
      <c r="F324" t="str">
        <f>""</f>
        <v/>
      </c>
      <c r="G324" t="str">
        <f>""</f>
        <v/>
      </c>
      <c r="H324" s="1">
        <v>39932</v>
      </c>
      <c r="I324" t="str">
        <f>"COP00225"</f>
        <v>COP00225</v>
      </c>
      <c r="J324" t="str">
        <f t="shared" si="87"/>
        <v>JOB ORDR</v>
      </c>
      <c r="K324" t="str">
        <f t="shared" si="88"/>
        <v>AS89</v>
      </c>
      <c r="L324" t="s">
        <v>1059</v>
      </c>
      <c r="M324">
        <v>380.43</v>
      </c>
    </row>
    <row r="325" spans="1:13" x14ac:dyDescent="0.25">
      <c r="A325" t="str">
        <f t="shared" si="84"/>
        <v>E172</v>
      </c>
      <c r="B325">
        <v>1</v>
      </c>
      <c r="C325" t="str">
        <f>"43007"</f>
        <v>43007</v>
      </c>
      <c r="D325" t="str">
        <f t="shared" si="86"/>
        <v>5740</v>
      </c>
      <c r="E325" t="str">
        <f>"850GAR"</f>
        <v>850GAR</v>
      </c>
      <c r="F325" t="str">
        <f>""</f>
        <v/>
      </c>
      <c r="G325" t="str">
        <f>""</f>
        <v/>
      </c>
      <c r="H325" s="1">
        <v>39778</v>
      </c>
      <c r="I325" t="str">
        <f>"COP00220"</f>
        <v>COP00220</v>
      </c>
      <c r="J325" t="str">
        <f t="shared" si="87"/>
        <v>JOB ORDR</v>
      </c>
      <c r="K325" t="str">
        <f t="shared" si="88"/>
        <v>AS89</v>
      </c>
      <c r="L325" t="s">
        <v>1063</v>
      </c>
      <c r="M325">
        <v>432.1</v>
      </c>
    </row>
    <row r="326" spans="1:13" x14ac:dyDescent="0.25">
      <c r="A326" t="str">
        <f t="shared" si="84"/>
        <v>E172</v>
      </c>
      <c r="B326">
        <v>1</v>
      </c>
      <c r="C326" t="str">
        <f>"55729"</f>
        <v>55729</v>
      </c>
      <c r="D326" t="str">
        <f>"5741"</f>
        <v>5741</v>
      </c>
      <c r="E326" t="str">
        <f>"111ZAA"</f>
        <v>111ZAA</v>
      </c>
      <c r="F326" t="str">
        <f>""</f>
        <v/>
      </c>
      <c r="G326" t="str">
        <f>""</f>
        <v/>
      </c>
      <c r="H326" s="1">
        <v>39811</v>
      </c>
      <c r="I326" t="str">
        <f>"COP00221"</f>
        <v>COP00221</v>
      </c>
      <c r="J326" t="str">
        <f t="shared" si="87"/>
        <v>JOB ORDR</v>
      </c>
      <c r="K326" t="str">
        <f t="shared" si="88"/>
        <v>AS89</v>
      </c>
      <c r="L326" t="s">
        <v>1062</v>
      </c>
      <c r="M326">
        <v>739.99</v>
      </c>
    </row>
    <row r="327" spans="1:13" x14ac:dyDescent="0.25">
      <c r="A327" t="str">
        <f t="shared" si="84"/>
        <v>E172</v>
      </c>
      <c r="B327">
        <v>1</v>
      </c>
      <c r="C327" t="str">
        <f>"55729"</f>
        <v>55729</v>
      </c>
      <c r="D327" t="str">
        <f>"5741"</f>
        <v>5741</v>
      </c>
      <c r="E327" t="str">
        <f>"111ZAA"</f>
        <v>111ZAA</v>
      </c>
      <c r="F327" t="str">
        <f>""</f>
        <v/>
      </c>
      <c r="G327" t="str">
        <f>""</f>
        <v/>
      </c>
      <c r="H327" s="1">
        <v>39833</v>
      </c>
      <c r="I327" t="str">
        <f>"G0907001"</f>
        <v>G0907001</v>
      </c>
      <c r="J327" t="str">
        <f>""</f>
        <v/>
      </c>
      <c r="K327" t="str">
        <f>"J096"</f>
        <v>J096</v>
      </c>
      <c r="L327" t="s">
        <v>950</v>
      </c>
      <c r="M327">
        <v>146.35</v>
      </c>
    </row>
    <row r="328" spans="1:13" x14ac:dyDescent="0.25">
      <c r="A328" t="str">
        <f t="shared" si="84"/>
        <v>E172</v>
      </c>
      <c r="B328">
        <v>1</v>
      </c>
      <c r="C328" t="str">
        <f>"55729"</f>
        <v>55729</v>
      </c>
      <c r="D328" t="str">
        <f>"5741"</f>
        <v>5741</v>
      </c>
      <c r="E328" t="str">
        <f>"111ZAA"</f>
        <v>111ZAA</v>
      </c>
      <c r="F328" t="str">
        <f>""</f>
        <v/>
      </c>
      <c r="G328" t="str">
        <f>""</f>
        <v/>
      </c>
      <c r="H328" s="1">
        <v>39842</v>
      </c>
      <c r="I328" t="str">
        <f>"COP00222"</f>
        <v>COP00222</v>
      </c>
      <c r="J328" t="str">
        <f>"JOB ORDR"</f>
        <v>JOB ORDR</v>
      </c>
      <c r="K328" t="str">
        <f t="shared" ref="K328:K336" si="89">"AS89"</f>
        <v>AS89</v>
      </c>
      <c r="L328" t="s">
        <v>1061</v>
      </c>
      <c r="M328">
        <v>143.94</v>
      </c>
    </row>
    <row r="329" spans="1:13" x14ac:dyDescent="0.25">
      <c r="A329" t="str">
        <f t="shared" si="84"/>
        <v>E172</v>
      </c>
      <c r="B329">
        <v>1</v>
      </c>
      <c r="C329" t="str">
        <f>"55729"</f>
        <v>55729</v>
      </c>
      <c r="D329" t="str">
        <f>"5741"</f>
        <v>5741</v>
      </c>
      <c r="E329" t="str">
        <f>"111ZAA"</f>
        <v>111ZAA</v>
      </c>
      <c r="F329" t="str">
        <f>""</f>
        <v/>
      </c>
      <c r="G329" t="str">
        <f>""</f>
        <v/>
      </c>
      <c r="H329" s="1">
        <v>39903</v>
      </c>
      <c r="I329" t="str">
        <f>"COP00224"</f>
        <v>COP00224</v>
      </c>
      <c r="J329" t="str">
        <f>"JOB ORDR"</f>
        <v>JOB ORDR</v>
      </c>
      <c r="K329" t="str">
        <f t="shared" si="89"/>
        <v>AS89</v>
      </c>
      <c r="L329" t="s">
        <v>1060</v>
      </c>
      <c r="M329">
        <v>113.55</v>
      </c>
    </row>
    <row r="330" spans="1:13" x14ac:dyDescent="0.25">
      <c r="A330" t="str">
        <f t="shared" ref="A330:A337" si="90">"E173"</f>
        <v>E173</v>
      </c>
      <c r="B330">
        <v>1</v>
      </c>
      <c r="C330" t="str">
        <f>"14185"</f>
        <v>14185</v>
      </c>
      <c r="D330" t="str">
        <f>"5620"</f>
        <v>5620</v>
      </c>
      <c r="E330" t="str">
        <f>"094OMS"</f>
        <v>094OMS</v>
      </c>
      <c r="F330" t="str">
        <f>""</f>
        <v/>
      </c>
      <c r="G330" t="str">
        <f>""</f>
        <v/>
      </c>
      <c r="H330" s="1">
        <v>39752</v>
      </c>
      <c r="I330" t="str">
        <f>"COP00219"</f>
        <v>COP00219</v>
      </c>
      <c r="J330" t="str">
        <f t="shared" ref="J330:J336" si="91">"AUDITRON"</f>
        <v>AUDITRON</v>
      </c>
      <c r="K330" t="str">
        <f t="shared" si="89"/>
        <v>AS89</v>
      </c>
      <c r="L330" t="s">
        <v>1064</v>
      </c>
      <c r="M330">
        <v>102.48</v>
      </c>
    </row>
    <row r="331" spans="1:13" x14ac:dyDescent="0.25">
      <c r="A331" t="str">
        <f t="shared" si="90"/>
        <v>E173</v>
      </c>
      <c r="B331">
        <v>1</v>
      </c>
      <c r="C331" t="str">
        <f t="shared" ref="C331:C337" si="92">"43000"</f>
        <v>43000</v>
      </c>
      <c r="D331" t="str">
        <f t="shared" ref="D331:D337" si="93">"5740"</f>
        <v>5740</v>
      </c>
      <c r="E331" t="str">
        <f t="shared" ref="E331:E337" si="94">"850LOS"</f>
        <v>850LOS</v>
      </c>
      <c r="F331" t="str">
        <f>""</f>
        <v/>
      </c>
      <c r="G331" t="str">
        <f>""</f>
        <v/>
      </c>
      <c r="H331" s="1">
        <v>39660</v>
      </c>
      <c r="I331" t="str">
        <f>"COP00216"</f>
        <v>COP00216</v>
      </c>
      <c r="J331" t="str">
        <f t="shared" si="91"/>
        <v>AUDITRON</v>
      </c>
      <c r="K331" t="str">
        <f t="shared" si="89"/>
        <v>AS89</v>
      </c>
      <c r="L331" t="s">
        <v>1066</v>
      </c>
      <c r="M331">
        <v>145.08000000000001</v>
      </c>
    </row>
    <row r="332" spans="1:13" x14ac:dyDescent="0.25">
      <c r="A332" t="str">
        <f t="shared" si="90"/>
        <v>E173</v>
      </c>
      <c r="B332">
        <v>1</v>
      </c>
      <c r="C332" t="str">
        <f t="shared" si="92"/>
        <v>43000</v>
      </c>
      <c r="D332" t="str">
        <f t="shared" si="93"/>
        <v>5740</v>
      </c>
      <c r="E332" t="str">
        <f t="shared" si="94"/>
        <v>850LOS</v>
      </c>
      <c r="F332" t="str">
        <f>""</f>
        <v/>
      </c>
      <c r="G332" t="str">
        <f>""</f>
        <v/>
      </c>
      <c r="H332" s="1">
        <v>39720</v>
      </c>
      <c r="I332" t="str">
        <f>"COP00218"</f>
        <v>COP00218</v>
      </c>
      <c r="J332" t="str">
        <f t="shared" si="91"/>
        <v>AUDITRON</v>
      </c>
      <c r="K332" t="str">
        <f t="shared" si="89"/>
        <v>AS89</v>
      </c>
      <c r="L332" t="s">
        <v>1065</v>
      </c>
      <c r="M332">
        <v>141.47999999999999</v>
      </c>
    </row>
    <row r="333" spans="1:13" x14ac:dyDescent="0.25">
      <c r="A333" t="str">
        <f t="shared" si="90"/>
        <v>E173</v>
      </c>
      <c r="B333">
        <v>1</v>
      </c>
      <c r="C333" t="str">
        <f t="shared" si="92"/>
        <v>43000</v>
      </c>
      <c r="D333" t="str">
        <f t="shared" si="93"/>
        <v>5740</v>
      </c>
      <c r="E333" t="str">
        <f t="shared" si="94"/>
        <v>850LOS</v>
      </c>
      <c r="F333" t="str">
        <f>""</f>
        <v/>
      </c>
      <c r="G333" t="str">
        <f>""</f>
        <v/>
      </c>
      <c r="H333" s="1">
        <v>39752</v>
      </c>
      <c r="I333" t="str">
        <f>"COP00219"</f>
        <v>COP00219</v>
      </c>
      <c r="J333" t="str">
        <f t="shared" si="91"/>
        <v>AUDITRON</v>
      </c>
      <c r="K333" t="str">
        <f t="shared" si="89"/>
        <v>AS89</v>
      </c>
      <c r="L333" t="s">
        <v>1064</v>
      </c>
      <c r="M333">
        <v>164.91</v>
      </c>
    </row>
    <row r="334" spans="1:13" x14ac:dyDescent="0.25">
      <c r="A334" t="str">
        <f t="shared" si="90"/>
        <v>E173</v>
      </c>
      <c r="B334">
        <v>1</v>
      </c>
      <c r="C334" t="str">
        <f t="shared" si="92"/>
        <v>43000</v>
      </c>
      <c r="D334" t="str">
        <f t="shared" si="93"/>
        <v>5740</v>
      </c>
      <c r="E334" t="str">
        <f t="shared" si="94"/>
        <v>850LOS</v>
      </c>
      <c r="F334" t="str">
        <f>""</f>
        <v/>
      </c>
      <c r="G334" t="str">
        <f>""</f>
        <v/>
      </c>
      <c r="H334" s="1">
        <v>39778</v>
      </c>
      <c r="I334" t="str">
        <f>"COP00220"</f>
        <v>COP00220</v>
      </c>
      <c r="J334" t="str">
        <f t="shared" si="91"/>
        <v>AUDITRON</v>
      </c>
      <c r="K334" t="str">
        <f t="shared" si="89"/>
        <v>AS89</v>
      </c>
      <c r="L334" t="s">
        <v>1063</v>
      </c>
      <c r="M334">
        <v>108.56</v>
      </c>
    </row>
    <row r="335" spans="1:13" x14ac:dyDescent="0.25">
      <c r="A335" t="str">
        <f t="shared" si="90"/>
        <v>E173</v>
      </c>
      <c r="B335">
        <v>1</v>
      </c>
      <c r="C335" t="str">
        <f t="shared" si="92"/>
        <v>43000</v>
      </c>
      <c r="D335" t="str">
        <f t="shared" si="93"/>
        <v>5740</v>
      </c>
      <c r="E335" t="str">
        <f t="shared" si="94"/>
        <v>850LOS</v>
      </c>
      <c r="F335" t="str">
        <f>""</f>
        <v/>
      </c>
      <c r="G335" t="str">
        <f>""</f>
        <v/>
      </c>
      <c r="H335" s="1">
        <v>39986</v>
      </c>
      <c r="I335" t="str">
        <f>"CSS00002"</f>
        <v>CSS00002</v>
      </c>
      <c r="J335" t="str">
        <f t="shared" si="91"/>
        <v>AUDITRON</v>
      </c>
      <c r="K335" t="str">
        <f t="shared" si="89"/>
        <v>AS89</v>
      </c>
      <c r="L335" t="s">
        <v>1058</v>
      </c>
      <c r="M335">
        <v>151.80000000000001</v>
      </c>
    </row>
    <row r="336" spans="1:13" x14ac:dyDescent="0.25">
      <c r="A336" t="str">
        <f t="shared" si="90"/>
        <v>E173</v>
      </c>
      <c r="B336">
        <v>1</v>
      </c>
      <c r="C336" t="str">
        <f t="shared" si="92"/>
        <v>43000</v>
      </c>
      <c r="D336" t="str">
        <f t="shared" si="93"/>
        <v>5740</v>
      </c>
      <c r="E336" t="str">
        <f t="shared" si="94"/>
        <v>850LOS</v>
      </c>
      <c r="F336" t="str">
        <f>""</f>
        <v/>
      </c>
      <c r="G336" t="str">
        <f>""</f>
        <v/>
      </c>
      <c r="H336" s="1">
        <v>39993</v>
      </c>
      <c r="I336" t="str">
        <f>"CSS00105"</f>
        <v>CSS00105</v>
      </c>
      <c r="J336" t="str">
        <f t="shared" si="91"/>
        <v>AUDITRON</v>
      </c>
      <c r="K336" t="str">
        <f t="shared" si="89"/>
        <v>AS89</v>
      </c>
      <c r="L336" t="s">
        <v>1057</v>
      </c>
      <c r="M336">
        <v>114.05</v>
      </c>
    </row>
    <row r="337" spans="1:13" x14ac:dyDescent="0.25">
      <c r="A337" t="str">
        <f t="shared" si="90"/>
        <v>E173</v>
      </c>
      <c r="B337">
        <v>1</v>
      </c>
      <c r="C337" t="str">
        <f t="shared" si="92"/>
        <v>43000</v>
      </c>
      <c r="D337" t="str">
        <f t="shared" si="93"/>
        <v>5740</v>
      </c>
      <c r="E337" t="str">
        <f t="shared" si="94"/>
        <v>850LOS</v>
      </c>
      <c r="F337" t="str">
        <f>""</f>
        <v/>
      </c>
      <c r="G337" t="str">
        <f>""</f>
        <v/>
      </c>
      <c r="H337" s="1">
        <v>39993</v>
      </c>
      <c r="I337" t="str">
        <f>"MLT00001"</f>
        <v>MLT00001</v>
      </c>
      <c r="J337" t="str">
        <f>""</f>
        <v/>
      </c>
      <c r="K337" t="str">
        <f>"AS96"</f>
        <v>AS96</v>
      </c>
      <c r="L337" t="s">
        <v>1056</v>
      </c>
      <c r="M337">
        <v>104.25</v>
      </c>
    </row>
    <row r="338" spans="1:13" x14ac:dyDescent="0.25">
      <c r="A338" t="str">
        <f>"E190"</f>
        <v>E190</v>
      </c>
      <c r="B338">
        <v>1</v>
      </c>
      <c r="C338" t="str">
        <f t="shared" ref="C338:C347" si="95">"14185"</f>
        <v>14185</v>
      </c>
      <c r="D338" t="str">
        <f t="shared" ref="D338:D347" si="96">"5620"</f>
        <v>5620</v>
      </c>
      <c r="E338" t="str">
        <f t="shared" ref="E338:E347" si="97">"094OMS"</f>
        <v>094OMS</v>
      </c>
      <c r="F338" t="str">
        <f>""</f>
        <v/>
      </c>
      <c r="G338" t="str">
        <f>""</f>
        <v/>
      </c>
      <c r="H338" s="1">
        <v>39783</v>
      </c>
      <c r="I338" t="str">
        <f>"PCD00345"</f>
        <v>PCD00345</v>
      </c>
      <c r="J338" t="str">
        <f>"89299"</f>
        <v>89299</v>
      </c>
      <c r="K338" t="str">
        <f>"AS89"</f>
        <v>AS89</v>
      </c>
      <c r="L338" t="s">
        <v>1055</v>
      </c>
      <c r="M338">
        <v>433.6</v>
      </c>
    </row>
    <row r="339" spans="1:13" x14ac:dyDescent="0.25">
      <c r="A339" t="str">
        <f>"E190"</f>
        <v>E190</v>
      </c>
      <c r="B339">
        <v>1</v>
      </c>
      <c r="C339" t="str">
        <f t="shared" si="95"/>
        <v>14185</v>
      </c>
      <c r="D339" t="str">
        <f t="shared" si="96"/>
        <v>5620</v>
      </c>
      <c r="E339" t="str">
        <f t="shared" si="97"/>
        <v>094OMS</v>
      </c>
      <c r="F339" t="str">
        <f>""</f>
        <v/>
      </c>
      <c r="G339" t="str">
        <f>""</f>
        <v/>
      </c>
      <c r="H339" s="1">
        <v>39867</v>
      </c>
      <c r="I339" t="str">
        <f>"1402H"</f>
        <v>1402H</v>
      </c>
      <c r="J339" t="str">
        <f>"F125364"</f>
        <v>F125364</v>
      </c>
      <c r="K339" t="str">
        <f>"INEI"</f>
        <v>INEI</v>
      </c>
      <c r="L339" t="s">
        <v>1010</v>
      </c>
      <c r="M339" s="2">
        <v>1085</v>
      </c>
    </row>
    <row r="340" spans="1:13" x14ac:dyDescent="0.25">
      <c r="A340" t="str">
        <f t="shared" ref="A340:A348" si="98">"E191"</f>
        <v>E191</v>
      </c>
      <c r="B340">
        <v>1</v>
      </c>
      <c r="C340" t="str">
        <f t="shared" si="95"/>
        <v>14185</v>
      </c>
      <c r="D340" t="str">
        <f t="shared" si="96"/>
        <v>5620</v>
      </c>
      <c r="E340" t="str">
        <f t="shared" si="97"/>
        <v>094OMS</v>
      </c>
      <c r="F340" t="str">
        <f>""</f>
        <v/>
      </c>
      <c r="G340" t="str">
        <f>""</f>
        <v/>
      </c>
      <c r="H340" s="1">
        <v>39716</v>
      </c>
      <c r="I340" t="str">
        <f>"125339A"</f>
        <v>125339A</v>
      </c>
      <c r="J340" t="str">
        <f>""</f>
        <v/>
      </c>
      <c r="K340" t="str">
        <f>"INNI"</f>
        <v>INNI</v>
      </c>
      <c r="L340" t="s">
        <v>181</v>
      </c>
      <c r="M340">
        <v>500</v>
      </c>
    </row>
    <row r="341" spans="1:13" x14ac:dyDescent="0.25">
      <c r="A341" t="str">
        <f t="shared" si="98"/>
        <v>E191</v>
      </c>
      <c r="B341">
        <v>1</v>
      </c>
      <c r="C341" t="str">
        <f t="shared" si="95"/>
        <v>14185</v>
      </c>
      <c r="D341" t="str">
        <f t="shared" si="96"/>
        <v>5620</v>
      </c>
      <c r="E341" t="str">
        <f t="shared" si="97"/>
        <v>094OMS</v>
      </c>
      <c r="F341" t="str">
        <f>""</f>
        <v/>
      </c>
      <c r="G341" t="str">
        <f>""</f>
        <v/>
      </c>
      <c r="H341" s="1">
        <v>39731</v>
      </c>
      <c r="I341" t="str">
        <f>"PCD00337"</f>
        <v>PCD00337</v>
      </c>
      <c r="J341" t="str">
        <f>"85827"</f>
        <v>85827</v>
      </c>
      <c r="K341" t="str">
        <f>"AS89"</f>
        <v>AS89</v>
      </c>
      <c r="L341" t="s">
        <v>1054</v>
      </c>
      <c r="M341">
        <v>150</v>
      </c>
    </row>
    <row r="342" spans="1:13" x14ac:dyDescent="0.25">
      <c r="A342" t="str">
        <f t="shared" si="98"/>
        <v>E191</v>
      </c>
      <c r="B342">
        <v>1</v>
      </c>
      <c r="C342" t="str">
        <f t="shared" si="95"/>
        <v>14185</v>
      </c>
      <c r="D342" t="str">
        <f t="shared" si="96"/>
        <v>5620</v>
      </c>
      <c r="E342" t="str">
        <f t="shared" si="97"/>
        <v>094OMS</v>
      </c>
      <c r="F342" t="str">
        <f>""</f>
        <v/>
      </c>
      <c r="G342" t="str">
        <f>""</f>
        <v/>
      </c>
      <c r="H342" s="1">
        <v>39766</v>
      </c>
      <c r="I342" t="str">
        <f>"PCD00342"</f>
        <v>PCD00342</v>
      </c>
      <c r="J342" t="str">
        <f>"87014"</f>
        <v>87014</v>
      </c>
      <c r="K342" t="str">
        <f>"AS89"</f>
        <v>AS89</v>
      </c>
      <c r="L342" t="s">
        <v>1053</v>
      </c>
      <c r="M342">
        <v>800</v>
      </c>
    </row>
    <row r="343" spans="1:13" x14ac:dyDescent="0.25">
      <c r="A343" t="str">
        <f t="shared" si="98"/>
        <v>E191</v>
      </c>
      <c r="B343">
        <v>1</v>
      </c>
      <c r="C343" t="str">
        <f t="shared" si="95"/>
        <v>14185</v>
      </c>
      <c r="D343" t="str">
        <f t="shared" si="96"/>
        <v>5620</v>
      </c>
      <c r="E343" t="str">
        <f t="shared" si="97"/>
        <v>094OMS</v>
      </c>
      <c r="F343" t="str">
        <f>""</f>
        <v/>
      </c>
      <c r="G343" t="str">
        <f>""</f>
        <v/>
      </c>
      <c r="H343" s="1">
        <v>39794</v>
      </c>
      <c r="I343" t="str">
        <f>"PCD00348"</f>
        <v>PCD00348</v>
      </c>
      <c r="J343" t="str">
        <f>"89158"</f>
        <v>89158</v>
      </c>
      <c r="K343" t="str">
        <f>"AS89"</f>
        <v>AS89</v>
      </c>
      <c r="L343" t="s">
        <v>1052</v>
      </c>
      <c r="M343">
        <v>300</v>
      </c>
    </row>
    <row r="344" spans="1:13" x14ac:dyDescent="0.25">
      <c r="A344" t="str">
        <f t="shared" si="98"/>
        <v>E191</v>
      </c>
      <c r="B344">
        <v>1</v>
      </c>
      <c r="C344" t="str">
        <f t="shared" si="95"/>
        <v>14185</v>
      </c>
      <c r="D344" t="str">
        <f t="shared" si="96"/>
        <v>5620</v>
      </c>
      <c r="E344" t="str">
        <f t="shared" si="97"/>
        <v>094OMS</v>
      </c>
      <c r="F344" t="str">
        <f>""</f>
        <v/>
      </c>
      <c r="G344" t="str">
        <f>""</f>
        <v/>
      </c>
      <c r="H344" s="1">
        <v>39811</v>
      </c>
      <c r="I344" t="str">
        <f>"125360B"</f>
        <v>125360B</v>
      </c>
      <c r="J344" t="str">
        <f>""</f>
        <v/>
      </c>
      <c r="K344" t="str">
        <f>"INNI"</f>
        <v>INNI</v>
      </c>
      <c r="L344" t="s">
        <v>1051</v>
      </c>
      <c r="M344">
        <v>300</v>
      </c>
    </row>
    <row r="345" spans="1:13" x14ac:dyDescent="0.25">
      <c r="A345" t="str">
        <f t="shared" si="98"/>
        <v>E191</v>
      </c>
      <c r="B345">
        <v>1</v>
      </c>
      <c r="C345" t="str">
        <f t="shared" si="95"/>
        <v>14185</v>
      </c>
      <c r="D345" t="str">
        <f t="shared" si="96"/>
        <v>5620</v>
      </c>
      <c r="E345" t="str">
        <f t="shared" si="97"/>
        <v>094OMS</v>
      </c>
      <c r="F345" t="str">
        <f>""</f>
        <v/>
      </c>
      <c r="G345" t="str">
        <f>""</f>
        <v/>
      </c>
      <c r="H345" s="1">
        <v>39822</v>
      </c>
      <c r="I345" t="str">
        <f>"PCD00351"</f>
        <v>PCD00351</v>
      </c>
      <c r="J345" t="str">
        <f>"90598"</f>
        <v>90598</v>
      </c>
      <c r="K345" t="str">
        <f>"AS89"</f>
        <v>AS89</v>
      </c>
      <c r="L345" t="s">
        <v>1050</v>
      </c>
      <c r="M345">
        <v>850</v>
      </c>
    </row>
    <row r="346" spans="1:13" x14ac:dyDescent="0.25">
      <c r="A346" t="str">
        <f t="shared" si="98"/>
        <v>E191</v>
      </c>
      <c r="B346">
        <v>1</v>
      </c>
      <c r="C346" t="str">
        <f t="shared" si="95"/>
        <v>14185</v>
      </c>
      <c r="D346" t="str">
        <f t="shared" si="96"/>
        <v>5620</v>
      </c>
      <c r="E346" t="str">
        <f t="shared" si="97"/>
        <v>094OMS</v>
      </c>
      <c r="F346" t="str">
        <f>""</f>
        <v/>
      </c>
      <c r="G346" t="str">
        <f>""</f>
        <v/>
      </c>
      <c r="H346" s="1">
        <v>39853</v>
      </c>
      <c r="I346" t="str">
        <f>"PCD00354"</f>
        <v>PCD00354</v>
      </c>
      <c r="J346" t="str">
        <f>"92435"</f>
        <v>92435</v>
      </c>
      <c r="K346" t="str">
        <f>"AS89"</f>
        <v>AS89</v>
      </c>
      <c r="L346" t="s">
        <v>1049</v>
      </c>
      <c r="M346">
        <v>125</v>
      </c>
    </row>
    <row r="347" spans="1:13" x14ac:dyDescent="0.25">
      <c r="A347" t="str">
        <f t="shared" si="98"/>
        <v>E191</v>
      </c>
      <c r="B347">
        <v>1</v>
      </c>
      <c r="C347" t="str">
        <f t="shared" si="95"/>
        <v>14185</v>
      </c>
      <c r="D347" t="str">
        <f t="shared" si="96"/>
        <v>5620</v>
      </c>
      <c r="E347" t="str">
        <f t="shared" si="97"/>
        <v>094OMS</v>
      </c>
      <c r="F347" t="str">
        <f>""</f>
        <v/>
      </c>
      <c r="G347" t="str">
        <f>""</f>
        <v/>
      </c>
      <c r="H347" s="1">
        <v>39969</v>
      </c>
      <c r="I347" t="str">
        <f>"PCD00370"</f>
        <v>PCD00370</v>
      </c>
      <c r="J347" t="str">
        <f>"98541"</f>
        <v>98541</v>
      </c>
      <c r="K347" t="str">
        <f>"AS89"</f>
        <v>AS89</v>
      </c>
      <c r="L347" t="s">
        <v>1048</v>
      </c>
      <c r="M347">
        <v>150</v>
      </c>
    </row>
    <row r="348" spans="1:13" x14ac:dyDescent="0.25">
      <c r="A348" t="str">
        <f t="shared" si="98"/>
        <v>E191</v>
      </c>
      <c r="B348">
        <v>1</v>
      </c>
      <c r="C348" t="str">
        <f>"43000"</f>
        <v>43000</v>
      </c>
      <c r="D348" t="str">
        <f>"5740"</f>
        <v>5740</v>
      </c>
      <c r="E348" t="str">
        <f>"850LOS"</f>
        <v>850LOS</v>
      </c>
      <c r="F348" t="str">
        <f>""</f>
        <v/>
      </c>
      <c r="G348" t="str">
        <f>""</f>
        <v/>
      </c>
      <c r="H348" s="1">
        <v>39755</v>
      </c>
      <c r="I348" t="str">
        <f>"125354"</f>
        <v>125354</v>
      </c>
      <c r="J348" t="str">
        <f>""</f>
        <v/>
      </c>
      <c r="K348" t="str">
        <f>"INNI"</f>
        <v>INNI</v>
      </c>
      <c r="L348" t="s">
        <v>1047</v>
      </c>
      <c r="M348" s="2">
        <v>1955</v>
      </c>
    </row>
    <row r="349" spans="1:13" x14ac:dyDescent="0.25">
      <c r="A349" t="str">
        <f>"E192"</f>
        <v>E192</v>
      </c>
      <c r="B349">
        <v>1</v>
      </c>
      <c r="C349" t="str">
        <f t="shared" ref="C349:C356" si="99">"14185"</f>
        <v>14185</v>
      </c>
      <c r="D349" t="str">
        <f t="shared" ref="D349:D356" si="100">"5620"</f>
        <v>5620</v>
      </c>
      <c r="E349" t="str">
        <f t="shared" ref="E349:E356" si="101">"094OMS"</f>
        <v>094OMS</v>
      </c>
      <c r="F349" t="str">
        <f>""</f>
        <v/>
      </c>
      <c r="G349" t="str">
        <f>""</f>
        <v/>
      </c>
      <c r="H349" s="1">
        <v>39766</v>
      </c>
      <c r="I349" t="str">
        <f>"PCD00342"</f>
        <v>PCD00342</v>
      </c>
      <c r="J349" t="str">
        <f>"88281"</f>
        <v>88281</v>
      </c>
      <c r="K349" t="str">
        <f>"AS89"</f>
        <v>AS89</v>
      </c>
      <c r="L349" t="s">
        <v>1046</v>
      </c>
      <c r="M349">
        <v>350</v>
      </c>
    </row>
    <row r="350" spans="1:13" x14ac:dyDescent="0.25">
      <c r="A350" t="str">
        <f>"E192"</f>
        <v>E192</v>
      </c>
      <c r="B350">
        <v>1</v>
      </c>
      <c r="C350" t="str">
        <f t="shared" si="99"/>
        <v>14185</v>
      </c>
      <c r="D350" t="str">
        <f t="shared" si="100"/>
        <v>5620</v>
      </c>
      <c r="E350" t="str">
        <f t="shared" si="101"/>
        <v>094OMS</v>
      </c>
      <c r="F350" t="str">
        <f>""</f>
        <v/>
      </c>
      <c r="G350" t="str">
        <f>""</f>
        <v/>
      </c>
      <c r="H350" s="1">
        <v>39861</v>
      </c>
      <c r="I350" t="str">
        <f>"125371"</f>
        <v>125371</v>
      </c>
      <c r="J350" t="str">
        <f>""</f>
        <v/>
      </c>
      <c r="K350" t="str">
        <f>"INNI"</f>
        <v>INNI</v>
      </c>
      <c r="L350" t="s">
        <v>192</v>
      </c>
      <c r="M350">
        <v>180</v>
      </c>
    </row>
    <row r="351" spans="1:13" x14ac:dyDescent="0.25">
      <c r="A351" t="str">
        <f>"E193"</f>
        <v>E193</v>
      </c>
      <c r="B351">
        <v>1</v>
      </c>
      <c r="C351" t="str">
        <f t="shared" si="99"/>
        <v>14185</v>
      </c>
      <c r="D351" t="str">
        <f t="shared" si="100"/>
        <v>5620</v>
      </c>
      <c r="E351" t="str">
        <f t="shared" si="101"/>
        <v>094OMS</v>
      </c>
      <c r="F351" t="str">
        <f>""</f>
        <v/>
      </c>
      <c r="G351" t="str">
        <f>""</f>
        <v/>
      </c>
      <c r="H351" s="1">
        <v>39990</v>
      </c>
      <c r="I351" t="str">
        <f>"PCD00373"</f>
        <v>PCD00373</v>
      </c>
      <c r="J351" t="str">
        <f>"101445"</f>
        <v>101445</v>
      </c>
      <c r="K351" t="str">
        <f>"AS89"</f>
        <v>AS89</v>
      </c>
      <c r="L351" t="s">
        <v>1045</v>
      </c>
      <c r="M351">
        <v>300</v>
      </c>
    </row>
    <row r="352" spans="1:13" x14ac:dyDescent="0.25">
      <c r="A352" t="str">
        <f t="shared" ref="A352:A365" si="102">"E210"</f>
        <v>E210</v>
      </c>
      <c r="B352">
        <v>1</v>
      </c>
      <c r="C352" t="str">
        <f t="shared" si="99"/>
        <v>14185</v>
      </c>
      <c r="D352" t="str">
        <f t="shared" si="100"/>
        <v>5620</v>
      </c>
      <c r="E352" t="str">
        <f t="shared" si="101"/>
        <v>094OMS</v>
      </c>
      <c r="F352" t="str">
        <f>""</f>
        <v/>
      </c>
      <c r="G352" t="str">
        <f>""</f>
        <v/>
      </c>
      <c r="H352" s="1">
        <v>39843</v>
      </c>
      <c r="I352" t="str">
        <f>"I0090893"</f>
        <v>I0090893</v>
      </c>
      <c r="J352" t="str">
        <f>"F125335"</f>
        <v>F125335</v>
      </c>
      <c r="K352" t="str">
        <f>"INEI"</f>
        <v>INEI</v>
      </c>
      <c r="L352" t="s">
        <v>179</v>
      </c>
      <c r="M352" s="2">
        <v>4784.41</v>
      </c>
    </row>
    <row r="353" spans="1:13" x14ac:dyDescent="0.25">
      <c r="A353" t="str">
        <f t="shared" si="102"/>
        <v>E210</v>
      </c>
      <c r="B353">
        <v>1</v>
      </c>
      <c r="C353" t="str">
        <f t="shared" si="99"/>
        <v>14185</v>
      </c>
      <c r="D353" t="str">
        <f t="shared" si="100"/>
        <v>5620</v>
      </c>
      <c r="E353" t="str">
        <f t="shared" si="101"/>
        <v>094OMS</v>
      </c>
      <c r="F353" t="str">
        <f>""</f>
        <v/>
      </c>
      <c r="G353" t="str">
        <f>""</f>
        <v/>
      </c>
      <c r="H353" s="1">
        <v>39843</v>
      </c>
      <c r="I353" t="str">
        <f>"I0090893"</f>
        <v>I0090893</v>
      </c>
      <c r="J353" t="str">
        <f>"F125335"</f>
        <v>F125335</v>
      </c>
      <c r="K353" t="str">
        <f>"INEI"</f>
        <v>INEI</v>
      </c>
      <c r="L353" t="s">
        <v>179</v>
      </c>
      <c r="M353">
        <v>262.74</v>
      </c>
    </row>
    <row r="354" spans="1:13" x14ac:dyDescent="0.25">
      <c r="A354" t="str">
        <f t="shared" si="102"/>
        <v>E210</v>
      </c>
      <c r="B354">
        <v>1</v>
      </c>
      <c r="C354" t="str">
        <f t="shared" si="99"/>
        <v>14185</v>
      </c>
      <c r="D354" t="str">
        <f t="shared" si="100"/>
        <v>5620</v>
      </c>
      <c r="E354" t="str">
        <f t="shared" si="101"/>
        <v>094OMS</v>
      </c>
      <c r="F354" t="str">
        <f>""</f>
        <v/>
      </c>
      <c r="G354" t="str">
        <f>""</f>
        <v/>
      </c>
      <c r="H354" s="1">
        <v>39853</v>
      </c>
      <c r="I354" t="str">
        <f>"PCD00354"</f>
        <v>PCD00354</v>
      </c>
      <c r="J354" t="str">
        <f>"92930"</f>
        <v>92930</v>
      </c>
      <c r="K354" t="str">
        <f>"AS89"</f>
        <v>AS89</v>
      </c>
      <c r="L354" t="s">
        <v>1044</v>
      </c>
      <c r="M354">
        <v>244.13</v>
      </c>
    </row>
    <row r="355" spans="1:13" x14ac:dyDescent="0.25">
      <c r="A355" t="str">
        <f t="shared" si="102"/>
        <v>E210</v>
      </c>
      <c r="B355">
        <v>1</v>
      </c>
      <c r="C355" t="str">
        <f t="shared" si="99"/>
        <v>14185</v>
      </c>
      <c r="D355" t="str">
        <f t="shared" si="100"/>
        <v>5620</v>
      </c>
      <c r="E355" t="str">
        <f t="shared" si="101"/>
        <v>094OMS</v>
      </c>
      <c r="F355" t="str">
        <f>""</f>
        <v/>
      </c>
      <c r="G355" t="str">
        <f>""</f>
        <v/>
      </c>
      <c r="H355" s="1">
        <v>39882</v>
      </c>
      <c r="I355" t="str">
        <f>"135462"</f>
        <v>135462</v>
      </c>
      <c r="J355" t="str">
        <f>""</f>
        <v/>
      </c>
      <c r="K355" t="str">
        <f>"INNI"</f>
        <v>INNI</v>
      </c>
      <c r="L355" t="s">
        <v>7</v>
      </c>
      <c r="M355">
        <v>300</v>
      </c>
    </row>
    <row r="356" spans="1:13" x14ac:dyDescent="0.25">
      <c r="A356" t="str">
        <f t="shared" si="102"/>
        <v>E210</v>
      </c>
      <c r="B356">
        <v>1</v>
      </c>
      <c r="C356" t="str">
        <f t="shared" si="99"/>
        <v>14185</v>
      </c>
      <c r="D356" t="str">
        <f t="shared" si="100"/>
        <v>5620</v>
      </c>
      <c r="E356" t="str">
        <f t="shared" si="101"/>
        <v>094OMS</v>
      </c>
      <c r="F356" t="str">
        <f>""</f>
        <v/>
      </c>
      <c r="G356" t="str">
        <f>""</f>
        <v/>
      </c>
      <c r="H356" s="1">
        <v>39982</v>
      </c>
      <c r="I356" t="str">
        <f>"135476"</f>
        <v>135476</v>
      </c>
      <c r="J356" t="str">
        <f>""</f>
        <v/>
      </c>
      <c r="K356" t="str">
        <f>"INNI"</f>
        <v>INNI</v>
      </c>
      <c r="L356" t="s">
        <v>864</v>
      </c>
      <c r="M356">
        <v>453.2</v>
      </c>
    </row>
    <row r="357" spans="1:13" x14ac:dyDescent="0.25">
      <c r="A357" t="str">
        <f t="shared" si="102"/>
        <v>E210</v>
      </c>
      <c r="B357">
        <v>1</v>
      </c>
      <c r="C357" t="str">
        <f>"43000"</f>
        <v>43000</v>
      </c>
      <c r="D357" t="str">
        <f t="shared" ref="D357:D365" si="103">"5740"</f>
        <v>5740</v>
      </c>
      <c r="E357" t="str">
        <f t="shared" ref="E357:E365" si="104">"850LOS"</f>
        <v>850LOS</v>
      </c>
      <c r="F357" t="str">
        <f>""</f>
        <v/>
      </c>
      <c r="G357" t="str">
        <f>""</f>
        <v/>
      </c>
      <c r="H357" s="1">
        <v>39657</v>
      </c>
      <c r="I357" t="str">
        <f>"G0901018"</f>
        <v>G0901018</v>
      </c>
      <c r="J357" t="str">
        <f>"G0812207"</f>
        <v>G0812207</v>
      </c>
      <c r="K357" t="str">
        <f>"J096"</f>
        <v>J096</v>
      </c>
      <c r="L357" t="s">
        <v>1043</v>
      </c>
      <c r="M357" s="2">
        <v>5850</v>
      </c>
    </row>
    <row r="358" spans="1:13" x14ac:dyDescent="0.25">
      <c r="A358" t="str">
        <f t="shared" si="102"/>
        <v>E210</v>
      </c>
      <c r="B358">
        <v>1</v>
      </c>
      <c r="C358" t="str">
        <f>"43000"</f>
        <v>43000</v>
      </c>
      <c r="D358" t="str">
        <f t="shared" si="103"/>
        <v>5740</v>
      </c>
      <c r="E358" t="str">
        <f t="shared" si="104"/>
        <v>850LOS</v>
      </c>
      <c r="F358" t="str">
        <f>""</f>
        <v/>
      </c>
      <c r="G358" t="str">
        <f>""</f>
        <v/>
      </c>
      <c r="H358" s="1">
        <v>39734</v>
      </c>
      <c r="I358" t="str">
        <f>"125342"</f>
        <v>125342</v>
      </c>
      <c r="J358" t="str">
        <f>""</f>
        <v/>
      </c>
      <c r="K358" t="str">
        <f t="shared" ref="K358:K365" si="105">"INNI"</f>
        <v>INNI</v>
      </c>
      <c r="L358" t="s">
        <v>92</v>
      </c>
      <c r="M358" s="2">
        <v>18252</v>
      </c>
    </row>
    <row r="359" spans="1:13" x14ac:dyDescent="0.25">
      <c r="A359" t="str">
        <f t="shared" si="102"/>
        <v>E210</v>
      </c>
      <c r="B359">
        <v>1</v>
      </c>
      <c r="C359" t="str">
        <f t="shared" ref="C359:C365" si="106">"43003"</f>
        <v>43003</v>
      </c>
      <c r="D359" t="str">
        <f t="shared" si="103"/>
        <v>5740</v>
      </c>
      <c r="E359" t="str">
        <f t="shared" si="104"/>
        <v>850LOS</v>
      </c>
      <c r="F359" t="str">
        <f>""</f>
        <v/>
      </c>
      <c r="G359" t="str">
        <f>""</f>
        <v/>
      </c>
      <c r="H359" s="1">
        <v>39681</v>
      </c>
      <c r="I359" t="str">
        <f>"125334"</f>
        <v>125334</v>
      </c>
      <c r="J359" t="str">
        <f>""</f>
        <v/>
      </c>
      <c r="K359" t="str">
        <f t="shared" si="105"/>
        <v>INNI</v>
      </c>
      <c r="L359" t="s">
        <v>565</v>
      </c>
      <c r="M359">
        <v>600</v>
      </c>
    </row>
    <row r="360" spans="1:13" x14ac:dyDescent="0.25">
      <c r="A360" t="str">
        <f t="shared" si="102"/>
        <v>E210</v>
      </c>
      <c r="B360">
        <v>1</v>
      </c>
      <c r="C360" t="str">
        <f t="shared" si="106"/>
        <v>43003</v>
      </c>
      <c r="D360" t="str">
        <f t="shared" si="103"/>
        <v>5740</v>
      </c>
      <c r="E360" t="str">
        <f t="shared" si="104"/>
        <v>850LOS</v>
      </c>
      <c r="F360" t="str">
        <f>""</f>
        <v/>
      </c>
      <c r="G360" t="str">
        <f>""</f>
        <v/>
      </c>
      <c r="H360" s="1">
        <v>39707</v>
      </c>
      <c r="I360" t="str">
        <f>"00058384"</f>
        <v>00058384</v>
      </c>
      <c r="J360" t="str">
        <f>""</f>
        <v/>
      </c>
      <c r="K360" t="str">
        <f t="shared" si="105"/>
        <v>INNI</v>
      </c>
      <c r="L360" t="s">
        <v>565</v>
      </c>
      <c r="M360">
        <v>600</v>
      </c>
    </row>
    <row r="361" spans="1:13" x14ac:dyDescent="0.25">
      <c r="A361" t="str">
        <f t="shared" si="102"/>
        <v>E210</v>
      </c>
      <c r="B361">
        <v>1</v>
      </c>
      <c r="C361" t="str">
        <f t="shared" si="106"/>
        <v>43003</v>
      </c>
      <c r="D361" t="str">
        <f t="shared" si="103"/>
        <v>5740</v>
      </c>
      <c r="E361" t="str">
        <f t="shared" si="104"/>
        <v>850LOS</v>
      </c>
      <c r="F361" t="str">
        <f>""</f>
        <v/>
      </c>
      <c r="G361" t="str">
        <f>""</f>
        <v/>
      </c>
      <c r="H361" s="1">
        <v>39738</v>
      </c>
      <c r="I361" t="str">
        <f>"00058962"</f>
        <v>00058962</v>
      </c>
      <c r="J361" t="str">
        <f>""</f>
        <v/>
      </c>
      <c r="K361" t="str">
        <f t="shared" si="105"/>
        <v>INNI</v>
      </c>
      <c r="L361" t="s">
        <v>565</v>
      </c>
      <c r="M361">
        <v>600</v>
      </c>
    </row>
    <row r="362" spans="1:13" x14ac:dyDescent="0.25">
      <c r="A362" t="str">
        <f t="shared" si="102"/>
        <v>E210</v>
      </c>
      <c r="B362">
        <v>1</v>
      </c>
      <c r="C362" t="str">
        <f t="shared" si="106"/>
        <v>43003</v>
      </c>
      <c r="D362" t="str">
        <f t="shared" si="103"/>
        <v>5740</v>
      </c>
      <c r="E362" t="str">
        <f t="shared" si="104"/>
        <v>850LOS</v>
      </c>
      <c r="F362" t="str">
        <f>""</f>
        <v/>
      </c>
      <c r="G362" t="str">
        <f>""</f>
        <v/>
      </c>
      <c r="H362" s="1">
        <v>39772</v>
      </c>
      <c r="I362" t="str">
        <f>"00059944"</f>
        <v>00059944</v>
      </c>
      <c r="J362" t="str">
        <f>""</f>
        <v/>
      </c>
      <c r="K362" t="str">
        <f t="shared" si="105"/>
        <v>INNI</v>
      </c>
      <c r="L362" t="s">
        <v>565</v>
      </c>
      <c r="M362">
        <v>600</v>
      </c>
    </row>
    <row r="363" spans="1:13" x14ac:dyDescent="0.25">
      <c r="A363" t="str">
        <f t="shared" si="102"/>
        <v>E210</v>
      </c>
      <c r="B363">
        <v>1</v>
      </c>
      <c r="C363" t="str">
        <f t="shared" si="106"/>
        <v>43003</v>
      </c>
      <c r="D363" t="str">
        <f t="shared" si="103"/>
        <v>5740</v>
      </c>
      <c r="E363" t="str">
        <f t="shared" si="104"/>
        <v>850LOS</v>
      </c>
      <c r="F363" t="str">
        <f>""</f>
        <v/>
      </c>
      <c r="G363" t="str">
        <f>""</f>
        <v/>
      </c>
      <c r="H363" s="1">
        <v>39812</v>
      </c>
      <c r="I363" t="str">
        <f>"125362A"</f>
        <v>125362A</v>
      </c>
      <c r="J363" t="str">
        <f>""</f>
        <v/>
      </c>
      <c r="K363" t="str">
        <f t="shared" si="105"/>
        <v>INNI</v>
      </c>
      <c r="L363" t="s">
        <v>565</v>
      </c>
      <c r="M363">
        <v>600</v>
      </c>
    </row>
    <row r="364" spans="1:13" x14ac:dyDescent="0.25">
      <c r="A364" t="str">
        <f t="shared" si="102"/>
        <v>E210</v>
      </c>
      <c r="B364">
        <v>1</v>
      </c>
      <c r="C364" t="str">
        <f t="shared" si="106"/>
        <v>43003</v>
      </c>
      <c r="D364" t="str">
        <f t="shared" si="103"/>
        <v>5740</v>
      </c>
      <c r="E364" t="str">
        <f t="shared" si="104"/>
        <v>850LOS</v>
      </c>
      <c r="F364" t="str">
        <f>""</f>
        <v/>
      </c>
      <c r="G364" t="str">
        <f>""</f>
        <v/>
      </c>
      <c r="H364" s="1">
        <v>39850</v>
      </c>
      <c r="I364" t="str">
        <f>"00061063"</f>
        <v>00061063</v>
      </c>
      <c r="J364" t="str">
        <f>""</f>
        <v/>
      </c>
      <c r="K364" t="str">
        <f t="shared" si="105"/>
        <v>INNI</v>
      </c>
      <c r="L364" t="s">
        <v>565</v>
      </c>
      <c r="M364">
        <v>600</v>
      </c>
    </row>
    <row r="365" spans="1:13" x14ac:dyDescent="0.25">
      <c r="A365" t="str">
        <f t="shared" si="102"/>
        <v>E210</v>
      </c>
      <c r="B365">
        <v>1</v>
      </c>
      <c r="C365" t="str">
        <f t="shared" si="106"/>
        <v>43003</v>
      </c>
      <c r="D365" t="str">
        <f t="shared" si="103"/>
        <v>5740</v>
      </c>
      <c r="E365" t="str">
        <f t="shared" si="104"/>
        <v>850LOS</v>
      </c>
      <c r="F365" t="str">
        <f>""</f>
        <v/>
      </c>
      <c r="G365" t="str">
        <f>""</f>
        <v/>
      </c>
      <c r="H365" s="1">
        <v>39850</v>
      </c>
      <c r="I365" t="str">
        <f>"00061608"</f>
        <v>00061608</v>
      </c>
      <c r="J365" t="str">
        <f>""</f>
        <v/>
      </c>
      <c r="K365" t="str">
        <f t="shared" si="105"/>
        <v>INNI</v>
      </c>
      <c r="L365" t="s">
        <v>565</v>
      </c>
      <c r="M365">
        <v>360</v>
      </c>
    </row>
    <row r="366" spans="1:13" x14ac:dyDescent="0.25">
      <c r="A366" t="str">
        <f t="shared" ref="A366:A373" si="107">"E216"</f>
        <v>E216</v>
      </c>
      <c r="B366">
        <v>1</v>
      </c>
      <c r="C366" t="str">
        <f>"14185"</f>
        <v>14185</v>
      </c>
      <c r="D366" t="str">
        <f>"5620"</f>
        <v>5620</v>
      </c>
      <c r="E366" t="str">
        <f>"094OMS"</f>
        <v>094OMS</v>
      </c>
      <c r="F366" t="str">
        <f>""</f>
        <v/>
      </c>
      <c r="G366" t="str">
        <f>""</f>
        <v/>
      </c>
      <c r="H366" s="1">
        <v>39637</v>
      </c>
      <c r="I366" t="str">
        <f>"820208"</f>
        <v>820208</v>
      </c>
      <c r="J366" t="str">
        <f>"N076270D"</f>
        <v>N076270D</v>
      </c>
      <c r="K366" t="str">
        <f>"INEI"</f>
        <v>INEI</v>
      </c>
      <c r="L366" t="s">
        <v>226</v>
      </c>
      <c r="M366" s="2">
        <v>4227.6000000000004</v>
      </c>
    </row>
    <row r="367" spans="1:13" x14ac:dyDescent="0.25">
      <c r="A367" t="str">
        <f t="shared" si="107"/>
        <v>E216</v>
      </c>
      <c r="B367">
        <v>1</v>
      </c>
      <c r="C367" t="str">
        <f>"14185"</f>
        <v>14185</v>
      </c>
      <c r="D367" t="str">
        <f>"5620"</f>
        <v>5620</v>
      </c>
      <c r="E367" t="str">
        <f>"094OMS"</f>
        <v>094OMS</v>
      </c>
      <c r="F367" t="str">
        <f>""</f>
        <v/>
      </c>
      <c r="G367" t="str">
        <f>""</f>
        <v/>
      </c>
      <c r="H367" s="1">
        <v>39737</v>
      </c>
      <c r="I367" t="str">
        <f>"1490B"</f>
        <v>1490B</v>
      </c>
      <c r="J367" t="str">
        <f>"N113831A"</f>
        <v>N113831A</v>
      </c>
      <c r="K367" t="str">
        <f>"INEI"</f>
        <v>INEI</v>
      </c>
      <c r="L367" t="s">
        <v>33</v>
      </c>
      <c r="M367" s="2">
        <v>1756.08</v>
      </c>
    </row>
    <row r="368" spans="1:13" x14ac:dyDescent="0.25">
      <c r="A368" t="str">
        <f t="shared" si="107"/>
        <v>E216</v>
      </c>
      <c r="B368">
        <v>1</v>
      </c>
      <c r="C368" t="str">
        <f>"31040"</f>
        <v>31040</v>
      </c>
      <c r="D368" t="str">
        <f>"5620"</f>
        <v>5620</v>
      </c>
      <c r="E368" t="str">
        <f>"094OMS"</f>
        <v>094OMS</v>
      </c>
      <c r="F368" t="str">
        <f>""</f>
        <v/>
      </c>
      <c r="G368" t="str">
        <f>""</f>
        <v/>
      </c>
      <c r="H368" s="1">
        <v>39835</v>
      </c>
      <c r="I368" t="str">
        <f>"G0907122"</f>
        <v>G0907122</v>
      </c>
      <c r="J368" t="str">
        <f>"N124193A"</f>
        <v>N124193A</v>
      </c>
      <c r="K368" t="str">
        <f>"J096"</f>
        <v>J096</v>
      </c>
      <c r="L368" t="s">
        <v>1042</v>
      </c>
      <c r="M368">
        <v>250</v>
      </c>
    </row>
    <row r="369" spans="1:13" x14ac:dyDescent="0.25">
      <c r="A369" t="str">
        <f t="shared" si="107"/>
        <v>E216</v>
      </c>
      <c r="B369">
        <v>1</v>
      </c>
      <c r="C369" t="str">
        <f>"43000"</f>
        <v>43000</v>
      </c>
      <c r="D369" t="str">
        <f t="shared" ref="D369:D393" si="108">"5740"</f>
        <v>5740</v>
      </c>
      <c r="E369" t="str">
        <f>"850LOS"</f>
        <v>850LOS</v>
      </c>
      <c r="F369" t="str">
        <f>""</f>
        <v/>
      </c>
      <c r="G369" t="str">
        <f>""</f>
        <v/>
      </c>
      <c r="H369" s="1">
        <v>39657</v>
      </c>
      <c r="I369" t="str">
        <f>"G0901018"</f>
        <v>G0901018</v>
      </c>
      <c r="J369" t="str">
        <f>"G0812207"</f>
        <v>G0812207</v>
      </c>
      <c r="K369" t="str">
        <f>"J096"</f>
        <v>J096</v>
      </c>
      <c r="L369" t="s">
        <v>1043</v>
      </c>
      <c r="M369" s="2">
        <v>11205.01</v>
      </c>
    </row>
    <row r="370" spans="1:13" x14ac:dyDescent="0.25">
      <c r="A370" t="str">
        <f t="shared" si="107"/>
        <v>E216</v>
      </c>
      <c r="B370">
        <v>1</v>
      </c>
      <c r="C370" t="str">
        <f>"43000"</f>
        <v>43000</v>
      </c>
      <c r="D370" t="str">
        <f t="shared" si="108"/>
        <v>5740</v>
      </c>
      <c r="E370" t="str">
        <f>"850LOS"</f>
        <v>850LOS</v>
      </c>
      <c r="F370" t="str">
        <f>""</f>
        <v/>
      </c>
      <c r="G370" t="str">
        <f>""</f>
        <v/>
      </c>
      <c r="H370" s="1">
        <v>39820</v>
      </c>
      <c r="I370" t="str">
        <f>"M000013"</f>
        <v>M000013</v>
      </c>
      <c r="J370" t="str">
        <f>"B064718E"</f>
        <v>B064718E</v>
      </c>
      <c r="K370" t="str">
        <f>"INNI"</f>
        <v>INNI</v>
      </c>
      <c r="L370" t="s">
        <v>229</v>
      </c>
      <c r="M370" s="2">
        <v>25047.33</v>
      </c>
    </row>
    <row r="371" spans="1:13" x14ac:dyDescent="0.25">
      <c r="A371" t="str">
        <f t="shared" si="107"/>
        <v>E216</v>
      </c>
      <c r="B371">
        <v>1</v>
      </c>
      <c r="C371" t="str">
        <f>"43000"</f>
        <v>43000</v>
      </c>
      <c r="D371" t="str">
        <f t="shared" si="108"/>
        <v>5740</v>
      </c>
      <c r="E371" t="str">
        <f>"850LOS"</f>
        <v>850LOS</v>
      </c>
      <c r="F371" t="str">
        <f>""</f>
        <v/>
      </c>
      <c r="G371" t="str">
        <f>""</f>
        <v/>
      </c>
      <c r="H371" s="1">
        <v>39835</v>
      </c>
      <c r="I371" t="str">
        <f>"G0907122"</f>
        <v>G0907122</v>
      </c>
      <c r="J371" t="str">
        <f>"N124193A"</f>
        <v>N124193A</v>
      </c>
      <c r="K371" t="str">
        <f>"J096"</f>
        <v>J096</v>
      </c>
      <c r="L371" t="s">
        <v>1042</v>
      </c>
      <c r="M371">
        <v>250</v>
      </c>
    </row>
    <row r="372" spans="1:13" x14ac:dyDescent="0.25">
      <c r="A372" t="str">
        <f t="shared" si="107"/>
        <v>E216</v>
      </c>
      <c r="B372">
        <v>1</v>
      </c>
      <c r="C372" t="str">
        <f>"43005"</f>
        <v>43005</v>
      </c>
      <c r="D372" t="str">
        <f t="shared" si="108"/>
        <v>5740</v>
      </c>
      <c r="E372" t="str">
        <f>"850REP"</f>
        <v>850REP</v>
      </c>
      <c r="F372" t="str">
        <f>""</f>
        <v/>
      </c>
      <c r="G372" t="str">
        <f>""</f>
        <v/>
      </c>
      <c r="H372" s="1">
        <v>39994</v>
      </c>
      <c r="I372" t="str">
        <f>"ACG01864"</f>
        <v>ACG01864</v>
      </c>
      <c r="J372" t="str">
        <f>"P000495"</f>
        <v>P000495</v>
      </c>
      <c r="K372" t="str">
        <f>"AS96"</f>
        <v>AS96</v>
      </c>
      <c r="L372" t="s">
        <v>956</v>
      </c>
      <c r="M372" s="2">
        <v>27975</v>
      </c>
    </row>
    <row r="373" spans="1:13" x14ac:dyDescent="0.25">
      <c r="A373" t="str">
        <f t="shared" si="107"/>
        <v>E216</v>
      </c>
      <c r="B373">
        <v>1</v>
      </c>
      <c r="C373" t="str">
        <f>"43005"</f>
        <v>43005</v>
      </c>
      <c r="D373" t="str">
        <f t="shared" si="108"/>
        <v>5740</v>
      </c>
      <c r="E373" t="str">
        <f>"850REP"</f>
        <v>850REP</v>
      </c>
      <c r="F373" t="str">
        <f>""</f>
        <v/>
      </c>
      <c r="G373" t="str">
        <f>""</f>
        <v/>
      </c>
      <c r="H373" s="1">
        <v>39994</v>
      </c>
      <c r="I373" t="str">
        <f>"ACG01864"</f>
        <v>ACG01864</v>
      </c>
      <c r="J373" t="str">
        <f>"P000545"</f>
        <v>P000545</v>
      </c>
      <c r="K373" t="str">
        <f>"AS96"</f>
        <v>AS96</v>
      </c>
      <c r="L373" t="s">
        <v>956</v>
      </c>
      <c r="M373" s="2">
        <v>1600</v>
      </c>
    </row>
    <row r="374" spans="1:13" x14ac:dyDescent="0.25">
      <c r="A374" t="str">
        <f t="shared" ref="A374:A390" si="109">"E217"</f>
        <v>E217</v>
      </c>
      <c r="B374">
        <v>1</v>
      </c>
      <c r="C374" t="str">
        <f t="shared" ref="C374:C385" si="110">"43000"</f>
        <v>43000</v>
      </c>
      <c r="D374" t="str">
        <f t="shared" si="108"/>
        <v>5740</v>
      </c>
      <c r="E374" t="str">
        <f t="shared" ref="E374:E390" si="111">"850LOS"</f>
        <v>850LOS</v>
      </c>
      <c r="F374" t="str">
        <f>""</f>
        <v/>
      </c>
      <c r="G374" t="str">
        <f>""</f>
        <v/>
      </c>
      <c r="H374" s="1">
        <v>39674</v>
      </c>
      <c r="I374" t="str">
        <f>"CMG00576"</f>
        <v>CMG00576</v>
      </c>
      <c r="J374" t="str">
        <f>""</f>
        <v/>
      </c>
      <c r="K374" t="str">
        <f t="shared" ref="K374:K390" si="112">"J089"</f>
        <v>J089</v>
      </c>
      <c r="L374" t="s">
        <v>1035</v>
      </c>
      <c r="M374">
        <v>340.44</v>
      </c>
    </row>
    <row r="375" spans="1:13" x14ac:dyDescent="0.25">
      <c r="A375" t="str">
        <f t="shared" si="109"/>
        <v>E217</v>
      </c>
      <c r="B375">
        <v>1</v>
      </c>
      <c r="C375" t="str">
        <f t="shared" si="110"/>
        <v>43000</v>
      </c>
      <c r="D375" t="str">
        <f t="shared" si="108"/>
        <v>5740</v>
      </c>
      <c r="E375" t="str">
        <f t="shared" si="111"/>
        <v>850LOS</v>
      </c>
      <c r="F375" t="str">
        <f>""</f>
        <v/>
      </c>
      <c r="G375" t="str">
        <f>""</f>
        <v/>
      </c>
      <c r="H375" s="1">
        <v>39713</v>
      </c>
      <c r="I375" t="str">
        <f>"CMG00579"</f>
        <v>CMG00579</v>
      </c>
      <c r="J375" t="str">
        <f>""</f>
        <v/>
      </c>
      <c r="K375" t="str">
        <f t="shared" si="112"/>
        <v>J089</v>
      </c>
      <c r="L375" t="s">
        <v>1034</v>
      </c>
      <c r="M375">
        <v>262.92</v>
      </c>
    </row>
    <row r="376" spans="1:13" x14ac:dyDescent="0.25">
      <c r="A376" t="str">
        <f t="shared" si="109"/>
        <v>E217</v>
      </c>
      <c r="B376">
        <v>1</v>
      </c>
      <c r="C376" t="str">
        <f t="shared" si="110"/>
        <v>43000</v>
      </c>
      <c r="D376" t="str">
        <f t="shared" si="108"/>
        <v>5740</v>
      </c>
      <c r="E376" t="str">
        <f t="shared" si="111"/>
        <v>850LOS</v>
      </c>
      <c r="F376" t="str">
        <f>""</f>
        <v/>
      </c>
      <c r="G376" t="str">
        <f>""</f>
        <v/>
      </c>
      <c r="H376" s="1">
        <v>39737</v>
      </c>
      <c r="I376" t="str">
        <f>"CMG00580"</f>
        <v>CMG00580</v>
      </c>
      <c r="J376" t="str">
        <f>""</f>
        <v/>
      </c>
      <c r="K376" t="str">
        <f t="shared" si="112"/>
        <v>J089</v>
      </c>
      <c r="L376" t="s">
        <v>1033</v>
      </c>
      <c r="M376" s="2">
        <v>4581.03</v>
      </c>
    </row>
    <row r="377" spans="1:13" x14ac:dyDescent="0.25">
      <c r="A377" t="str">
        <f t="shared" si="109"/>
        <v>E217</v>
      </c>
      <c r="B377">
        <v>1</v>
      </c>
      <c r="C377" t="str">
        <f t="shared" si="110"/>
        <v>43000</v>
      </c>
      <c r="D377" t="str">
        <f t="shared" si="108"/>
        <v>5740</v>
      </c>
      <c r="E377" t="str">
        <f t="shared" si="111"/>
        <v>850LOS</v>
      </c>
      <c r="F377" t="str">
        <f>""</f>
        <v/>
      </c>
      <c r="G377" t="str">
        <f>""</f>
        <v/>
      </c>
      <c r="H377" s="1">
        <v>39769</v>
      </c>
      <c r="I377" t="str">
        <f>"CMG00582"</f>
        <v>CMG00582</v>
      </c>
      <c r="J377" t="str">
        <f>""</f>
        <v/>
      </c>
      <c r="K377" t="str">
        <f t="shared" si="112"/>
        <v>J089</v>
      </c>
      <c r="L377" t="s">
        <v>1032</v>
      </c>
      <c r="M377">
        <v>626.75</v>
      </c>
    </row>
    <row r="378" spans="1:13" x14ac:dyDescent="0.25">
      <c r="A378" t="str">
        <f t="shared" si="109"/>
        <v>E217</v>
      </c>
      <c r="B378">
        <v>1</v>
      </c>
      <c r="C378" t="str">
        <f t="shared" si="110"/>
        <v>43000</v>
      </c>
      <c r="D378" t="str">
        <f t="shared" si="108"/>
        <v>5740</v>
      </c>
      <c r="E378" t="str">
        <f t="shared" si="111"/>
        <v>850LOS</v>
      </c>
      <c r="F378" t="str">
        <f>""</f>
        <v/>
      </c>
      <c r="G378" t="str">
        <f>""</f>
        <v/>
      </c>
      <c r="H378" s="1">
        <v>39792</v>
      </c>
      <c r="I378" t="str">
        <f>"CMG00584"</f>
        <v>CMG00584</v>
      </c>
      <c r="J378" t="str">
        <f>""</f>
        <v/>
      </c>
      <c r="K378" t="str">
        <f t="shared" si="112"/>
        <v>J089</v>
      </c>
      <c r="L378" t="s">
        <v>1031</v>
      </c>
      <c r="M378">
        <v>539.05999999999995</v>
      </c>
    </row>
    <row r="379" spans="1:13" x14ac:dyDescent="0.25">
      <c r="A379" t="str">
        <f t="shared" si="109"/>
        <v>E217</v>
      </c>
      <c r="B379">
        <v>1</v>
      </c>
      <c r="C379" t="str">
        <f t="shared" si="110"/>
        <v>43000</v>
      </c>
      <c r="D379" t="str">
        <f t="shared" si="108"/>
        <v>5740</v>
      </c>
      <c r="E379" t="str">
        <f t="shared" si="111"/>
        <v>850LOS</v>
      </c>
      <c r="F379" t="str">
        <f>""</f>
        <v/>
      </c>
      <c r="G379" t="str">
        <f>""</f>
        <v/>
      </c>
      <c r="H379" s="1">
        <v>39843</v>
      </c>
      <c r="I379" t="str">
        <f>"CMG00587"</f>
        <v>CMG00587</v>
      </c>
      <c r="J379" t="str">
        <f>""</f>
        <v/>
      </c>
      <c r="K379" t="str">
        <f t="shared" si="112"/>
        <v>J089</v>
      </c>
      <c r="L379" t="s">
        <v>1030</v>
      </c>
      <c r="M379">
        <v>445.52</v>
      </c>
    </row>
    <row r="380" spans="1:13" x14ac:dyDescent="0.25">
      <c r="A380" t="str">
        <f t="shared" si="109"/>
        <v>E217</v>
      </c>
      <c r="B380">
        <v>1</v>
      </c>
      <c r="C380" t="str">
        <f t="shared" si="110"/>
        <v>43000</v>
      </c>
      <c r="D380" t="str">
        <f t="shared" si="108"/>
        <v>5740</v>
      </c>
      <c r="E380" t="str">
        <f t="shared" si="111"/>
        <v>850LOS</v>
      </c>
      <c r="F380" t="str">
        <f>""</f>
        <v/>
      </c>
      <c r="G380" t="str">
        <f>""</f>
        <v/>
      </c>
      <c r="H380" s="1">
        <v>39864</v>
      </c>
      <c r="I380" t="str">
        <f>"CMG00589"</f>
        <v>CMG00589</v>
      </c>
      <c r="J380" t="str">
        <f>""</f>
        <v/>
      </c>
      <c r="K380" t="str">
        <f t="shared" si="112"/>
        <v>J089</v>
      </c>
      <c r="L380" t="s">
        <v>1041</v>
      </c>
      <c r="M380" s="2">
        <v>1361.49</v>
      </c>
    </row>
    <row r="381" spans="1:13" x14ac:dyDescent="0.25">
      <c r="A381" t="str">
        <f t="shared" si="109"/>
        <v>E217</v>
      </c>
      <c r="B381">
        <v>1</v>
      </c>
      <c r="C381" t="str">
        <f t="shared" si="110"/>
        <v>43000</v>
      </c>
      <c r="D381" t="str">
        <f t="shared" si="108"/>
        <v>5740</v>
      </c>
      <c r="E381" t="str">
        <f t="shared" si="111"/>
        <v>850LOS</v>
      </c>
      <c r="F381" t="str">
        <f>""</f>
        <v/>
      </c>
      <c r="G381" t="str">
        <f>""</f>
        <v/>
      </c>
      <c r="H381" s="1">
        <v>39899</v>
      </c>
      <c r="I381" t="str">
        <f>"CMG00591"</f>
        <v>CMG00591</v>
      </c>
      <c r="J381" t="str">
        <f>""</f>
        <v/>
      </c>
      <c r="K381" t="str">
        <f t="shared" si="112"/>
        <v>J089</v>
      </c>
      <c r="L381" t="s">
        <v>1040</v>
      </c>
      <c r="M381">
        <v>505.6</v>
      </c>
    </row>
    <row r="382" spans="1:13" x14ac:dyDescent="0.25">
      <c r="A382" t="str">
        <f t="shared" si="109"/>
        <v>E217</v>
      </c>
      <c r="B382">
        <v>1</v>
      </c>
      <c r="C382" t="str">
        <f t="shared" si="110"/>
        <v>43000</v>
      </c>
      <c r="D382" t="str">
        <f t="shared" si="108"/>
        <v>5740</v>
      </c>
      <c r="E382" t="str">
        <f t="shared" si="111"/>
        <v>850LOS</v>
      </c>
      <c r="F382" t="str">
        <f>""</f>
        <v/>
      </c>
      <c r="G382" t="str">
        <f>""</f>
        <v/>
      </c>
      <c r="H382" s="1">
        <v>39924</v>
      </c>
      <c r="I382" t="str">
        <f>"CMG00594"</f>
        <v>CMG00594</v>
      </c>
      <c r="J382" t="str">
        <f>""</f>
        <v/>
      </c>
      <c r="K382" t="str">
        <f t="shared" si="112"/>
        <v>J089</v>
      </c>
      <c r="L382" t="s">
        <v>1039</v>
      </c>
      <c r="M382" s="2">
        <v>1056.67</v>
      </c>
    </row>
    <row r="383" spans="1:13" x14ac:dyDescent="0.25">
      <c r="A383" t="str">
        <f t="shared" si="109"/>
        <v>E217</v>
      </c>
      <c r="B383">
        <v>1</v>
      </c>
      <c r="C383" t="str">
        <f t="shared" si="110"/>
        <v>43000</v>
      </c>
      <c r="D383" t="str">
        <f t="shared" si="108"/>
        <v>5740</v>
      </c>
      <c r="E383" t="str">
        <f t="shared" si="111"/>
        <v>850LOS</v>
      </c>
      <c r="F383" t="str">
        <f>""</f>
        <v/>
      </c>
      <c r="G383" t="str">
        <f>""</f>
        <v/>
      </c>
      <c r="H383" s="1">
        <v>39961</v>
      </c>
      <c r="I383" t="str">
        <f>"CMG00597"</f>
        <v>CMG00597</v>
      </c>
      <c r="J383" t="str">
        <f>""</f>
        <v/>
      </c>
      <c r="K383" t="str">
        <f t="shared" si="112"/>
        <v>J089</v>
      </c>
      <c r="L383" t="s">
        <v>1038</v>
      </c>
      <c r="M383" s="2">
        <v>1179.45</v>
      </c>
    </row>
    <row r="384" spans="1:13" x14ac:dyDescent="0.25">
      <c r="A384" t="str">
        <f t="shared" si="109"/>
        <v>E217</v>
      </c>
      <c r="B384">
        <v>1</v>
      </c>
      <c r="C384" t="str">
        <f t="shared" si="110"/>
        <v>43000</v>
      </c>
      <c r="D384" t="str">
        <f t="shared" si="108"/>
        <v>5740</v>
      </c>
      <c r="E384" t="str">
        <f t="shared" si="111"/>
        <v>850LOS</v>
      </c>
      <c r="F384" t="str">
        <f>""</f>
        <v/>
      </c>
      <c r="G384" t="str">
        <f>""</f>
        <v/>
      </c>
      <c r="H384" s="1">
        <v>39979</v>
      </c>
      <c r="I384" t="str">
        <f>"CMG00601"</f>
        <v>CMG00601</v>
      </c>
      <c r="J384" t="str">
        <f>""</f>
        <v/>
      </c>
      <c r="K384" t="str">
        <f t="shared" si="112"/>
        <v>J089</v>
      </c>
      <c r="L384" t="s">
        <v>1037</v>
      </c>
      <c r="M384">
        <v>573.77</v>
      </c>
    </row>
    <row r="385" spans="1:13" x14ac:dyDescent="0.25">
      <c r="A385" t="str">
        <f t="shared" si="109"/>
        <v>E217</v>
      </c>
      <c r="B385">
        <v>1</v>
      </c>
      <c r="C385" t="str">
        <f t="shared" si="110"/>
        <v>43000</v>
      </c>
      <c r="D385" t="str">
        <f t="shared" si="108"/>
        <v>5740</v>
      </c>
      <c r="E385" t="str">
        <f t="shared" si="111"/>
        <v>850LOS</v>
      </c>
      <c r="F385" t="str">
        <f>""</f>
        <v/>
      </c>
      <c r="G385" t="str">
        <f>""</f>
        <v/>
      </c>
      <c r="H385" s="1">
        <v>39994</v>
      </c>
      <c r="I385" t="str">
        <f>"CMG00606"</f>
        <v>CMG00606</v>
      </c>
      <c r="J385" t="str">
        <f>""</f>
        <v/>
      </c>
      <c r="K385" t="str">
        <f t="shared" si="112"/>
        <v>J089</v>
      </c>
      <c r="L385" t="s">
        <v>1036</v>
      </c>
      <c r="M385">
        <v>855.67</v>
      </c>
    </row>
    <row r="386" spans="1:13" x14ac:dyDescent="0.25">
      <c r="A386" t="str">
        <f t="shared" si="109"/>
        <v>E217</v>
      </c>
      <c r="B386">
        <v>1</v>
      </c>
      <c r="C386" t="str">
        <f>"43003"</f>
        <v>43003</v>
      </c>
      <c r="D386" t="str">
        <f t="shared" si="108"/>
        <v>5740</v>
      </c>
      <c r="E386" t="str">
        <f t="shared" si="111"/>
        <v>850LOS</v>
      </c>
      <c r="F386" t="str">
        <f>"PKGPAY"</f>
        <v>PKGPAY</v>
      </c>
      <c r="G386" t="str">
        <f>""</f>
        <v/>
      </c>
      <c r="H386" s="1">
        <v>39674</v>
      </c>
      <c r="I386" t="str">
        <f>"CMG00576"</f>
        <v>CMG00576</v>
      </c>
      <c r="J386" t="str">
        <f>""</f>
        <v/>
      </c>
      <c r="K386" t="str">
        <f t="shared" si="112"/>
        <v>J089</v>
      </c>
      <c r="L386" t="s">
        <v>1035</v>
      </c>
      <c r="M386">
        <v>205.88</v>
      </c>
    </row>
    <row r="387" spans="1:13" x14ac:dyDescent="0.25">
      <c r="A387" t="str">
        <f t="shared" si="109"/>
        <v>E217</v>
      </c>
      <c r="B387">
        <v>1</v>
      </c>
      <c r="C387" t="str">
        <f>"43003"</f>
        <v>43003</v>
      </c>
      <c r="D387" t="str">
        <f t="shared" si="108"/>
        <v>5740</v>
      </c>
      <c r="E387" t="str">
        <f t="shared" si="111"/>
        <v>850LOS</v>
      </c>
      <c r="F387" t="str">
        <f>"PKGPAY"</f>
        <v>PKGPAY</v>
      </c>
      <c r="G387" t="str">
        <f>""</f>
        <v/>
      </c>
      <c r="H387" s="1">
        <v>39713</v>
      </c>
      <c r="I387" t="str">
        <f>"CMG00579"</f>
        <v>CMG00579</v>
      </c>
      <c r="J387" t="str">
        <f>""</f>
        <v/>
      </c>
      <c r="K387" t="str">
        <f t="shared" si="112"/>
        <v>J089</v>
      </c>
      <c r="L387" t="s">
        <v>1034</v>
      </c>
      <c r="M387">
        <v>288.86</v>
      </c>
    </row>
    <row r="388" spans="1:13" x14ac:dyDescent="0.25">
      <c r="A388" t="str">
        <f t="shared" si="109"/>
        <v>E217</v>
      </c>
      <c r="B388">
        <v>1</v>
      </c>
      <c r="C388" t="str">
        <f>"43003"</f>
        <v>43003</v>
      </c>
      <c r="D388" t="str">
        <f t="shared" si="108"/>
        <v>5740</v>
      </c>
      <c r="E388" t="str">
        <f t="shared" si="111"/>
        <v>850LOS</v>
      </c>
      <c r="F388" t="str">
        <f>"PKGPAY"</f>
        <v>PKGPAY</v>
      </c>
      <c r="G388" t="str">
        <f>""</f>
        <v/>
      </c>
      <c r="H388" s="1">
        <v>39737</v>
      </c>
      <c r="I388" t="str">
        <f>"CMG00580"</f>
        <v>CMG00580</v>
      </c>
      <c r="J388" t="str">
        <f>""</f>
        <v/>
      </c>
      <c r="K388" t="str">
        <f t="shared" si="112"/>
        <v>J089</v>
      </c>
      <c r="L388" t="s">
        <v>1033</v>
      </c>
      <c r="M388">
        <v>203.84</v>
      </c>
    </row>
    <row r="389" spans="1:13" x14ac:dyDescent="0.25">
      <c r="A389" t="str">
        <f t="shared" si="109"/>
        <v>E217</v>
      </c>
      <c r="B389">
        <v>1</v>
      </c>
      <c r="C389" t="str">
        <f>"43003"</f>
        <v>43003</v>
      </c>
      <c r="D389" t="str">
        <f t="shared" si="108"/>
        <v>5740</v>
      </c>
      <c r="E389" t="str">
        <f t="shared" si="111"/>
        <v>850LOS</v>
      </c>
      <c r="F389" t="str">
        <f>"PKGPAY"</f>
        <v>PKGPAY</v>
      </c>
      <c r="G389" t="str">
        <f>""</f>
        <v/>
      </c>
      <c r="H389" s="1">
        <v>39769</v>
      </c>
      <c r="I389" t="str">
        <f>"CMG00582"</f>
        <v>CMG00582</v>
      </c>
      <c r="J389" t="str">
        <f>""</f>
        <v/>
      </c>
      <c r="K389" t="str">
        <f t="shared" si="112"/>
        <v>J089</v>
      </c>
      <c r="L389" t="s">
        <v>1032</v>
      </c>
      <c r="M389">
        <v>804.97</v>
      </c>
    </row>
    <row r="390" spans="1:13" x14ac:dyDescent="0.25">
      <c r="A390" t="str">
        <f t="shared" si="109"/>
        <v>E217</v>
      </c>
      <c r="B390">
        <v>1</v>
      </c>
      <c r="C390" t="str">
        <f>"43003"</f>
        <v>43003</v>
      </c>
      <c r="D390" t="str">
        <f t="shared" si="108"/>
        <v>5740</v>
      </c>
      <c r="E390" t="str">
        <f t="shared" si="111"/>
        <v>850LOS</v>
      </c>
      <c r="F390" t="str">
        <f>"PKGPAY"</f>
        <v>PKGPAY</v>
      </c>
      <c r="G390" t="str">
        <f>""</f>
        <v/>
      </c>
      <c r="H390" s="1">
        <v>39792</v>
      </c>
      <c r="I390" t="str">
        <f>"CMG00584"</f>
        <v>CMG00584</v>
      </c>
      <c r="J390" t="str">
        <f>""</f>
        <v/>
      </c>
      <c r="K390" t="str">
        <f t="shared" si="112"/>
        <v>J089</v>
      </c>
      <c r="L390" t="s">
        <v>1031</v>
      </c>
      <c r="M390">
        <v>605.51</v>
      </c>
    </row>
    <row r="391" spans="1:13" x14ac:dyDescent="0.25">
      <c r="A391" t="str">
        <f>"E230"</f>
        <v>E230</v>
      </c>
      <c r="B391">
        <v>1</v>
      </c>
      <c r="C391" t="str">
        <f>"43000"</f>
        <v>43000</v>
      </c>
      <c r="D391" t="str">
        <f t="shared" si="108"/>
        <v>5740</v>
      </c>
      <c r="E391" t="str">
        <f>"850PKE"</f>
        <v>850PKE</v>
      </c>
      <c r="F391" t="str">
        <f>""</f>
        <v/>
      </c>
      <c r="G391" t="str">
        <f>""</f>
        <v/>
      </c>
      <c r="H391" s="1">
        <v>39753</v>
      </c>
      <c r="I391" t="str">
        <f>"PHY00493"</f>
        <v>PHY00493</v>
      </c>
      <c r="J391" t="str">
        <f>"W0032771"</f>
        <v>W0032771</v>
      </c>
      <c r="K391" t="str">
        <f t="shared" ref="K391:K418" si="113">"AS89"</f>
        <v>AS89</v>
      </c>
      <c r="L391" t="s">
        <v>1029</v>
      </c>
      <c r="M391">
        <v>294.45</v>
      </c>
    </row>
    <row r="392" spans="1:13" x14ac:dyDescent="0.25">
      <c r="A392" t="str">
        <f>"E230"</f>
        <v>E230</v>
      </c>
      <c r="B392">
        <v>1</v>
      </c>
      <c r="C392" t="str">
        <f>"43000"</f>
        <v>43000</v>
      </c>
      <c r="D392" t="str">
        <f t="shared" si="108"/>
        <v>5740</v>
      </c>
      <c r="E392" t="str">
        <f>"850PKE"</f>
        <v>850PKE</v>
      </c>
      <c r="F392" t="str">
        <f>""</f>
        <v/>
      </c>
      <c r="G392" t="str">
        <f>""</f>
        <v/>
      </c>
      <c r="H392" s="1">
        <v>39783</v>
      </c>
      <c r="I392" t="str">
        <f>"PHY00495"</f>
        <v>PHY00495</v>
      </c>
      <c r="J392" t="str">
        <f>"W0032771"</f>
        <v>W0032771</v>
      </c>
      <c r="K392" t="str">
        <f t="shared" si="113"/>
        <v>AS89</v>
      </c>
      <c r="L392" t="s">
        <v>1028</v>
      </c>
      <c r="M392" s="2">
        <v>1652.96</v>
      </c>
    </row>
    <row r="393" spans="1:13" x14ac:dyDescent="0.25">
      <c r="A393" t="str">
        <f>"E230"</f>
        <v>E230</v>
      </c>
      <c r="B393">
        <v>1</v>
      </c>
      <c r="C393" t="str">
        <f>"43000"</f>
        <v>43000</v>
      </c>
      <c r="D393" t="str">
        <f t="shared" si="108"/>
        <v>5740</v>
      </c>
      <c r="E393" t="str">
        <f>"850PKE"</f>
        <v>850PKE</v>
      </c>
      <c r="F393" t="str">
        <f>""</f>
        <v/>
      </c>
      <c r="G393" t="str">
        <f>""</f>
        <v/>
      </c>
      <c r="H393" s="1">
        <v>39965</v>
      </c>
      <c r="I393" t="str">
        <f>"PHY00507"</f>
        <v>PHY00507</v>
      </c>
      <c r="J393" t="str">
        <f>"W0042939"</f>
        <v>W0042939</v>
      </c>
      <c r="K393" t="str">
        <f t="shared" si="113"/>
        <v>AS89</v>
      </c>
      <c r="L393" t="s">
        <v>1027</v>
      </c>
      <c r="M393" s="2">
        <v>2340.11</v>
      </c>
    </row>
    <row r="394" spans="1:13" x14ac:dyDescent="0.25">
      <c r="A394" t="str">
        <f t="shared" ref="A394:A418" si="114">"E231"</f>
        <v>E231</v>
      </c>
      <c r="B394">
        <v>1</v>
      </c>
      <c r="C394" t="str">
        <f t="shared" ref="C394:C405" si="115">"14185"</f>
        <v>14185</v>
      </c>
      <c r="D394" t="str">
        <f t="shared" ref="D394:D405" si="116">"5620"</f>
        <v>5620</v>
      </c>
      <c r="E394" t="str">
        <f t="shared" ref="E394:E405" si="117">"094OMS"</f>
        <v>094OMS</v>
      </c>
      <c r="F394" t="str">
        <f>""</f>
        <v/>
      </c>
      <c r="G394" t="str">
        <f>""</f>
        <v/>
      </c>
      <c r="H394" s="1">
        <v>39659</v>
      </c>
      <c r="I394" t="str">
        <f>"MPG00346"</f>
        <v>MPG00346</v>
      </c>
      <c r="J394" t="str">
        <f>""</f>
        <v/>
      </c>
      <c r="K394" t="str">
        <f t="shared" si="113"/>
        <v>AS89</v>
      </c>
      <c r="L394" t="s">
        <v>1025</v>
      </c>
      <c r="M394" s="2">
        <v>2245.11</v>
      </c>
    </row>
    <row r="395" spans="1:13" x14ac:dyDescent="0.25">
      <c r="A395" t="str">
        <f t="shared" si="114"/>
        <v>E231</v>
      </c>
      <c r="B395">
        <v>1</v>
      </c>
      <c r="C395" t="str">
        <f t="shared" si="115"/>
        <v>14185</v>
      </c>
      <c r="D395" t="str">
        <f t="shared" si="116"/>
        <v>5620</v>
      </c>
      <c r="E395" t="str">
        <f t="shared" si="117"/>
        <v>094OMS</v>
      </c>
      <c r="F395" t="str">
        <f>""</f>
        <v/>
      </c>
      <c r="G395" t="str">
        <f>""</f>
        <v/>
      </c>
      <c r="H395" s="1">
        <v>39690</v>
      </c>
      <c r="I395" t="str">
        <f>"MPG00347"</f>
        <v>MPG00347</v>
      </c>
      <c r="J395" t="str">
        <f>""</f>
        <v/>
      </c>
      <c r="K395" t="str">
        <f t="shared" si="113"/>
        <v>AS89</v>
      </c>
      <c r="L395" t="s">
        <v>1024</v>
      </c>
      <c r="M395" s="2">
        <v>1495.06</v>
      </c>
    </row>
    <row r="396" spans="1:13" x14ac:dyDescent="0.25">
      <c r="A396" t="str">
        <f t="shared" si="114"/>
        <v>E231</v>
      </c>
      <c r="B396">
        <v>1</v>
      </c>
      <c r="C396" t="str">
        <f t="shared" si="115"/>
        <v>14185</v>
      </c>
      <c r="D396" t="str">
        <f t="shared" si="116"/>
        <v>5620</v>
      </c>
      <c r="E396" t="str">
        <f t="shared" si="117"/>
        <v>094OMS</v>
      </c>
      <c r="F396" t="str">
        <f>""</f>
        <v/>
      </c>
      <c r="G396" t="str">
        <f>""</f>
        <v/>
      </c>
      <c r="H396" s="1">
        <v>39721</v>
      </c>
      <c r="I396" t="str">
        <f>"MPG00348"</f>
        <v>MPG00348</v>
      </c>
      <c r="J396" t="str">
        <f>""</f>
        <v/>
      </c>
      <c r="K396" t="str">
        <f t="shared" si="113"/>
        <v>AS89</v>
      </c>
      <c r="L396" t="s">
        <v>1023</v>
      </c>
      <c r="M396" s="2">
        <v>2263.2399999999998</v>
      </c>
    </row>
    <row r="397" spans="1:13" x14ac:dyDescent="0.25">
      <c r="A397" t="str">
        <f t="shared" si="114"/>
        <v>E231</v>
      </c>
      <c r="B397">
        <v>1</v>
      </c>
      <c r="C397" t="str">
        <f t="shared" si="115"/>
        <v>14185</v>
      </c>
      <c r="D397" t="str">
        <f t="shared" si="116"/>
        <v>5620</v>
      </c>
      <c r="E397" t="str">
        <f t="shared" si="117"/>
        <v>094OMS</v>
      </c>
      <c r="F397" t="str">
        <f>""</f>
        <v/>
      </c>
      <c r="G397" t="str">
        <f>""</f>
        <v/>
      </c>
      <c r="H397" s="1">
        <v>39751</v>
      </c>
      <c r="I397" t="str">
        <f>"MPG00349"</f>
        <v>MPG00349</v>
      </c>
      <c r="J397" t="str">
        <f>""</f>
        <v/>
      </c>
      <c r="K397" t="str">
        <f t="shared" si="113"/>
        <v>AS89</v>
      </c>
      <c r="L397" t="s">
        <v>1022</v>
      </c>
      <c r="M397" s="2">
        <v>2217.34</v>
      </c>
    </row>
    <row r="398" spans="1:13" x14ac:dyDescent="0.25">
      <c r="A398" t="str">
        <f t="shared" si="114"/>
        <v>E231</v>
      </c>
      <c r="B398">
        <v>1</v>
      </c>
      <c r="C398" t="str">
        <f t="shared" si="115"/>
        <v>14185</v>
      </c>
      <c r="D398" t="str">
        <f t="shared" si="116"/>
        <v>5620</v>
      </c>
      <c r="E398" t="str">
        <f t="shared" si="117"/>
        <v>094OMS</v>
      </c>
      <c r="F398" t="str">
        <f>""</f>
        <v/>
      </c>
      <c r="G398" t="str">
        <f>""</f>
        <v/>
      </c>
      <c r="H398" s="1">
        <v>39782</v>
      </c>
      <c r="I398" t="str">
        <f>"MPG00350"</f>
        <v>MPG00350</v>
      </c>
      <c r="J398" t="str">
        <f>""</f>
        <v/>
      </c>
      <c r="K398" t="str">
        <f t="shared" si="113"/>
        <v>AS89</v>
      </c>
      <c r="L398" t="s">
        <v>1021</v>
      </c>
      <c r="M398" s="2">
        <v>1574.74</v>
      </c>
    </row>
    <row r="399" spans="1:13" x14ac:dyDescent="0.25">
      <c r="A399" t="str">
        <f t="shared" si="114"/>
        <v>E231</v>
      </c>
      <c r="B399">
        <v>1</v>
      </c>
      <c r="C399" t="str">
        <f t="shared" si="115"/>
        <v>14185</v>
      </c>
      <c r="D399" t="str">
        <f t="shared" si="116"/>
        <v>5620</v>
      </c>
      <c r="E399" t="str">
        <f t="shared" si="117"/>
        <v>094OMS</v>
      </c>
      <c r="F399" t="str">
        <f>""</f>
        <v/>
      </c>
      <c r="G399" t="str">
        <f>""</f>
        <v/>
      </c>
      <c r="H399" s="1">
        <v>39813</v>
      </c>
      <c r="I399" t="str">
        <f>"MPG00351"</f>
        <v>MPG00351</v>
      </c>
      <c r="J399" t="str">
        <f>""</f>
        <v/>
      </c>
      <c r="K399" t="str">
        <f t="shared" si="113"/>
        <v>AS89</v>
      </c>
      <c r="L399" t="s">
        <v>1020</v>
      </c>
      <c r="M399">
        <v>604.09</v>
      </c>
    </row>
    <row r="400" spans="1:13" x14ac:dyDescent="0.25">
      <c r="A400" t="str">
        <f t="shared" si="114"/>
        <v>E231</v>
      </c>
      <c r="B400">
        <v>1</v>
      </c>
      <c r="C400" t="str">
        <f t="shared" si="115"/>
        <v>14185</v>
      </c>
      <c r="D400" t="str">
        <f t="shared" si="116"/>
        <v>5620</v>
      </c>
      <c r="E400" t="str">
        <f t="shared" si="117"/>
        <v>094OMS</v>
      </c>
      <c r="F400" t="str">
        <f>""</f>
        <v/>
      </c>
      <c r="G400" t="str">
        <f>""</f>
        <v/>
      </c>
      <c r="H400" s="1">
        <v>39844</v>
      </c>
      <c r="I400" t="str">
        <f>"MPG00352"</f>
        <v>MPG00352</v>
      </c>
      <c r="J400" t="str">
        <f>""</f>
        <v/>
      </c>
      <c r="K400" t="str">
        <f t="shared" si="113"/>
        <v>AS89</v>
      </c>
      <c r="L400" t="s">
        <v>1019</v>
      </c>
      <c r="M400" s="2">
        <v>1119.74</v>
      </c>
    </row>
    <row r="401" spans="1:13" x14ac:dyDescent="0.25">
      <c r="A401" t="str">
        <f t="shared" si="114"/>
        <v>E231</v>
      </c>
      <c r="B401">
        <v>1</v>
      </c>
      <c r="C401" t="str">
        <f t="shared" si="115"/>
        <v>14185</v>
      </c>
      <c r="D401" t="str">
        <f t="shared" si="116"/>
        <v>5620</v>
      </c>
      <c r="E401" t="str">
        <f t="shared" si="117"/>
        <v>094OMS</v>
      </c>
      <c r="F401" t="str">
        <f>""</f>
        <v/>
      </c>
      <c r="G401" t="str">
        <f>""</f>
        <v/>
      </c>
      <c r="H401" s="1">
        <v>39872</v>
      </c>
      <c r="I401" t="str">
        <f>"MPG00353"</f>
        <v>MPG00353</v>
      </c>
      <c r="J401" t="str">
        <f>""</f>
        <v/>
      </c>
      <c r="K401" t="str">
        <f t="shared" si="113"/>
        <v>AS89</v>
      </c>
      <c r="L401" t="s">
        <v>1018</v>
      </c>
      <c r="M401">
        <v>791.36</v>
      </c>
    </row>
    <row r="402" spans="1:13" x14ac:dyDescent="0.25">
      <c r="A402" t="str">
        <f t="shared" si="114"/>
        <v>E231</v>
      </c>
      <c r="B402">
        <v>1</v>
      </c>
      <c r="C402" t="str">
        <f t="shared" si="115"/>
        <v>14185</v>
      </c>
      <c r="D402" t="str">
        <f t="shared" si="116"/>
        <v>5620</v>
      </c>
      <c r="E402" t="str">
        <f t="shared" si="117"/>
        <v>094OMS</v>
      </c>
      <c r="F402" t="str">
        <f>""</f>
        <v/>
      </c>
      <c r="G402" t="str">
        <f>""</f>
        <v/>
      </c>
      <c r="H402" s="1">
        <v>39903</v>
      </c>
      <c r="I402" t="str">
        <f>"MPG00354"</f>
        <v>MPG00354</v>
      </c>
      <c r="J402" t="str">
        <f>""</f>
        <v/>
      </c>
      <c r="K402" t="str">
        <f t="shared" si="113"/>
        <v>AS89</v>
      </c>
      <c r="L402" t="s">
        <v>1017</v>
      </c>
      <c r="M402">
        <v>699.96</v>
      </c>
    </row>
    <row r="403" spans="1:13" x14ac:dyDescent="0.25">
      <c r="A403" t="str">
        <f t="shared" si="114"/>
        <v>E231</v>
      </c>
      <c r="B403">
        <v>1</v>
      </c>
      <c r="C403" t="str">
        <f t="shared" si="115"/>
        <v>14185</v>
      </c>
      <c r="D403" t="str">
        <f t="shared" si="116"/>
        <v>5620</v>
      </c>
      <c r="E403" t="str">
        <f t="shared" si="117"/>
        <v>094OMS</v>
      </c>
      <c r="F403" t="str">
        <f>""</f>
        <v/>
      </c>
      <c r="G403" t="str">
        <f>""</f>
        <v/>
      </c>
      <c r="H403" s="1">
        <v>39933</v>
      </c>
      <c r="I403" t="str">
        <f>"MPG00355"</f>
        <v>MPG00355</v>
      </c>
      <c r="J403" t="str">
        <f>""</f>
        <v/>
      </c>
      <c r="K403" t="str">
        <f t="shared" si="113"/>
        <v>AS89</v>
      </c>
      <c r="L403" t="s">
        <v>1016</v>
      </c>
      <c r="M403" s="2">
        <v>1036.4100000000001</v>
      </c>
    </row>
    <row r="404" spans="1:13" x14ac:dyDescent="0.25">
      <c r="A404" t="str">
        <f t="shared" si="114"/>
        <v>E231</v>
      </c>
      <c r="B404">
        <v>1</v>
      </c>
      <c r="C404" t="str">
        <f t="shared" si="115"/>
        <v>14185</v>
      </c>
      <c r="D404" t="str">
        <f t="shared" si="116"/>
        <v>5620</v>
      </c>
      <c r="E404" t="str">
        <f t="shared" si="117"/>
        <v>094OMS</v>
      </c>
      <c r="F404" t="str">
        <f>""</f>
        <v/>
      </c>
      <c r="G404" t="str">
        <f>""</f>
        <v/>
      </c>
      <c r="H404" s="1">
        <v>39964</v>
      </c>
      <c r="I404" t="str">
        <f>"MPG00357"</f>
        <v>MPG00357</v>
      </c>
      <c r="J404" t="str">
        <f>""</f>
        <v/>
      </c>
      <c r="K404" t="str">
        <f t="shared" si="113"/>
        <v>AS89</v>
      </c>
      <c r="L404" t="s">
        <v>1015</v>
      </c>
      <c r="M404" s="2">
        <v>1122.07</v>
      </c>
    </row>
    <row r="405" spans="1:13" x14ac:dyDescent="0.25">
      <c r="A405" t="str">
        <f t="shared" si="114"/>
        <v>E231</v>
      </c>
      <c r="B405">
        <v>1</v>
      </c>
      <c r="C405" t="str">
        <f t="shared" si="115"/>
        <v>14185</v>
      </c>
      <c r="D405" t="str">
        <f t="shared" si="116"/>
        <v>5620</v>
      </c>
      <c r="E405" t="str">
        <f t="shared" si="117"/>
        <v>094OMS</v>
      </c>
      <c r="F405" t="str">
        <f>""</f>
        <v/>
      </c>
      <c r="G405" t="str">
        <f>""</f>
        <v/>
      </c>
      <c r="H405" s="1">
        <v>39994</v>
      </c>
      <c r="I405" t="str">
        <f>"MPG00359"</f>
        <v>MPG00359</v>
      </c>
      <c r="J405" t="str">
        <f>""</f>
        <v/>
      </c>
      <c r="K405" t="str">
        <f t="shared" si="113"/>
        <v>AS89</v>
      </c>
      <c r="L405" t="s">
        <v>1014</v>
      </c>
      <c r="M405" s="2">
        <v>1120.21</v>
      </c>
    </row>
    <row r="406" spans="1:13" x14ac:dyDescent="0.25">
      <c r="A406" t="str">
        <f t="shared" si="114"/>
        <v>E231</v>
      </c>
      <c r="B406">
        <v>1</v>
      </c>
      <c r="C406" t="str">
        <f>"32040"</f>
        <v>32040</v>
      </c>
      <c r="D406" t="str">
        <f>"5610"</f>
        <v>5610</v>
      </c>
      <c r="E406" t="str">
        <f t="shared" ref="E406:E418" si="118">"850LOS"</f>
        <v>850LOS</v>
      </c>
      <c r="F406" t="str">
        <f>""</f>
        <v/>
      </c>
      <c r="G406" t="str">
        <f>""</f>
        <v/>
      </c>
      <c r="H406" s="1">
        <v>39721</v>
      </c>
      <c r="I406" t="str">
        <f>"MPG00348"</f>
        <v>MPG00348</v>
      </c>
      <c r="J406" t="str">
        <f>""</f>
        <v/>
      </c>
      <c r="K406" t="str">
        <f t="shared" si="113"/>
        <v>AS89</v>
      </c>
      <c r="L406" t="s">
        <v>1023</v>
      </c>
      <c r="M406">
        <v>112.34</v>
      </c>
    </row>
    <row r="407" spans="1:13" x14ac:dyDescent="0.25">
      <c r="A407" t="str">
        <f t="shared" si="114"/>
        <v>E231</v>
      </c>
      <c r="B407">
        <v>1</v>
      </c>
      <c r="C407" t="str">
        <f t="shared" ref="C407:C418" si="119">"43000"</f>
        <v>43000</v>
      </c>
      <c r="D407" t="str">
        <f t="shared" ref="D407:D418" si="120">"5740"</f>
        <v>5740</v>
      </c>
      <c r="E407" t="str">
        <f t="shared" si="118"/>
        <v>850LOS</v>
      </c>
      <c r="F407" t="str">
        <f>""</f>
        <v/>
      </c>
      <c r="G407" t="str">
        <f>""</f>
        <v/>
      </c>
      <c r="H407" s="1">
        <v>39659</v>
      </c>
      <c r="I407" t="str">
        <f>"MPG00346"</f>
        <v>MPG00346</v>
      </c>
      <c r="J407" t="str">
        <f>""</f>
        <v/>
      </c>
      <c r="K407" t="str">
        <f t="shared" si="113"/>
        <v>AS89</v>
      </c>
      <c r="L407" t="s">
        <v>1025</v>
      </c>
      <c r="M407">
        <v>732.28</v>
      </c>
    </row>
    <row r="408" spans="1:13" x14ac:dyDescent="0.25">
      <c r="A408" t="str">
        <f t="shared" si="114"/>
        <v>E231</v>
      </c>
      <c r="B408">
        <v>1</v>
      </c>
      <c r="C408" t="str">
        <f t="shared" si="119"/>
        <v>43000</v>
      </c>
      <c r="D408" t="str">
        <f t="shared" si="120"/>
        <v>5740</v>
      </c>
      <c r="E408" t="str">
        <f t="shared" si="118"/>
        <v>850LOS</v>
      </c>
      <c r="F408" t="str">
        <f>""</f>
        <v/>
      </c>
      <c r="G408" t="str">
        <f>""</f>
        <v/>
      </c>
      <c r="H408" s="1">
        <v>39690</v>
      </c>
      <c r="I408" t="str">
        <f>"MPG00347"</f>
        <v>MPG00347</v>
      </c>
      <c r="J408" t="str">
        <f>""</f>
        <v/>
      </c>
      <c r="K408" t="str">
        <f t="shared" si="113"/>
        <v>AS89</v>
      </c>
      <c r="L408" t="s">
        <v>1024</v>
      </c>
      <c r="M408">
        <v>625.92999999999995</v>
      </c>
    </row>
    <row r="409" spans="1:13" x14ac:dyDescent="0.25">
      <c r="A409" t="str">
        <f t="shared" si="114"/>
        <v>E231</v>
      </c>
      <c r="B409">
        <v>1</v>
      </c>
      <c r="C409" t="str">
        <f t="shared" si="119"/>
        <v>43000</v>
      </c>
      <c r="D409" t="str">
        <f t="shared" si="120"/>
        <v>5740</v>
      </c>
      <c r="E409" t="str">
        <f t="shared" si="118"/>
        <v>850LOS</v>
      </c>
      <c r="F409" t="str">
        <f>""</f>
        <v/>
      </c>
      <c r="G409" t="str">
        <f>""</f>
        <v/>
      </c>
      <c r="H409" s="1">
        <v>39721</v>
      </c>
      <c r="I409" t="str">
        <f>"MPG00348"</f>
        <v>MPG00348</v>
      </c>
      <c r="J409" t="str">
        <f>""</f>
        <v/>
      </c>
      <c r="K409" t="str">
        <f t="shared" si="113"/>
        <v>AS89</v>
      </c>
      <c r="L409" t="s">
        <v>1023</v>
      </c>
      <c r="M409">
        <v>774.94</v>
      </c>
    </row>
    <row r="410" spans="1:13" x14ac:dyDescent="0.25">
      <c r="A410" t="str">
        <f t="shared" si="114"/>
        <v>E231</v>
      </c>
      <c r="B410">
        <v>1</v>
      </c>
      <c r="C410" t="str">
        <f t="shared" si="119"/>
        <v>43000</v>
      </c>
      <c r="D410" t="str">
        <f t="shared" si="120"/>
        <v>5740</v>
      </c>
      <c r="E410" t="str">
        <f t="shared" si="118"/>
        <v>850LOS</v>
      </c>
      <c r="F410" t="str">
        <f>""</f>
        <v/>
      </c>
      <c r="G410" t="str">
        <f>""</f>
        <v/>
      </c>
      <c r="H410" s="1">
        <v>39751</v>
      </c>
      <c r="I410" t="str">
        <f>"MPG00349"</f>
        <v>MPG00349</v>
      </c>
      <c r="J410" t="str">
        <f>""</f>
        <v/>
      </c>
      <c r="K410" t="str">
        <f t="shared" si="113"/>
        <v>AS89</v>
      </c>
      <c r="L410" t="s">
        <v>1022</v>
      </c>
      <c r="M410">
        <v>649.32000000000005</v>
      </c>
    </row>
    <row r="411" spans="1:13" x14ac:dyDescent="0.25">
      <c r="A411" t="str">
        <f t="shared" si="114"/>
        <v>E231</v>
      </c>
      <c r="B411">
        <v>1</v>
      </c>
      <c r="C411" t="str">
        <f t="shared" si="119"/>
        <v>43000</v>
      </c>
      <c r="D411" t="str">
        <f t="shared" si="120"/>
        <v>5740</v>
      </c>
      <c r="E411" t="str">
        <f t="shared" si="118"/>
        <v>850LOS</v>
      </c>
      <c r="F411" t="str">
        <f>""</f>
        <v/>
      </c>
      <c r="G411" t="str">
        <f>""</f>
        <v/>
      </c>
      <c r="H411" s="1">
        <v>39782</v>
      </c>
      <c r="I411" t="str">
        <f>"MPG00350"</f>
        <v>MPG00350</v>
      </c>
      <c r="J411" t="str">
        <f>""</f>
        <v/>
      </c>
      <c r="K411" t="str">
        <f t="shared" si="113"/>
        <v>AS89</v>
      </c>
      <c r="L411" t="s">
        <v>1021</v>
      </c>
      <c r="M411">
        <v>557.46</v>
      </c>
    </row>
    <row r="412" spans="1:13" x14ac:dyDescent="0.25">
      <c r="A412" t="str">
        <f t="shared" si="114"/>
        <v>E231</v>
      </c>
      <c r="B412">
        <v>1</v>
      </c>
      <c r="C412" t="str">
        <f t="shared" si="119"/>
        <v>43000</v>
      </c>
      <c r="D412" t="str">
        <f t="shared" si="120"/>
        <v>5740</v>
      </c>
      <c r="E412" t="str">
        <f t="shared" si="118"/>
        <v>850LOS</v>
      </c>
      <c r="F412" t="str">
        <f>""</f>
        <v/>
      </c>
      <c r="G412" t="str">
        <f>""</f>
        <v/>
      </c>
      <c r="H412" s="1">
        <v>39813</v>
      </c>
      <c r="I412" t="str">
        <f>"MPG00351"</f>
        <v>MPG00351</v>
      </c>
      <c r="J412" t="str">
        <f>""</f>
        <v/>
      </c>
      <c r="K412" t="str">
        <f t="shared" si="113"/>
        <v>AS89</v>
      </c>
      <c r="L412" t="s">
        <v>1020</v>
      </c>
      <c r="M412">
        <v>228.76</v>
      </c>
    </row>
    <row r="413" spans="1:13" x14ac:dyDescent="0.25">
      <c r="A413" t="str">
        <f t="shared" si="114"/>
        <v>E231</v>
      </c>
      <c r="B413">
        <v>1</v>
      </c>
      <c r="C413" t="str">
        <f t="shared" si="119"/>
        <v>43000</v>
      </c>
      <c r="D413" t="str">
        <f t="shared" si="120"/>
        <v>5740</v>
      </c>
      <c r="E413" t="str">
        <f t="shared" si="118"/>
        <v>850LOS</v>
      </c>
      <c r="F413" t="str">
        <f>""</f>
        <v/>
      </c>
      <c r="G413" t="str">
        <f>""</f>
        <v/>
      </c>
      <c r="H413" s="1">
        <v>39844</v>
      </c>
      <c r="I413" t="str">
        <f>"MPG00352"</f>
        <v>MPG00352</v>
      </c>
      <c r="J413" t="str">
        <f>""</f>
        <v/>
      </c>
      <c r="K413" t="str">
        <f t="shared" si="113"/>
        <v>AS89</v>
      </c>
      <c r="L413" t="s">
        <v>1019</v>
      </c>
      <c r="M413">
        <v>461.63</v>
      </c>
    </row>
    <row r="414" spans="1:13" x14ac:dyDescent="0.25">
      <c r="A414" t="str">
        <f t="shared" si="114"/>
        <v>E231</v>
      </c>
      <c r="B414">
        <v>1</v>
      </c>
      <c r="C414" t="str">
        <f t="shared" si="119"/>
        <v>43000</v>
      </c>
      <c r="D414" t="str">
        <f t="shared" si="120"/>
        <v>5740</v>
      </c>
      <c r="E414" t="str">
        <f t="shared" si="118"/>
        <v>850LOS</v>
      </c>
      <c r="F414" t="str">
        <f>""</f>
        <v/>
      </c>
      <c r="G414" t="str">
        <f>""</f>
        <v/>
      </c>
      <c r="H414" s="1">
        <v>39872</v>
      </c>
      <c r="I414" t="str">
        <f>"MPG00353"</f>
        <v>MPG00353</v>
      </c>
      <c r="J414" t="str">
        <f>""</f>
        <v/>
      </c>
      <c r="K414" t="str">
        <f t="shared" si="113"/>
        <v>AS89</v>
      </c>
      <c r="L414" t="s">
        <v>1018</v>
      </c>
      <c r="M414">
        <v>369.46</v>
      </c>
    </row>
    <row r="415" spans="1:13" x14ac:dyDescent="0.25">
      <c r="A415" t="str">
        <f t="shared" si="114"/>
        <v>E231</v>
      </c>
      <c r="B415">
        <v>1</v>
      </c>
      <c r="C415" t="str">
        <f t="shared" si="119"/>
        <v>43000</v>
      </c>
      <c r="D415" t="str">
        <f t="shared" si="120"/>
        <v>5740</v>
      </c>
      <c r="E415" t="str">
        <f t="shared" si="118"/>
        <v>850LOS</v>
      </c>
      <c r="F415" t="str">
        <f>""</f>
        <v/>
      </c>
      <c r="G415" t="str">
        <f>""</f>
        <v/>
      </c>
      <c r="H415" s="1">
        <v>39903</v>
      </c>
      <c r="I415" t="str">
        <f>"MPG00354"</f>
        <v>MPG00354</v>
      </c>
      <c r="J415" t="str">
        <f>""</f>
        <v/>
      </c>
      <c r="K415" t="str">
        <f t="shared" si="113"/>
        <v>AS89</v>
      </c>
      <c r="L415" t="s">
        <v>1017</v>
      </c>
      <c r="M415">
        <v>314.77999999999997</v>
      </c>
    </row>
    <row r="416" spans="1:13" x14ac:dyDescent="0.25">
      <c r="A416" t="str">
        <f t="shared" si="114"/>
        <v>E231</v>
      </c>
      <c r="B416">
        <v>1</v>
      </c>
      <c r="C416" t="str">
        <f t="shared" si="119"/>
        <v>43000</v>
      </c>
      <c r="D416" t="str">
        <f t="shared" si="120"/>
        <v>5740</v>
      </c>
      <c r="E416" t="str">
        <f t="shared" si="118"/>
        <v>850LOS</v>
      </c>
      <c r="F416" t="str">
        <f>""</f>
        <v/>
      </c>
      <c r="G416" t="str">
        <f>""</f>
        <v/>
      </c>
      <c r="H416" s="1">
        <v>39933</v>
      </c>
      <c r="I416" t="str">
        <f>"MPG00355"</f>
        <v>MPG00355</v>
      </c>
      <c r="J416" t="str">
        <f>""</f>
        <v/>
      </c>
      <c r="K416" t="str">
        <f t="shared" si="113"/>
        <v>AS89</v>
      </c>
      <c r="L416" t="s">
        <v>1016</v>
      </c>
      <c r="M416">
        <v>462.81</v>
      </c>
    </row>
    <row r="417" spans="1:13" x14ac:dyDescent="0.25">
      <c r="A417" t="str">
        <f t="shared" si="114"/>
        <v>E231</v>
      </c>
      <c r="B417">
        <v>1</v>
      </c>
      <c r="C417" t="str">
        <f t="shared" si="119"/>
        <v>43000</v>
      </c>
      <c r="D417" t="str">
        <f t="shared" si="120"/>
        <v>5740</v>
      </c>
      <c r="E417" t="str">
        <f t="shared" si="118"/>
        <v>850LOS</v>
      </c>
      <c r="F417" t="str">
        <f>""</f>
        <v/>
      </c>
      <c r="G417" t="str">
        <f>""</f>
        <v/>
      </c>
      <c r="H417" s="1">
        <v>39964</v>
      </c>
      <c r="I417" t="str">
        <f>"MPG00357"</f>
        <v>MPG00357</v>
      </c>
      <c r="J417" t="str">
        <f>""</f>
        <v/>
      </c>
      <c r="K417" t="str">
        <f t="shared" si="113"/>
        <v>AS89</v>
      </c>
      <c r="L417" t="s">
        <v>1015</v>
      </c>
      <c r="M417">
        <v>418.23</v>
      </c>
    </row>
    <row r="418" spans="1:13" x14ac:dyDescent="0.25">
      <c r="A418" t="str">
        <f t="shared" si="114"/>
        <v>E231</v>
      </c>
      <c r="B418">
        <v>1</v>
      </c>
      <c r="C418" t="str">
        <f t="shared" si="119"/>
        <v>43000</v>
      </c>
      <c r="D418" t="str">
        <f t="shared" si="120"/>
        <v>5740</v>
      </c>
      <c r="E418" t="str">
        <f t="shared" si="118"/>
        <v>850LOS</v>
      </c>
      <c r="F418" t="str">
        <f>""</f>
        <v/>
      </c>
      <c r="G418" t="str">
        <f>""</f>
        <v/>
      </c>
      <c r="H418" s="1">
        <v>39994</v>
      </c>
      <c r="I418" t="str">
        <f>"MPG00359"</f>
        <v>MPG00359</v>
      </c>
      <c r="J418" t="str">
        <f>""</f>
        <v/>
      </c>
      <c r="K418" t="str">
        <f t="shared" si="113"/>
        <v>AS89</v>
      </c>
      <c r="L418" t="s">
        <v>1014</v>
      </c>
      <c r="M418">
        <v>367.47</v>
      </c>
    </row>
    <row r="419" spans="1:13" x14ac:dyDescent="0.25">
      <c r="A419" t="str">
        <f>"E240"</f>
        <v>E240</v>
      </c>
      <c r="B419">
        <v>1</v>
      </c>
      <c r="C419" t="str">
        <f>"14185"</f>
        <v>14185</v>
      </c>
      <c r="D419" t="str">
        <f>"5620"</f>
        <v>5620</v>
      </c>
      <c r="E419" t="str">
        <f>"094OMS"</f>
        <v>094OMS</v>
      </c>
      <c r="F419" t="str">
        <f>""</f>
        <v/>
      </c>
      <c r="G419" t="str">
        <f>""</f>
        <v/>
      </c>
      <c r="H419" s="1">
        <v>39826</v>
      </c>
      <c r="I419" t="str">
        <f>"125366"</f>
        <v>125366</v>
      </c>
      <c r="J419" t="str">
        <f>""</f>
        <v/>
      </c>
      <c r="K419" t="str">
        <f>"INNI"</f>
        <v>INNI</v>
      </c>
      <c r="L419" t="s">
        <v>204</v>
      </c>
      <c r="M419">
        <v>400</v>
      </c>
    </row>
    <row r="420" spans="1:13" x14ac:dyDescent="0.25">
      <c r="A420" t="str">
        <f>"E240"</f>
        <v>E240</v>
      </c>
      <c r="B420">
        <v>1</v>
      </c>
      <c r="C420" t="str">
        <f>"55729"</f>
        <v>55729</v>
      </c>
      <c r="D420" t="str">
        <f>"5741"</f>
        <v>5741</v>
      </c>
      <c r="E420" t="str">
        <f>"111ZAA"</f>
        <v>111ZAA</v>
      </c>
      <c r="F420" t="str">
        <f>""</f>
        <v/>
      </c>
      <c r="G420" t="str">
        <f>""</f>
        <v/>
      </c>
      <c r="H420" s="1">
        <v>39959</v>
      </c>
      <c r="I420" t="str">
        <f>"T48210"</f>
        <v>T48210</v>
      </c>
      <c r="J420" t="str">
        <f>""</f>
        <v/>
      </c>
      <c r="K420" t="str">
        <f>"INNI"</f>
        <v>INNI</v>
      </c>
      <c r="L420" t="s">
        <v>985</v>
      </c>
      <c r="M420">
        <v>350</v>
      </c>
    </row>
    <row r="421" spans="1:13" x14ac:dyDescent="0.25">
      <c r="A421" t="str">
        <f>"E241"</f>
        <v>E241</v>
      </c>
      <c r="B421">
        <v>1</v>
      </c>
      <c r="C421" t="str">
        <f>"43000"</f>
        <v>43000</v>
      </c>
      <c r="D421" t="str">
        <f>"5740"</f>
        <v>5740</v>
      </c>
      <c r="E421" t="str">
        <f>"850LOS"</f>
        <v>850LOS</v>
      </c>
      <c r="F421" t="str">
        <f>""</f>
        <v/>
      </c>
      <c r="G421" t="str">
        <f>""</f>
        <v/>
      </c>
      <c r="H421" s="1">
        <v>39721</v>
      </c>
      <c r="I421" t="str">
        <f>"SPU00086"</f>
        <v>SPU00086</v>
      </c>
      <c r="J421" t="str">
        <f>""</f>
        <v/>
      </c>
      <c r="K421" t="str">
        <f>"AS96"</f>
        <v>AS96</v>
      </c>
      <c r="L421" t="s">
        <v>1013</v>
      </c>
      <c r="M421">
        <v>127.3</v>
      </c>
    </row>
    <row r="422" spans="1:13" x14ac:dyDescent="0.25">
      <c r="A422" t="str">
        <f>"E241"</f>
        <v>E241</v>
      </c>
      <c r="B422">
        <v>1</v>
      </c>
      <c r="C422" t="str">
        <f>"43000"</f>
        <v>43000</v>
      </c>
      <c r="D422" t="str">
        <f>"5740"</f>
        <v>5740</v>
      </c>
      <c r="E422" t="str">
        <f>"850LOS"</f>
        <v>850LOS</v>
      </c>
      <c r="F422" t="str">
        <f>""</f>
        <v/>
      </c>
      <c r="G422" t="str">
        <f>""</f>
        <v/>
      </c>
      <c r="H422" s="1">
        <v>39964</v>
      </c>
      <c r="I422" t="str">
        <f>"SPU00094"</f>
        <v>SPU00094</v>
      </c>
      <c r="J422" t="str">
        <f>""</f>
        <v/>
      </c>
      <c r="K422" t="str">
        <f>"AS96"</f>
        <v>AS96</v>
      </c>
      <c r="L422" t="s">
        <v>1012</v>
      </c>
      <c r="M422">
        <v>141.94999999999999</v>
      </c>
    </row>
    <row r="423" spans="1:13" x14ac:dyDescent="0.25">
      <c r="A423" t="str">
        <f>"E241"</f>
        <v>E241</v>
      </c>
      <c r="B423">
        <v>1</v>
      </c>
      <c r="C423" t="str">
        <f>"43000"</f>
        <v>43000</v>
      </c>
      <c r="D423" t="str">
        <f>"5740"</f>
        <v>5740</v>
      </c>
      <c r="E423" t="str">
        <f>"850LOS"</f>
        <v>850LOS</v>
      </c>
      <c r="F423" t="str">
        <f>""</f>
        <v/>
      </c>
      <c r="G423" t="str">
        <f>""</f>
        <v/>
      </c>
      <c r="H423" s="1">
        <v>39979</v>
      </c>
      <c r="I423" t="str">
        <f>"SPU00095"</f>
        <v>SPU00095</v>
      </c>
      <c r="J423" t="str">
        <f>""</f>
        <v/>
      </c>
      <c r="K423" t="str">
        <f>"AS96"</f>
        <v>AS96</v>
      </c>
      <c r="L423" t="s">
        <v>1011</v>
      </c>
      <c r="M423">
        <v>141.94999999999999</v>
      </c>
    </row>
    <row r="424" spans="1:13" x14ac:dyDescent="0.25">
      <c r="A424" t="str">
        <f>"E242"</f>
        <v>E242</v>
      </c>
      <c r="B424">
        <v>1</v>
      </c>
      <c r="C424" t="str">
        <f>"14185"</f>
        <v>14185</v>
      </c>
      <c r="D424" t="str">
        <f>"5620"</f>
        <v>5620</v>
      </c>
      <c r="E424" t="str">
        <f>"094OMS"</f>
        <v>094OMS</v>
      </c>
      <c r="F424" t="str">
        <f>""</f>
        <v/>
      </c>
      <c r="G424" t="str">
        <f>""</f>
        <v/>
      </c>
      <c r="H424" s="1">
        <v>39896</v>
      </c>
      <c r="I424" t="str">
        <f>"2130C"</f>
        <v>2130C</v>
      </c>
      <c r="J424" t="str">
        <f>"F125370"</f>
        <v>F125370</v>
      </c>
      <c r="K424" t="str">
        <f>"INEI"</f>
        <v>INEI</v>
      </c>
      <c r="L424" t="s">
        <v>970</v>
      </c>
      <c r="M424">
        <v>100.09</v>
      </c>
    </row>
    <row r="425" spans="1:13" x14ac:dyDescent="0.25">
      <c r="A425" t="str">
        <f>"E242"</f>
        <v>E242</v>
      </c>
      <c r="B425">
        <v>1</v>
      </c>
      <c r="C425" t="str">
        <f>"32040"</f>
        <v>32040</v>
      </c>
      <c r="D425" t="str">
        <f>"5610"</f>
        <v>5610</v>
      </c>
      <c r="E425" t="str">
        <f>"850LOS"</f>
        <v>850LOS</v>
      </c>
      <c r="F425" t="str">
        <f>""</f>
        <v/>
      </c>
      <c r="G425" t="str">
        <f>""</f>
        <v/>
      </c>
      <c r="H425" s="1">
        <v>39954</v>
      </c>
      <c r="I425" t="str">
        <f>"0504091"</f>
        <v>0504091</v>
      </c>
      <c r="J425" t="str">
        <f>"F135468"</f>
        <v>F135468</v>
      </c>
      <c r="K425" t="str">
        <f>"INEI"</f>
        <v>INEI</v>
      </c>
      <c r="L425" t="s">
        <v>955</v>
      </c>
      <c r="M425">
        <v>325.5</v>
      </c>
    </row>
    <row r="426" spans="1:13" x14ac:dyDescent="0.25">
      <c r="A426" t="str">
        <f>"E244"</f>
        <v>E244</v>
      </c>
      <c r="B426">
        <v>1</v>
      </c>
      <c r="C426" t="str">
        <f>"55729"</f>
        <v>55729</v>
      </c>
      <c r="D426" t="str">
        <f>"5741"</f>
        <v>5741</v>
      </c>
      <c r="E426" t="str">
        <f>"111ZAA"</f>
        <v>111ZAA</v>
      </c>
      <c r="F426" t="str">
        <f>""</f>
        <v/>
      </c>
      <c r="G426" t="str">
        <f>""</f>
        <v/>
      </c>
      <c r="H426" s="1">
        <v>39962</v>
      </c>
      <c r="I426" t="str">
        <f>"243709"</f>
        <v>243709</v>
      </c>
      <c r="J426" t="str">
        <f>"DT48213"</f>
        <v>DT48213</v>
      </c>
      <c r="K426" t="str">
        <f>"INEI"</f>
        <v>INEI</v>
      </c>
      <c r="L426" t="s">
        <v>985</v>
      </c>
      <c r="M426">
        <v>150</v>
      </c>
    </row>
    <row r="427" spans="1:13" x14ac:dyDescent="0.25">
      <c r="A427" t="str">
        <f>"E244"</f>
        <v>E244</v>
      </c>
      <c r="B427">
        <v>1</v>
      </c>
      <c r="C427" t="str">
        <f>"55729"</f>
        <v>55729</v>
      </c>
      <c r="D427" t="str">
        <f>"5741"</f>
        <v>5741</v>
      </c>
      <c r="E427" t="str">
        <f>"111ZAA"</f>
        <v>111ZAA</v>
      </c>
      <c r="F427" t="str">
        <f>""</f>
        <v/>
      </c>
      <c r="G427" t="str">
        <f>""</f>
        <v/>
      </c>
      <c r="H427" s="1">
        <v>39962</v>
      </c>
      <c r="I427" t="str">
        <f>"243710"</f>
        <v>243710</v>
      </c>
      <c r="J427" t="str">
        <f>"DT48214"</f>
        <v>DT48214</v>
      </c>
      <c r="K427" t="str">
        <f>"INEI"</f>
        <v>INEI</v>
      </c>
      <c r="L427" t="s">
        <v>985</v>
      </c>
      <c r="M427" s="2">
        <v>5497</v>
      </c>
    </row>
    <row r="428" spans="1:13" x14ac:dyDescent="0.25">
      <c r="A428" t="str">
        <f>"E244"</f>
        <v>E244</v>
      </c>
      <c r="B428">
        <v>1</v>
      </c>
      <c r="C428" t="str">
        <f>"55729"</f>
        <v>55729</v>
      </c>
      <c r="D428" t="str">
        <f>"5741"</f>
        <v>5741</v>
      </c>
      <c r="E428" t="str">
        <f>"111ZAA"</f>
        <v>111ZAA</v>
      </c>
      <c r="F428" t="str">
        <f>""</f>
        <v/>
      </c>
      <c r="G428" t="str">
        <f>""</f>
        <v/>
      </c>
      <c r="H428" s="1">
        <v>39994</v>
      </c>
      <c r="I428" t="str">
        <f>"G0912298"</f>
        <v>G0912298</v>
      </c>
      <c r="J428" t="str">
        <f>"G0912002"</f>
        <v>G0912002</v>
      </c>
      <c r="K428" t="str">
        <f>"J096"</f>
        <v>J096</v>
      </c>
      <c r="L428" t="s">
        <v>1009</v>
      </c>
      <c r="M428">
        <v>953.92</v>
      </c>
    </row>
    <row r="429" spans="1:13" x14ac:dyDescent="0.25">
      <c r="A429" t="str">
        <f t="shared" ref="A429:A439" si="121">"E247"</f>
        <v>E247</v>
      </c>
      <c r="B429">
        <v>1</v>
      </c>
      <c r="C429" t="str">
        <f t="shared" ref="C429:C439" si="122">"14185"</f>
        <v>14185</v>
      </c>
      <c r="D429" t="str">
        <f t="shared" ref="D429:D439" si="123">"5620"</f>
        <v>5620</v>
      </c>
      <c r="E429" t="str">
        <f t="shared" ref="E429:E439" si="124">"094OMS"</f>
        <v>094OMS</v>
      </c>
      <c r="F429" t="str">
        <f>""</f>
        <v/>
      </c>
      <c r="G429" t="str">
        <f>""</f>
        <v/>
      </c>
      <c r="H429" s="1">
        <v>39680</v>
      </c>
      <c r="I429" t="str">
        <f>"I0089141"</f>
        <v>I0089141</v>
      </c>
      <c r="J429" t="str">
        <f>"B125301"</f>
        <v>B125301</v>
      </c>
      <c r="K429" t="str">
        <f t="shared" ref="K429:K439" si="125">"INNI"</f>
        <v>INNI</v>
      </c>
      <c r="L429" t="s">
        <v>838</v>
      </c>
      <c r="M429">
        <v>346.83</v>
      </c>
    </row>
    <row r="430" spans="1:13" x14ac:dyDescent="0.25">
      <c r="A430" t="str">
        <f t="shared" si="121"/>
        <v>E247</v>
      </c>
      <c r="B430">
        <v>1</v>
      </c>
      <c r="C430" t="str">
        <f t="shared" si="122"/>
        <v>14185</v>
      </c>
      <c r="D430" t="str">
        <f t="shared" si="123"/>
        <v>5620</v>
      </c>
      <c r="E430" t="str">
        <f t="shared" si="124"/>
        <v>094OMS</v>
      </c>
      <c r="F430" t="str">
        <f>""</f>
        <v/>
      </c>
      <c r="G430" t="str">
        <f>""</f>
        <v/>
      </c>
      <c r="H430" s="1">
        <v>39702</v>
      </c>
      <c r="I430" t="str">
        <f>"I0089318"</f>
        <v>I0089318</v>
      </c>
      <c r="J430" t="str">
        <f>"B125301"</f>
        <v>B125301</v>
      </c>
      <c r="K430" t="str">
        <f t="shared" si="125"/>
        <v>INNI</v>
      </c>
      <c r="L430" t="s">
        <v>838</v>
      </c>
      <c r="M430">
        <v>266.62</v>
      </c>
    </row>
    <row r="431" spans="1:13" x14ac:dyDescent="0.25">
      <c r="A431" t="str">
        <f t="shared" si="121"/>
        <v>E247</v>
      </c>
      <c r="B431">
        <v>1</v>
      </c>
      <c r="C431" t="str">
        <f t="shared" si="122"/>
        <v>14185</v>
      </c>
      <c r="D431" t="str">
        <f t="shared" si="123"/>
        <v>5620</v>
      </c>
      <c r="E431" t="str">
        <f t="shared" si="124"/>
        <v>094OMS</v>
      </c>
      <c r="F431" t="str">
        <f>""</f>
        <v/>
      </c>
      <c r="G431" t="str">
        <f>""</f>
        <v/>
      </c>
      <c r="H431" s="1">
        <v>39758</v>
      </c>
      <c r="I431" t="str">
        <f>"I0089986"</f>
        <v>I0089986</v>
      </c>
      <c r="J431" t="str">
        <f>"B125301"</f>
        <v>B125301</v>
      </c>
      <c r="K431" t="str">
        <f t="shared" si="125"/>
        <v>INNI</v>
      </c>
      <c r="L431" t="s">
        <v>838</v>
      </c>
      <c r="M431">
        <v>330.57</v>
      </c>
    </row>
    <row r="432" spans="1:13" x14ac:dyDescent="0.25">
      <c r="A432" t="str">
        <f t="shared" si="121"/>
        <v>E247</v>
      </c>
      <c r="B432">
        <v>1</v>
      </c>
      <c r="C432" t="str">
        <f t="shared" si="122"/>
        <v>14185</v>
      </c>
      <c r="D432" t="str">
        <f t="shared" si="123"/>
        <v>5620</v>
      </c>
      <c r="E432" t="str">
        <f t="shared" si="124"/>
        <v>094OMS</v>
      </c>
      <c r="F432" t="str">
        <f>""</f>
        <v/>
      </c>
      <c r="G432" t="str">
        <f>""</f>
        <v/>
      </c>
      <c r="H432" s="1">
        <v>39758</v>
      </c>
      <c r="I432" t="str">
        <f>"I0089987"</f>
        <v>I0089987</v>
      </c>
      <c r="J432" t="str">
        <f>"B125301"</f>
        <v>B125301</v>
      </c>
      <c r="K432" t="str">
        <f t="shared" si="125"/>
        <v>INNI</v>
      </c>
      <c r="L432" t="s">
        <v>838</v>
      </c>
      <c r="M432">
        <v>390.39</v>
      </c>
    </row>
    <row r="433" spans="1:13" x14ac:dyDescent="0.25">
      <c r="A433" t="str">
        <f t="shared" si="121"/>
        <v>E247</v>
      </c>
      <c r="B433">
        <v>1</v>
      </c>
      <c r="C433" t="str">
        <f t="shared" si="122"/>
        <v>14185</v>
      </c>
      <c r="D433" t="str">
        <f t="shared" si="123"/>
        <v>5620</v>
      </c>
      <c r="E433" t="str">
        <f t="shared" si="124"/>
        <v>094OMS</v>
      </c>
      <c r="F433" t="str">
        <f>""</f>
        <v/>
      </c>
      <c r="G433" t="str">
        <f>""</f>
        <v/>
      </c>
      <c r="H433" s="1">
        <v>39782</v>
      </c>
      <c r="I433" t="str">
        <f>"I0090250"</f>
        <v>I0090250</v>
      </c>
      <c r="J433" t="str">
        <f>"B125301"</f>
        <v>B125301</v>
      </c>
      <c r="K433" t="str">
        <f t="shared" si="125"/>
        <v>INNI</v>
      </c>
      <c r="L433" t="s">
        <v>838</v>
      </c>
      <c r="M433">
        <v>303.5</v>
      </c>
    </row>
    <row r="434" spans="1:13" x14ac:dyDescent="0.25">
      <c r="A434" t="str">
        <f t="shared" si="121"/>
        <v>E247</v>
      </c>
      <c r="B434">
        <v>1</v>
      </c>
      <c r="C434" t="str">
        <f t="shared" si="122"/>
        <v>14185</v>
      </c>
      <c r="D434" t="str">
        <f t="shared" si="123"/>
        <v>5620</v>
      </c>
      <c r="E434" t="str">
        <f t="shared" si="124"/>
        <v>094OMS</v>
      </c>
      <c r="F434" t="str">
        <f>""</f>
        <v/>
      </c>
      <c r="G434" t="str">
        <f>""</f>
        <v/>
      </c>
      <c r="H434" s="1">
        <v>39825</v>
      </c>
      <c r="I434" t="str">
        <f>"I0090610"</f>
        <v>I0090610</v>
      </c>
      <c r="J434" t="str">
        <f t="shared" ref="J434:J439" si="126">"B125301A"</f>
        <v>B125301A</v>
      </c>
      <c r="K434" t="str">
        <f t="shared" si="125"/>
        <v>INNI</v>
      </c>
      <c r="L434" t="s">
        <v>838</v>
      </c>
      <c r="M434">
        <v>246.7</v>
      </c>
    </row>
    <row r="435" spans="1:13" x14ac:dyDescent="0.25">
      <c r="A435" t="str">
        <f t="shared" si="121"/>
        <v>E247</v>
      </c>
      <c r="B435">
        <v>1</v>
      </c>
      <c r="C435" t="str">
        <f t="shared" si="122"/>
        <v>14185</v>
      </c>
      <c r="D435" t="str">
        <f t="shared" si="123"/>
        <v>5620</v>
      </c>
      <c r="E435" t="str">
        <f t="shared" si="124"/>
        <v>094OMS</v>
      </c>
      <c r="F435" t="str">
        <f>""</f>
        <v/>
      </c>
      <c r="G435" t="str">
        <f>""</f>
        <v/>
      </c>
      <c r="H435" s="1">
        <v>39878</v>
      </c>
      <c r="I435" t="str">
        <f>"I0091307"</f>
        <v>I0091307</v>
      </c>
      <c r="J435" t="str">
        <f t="shared" si="126"/>
        <v>B125301A</v>
      </c>
      <c r="K435" t="str">
        <f t="shared" si="125"/>
        <v>INNI</v>
      </c>
      <c r="L435" t="s">
        <v>838</v>
      </c>
      <c r="M435">
        <v>284.64999999999998</v>
      </c>
    </row>
    <row r="436" spans="1:13" x14ac:dyDescent="0.25">
      <c r="A436" t="str">
        <f t="shared" si="121"/>
        <v>E247</v>
      </c>
      <c r="B436">
        <v>1</v>
      </c>
      <c r="C436" t="str">
        <f t="shared" si="122"/>
        <v>14185</v>
      </c>
      <c r="D436" t="str">
        <f t="shared" si="123"/>
        <v>5620</v>
      </c>
      <c r="E436" t="str">
        <f t="shared" si="124"/>
        <v>094OMS</v>
      </c>
      <c r="F436" t="str">
        <f>""</f>
        <v/>
      </c>
      <c r="G436" t="str">
        <f>""</f>
        <v/>
      </c>
      <c r="H436" s="1">
        <v>39878</v>
      </c>
      <c r="I436" t="str">
        <f>"I0091308"</f>
        <v>I0091308</v>
      </c>
      <c r="J436" t="str">
        <f t="shared" si="126"/>
        <v>B125301A</v>
      </c>
      <c r="K436" t="str">
        <f t="shared" si="125"/>
        <v>INNI</v>
      </c>
      <c r="L436" t="s">
        <v>838</v>
      </c>
      <c r="M436">
        <v>268.5</v>
      </c>
    </row>
    <row r="437" spans="1:13" x14ac:dyDescent="0.25">
      <c r="A437" t="str">
        <f t="shared" si="121"/>
        <v>E247</v>
      </c>
      <c r="B437">
        <v>1</v>
      </c>
      <c r="C437" t="str">
        <f t="shared" si="122"/>
        <v>14185</v>
      </c>
      <c r="D437" t="str">
        <f t="shared" si="123"/>
        <v>5620</v>
      </c>
      <c r="E437" t="str">
        <f t="shared" si="124"/>
        <v>094OMS</v>
      </c>
      <c r="F437" t="str">
        <f>""</f>
        <v/>
      </c>
      <c r="G437" t="str">
        <f>""</f>
        <v/>
      </c>
      <c r="H437" s="1">
        <v>39933</v>
      </c>
      <c r="I437" t="str">
        <f>"I0092055"</f>
        <v>I0092055</v>
      </c>
      <c r="J437" t="str">
        <f t="shared" si="126"/>
        <v>B125301A</v>
      </c>
      <c r="K437" t="str">
        <f t="shared" si="125"/>
        <v>INNI</v>
      </c>
      <c r="L437" t="s">
        <v>838</v>
      </c>
      <c r="M437">
        <v>310.14999999999998</v>
      </c>
    </row>
    <row r="438" spans="1:13" x14ac:dyDescent="0.25">
      <c r="A438" t="str">
        <f t="shared" si="121"/>
        <v>E247</v>
      </c>
      <c r="B438">
        <v>1</v>
      </c>
      <c r="C438" t="str">
        <f t="shared" si="122"/>
        <v>14185</v>
      </c>
      <c r="D438" t="str">
        <f t="shared" si="123"/>
        <v>5620</v>
      </c>
      <c r="E438" t="str">
        <f t="shared" si="124"/>
        <v>094OMS</v>
      </c>
      <c r="F438" t="str">
        <f>""</f>
        <v/>
      </c>
      <c r="G438" t="str">
        <f>""</f>
        <v/>
      </c>
      <c r="H438" s="1">
        <v>39954</v>
      </c>
      <c r="I438" t="str">
        <f>"I0092336"</f>
        <v>I0092336</v>
      </c>
      <c r="J438" t="str">
        <f t="shared" si="126"/>
        <v>B125301A</v>
      </c>
      <c r="K438" t="str">
        <f t="shared" si="125"/>
        <v>INNI</v>
      </c>
      <c r="L438" t="s">
        <v>838</v>
      </c>
      <c r="M438">
        <v>616.63</v>
      </c>
    </row>
    <row r="439" spans="1:13" x14ac:dyDescent="0.25">
      <c r="A439" t="str">
        <f t="shared" si="121"/>
        <v>E247</v>
      </c>
      <c r="B439">
        <v>1</v>
      </c>
      <c r="C439" t="str">
        <f t="shared" si="122"/>
        <v>14185</v>
      </c>
      <c r="D439" t="str">
        <f t="shared" si="123"/>
        <v>5620</v>
      </c>
      <c r="E439" t="str">
        <f t="shared" si="124"/>
        <v>094OMS</v>
      </c>
      <c r="F439" t="str">
        <f>""</f>
        <v/>
      </c>
      <c r="G439" t="str">
        <f>""</f>
        <v/>
      </c>
      <c r="H439" s="1">
        <v>39991</v>
      </c>
      <c r="I439" t="str">
        <f>"I0093060"</f>
        <v>I0093060</v>
      </c>
      <c r="J439" t="str">
        <f t="shared" si="126"/>
        <v>B125301A</v>
      </c>
      <c r="K439" t="str">
        <f t="shared" si="125"/>
        <v>INNI</v>
      </c>
      <c r="L439" t="s">
        <v>838</v>
      </c>
      <c r="M439">
        <v>243.02</v>
      </c>
    </row>
    <row r="440" spans="1:13" x14ac:dyDescent="0.25">
      <c r="A440" t="str">
        <f>"E254"</f>
        <v>E254</v>
      </c>
      <c r="B440">
        <v>1</v>
      </c>
      <c r="C440" t="str">
        <f>"55729"</f>
        <v>55729</v>
      </c>
      <c r="D440" t="str">
        <f>"5741"</f>
        <v>5741</v>
      </c>
      <c r="E440" t="str">
        <f>"111ZAA"</f>
        <v>111ZAA</v>
      </c>
      <c r="F440" t="str">
        <f>""</f>
        <v/>
      </c>
      <c r="G440" t="str">
        <f>""</f>
        <v/>
      </c>
      <c r="H440" s="1">
        <v>39981</v>
      </c>
      <c r="I440" t="str">
        <f>"G0912002"</f>
        <v>G0912002</v>
      </c>
      <c r="J440" t="str">
        <f>""</f>
        <v/>
      </c>
      <c r="K440" t="str">
        <f>"J096"</f>
        <v>J096</v>
      </c>
      <c r="L440" t="s">
        <v>980</v>
      </c>
      <c r="M440">
        <v>953.92</v>
      </c>
    </row>
    <row r="441" spans="1:13" x14ac:dyDescent="0.25">
      <c r="A441" t="str">
        <f>"E255"</f>
        <v>E255</v>
      </c>
      <c r="B441">
        <v>1</v>
      </c>
      <c r="C441" t="str">
        <f>"32040"</f>
        <v>32040</v>
      </c>
      <c r="D441" t="str">
        <f>"5610"</f>
        <v>5610</v>
      </c>
      <c r="E441" t="str">
        <f>"850LOS"</f>
        <v>850LOS</v>
      </c>
      <c r="F441" t="str">
        <f>""</f>
        <v/>
      </c>
      <c r="G441" t="str">
        <f>""</f>
        <v/>
      </c>
      <c r="H441" s="1">
        <v>39913</v>
      </c>
      <c r="I441" t="str">
        <f>"PCD00363"</f>
        <v>PCD00363</v>
      </c>
      <c r="J441" t="str">
        <f>"95145"</f>
        <v>95145</v>
      </c>
      <c r="K441" t="str">
        <f>"AS89"</f>
        <v>AS89</v>
      </c>
      <c r="L441" t="s">
        <v>1008</v>
      </c>
      <c r="M441">
        <v>141.88999999999999</v>
      </c>
    </row>
    <row r="442" spans="1:13" x14ac:dyDescent="0.25">
      <c r="A442" t="str">
        <f>"E256"</f>
        <v>E256</v>
      </c>
      <c r="B442">
        <v>1</v>
      </c>
      <c r="C442" t="str">
        <f>"43000"</f>
        <v>43000</v>
      </c>
      <c r="D442" t="str">
        <f>"5740"</f>
        <v>5740</v>
      </c>
      <c r="E442" t="str">
        <f>"850LOS"</f>
        <v>850LOS</v>
      </c>
      <c r="F442" t="str">
        <f>""</f>
        <v/>
      </c>
      <c r="G442" t="str">
        <f>""</f>
        <v/>
      </c>
      <c r="H442" s="1">
        <v>39798</v>
      </c>
      <c r="I442" t="str">
        <f>"70647"</f>
        <v>70647</v>
      </c>
      <c r="J442" t="str">
        <f>"B108874A"</f>
        <v>B108874A</v>
      </c>
      <c r="K442" t="str">
        <f>"INNI"</f>
        <v>INNI</v>
      </c>
      <c r="L442" t="s">
        <v>831</v>
      </c>
      <c r="M442">
        <v>160.96</v>
      </c>
    </row>
    <row r="443" spans="1:13" x14ac:dyDescent="0.25">
      <c r="A443" t="str">
        <f>"E256"</f>
        <v>E256</v>
      </c>
      <c r="B443">
        <v>1</v>
      </c>
      <c r="C443" t="str">
        <f>"43000"</f>
        <v>43000</v>
      </c>
      <c r="D443" t="str">
        <f>"5740"</f>
        <v>5740</v>
      </c>
      <c r="E443" t="str">
        <f>"850PKE"</f>
        <v>850PKE</v>
      </c>
      <c r="F443" t="str">
        <f>""</f>
        <v/>
      </c>
      <c r="G443" t="str">
        <f>""</f>
        <v/>
      </c>
      <c r="H443" s="1">
        <v>39773</v>
      </c>
      <c r="I443" t="str">
        <f>"Q45620"</f>
        <v>Q45620</v>
      </c>
      <c r="J443" t="str">
        <f>""</f>
        <v/>
      </c>
      <c r="K443" t="str">
        <f>"INNI"</f>
        <v>INNI</v>
      </c>
      <c r="L443" t="s">
        <v>1007</v>
      </c>
      <c r="M443">
        <v>124.65</v>
      </c>
    </row>
    <row r="444" spans="1:13" x14ac:dyDescent="0.25">
      <c r="A444" t="str">
        <f t="shared" ref="A444:A466" si="127">"E257"</f>
        <v>E257</v>
      </c>
      <c r="B444">
        <v>1</v>
      </c>
      <c r="C444" t="str">
        <f t="shared" ref="C444:C459" si="128">"14185"</f>
        <v>14185</v>
      </c>
      <c r="D444" t="str">
        <f t="shared" ref="D444:D459" si="129">"5620"</f>
        <v>5620</v>
      </c>
      <c r="E444" t="str">
        <f t="shared" ref="E444:E459" si="130">"094OMS"</f>
        <v>094OMS</v>
      </c>
      <c r="F444" t="str">
        <f>""</f>
        <v/>
      </c>
      <c r="G444" t="str">
        <f>""</f>
        <v/>
      </c>
      <c r="H444" s="1">
        <v>39710</v>
      </c>
      <c r="I444" t="str">
        <f>"PCD00335"</f>
        <v>PCD00335</v>
      </c>
      <c r="J444" t="str">
        <f>"83884"</f>
        <v>83884</v>
      </c>
      <c r="K444" t="str">
        <f t="shared" ref="K444:K465" si="131">"AS89"</f>
        <v>AS89</v>
      </c>
      <c r="L444" t="s">
        <v>1006</v>
      </c>
      <c r="M444">
        <v>715.59</v>
      </c>
    </row>
    <row r="445" spans="1:13" x14ac:dyDescent="0.25">
      <c r="A445" t="str">
        <f t="shared" si="127"/>
        <v>E257</v>
      </c>
      <c r="B445">
        <v>1</v>
      </c>
      <c r="C445" t="str">
        <f t="shared" si="128"/>
        <v>14185</v>
      </c>
      <c r="D445" t="str">
        <f t="shared" si="129"/>
        <v>5620</v>
      </c>
      <c r="E445" t="str">
        <f t="shared" si="130"/>
        <v>094OMS</v>
      </c>
      <c r="F445" t="str">
        <f>""</f>
        <v/>
      </c>
      <c r="G445" t="str">
        <f>""</f>
        <v/>
      </c>
      <c r="H445" s="1">
        <v>39710</v>
      </c>
      <c r="I445" t="str">
        <f>"PCD00335"</f>
        <v>PCD00335</v>
      </c>
      <c r="J445" t="str">
        <f>"84914"</f>
        <v>84914</v>
      </c>
      <c r="K445" t="str">
        <f t="shared" si="131"/>
        <v>AS89</v>
      </c>
      <c r="L445" t="s">
        <v>1005</v>
      </c>
      <c r="M445">
        <v>107.86</v>
      </c>
    </row>
    <row r="446" spans="1:13" x14ac:dyDescent="0.25">
      <c r="A446" t="str">
        <f t="shared" si="127"/>
        <v>E257</v>
      </c>
      <c r="B446">
        <v>1</v>
      </c>
      <c r="C446" t="str">
        <f t="shared" si="128"/>
        <v>14185</v>
      </c>
      <c r="D446" t="str">
        <f t="shared" si="129"/>
        <v>5620</v>
      </c>
      <c r="E446" t="str">
        <f t="shared" si="130"/>
        <v>094OMS</v>
      </c>
      <c r="F446" t="str">
        <f>""</f>
        <v/>
      </c>
      <c r="G446" t="str">
        <f>""</f>
        <v/>
      </c>
      <c r="H446" s="1">
        <v>39885</v>
      </c>
      <c r="I446" t="str">
        <f>"PCD00359"</f>
        <v>PCD00359</v>
      </c>
      <c r="J446" t="str">
        <f>"93110"</f>
        <v>93110</v>
      </c>
      <c r="K446" t="str">
        <f t="shared" si="131"/>
        <v>AS89</v>
      </c>
      <c r="L446" t="s">
        <v>993</v>
      </c>
      <c r="M446">
        <v>329.24</v>
      </c>
    </row>
    <row r="447" spans="1:13" x14ac:dyDescent="0.25">
      <c r="A447" t="str">
        <f t="shared" si="127"/>
        <v>E257</v>
      </c>
      <c r="B447">
        <v>1</v>
      </c>
      <c r="C447" t="str">
        <f t="shared" si="128"/>
        <v>14185</v>
      </c>
      <c r="D447" t="str">
        <f t="shared" si="129"/>
        <v>5620</v>
      </c>
      <c r="E447" t="str">
        <f t="shared" si="130"/>
        <v>094OMS</v>
      </c>
      <c r="F447" t="str">
        <f>""</f>
        <v/>
      </c>
      <c r="G447" t="str">
        <f>""</f>
        <v/>
      </c>
      <c r="H447" s="1">
        <v>39913</v>
      </c>
      <c r="I447" t="str">
        <f>"PCD00363"</f>
        <v>PCD00363</v>
      </c>
      <c r="J447" t="str">
        <f>"95189"</f>
        <v>95189</v>
      </c>
      <c r="K447" t="str">
        <f t="shared" si="131"/>
        <v>AS89</v>
      </c>
      <c r="L447" t="s">
        <v>1004</v>
      </c>
      <c r="M447">
        <v>116.04</v>
      </c>
    </row>
    <row r="448" spans="1:13" x14ac:dyDescent="0.25">
      <c r="A448" t="str">
        <f t="shared" si="127"/>
        <v>E257</v>
      </c>
      <c r="B448">
        <v>1</v>
      </c>
      <c r="C448" t="str">
        <f t="shared" si="128"/>
        <v>14185</v>
      </c>
      <c r="D448" t="str">
        <f t="shared" si="129"/>
        <v>5620</v>
      </c>
      <c r="E448" t="str">
        <f t="shared" si="130"/>
        <v>094OMS</v>
      </c>
      <c r="F448" t="str">
        <f>""</f>
        <v/>
      </c>
      <c r="G448" t="str">
        <f>""</f>
        <v/>
      </c>
      <c r="H448" s="1">
        <v>39913</v>
      </c>
      <c r="I448" t="str">
        <f>"PCD00363"</f>
        <v>PCD00363</v>
      </c>
      <c r="J448" t="str">
        <f>"95190"</f>
        <v>95190</v>
      </c>
      <c r="K448" t="str">
        <f t="shared" si="131"/>
        <v>AS89</v>
      </c>
      <c r="L448" t="s">
        <v>1004</v>
      </c>
      <c r="M448">
        <v>198.45</v>
      </c>
    </row>
    <row r="449" spans="1:13" x14ac:dyDescent="0.25">
      <c r="A449" t="str">
        <f t="shared" si="127"/>
        <v>E257</v>
      </c>
      <c r="B449">
        <v>1</v>
      </c>
      <c r="C449" t="str">
        <f t="shared" si="128"/>
        <v>14185</v>
      </c>
      <c r="D449" t="str">
        <f t="shared" si="129"/>
        <v>5620</v>
      </c>
      <c r="E449" t="str">
        <f t="shared" si="130"/>
        <v>094OMS</v>
      </c>
      <c r="F449" t="str">
        <f>""</f>
        <v/>
      </c>
      <c r="G449" t="str">
        <f>""</f>
        <v/>
      </c>
      <c r="H449" s="1">
        <v>39941</v>
      </c>
      <c r="I449" t="str">
        <f>"PCD00366"</f>
        <v>PCD00366</v>
      </c>
      <c r="J449" t="str">
        <f>"97460"</f>
        <v>97460</v>
      </c>
      <c r="K449" t="str">
        <f t="shared" si="131"/>
        <v>AS89</v>
      </c>
      <c r="L449" t="s">
        <v>1003</v>
      </c>
      <c r="M449">
        <v>158.24</v>
      </c>
    </row>
    <row r="450" spans="1:13" x14ac:dyDescent="0.25">
      <c r="A450" t="str">
        <f t="shared" si="127"/>
        <v>E257</v>
      </c>
      <c r="B450">
        <v>1</v>
      </c>
      <c r="C450" t="str">
        <f t="shared" si="128"/>
        <v>14185</v>
      </c>
      <c r="D450" t="str">
        <f t="shared" si="129"/>
        <v>5620</v>
      </c>
      <c r="E450" t="str">
        <f t="shared" si="130"/>
        <v>094OMS</v>
      </c>
      <c r="F450" t="str">
        <f>""</f>
        <v/>
      </c>
      <c r="G450" t="str">
        <f>""</f>
        <v/>
      </c>
      <c r="H450" s="1">
        <v>39969</v>
      </c>
      <c r="I450" t="str">
        <f>"PCD00370"</f>
        <v>PCD00370</v>
      </c>
      <c r="J450" t="str">
        <f>"98796"</f>
        <v>98796</v>
      </c>
      <c r="K450" t="str">
        <f t="shared" si="131"/>
        <v>AS89</v>
      </c>
      <c r="L450" t="s">
        <v>1002</v>
      </c>
      <c r="M450">
        <v>400.37</v>
      </c>
    </row>
    <row r="451" spans="1:13" x14ac:dyDescent="0.25">
      <c r="A451" t="str">
        <f t="shared" si="127"/>
        <v>E257</v>
      </c>
      <c r="B451">
        <v>1</v>
      </c>
      <c r="C451" t="str">
        <f t="shared" si="128"/>
        <v>14185</v>
      </c>
      <c r="D451" t="str">
        <f t="shared" si="129"/>
        <v>5620</v>
      </c>
      <c r="E451" t="str">
        <f t="shared" si="130"/>
        <v>094OMS</v>
      </c>
      <c r="F451" t="str">
        <f>""</f>
        <v/>
      </c>
      <c r="G451" t="str">
        <f>""</f>
        <v/>
      </c>
      <c r="H451" s="1">
        <v>39969</v>
      </c>
      <c r="I451" t="str">
        <f>"PCD00370"</f>
        <v>PCD00370</v>
      </c>
      <c r="J451" t="str">
        <f>"98798"</f>
        <v>98798</v>
      </c>
      <c r="K451" t="str">
        <f t="shared" si="131"/>
        <v>AS89</v>
      </c>
      <c r="L451" t="s">
        <v>1002</v>
      </c>
      <c r="M451">
        <v>523.02</v>
      </c>
    </row>
    <row r="452" spans="1:13" x14ac:dyDescent="0.25">
      <c r="A452" t="str">
        <f t="shared" si="127"/>
        <v>E257</v>
      </c>
      <c r="B452">
        <v>1</v>
      </c>
      <c r="C452" t="str">
        <f t="shared" si="128"/>
        <v>14185</v>
      </c>
      <c r="D452" t="str">
        <f t="shared" si="129"/>
        <v>5620</v>
      </c>
      <c r="E452" t="str">
        <f t="shared" si="130"/>
        <v>094OMS</v>
      </c>
      <c r="F452" t="str">
        <f>""</f>
        <v/>
      </c>
      <c r="G452" t="str">
        <f>""</f>
        <v/>
      </c>
      <c r="H452" s="1">
        <v>39969</v>
      </c>
      <c r="I452" t="str">
        <f>"PCD00370"</f>
        <v>PCD00370</v>
      </c>
      <c r="J452" t="str">
        <f>"99959"</f>
        <v>99959</v>
      </c>
      <c r="K452" t="str">
        <f t="shared" si="131"/>
        <v>AS89</v>
      </c>
      <c r="L452" t="s">
        <v>1001</v>
      </c>
      <c r="M452">
        <v>151.87</v>
      </c>
    </row>
    <row r="453" spans="1:13" x14ac:dyDescent="0.25">
      <c r="A453" t="str">
        <f t="shared" si="127"/>
        <v>E257</v>
      </c>
      <c r="B453">
        <v>1</v>
      </c>
      <c r="C453" t="str">
        <f t="shared" si="128"/>
        <v>14185</v>
      </c>
      <c r="D453" t="str">
        <f t="shared" si="129"/>
        <v>5620</v>
      </c>
      <c r="E453" t="str">
        <f t="shared" si="130"/>
        <v>094OMS</v>
      </c>
      <c r="F453" t="str">
        <f>""</f>
        <v/>
      </c>
      <c r="G453" t="str">
        <f>""</f>
        <v/>
      </c>
      <c r="H453" s="1">
        <v>39990</v>
      </c>
      <c r="I453" t="str">
        <f t="shared" ref="I453:I458" si="132">"PCD00373"</f>
        <v>PCD00373</v>
      </c>
      <c r="J453" t="str">
        <f>"100555"</f>
        <v>100555</v>
      </c>
      <c r="K453" t="str">
        <f t="shared" si="131"/>
        <v>AS89</v>
      </c>
      <c r="L453" t="s">
        <v>1000</v>
      </c>
      <c r="M453">
        <v>101.94</v>
      </c>
    </row>
    <row r="454" spans="1:13" x14ac:dyDescent="0.25">
      <c r="A454" t="str">
        <f t="shared" si="127"/>
        <v>E257</v>
      </c>
      <c r="B454">
        <v>1</v>
      </c>
      <c r="C454" t="str">
        <f t="shared" si="128"/>
        <v>14185</v>
      </c>
      <c r="D454" t="str">
        <f t="shared" si="129"/>
        <v>5620</v>
      </c>
      <c r="E454" t="str">
        <f t="shared" si="130"/>
        <v>094OMS</v>
      </c>
      <c r="F454" t="str">
        <f>""</f>
        <v/>
      </c>
      <c r="G454" t="str">
        <f>""</f>
        <v/>
      </c>
      <c r="H454" s="1">
        <v>39990</v>
      </c>
      <c r="I454" t="str">
        <f t="shared" si="132"/>
        <v>PCD00373</v>
      </c>
      <c r="J454" t="str">
        <f>"100556"</f>
        <v>100556</v>
      </c>
      <c r="K454" t="str">
        <f t="shared" si="131"/>
        <v>AS89</v>
      </c>
      <c r="L454" t="s">
        <v>1000</v>
      </c>
      <c r="M454">
        <v>289.64</v>
      </c>
    </row>
    <row r="455" spans="1:13" x14ac:dyDescent="0.25">
      <c r="A455" t="str">
        <f t="shared" si="127"/>
        <v>E257</v>
      </c>
      <c r="B455">
        <v>1</v>
      </c>
      <c r="C455" t="str">
        <f t="shared" si="128"/>
        <v>14185</v>
      </c>
      <c r="D455" t="str">
        <f t="shared" si="129"/>
        <v>5620</v>
      </c>
      <c r="E455" t="str">
        <f t="shared" si="130"/>
        <v>094OMS</v>
      </c>
      <c r="F455" t="str">
        <f>""</f>
        <v/>
      </c>
      <c r="G455" t="str">
        <f>""</f>
        <v/>
      </c>
      <c r="H455" s="1">
        <v>39990</v>
      </c>
      <c r="I455" t="str">
        <f t="shared" si="132"/>
        <v>PCD00373</v>
      </c>
      <c r="J455" t="str">
        <f>"101072"</f>
        <v>101072</v>
      </c>
      <c r="K455" t="str">
        <f t="shared" si="131"/>
        <v>AS89</v>
      </c>
      <c r="L455" t="s">
        <v>999</v>
      </c>
      <c r="M455">
        <v>561.86</v>
      </c>
    </row>
    <row r="456" spans="1:13" x14ac:dyDescent="0.25">
      <c r="A456" t="str">
        <f t="shared" si="127"/>
        <v>E257</v>
      </c>
      <c r="B456">
        <v>1</v>
      </c>
      <c r="C456" t="str">
        <f t="shared" si="128"/>
        <v>14185</v>
      </c>
      <c r="D456" t="str">
        <f t="shared" si="129"/>
        <v>5620</v>
      </c>
      <c r="E456" t="str">
        <f t="shared" si="130"/>
        <v>094OMS</v>
      </c>
      <c r="F456" t="str">
        <f>""</f>
        <v/>
      </c>
      <c r="G456" t="str">
        <f>""</f>
        <v/>
      </c>
      <c r="H456" s="1">
        <v>39990</v>
      </c>
      <c r="I456" t="str">
        <f t="shared" si="132"/>
        <v>PCD00373</v>
      </c>
      <c r="J456" t="str">
        <f>"101074"</f>
        <v>101074</v>
      </c>
      <c r="K456" t="str">
        <f t="shared" si="131"/>
        <v>AS89</v>
      </c>
      <c r="L456" t="s">
        <v>999</v>
      </c>
      <c r="M456">
        <v>203.87</v>
      </c>
    </row>
    <row r="457" spans="1:13" x14ac:dyDescent="0.25">
      <c r="A457" t="str">
        <f t="shared" si="127"/>
        <v>E257</v>
      </c>
      <c r="B457">
        <v>1</v>
      </c>
      <c r="C457" t="str">
        <f t="shared" si="128"/>
        <v>14185</v>
      </c>
      <c r="D457" t="str">
        <f t="shared" si="129"/>
        <v>5620</v>
      </c>
      <c r="E457" t="str">
        <f t="shared" si="130"/>
        <v>094OMS</v>
      </c>
      <c r="F457" t="str">
        <f>""</f>
        <v/>
      </c>
      <c r="G457" t="str">
        <f>""</f>
        <v/>
      </c>
      <c r="H457" s="1">
        <v>39990</v>
      </c>
      <c r="I457" t="str">
        <f t="shared" si="132"/>
        <v>PCD00373</v>
      </c>
      <c r="J457" t="str">
        <f>"101075"</f>
        <v>101075</v>
      </c>
      <c r="K457" t="str">
        <f t="shared" si="131"/>
        <v>AS89</v>
      </c>
      <c r="L457" t="s">
        <v>999</v>
      </c>
      <c r="M457">
        <v>419.73</v>
      </c>
    </row>
    <row r="458" spans="1:13" x14ac:dyDescent="0.25">
      <c r="A458" t="str">
        <f t="shared" si="127"/>
        <v>E257</v>
      </c>
      <c r="B458">
        <v>1</v>
      </c>
      <c r="C458" t="str">
        <f t="shared" si="128"/>
        <v>14185</v>
      </c>
      <c r="D458" t="str">
        <f t="shared" si="129"/>
        <v>5620</v>
      </c>
      <c r="E458" t="str">
        <f t="shared" si="130"/>
        <v>094OMS</v>
      </c>
      <c r="F458" t="str">
        <f>""</f>
        <v/>
      </c>
      <c r="G458" t="str">
        <f>""</f>
        <v/>
      </c>
      <c r="H458" s="1">
        <v>39990</v>
      </c>
      <c r="I458" t="str">
        <f t="shared" si="132"/>
        <v>PCD00373</v>
      </c>
      <c r="J458" t="str">
        <f>"101195"</f>
        <v>101195</v>
      </c>
      <c r="K458" t="str">
        <f t="shared" si="131"/>
        <v>AS89</v>
      </c>
      <c r="L458" t="s">
        <v>998</v>
      </c>
      <c r="M458">
        <v>425.43</v>
      </c>
    </row>
    <row r="459" spans="1:13" x14ac:dyDescent="0.25">
      <c r="A459" t="str">
        <f t="shared" si="127"/>
        <v>E257</v>
      </c>
      <c r="B459">
        <v>1</v>
      </c>
      <c r="C459" t="str">
        <f t="shared" si="128"/>
        <v>14185</v>
      </c>
      <c r="D459" t="str">
        <f t="shared" si="129"/>
        <v>5620</v>
      </c>
      <c r="E459" t="str">
        <f t="shared" si="130"/>
        <v>094OMS</v>
      </c>
      <c r="F459" t="str">
        <f>""</f>
        <v/>
      </c>
      <c r="G459" t="str">
        <f>""</f>
        <v/>
      </c>
      <c r="H459" s="1">
        <v>39994</v>
      </c>
      <c r="I459" t="str">
        <f>"PCD00374"</f>
        <v>PCD00374</v>
      </c>
      <c r="J459" t="str">
        <f>"101973"</f>
        <v>101973</v>
      </c>
      <c r="K459" t="str">
        <f t="shared" si="131"/>
        <v>AS89</v>
      </c>
      <c r="L459" t="s">
        <v>990</v>
      </c>
      <c r="M459">
        <v>292.02</v>
      </c>
    </row>
    <row r="460" spans="1:13" x14ac:dyDescent="0.25">
      <c r="A460" t="str">
        <f t="shared" si="127"/>
        <v>E257</v>
      </c>
      <c r="B460">
        <v>1</v>
      </c>
      <c r="C460" t="str">
        <f t="shared" ref="C460:C465" si="133">"43000"</f>
        <v>43000</v>
      </c>
      <c r="D460" t="str">
        <f t="shared" ref="D460:D466" si="134">"5740"</f>
        <v>5740</v>
      </c>
      <c r="E460" t="str">
        <f t="shared" ref="E460:E465" si="135">"850PKE"</f>
        <v>850PKE</v>
      </c>
      <c r="F460" t="str">
        <f>""</f>
        <v/>
      </c>
      <c r="G460" t="str">
        <f>""</f>
        <v/>
      </c>
      <c r="H460" s="1">
        <v>39794</v>
      </c>
      <c r="I460" t="str">
        <f>"PCD00348"</f>
        <v>PCD00348</v>
      </c>
      <c r="J460" t="str">
        <f>"89543"</f>
        <v>89543</v>
      </c>
      <c r="K460" t="str">
        <f t="shared" si="131"/>
        <v>AS89</v>
      </c>
      <c r="L460" t="s">
        <v>996</v>
      </c>
      <c r="M460">
        <v>131.13999999999999</v>
      </c>
    </row>
    <row r="461" spans="1:13" x14ac:dyDescent="0.25">
      <c r="A461" t="str">
        <f t="shared" si="127"/>
        <v>E257</v>
      </c>
      <c r="B461">
        <v>1</v>
      </c>
      <c r="C461" t="str">
        <f t="shared" si="133"/>
        <v>43000</v>
      </c>
      <c r="D461" t="str">
        <f t="shared" si="134"/>
        <v>5740</v>
      </c>
      <c r="E461" t="str">
        <f t="shared" si="135"/>
        <v>850PKE</v>
      </c>
      <c r="F461" t="str">
        <f>""</f>
        <v/>
      </c>
      <c r="G461" t="str">
        <f>""</f>
        <v/>
      </c>
      <c r="H461" s="1">
        <v>39853</v>
      </c>
      <c r="I461" t="str">
        <f>"PCD00354"</f>
        <v>PCD00354</v>
      </c>
      <c r="J461" t="str">
        <f>"92968"</f>
        <v>92968</v>
      </c>
      <c r="K461" t="str">
        <f t="shared" si="131"/>
        <v>AS89</v>
      </c>
      <c r="L461" t="s">
        <v>994</v>
      </c>
      <c r="M461">
        <v>488.45</v>
      </c>
    </row>
    <row r="462" spans="1:13" x14ac:dyDescent="0.25">
      <c r="A462" t="str">
        <f t="shared" si="127"/>
        <v>E257</v>
      </c>
      <c r="B462">
        <v>1</v>
      </c>
      <c r="C462" t="str">
        <f t="shared" si="133"/>
        <v>43000</v>
      </c>
      <c r="D462" t="str">
        <f t="shared" si="134"/>
        <v>5740</v>
      </c>
      <c r="E462" t="str">
        <f t="shared" si="135"/>
        <v>850PKE</v>
      </c>
      <c r="F462" t="str">
        <f>""</f>
        <v/>
      </c>
      <c r="G462" t="str">
        <f>""</f>
        <v/>
      </c>
      <c r="H462" s="1">
        <v>39885</v>
      </c>
      <c r="I462" t="str">
        <f>"PCD00359"</f>
        <v>PCD00359</v>
      </c>
      <c r="J462" t="str">
        <f>"93109"</f>
        <v>93109</v>
      </c>
      <c r="K462" t="str">
        <f t="shared" si="131"/>
        <v>AS89</v>
      </c>
      <c r="L462" t="s">
        <v>993</v>
      </c>
      <c r="M462">
        <v>513.39</v>
      </c>
    </row>
    <row r="463" spans="1:13" x14ac:dyDescent="0.25">
      <c r="A463" t="str">
        <f t="shared" si="127"/>
        <v>E257</v>
      </c>
      <c r="B463">
        <v>1</v>
      </c>
      <c r="C463" t="str">
        <f t="shared" si="133"/>
        <v>43000</v>
      </c>
      <c r="D463" t="str">
        <f t="shared" si="134"/>
        <v>5740</v>
      </c>
      <c r="E463" t="str">
        <f t="shared" si="135"/>
        <v>850PKE</v>
      </c>
      <c r="F463" t="str">
        <f>""</f>
        <v/>
      </c>
      <c r="G463" t="str">
        <f>""</f>
        <v/>
      </c>
      <c r="H463" s="1">
        <v>39885</v>
      </c>
      <c r="I463" t="str">
        <f>"PCD00359"</f>
        <v>PCD00359</v>
      </c>
      <c r="J463" t="str">
        <f>"94784"</f>
        <v>94784</v>
      </c>
      <c r="K463" t="str">
        <f t="shared" si="131"/>
        <v>AS89</v>
      </c>
      <c r="L463" t="s">
        <v>992</v>
      </c>
      <c r="M463">
        <v>295.66000000000003</v>
      </c>
    </row>
    <row r="464" spans="1:13" x14ac:dyDescent="0.25">
      <c r="A464" t="str">
        <f t="shared" si="127"/>
        <v>E257</v>
      </c>
      <c r="B464">
        <v>1</v>
      </c>
      <c r="C464" t="str">
        <f t="shared" si="133"/>
        <v>43000</v>
      </c>
      <c r="D464" t="str">
        <f t="shared" si="134"/>
        <v>5740</v>
      </c>
      <c r="E464" t="str">
        <f t="shared" si="135"/>
        <v>850PKE</v>
      </c>
      <c r="F464" t="str">
        <f>""</f>
        <v/>
      </c>
      <c r="G464" t="str">
        <f>""</f>
        <v/>
      </c>
      <c r="H464" s="1">
        <v>39994</v>
      </c>
      <c r="I464" t="str">
        <f>"ACG01860"</f>
        <v>ACG01860</v>
      </c>
      <c r="J464" t="str">
        <f>"101927"</f>
        <v>101927</v>
      </c>
      <c r="K464" t="str">
        <f t="shared" si="131"/>
        <v>AS89</v>
      </c>
      <c r="L464" t="s">
        <v>991</v>
      </c>
      <c r="M464">
        <v>140.49</v>
      </c>
    </row>
    <row r="465" spans="1:13" x14ac:dyDescent="0.25">
      <c r="A465" t="str">
        <f t="shared" si="127"/>
        <v>E257</v>
      </c>
      <c r="B465">
        <v>1</v>
      </c>
      <c r="C465" t="str">
        <f t="shared" si="133"/>
        <v>43000</v>
      </c>
      <c r="D465" t="str">
        <f t="shared" si="134"/>
        <v>5740</v>
      </c>
      <c r="E465" t="str">
        <f t="shared" si="135"/>
        <v>850PKE</v>
      </c>
      <c r="F465" t="str">
        <f>""</f>
        <v/>
      </c>
      <c r="G465" t="str">
        <f>""</f>
        <v/>
      </c>
      <c r="H465" s="1">
        <v>39994</v>
      </c>
      <c r="I465" t="str">
        <f>"PCD00374"</f>
        <v>PCD00374</v>
      </c>
      <c r="J465" t="str">
        <f>"101973"</f>
        <v>101973</v>
      </c>
      <c r="K465" t="str">
        <f t="shared" si="131"/>
        <v>AS89</v>
      </c>
      <c r="L465" t="s">
        <v>990</v>
      </c>
      <c r="M465">
        <v>101.05</v>
      </c>
    </row>
    <row r="466" spans="1:13" x14ac:dyDescent="0.25">
      <c r="A466" t="str">
        <f t="shared" si="127"/>
        <v>E257</v>
      </c>
      <c r="B466">
        <v>1</v>
      </c>
      <c r="C466" t="str">
        <f>"55729"</f>
        <v>55729</v>
      </c>
      <c r="D466" t="str">
        <f t="shared" si="134"/>
        <v>5740</v>
      </c>
      <c r="E466" t="str">
        <f>"111ZAA"</f>
        <v>111ZAA</v>
      </c>
      <c r="F466" t="str">
        <f>""</f>
        <v/>
      </c>
      <c r="G466" t="str">
        <f>""</f>
        <v/>
      </c>
      <c r="H466" s="1">
        <v>39674</v>
      </c>
      <c r="I466" t="str">
        <f>"150847"</f>
        <v>150847</v>
      </c>
      <c r="J466" t="str">
        <f>"FT47453"</f>
        <v>FT47453</v>
      </c>
      <c r="K466" t="str">
        <f>"INEI"</f>
        <v>INEI</v>
      </c>
      <c r="L466" t="s">
        <v>280</v>
      </c>
      <c r="M466">
        <v>953.92</v>
      </c>
    </row>
    <row r="467" spans="1:13" x14ac:dyDescent="0.25">
      <c r="A467" t="str">
        <f>"E261"</f>
        <v>E261</v>
      </c>
      <c r="B467">
        <v>1</v>
      </c>
      <c r="C467" t="str">
        <f>"14185"</f>
        <v>14185</v>
      </c>
      <c r="D467" t="str">
        <f>"5620"</f>
        <v>5620</v>
      </c>
      <c r="E467" t="str">
        <f>"094OMS"</f>
        <v>094OMS</v>
      </c>
      <c r="F467" t="str">
        <f>""</f>
        <v/>
      </c>
      <c r="G467" t="str">
        <f>""</f>
        <v/>
      </c>
      <c r="H467" s="1">
        <v>39794</v>
      </c>
      <c r="I467" t="str">
        <f>"PCD00348"</f>
        <v>PCD00348</v>
      </c>
      <c r="J467" t="str">
        <f>"89590"</f>
        <v>89590</v>
      </c>
      <c r="K467" t="str">
        <f>"AS89"</f>
        <v>AS89</v>
      </c>
      <c r="L467" t="s">
        <v>989</v>
      </c>
      <c r="M467">
        <v>377.55</v>
      </c>
    </row>
    <row r="468" spans="1:13" x14ac:dyDescent="0.25">
      <c r="A468" t="str">
        <f>"E261"</f>
        <v>E261</v>
      </c>
      <c r="B468">
        <v>1</v>
      </c>
      <c r="C468" t="str">
        <f>"14185"</f>
        <v>14185</v>
      </c>
      <c r="D468" t="str">
        <f>"5620"</f>
        <v>5620</v>
      </c>
      <c r="E468" t="str">
        <f>"094OMS"</f>
        <v>094OMS</v>
      </c>
      <c r="F468" t="str">
        <f>""</f>
        <v/>
      </c>
      <c r="G468" t="str">
        <f>""</f>
        <v/>
      </c>
      <c r="H468" s="1">
        <v>39794</v>
      </c>
      <c r="I468" t="str">
        <f>"PCD00348"</f>
        <v>PCD00348</v>
      </c>
      <c r="J468" t="str">
        <f>"89605"</f>
        <v>89605</v>
      </c>
      <c r="K468" t="str">
        <f>"AS89"</f>
        <v>AS89</v>
      </c>
      <c r="L468" t="s">
        <v>988</v>
      </c>
      <c r="M468">
        <v>218.16</v>
      </c>
    </row>
    <row r="469" spans="1:13" x14ac:dyDescent="0.25">
      <c r="A469" t="str">
        <f>"E261"</f>
        <v>E261</v>
      </c>
      <c r="B469">
        <v>1</v>
      </c>
      <c r="C469" t="str">
        <f>"43000"</f>
        <v>43000</v>
      </c>
      <c r="D469" t="str">
        <f>"5740"</f>
        <v>5740</v>
      </c>
      <c r="E469" t="str">
        <f>"850LOS"</f>
        <v>850LOS</v>
      </c>
      <c r="F469" t="str">
        <f>""</f>
        <v/>
      </c>
      <c r="G469" t="str">
        <f>""</f>
        <v/>
      </c>
      <c r="H469" s="1">
        <v>39794</v>
      </c>
      <c r="I469" t="str">
        <f>"PCD00348"</f>
        <v>PCD00348</v>
      </c>
      <c r="J469" t="str">
        <f>"89909"</f>
        <v>89909</v>
      </c>
      <c r="K469" t="str">
        <f>"AS89"</f>
        <v>AS89</v>
      </c>
      <c r="L469" t="s">
        <v>987</v>
      </c>
      <c r="M469">
        <v>248.1</v>
      </c>
    </row>
    <row r="470" spans="1:13" x14ac:dyDescent="0.25">
      <c r="A470" t="str">
        <f>"E261"</f>
        <v>E261</v>
      </c>
      <c r="B470">
        <v>1</v>
      </c>
      <c r="C470" t="str">
        <f>"43000"</f>
        <v>43000</v>
      </c>
      <c r="D470" t="str">
        <f>"5740"</f>
        <v>5740</v>
      </c>
      <c r="E470" t="str">
        <f>"850LOS"</f>
        <v>850LOS</v>
      </c>
      <c r="F470" t="str">
        <f>""</f>
        <v/>
      </c>
      <c r="G470" t="str">
        <f>""</f>
        <v/>
      </c>
      <c r="H470" s="1">
        <v>39794</v>
      </c>
      <c r="I470" t="str">
        <f>"PCD00348"</f>
        <v>PCD00348</v>
      </c>
      <c r="J470" t="str">
        <f>"89992"</f>
        <v>89992</v>
      </c>
      <c r="K470" t="str">
        <f>"AS89"</f>
        <v>AS89</v>
      </c>
      <c r="L470" t="s">
        <v>986</v>
      </c>
      <c r="M470">
        <v>231.01</v>
      </c>
    </row>
    <row r="471" spans="1:13" x14ac:dyDescent="0.25">
      <c r="A471" t="str">
        <f t="shared" ref="A471:A479" si="136">"E263"</f>
        <v>E263</v>
      </c>
      <c r="B471">
        <v>1</v>
      </c>
      <c r="C471" t="str">
        <f>"14185"</f>
        <v>14185</v>
      </c>
      <c r="D471" t="str">
        <f>"5620"</f>
        <v>5620</v>
      </c>
      <c r="E471" t="str">
        <f>"094OMS"</f>
        <v>094OMS</v>
      </c>
      <c r="F471" t="str">
        <f>""</f>
        <v/>
      </c>
      <c r="G471" t="str">
        <f>""</f>
        <v/>
      </c>
      <c r="H471" s="1">
        <v>39745</v>
      </c>
      <c r="I471" t="str">
        <f>"125337B"</f>
        <v>125337B</v>
      </c>
      <c r="J471" t="str">
        <f>""</f>
        <v/>
      </c>
      <c r="K471" t="str">
        <f t="shared" ref="K471:K476" si="137">"INNI"</f>
        <v>INNI</v>
      </c>
      <c r="L471" t="s">
        <v>446</v>
      </c>
      <c r="M471">
        <v>225.42</v>
      </c>
    </row>
    <row r="472" spans="1:13" x14ac:dyDescent="0.25">
      <c r="A472" t="str">
        <f t="shared" si="136"/>
        <v>E263</v>
      </c>
      <c r="B472">
        <v>1</v>
      </c>
      <c r="C472" t="str">
        <f>"14185"</f>
        <v>14185</v>
      </c>
      <c r="D472" t="str">
        <f>"5620"</f>
        <v>5620</v>
      </c>
      <c r="E472" t="str">
        <f>"094OMS"</f>
        <v>094OMS</v>
      </c>
      <c r="F472" t="str">
        <f>""</f>
        <v/>
      </c>
      <c r="G472" t="str">
        <f>""</f>
        <v/>
      </c>
      <c r="H472" s="1">
        <v>39842</v>
      </c>
      <c r="I472" t="str">
        <f>"125361"</f>
        <v>125361</v>
      </c>
      <c r="J472" t="str">
        <f>""</f>
        <v/>
      </c>
      <c r="K472" t="str">
        <f t="shared" si="137"/>
        <v>INNI</v>
      </c>
      <c r="L472" t="s">
        <v>446</v>
      </c>
      <c r="M472">
        <v>282.04000000000002</v>
      </c>
    </row>
    <row r="473" spans="1:13" x14ac:dyDescent="0.25">
      <c r="A473" t="str">
        <f t="shared" si="136"/>
        <v>E263</v>
      </c>
      <c r="B473">
        <v>1</v>
      </c>
      <c r="C473" t="str">
        <f>"43000"</f>
        <v>43000</v>
      </c>
      <c r="D473" t="str">
        <f>"5740"</f>
        <v>5740</v>
      </c>
      <c r="E473" t="str">
        <f>"850LOS"</f>
        <v>850LOS</v>
      </c>
      <c r="F473" t="str">
        <f>""</f>
        <v/>
      </c>
      <c r="G473" t="str">
        <f>""</f>
        <v/>
      </c>
      <c r="H473" s="1">
        <v>39723</v>
      </c>
      <c r="I473" t="str">
        <f>"Q45616"</f>
        <v>Q45616</v>
      </c>
      <c r="J473" t="str">
        <f>""</f>
        <v/>
      </c>
      <c r="K473" t="str">
        <f t="shared" si="137"/>
        <v>INNI</v>
      </c>
      <c r="L473" t="s">
        <v>785</v>
      </c>
      <c r="M473">
        <v>112.4</v>
      </c>
    </row>
    <row r="474" spans="1:13" x14ac:dyDescent="0.25">
      <c r="A474" t="str">
        <f t="shared" si="136"/>
        <v>E263</v>
      </c>
      <c r="B474">
        <v>1</v>
      </c>
      <c r="C474" t="str">
        <f>"43000"</f>
        <v>43000</v>
      </c>
      <c r="D474" t="str">
        <f>"5740"</f>
        <v>5740</v>
      </c>
      <c r="E474" t="str">
        <f>"850LOS"</f>
        <v>850LOS</v>
      </c>
      <c r="F474" t="str">
        <f>""</f>
        <v/>
      </c>
      <c r="G474" t="str">
        <f>""</f>
        <v/>
      </c>
      <c r="H474" s="1">
        <v>39745</v>
      </c>
      <c r="I474" t="str">
        <f>"125337B"</f>
        <v>125337B</v>
      </c>
      <c r="J474" t="str">
        <f>""</f>
        <v/>
      </c>
      <c r="K474" t="str">
        <f t="shared" si="137"/>
        <v>INNI</v>
      </c>
      <c r="L474" t="s">
        <v>446</v>
      </c>
      <c r="M474">
        <v>127.36</v>
      </c>
    </row>
    <row r="475" spans="1:13" x14ac:dyDescent="0.25">
      <c r="A475" t="str">
        <f t="shared" si="136"/>
        <v>E263</v>
      </c>
      <c r="B475">
        <v>1</v>
      </c>
      <c r="C475" t="str">
        <f>"55729"</f>
        <v>55729</v>
      </c>
      <c r="D475" t="str">
        <f>"5740"</f>
        <v>5740</v>
      </c>
      <c r="E475" t="str">
        <f>"111ZAA"</f>
        <v>111ZAA</v>
      </c>
      <c r="F475" t="str">
        <f>""</f>
        <v/>
      </c>
      <c r="G475" t="str">
        <f>""</f>
        <v/>
      </c>
      <c r="H475" s="1">
        <v>39695</v>
      </c>
      <c r="I475" t="str">
        <f>"T47452"</f>
        <v>T47452</v>
      </c>
      <c r="J475" t="str">
        <f>""</f>
        <v/>
      </c>
      <c r="K475" t="str">
        <f t="shared" si="137"/>
        <v>INNI</v>
      </c>
      <c r="L475" t="s">
        <v>446</v>
      </c>
      <c r="M475">
        <v>611.39</v>
      </c>
    </row>
    <row r="476" spans="1:13" x14ac:dyDescent="0.25">
      <c r="A476" t="str">
        <f t="shared" si="136"/>
        <v>E263</v>
      </c>
      <c r="B476">
        <v>1</v>
      </c>
      <c r="C476" t="str">
        <f>"55729"</f>
        <v>55729</v>
      </c>
      <c r="D476" t="str">
        <f>"5741"</f>
        <v>5741</v>
      </c>
      <c r="E476" t="str">
        <f>"111ZAA"</f>
        <v>111ZAA</v>
      </c>
      <c r="F476" t="str">
        <f>""</f>
        <v/>
      </c>
      <c r="G476" t="str">
        <f>""</f>
        <v/>
      </c>
      <c r="H476" s="1">
        <v>39792</v>
      </c>
      <c r="I476" t="str">
        <f>"T47454"</f>
        <v>T47454</v>
      </c>
      <c r="J476" t="str">
        <f>""</f>
        <v/>
      </c>
      <c r="K476" t="str">
        <f t="shared" si="137"/>
        <v>INNI</v>
      </c>
      <c r="L476" t="s">
        <v>446</v>
      </c>
      <c r="M476">
        <v>109.1</v>
      </c>
    </row>
    <row r="477" spans="1:13" x14ac:dyDescent="0.25">
      <c r="A477" t="str">
        <f t="shared" si="136"/>
        <v>E263</v>
      </c>
      <c r="B477">
        <v>1</v>
      </c>
      <c r="C477" t="str">
        <f>"55729"</f>
        <v>55729</v>
      </c>
      <c r="D477" t="str">
        <f>"5741"</f>
        <v>5741</v>
      </c>
      <c r="E477" t="str">
        <f>"111ZAA"</f>
        <v>111ZAA</v>
      </c>
      <c r="F477" t="str">
        <f>""</f>
        <v/>
      </c>
      <c r="G477" t="str">
        <f>""</f>
        <v/>
      </c>
      <c r="H477" s="1">
        <v>39833</v>
      </c>
      <c r="I477" t="str">
        <f>"G0907001"</f>
        <v>G0907001</v>
      </c>
      <c r="J477" t="str">
        <f>""</f>
        <v/>
      </c>
      <c r="K477" t="str">
        <f>"J096"</f>
        <v>J096</v>
      </c>
      <c r="L477" t="s">
        <v>950</v>
      </c>
      <c r="M477">
        <v>882.89</v>
      </c>
    </row>
    <row r="478" spans="1:13" x14ac:dyDescent="0.25">
      <c r="A478" t="str">
        <f t="shared" si="136"/>
        <v>E263</v>
      </c>
      <c r="B478">
        <v>1</v>
      </c>
      <c r="C478" t="str">
        <f>"55729"</f>
        <v>55729</v>
      </c>
      <c r="D478" t="str">
        <f>"5741"</f>
        <v>5741</v>
      </c>
      <c r="E478" t="str">
        <f>"111ZAA"</f>
        <v>111ZAA</v>
      </c>
      <c r="F478" t="str">
        <f>""</f>
        <v/>
      </c>
      <c r="G478" t="str">
        <f>""</f>
        <v/>
      </c>
      <c r="H478" s="1">
        <v>39933</v>
      </c>
      <c r="I478" t="str">
        <f>"T47459"</f>
        <v>T47459</v>
      </c>
      <c r="J478" t="str">
        <f>""</f>
        <v/>
      </c>
      <c r="K478" t="str">
        <f>"INNI"</f>
        <v>INNI</v>
      </c>
      <c r="L478" t="s">
        <v>985</v>
      </c>
      <c r="M478">
        <v>146.25</v>
      </c>
    </row>
    <row r="479" spans="1:13" x14ac:dyDescent="0.25">
      <c r="A479" t="str">
        <f t="shared" si="136"/>
        <v>E263</v>
      </c>
      <c r="B479">
        <v>1</v>
      </c>
      <c r="C479" t="str">
        <f>"55729"</f>
        <v>55729</v>
      </c>
      <c r="D479" t="str">
        <f>"5741"</f>
        <v>5741</v>
      </c>
      <c r="E479" t="str">
        <f>"111ZAA"</f>
        <v>111ZAA</v>
      </c>
      <c r="F479" t="str">
        <f>""</f>
        <v/>
      </c>
      <c r="G479" t="str">
        <f>""</f>
        <v/>
      </c>
      <c r="H479" s="1">
        <v>39972</v>
      </c>
      <c r="I479" t="str">
        <f>"T48209"</f>
        <v>T48209</v>
      </c>
      <c r="J479" t="str">
        <f>""</f>
        <v/>
      </c>
      <c r="K479" t="str">
        <f>"INNI"</f>
        <v>INNI</v>
      </c>
      <c r="L479" t="s">
        <v>985</v>
      </c>
      <c r="M479">
        <v>125.23</v>
      </c>
    </row>
    <row r="480" spans="1:13" x14ac:dyDescent="0.25">
      <c r="A480" t="str">
        <f t="shared" ref="A480:A487" si="138">"E267"</f>
        <v>E267</v>
      </c>
      <c r="B480">
        <v>1</v>
      </c>
      <c r="C480" t="str">
        <f>"32040"</f>
        <v>32040</v>
      </c>
      <c r="D480" t="str">
        <f>"5610"</f>
        <v>5610</v>
      </c>
      <c r="E480" t="str">
        <f t="shared" ref="E480:E494" si="139">"850LOS"</f>
        <v>850LOS</v>
      </c>
      <c r="F480" t="str">
        <f>""</f>
        <v/>
      </c>
      <c r="G480" t="str">
        <f>""</f>
        <v/>
      </c>
      <c r="H480" s="1">
        <v>39811</v>
      </c>
      <c r="I480" t="str">
        <f>"G0906022"</f>
        <v>G0906022</v>
      </c>
      <c r="J480" t="str">
        <f>""</f>
        <v/>
      </c>
      <c r="K480" t="str">
        <f t="shared" ref="K480:K487" si="140">"J096"</f>
        <v>J096</v>
      </c>
      <c r="L480" t="s">
        <v>984</v>
      </c>
      <c r="M480" s="2">
        <v>1070</v>
      </c>
    </row>
    <row r="481" spans="1:13" x14ac:dyDescent="0.25">
      <c r="A481" t="str">
        <f t="shared" si="138"/>
        <v>E267</v>
      </c>
      <c r="B481">
        <v>1</v>
      </c>
      <c r="C481" t="str">
        <f>"32040"</f>
        <v>32040</v>
      </c>
      <c r="D481" t="str">
        <f>"5610"</f>
        <v>5610</v>
      </c>
      <c r="E481" t="str">
        <f t="shared" si="139"/>
        <v>850LOS</v>
      </c>
      <c r="F481" t="str">
        <f>""</f>
        <v/>
      </c>
      <c r="G481" t="str">
        <f>""</f>
        <v/>
      </c>
      <c r="H481" s="1">
        <v>39862</v>
      </c>
      <c r="I481" t="str">
        <f>"G0908085"</f>
        <v>G0908085</v>
      </c>
      <c r="J481" t="str">
        <f>""</f>
        <v/>
      </c>
      <c r="K481" t="str">
        <f t="shared" si="140"/>
        <v>J096</v>
      </c>
      <c r="L481" t="s">
        <v>983</v>
      </c>
      <c r="M481">
        <v>659</v>
      </c>
    </row>
    <row r="482" spans="1:13" x14ac:dyDescent="0.25">
      <c r="A482" t="str">
        <f t="shared" si="138"/>
        <v>E267</v>
      </c>
      <c r="B482">
        <v>1</v>
      </c>
      <c r="C482" t="str">
        <f>"32040"</f>
        <v>32040</v>
      </c>
      <c r="D482" t="str">
        <f>"5610"</f>
        <v>5610</v>
      </c>
      <c r="E482" t="str">
        <f t="shared" si="139"/>
        <v>850LOS</v>
      </c>
      <c r="F482" t="str">
        <f>""</f>
        <v/>
      </c>
      <c r="G482" t="str">
        <f>""</f>
        <v/>
      </c>
      <c r="H482" s="1">
        <v>39918</v>
      </c>
      <c r="I482" t="str">
        <f>"G0910069"</f>
        <v>G0910069</v>
      </c>
      <c r="J482" t="str">
        <f>""</f>
        <v/>
      </c>
      <c r="K482" t="str">
        <f t="shared" si="140"/>
        <v>J096</v>
      </c>
      <c r="L482" t="s">
        <v>982</v>
      </c>
      <c r="M482" s="2">
        <v>1201</v>
      </c>
    </row>
    <row r="483" spans="1:13" x14ac:dyDescent="0.25">
      <c r="A483" t="str">
        <f t="shared" si="138"/>
        <v>E267</v>
      </c>
      <c r="B483">
        <v>1</v>
      </c>
      <c r="C483" t="str">
        <f>"32040"</f>
        <v>32040</v>
      </c>
      <c r="D483" t="str">
        <f>"5610"</f>
        <v>5610</v>
      </c>
      <c r="E483" t="str">
        <f t="shared" si="139"/>
        <v>850LOS</v>
      </c>
      <c r="F483" t="str">
        <f>""</f>
        <v/>
      </c>
      <c r="G483" t="str">
        <f>""</f>
        <v/>
      </c>
      <c r="H483" s="1">
        <v>39994</v>
      </c>
      <c r="I483" t="str">
        <f>"G0914186"</f>
        <v>G0914186</v>
      </c>
      <c r="J483" t="str">
        <f>""</f>
        <v/>
      </c>
      <c r="K483" t="str">
        <f t="shared" si="140"/>
        <v>J096</v>
      </c>
      <c r="L483" t="s">
        <v>981</v>
      </c>
      <c r="M483">
        <v>974</v>
      </c>
    </row>
    <row r="484" spans="1:13" x14ac:dyDescent="0.25">
      <c r="A484" t="str">
        <f t="shared" si="138"/>
        <v>E267</v>
      </c>
      <c r="B484">
        <v>1</v>
      </c>
      <c r="C484" t="str">
        <f>"43000"</f>
        <v>43000</v>
      </c>
      <c r="D484" t="str">
        <f t="shared" ref="D484:D489" si="141">"5740"</f>
        <v>5740</v>
      </c>
      <c r="E484" t="str">
        <f t="shared" si="139"/>
        <v>850LOS</v>
      </c>
      <c r="F484" t="str">
        <f>""</f>
        <v/>
      </c>
      <c r="G484" t="str">
        <f>""</f>
        <v/>
      </c>
      <c r="H484" s="1">
        <v>39811</v>
      </c>
      <c r="I484" t="str">
        <f>"G0906022"</f>
        <v>G0906022</v>
      </c>
      <c r="J484" t="str">
        <f>""</f>
        <v/>
      </c>
      <c r="K484" t="str">
        <f t="shared" si="140"/>
        <v>J096</v>
      </c>
      <c r="L484" t="s">
        <v>984</v>
      </c>
      <c r="M484" s="2">
        <v>11605</v>
      </c>
    </row>
    <row r="485" spans="1:13" x14ac:dyDescent="0.25">
      <c r="A485" t="str">
        <f t="shared" si="138"/>
        <v>E267</v>
      </c>
      <c r="B485">
        <v>1</v>
      </c>
      <c r="C485" t="str">
        <f>"43000"</f>
        <v>43000</v>
      </c>
      <c r="D485" t="str">
        <f t="shared" si="141"/>
        <v>5740</v>
      </c>
      <c r="E485" t="str">
        <f t="shared" si="139"/>
        <v>850LOS</v>
      </c>
      <c r="F485" t="str">
        <f>""</f>
        <v/>
      </c>
      <c r="G485" t="str">
        <f>""</f>
        <v/>
      </c>
      <c r="H485" s="1">
        <v>39862</v>
      </c>
      <c r="I485" t="str">
        <f>"G0908085"</f>
        <v>G0908085</v>
      </c>
      <c r="J485" t="str">
        <f>""</f>
        <v/>
      </c>
      <c r="K485" t="str">
        <f t="shared" si="140"/>
        <v>J096</v>
      </c>
      <c r="L485" t="s">
        <v>983</v>
      </c>
      <c r="M485" s="2">
        <v>6528</v>
      </c>
    </row>
    <row r="486" spans="1:13" x14ac:dyDescent="0.25">
      <c r="A486" t="str">
        <f t="shared" si="138"/>
        <v>E267</v>
      </c>
      <c r="B486">
        <v>1</v>
      </c>
      <c r="C486" t="str">
        <f>"43000"</f>
        <v>43000</v>
      </c>
      <c r="D486" t="str">
        <f t="shared" si="141"/>
        <v>5740</v>
      </c>
      <c r="E486" t="str">
        <f t="shared" si="139"/>
        <v>850LOS</v>
      </c>
      <c r="F486" t="str">
        <f>""</f>
        <v/>
      </c>
      <c r="G486" t="str">
        <f>""</f>
        <v/>
      </c>
      <c r="H486" s="1">
        <v>39918</v>
      </c>
      <c r="I486" t="str">
        <f>"G0910069"</f>
        <v>G0910069</v>
      </c>
      <c r="J486" t="str">
        <f>""</f>
        <v/>
      </c>
      <c r="K486" t="str">
        <f t="shared" si="140"/>
        <v>J096</v>
      </c>
      <c r="L486" t="s">
        <v>982</v>
      </c>
      <c r="M486" s="2">
        <v>7587</v>
      </c>
    </row>
    <row r="487" spans="1:13" x14ac:dyDescent="0.25">
      <c r="A487" t="str">
        <f t="shared" si="138"/>
        <v>E267</v>
      </c>
      <c r="B487">
        <v>1</v>
      </c>
      <c r="C487" t="str">
        <f>"43000"</f>
        <v>43000</v>
      </c>
      <c r="D487" t="str">
        <f t="shared" si="141"/>
        <v>5740</v>
      </c>
      <c r="E487" t="str">
        <f t="shared" si="139"/>
        <v>850LOS</v>
      </c>
      <c r="F487" t="str">
        <f>""</f>
        <v/>
      </c>
      <c r="G487" t="str">
        <f>""</f>
        <v/>
      </c>
      <c r="H487" s="1">
        <v>39994</v>
      </c>
      <c r="I487" t="str">
        <f>"G0914186"</f>
        <v>G0914186</v>
      </c>
      <c r="J487" t="str">
        <f>""</f>
        <v/>
      </c>
      <c r="K487" t="str">
        <f t="shared" si="140"/>
        <v>J096</v>
      </c>
      <c r="L487" t="s">
        <v>981</v>
      </c>
      <c r="M487" s="2">
        <v>6458</v>
      </c>
    </row>
    <row r="488" spans="1:13" x14ac:dyDescent="0.25">
      <c r="A488" t="str">
        <f t="shared" ref="A488:A494" si="142">"E279"</f>
        <v>E279</v>
      </c>
      <c r="B488">
        <v>1</v>
      </c>
      <c r="C488" t="str">
        <f>"43000"</f>
        <v>43000</v>
      </c>
      <c r="D488" t="str">
        <f t="shared" si="141"/>
        <v>5740</v>
      </c>
      <c r="E488" t="str">
        <f t="shared" si="139"/>
        <v>850LOS</v>
      </c>
      <c r="F488" t="str">
        <f>""</f>
        <v/>
      </c>
      <c r="G488" t="str">
        <f>""</f>
        <v/>
      </c>
      <c r="H488" s="1">
        <v>39992</v>
      </c>
      <c r="I488" t="str">
        <f>"2950369"</f>
        <v>2950369</v>
      </c>
      <c r="J488" t="str">
        <f>"B113803B"</f>
        <v>B113803B</v>
      </c>
      <c r="K488" t="str">
        <f>"INNI"</f>
        <v>INNI</v>
      </c>
      <c r="L488" t="s">
        <v>330</v>
      </c>
      <c r="M488" s="2">
        <v>2440</v>
      </c>
    </row>
    <row r="489" spans="1:13" x14ac:dyDescent="0.25">
      <c r="A489" t="str">
        <f t="shared" si="142"/>
        <v>E279</v>
      </c>
      <c r="B489">
        <v>1</v>
      </c>
      <c r="C489" t="str">
        <f t="shared" ref="C489:C494" si="143">"43004"</f>
        <v>43004</v>
      </c>
      <c r="D489" t="str">
        <f t="shared" si="141"/>
        <v>5740</v>
      </c>
      <c r="E489" t="str">
        <f t="shared" si="139"/>
        <v>850LOS</v>
      </c>
      <c r="F489" t="str">
        <f>""</f>
        <v/>
      </c>
      <c r="G489" t="str">
        <f>""</f>
        <v/>
      </c>
      <c r="H489" s="1">
        <v>39696</v>
      </c>
      <c r="I489" t="str">
        <f>"2850504"</f>
        <v>2850504</v>
      </c>
      <c r="J489" t="str">
        <f>"B113803A"</f>
        <v>B113803A</v>
      </c>
      <c r="K489" t="str">
        <f>"INNI"</f>
        <v>INNI</v>
      </c>
      <c r="L489" t="s">
        <v>330</v>
      </c>
      <c r="M489" s="2">
        <v>5660</v>
      </c>
    </row>
    <row r="490" spans="1:13" x14ac:dyDescent="0.25">
      <c r="A490" t="str">
        <f t="shared" si="142"/>
        <v>E279</v>
      </c>
      <c r="B490">
        <v>1</v>
      </c>
      <c r="C490" t="str">
        <f t="shared" si="143"/>
        <v>43004</v>
      </c>
      <c r="D490" t="str">
        <f>"5741"</f>
        <v>5741</v>
      </c>
      <c r="E490" t="str">
        <f t="shared" si="139"/>
        <v>850LOS</v>
      </c>
      <c r="F490" t="str">
        <f>""</f>
        <v/>
      </c>
      <c r="G490" t="str">
        <f>""</f>
        <v/>
      </c>
      <c r="H490" s="1">
        <v>39771</v>
      </c>
      <c r="I490" t="str">
        <f>"G0905127"</f>
        <v>G0905127</v>
      </c>
      <c r="J490" t="str">
        <f>""</f>
        <v/>
      </c>
      <c r="K490" t="str">
        <f>"J079"</f>
        <v>J079</v>
      </c>
      <c r="L490" t="s">
        <v>947</v>
      </c>
      <c r="M490" s="2">
        <v>5660</v>
      </c>
    </row>
    <row r="491" spans="1:13" x14ac:dyDescent="0.25">
      <c r="A491" t="str">
        <f t="shared" si="142"/>
        <v>E279</v>
      </c>
      <c r="B491">
        <v>1</v>
      </c>
      <c r="C491" t="str">
        <f t="shared" si="143"/>
        <v>43004</v>
      </c>
      <c r="D491" t="str">
        <f>"5741"</f>
        <v>5741</v>
      </c>
      <c r="E491" t="str">
        <f t="shared" si="139"/>
        <v>850LOS</v>
      </c>
      <c r="F491" t="str">
        <f>""</f>
        <v/>
      </c>
      <c r="G491" t="str">
        <f>""</f>
        <v/>
      </c>
      <c r="H491" s="1">
        <v>39812</v>
      </c>
      <c r="I491" t="str">
        <f>"2850738"</f>
        <v>2850738</v>
      </c>
      <c r="J491" t="str">
        <f>"B113803B"</f>
        <v>B113803B</v>
      </c>
      <c r="K491" t="str">
        <f>"INNI"</f>
        <v>INNI</v>
      </c>
      <c r="L491" t="s">
        <v>330</v>
      </c>
      <c r="M491" s="2">
        <v>83160</v>
      </c>
    </row>
    <row r="492" spans="1:13" x14ac:dyDescent="0.25">
      <c r="A492" t="str">
        <f t="shared" si="142"/>
        <v>E279</v>
      </c>
      <c r="B492">
        <v>1</v>
      </c>
      <c r="C492" t="str">
        <f t="shared" si="143"/>
        <v>43004</v>
      </c>
      <c r="D492" t="str">
        <f>"5741"</f>
        <v>5741</v>
      </c>
      <c r="E492" t="str">
        <f t="shared" si="139"/>
        <v>850LOS</v>
      </c>
      <c r="F492" t="str">
        <f>""</f>
        <v/>
      </c>
      <c r="G492" t="str">
        <f>""</f>
        <v/>
      </c>
      <c r="H492" s="1">
        <v>39948</v>
      </c>
      <c r="I492" t="str">
        <f>"2950254"</f>
        <v>2950254</v>
      </c>
      <c r="J492" t="str">
        <f>"B113803B"</f>
        <v>B113803B</v>
      </c>
      <c r="K492" t="str">
        <f>"INNI"</f>
        <v>INNI</v>
      </c>
      <c r="L492" t="s">
        <v>330</v>
      </c>
      <c r="M492" s="2">
        <v>3780</v>
      </c>
    </row>
    <row r="493" spans="1:13" x14ac:dyDescent="0.25">
      <c r="A493" t="str">
        <f t="shared" si="142"/>
        <v>E279</v>
      </c>
      <c r="B493">
        <v>1</v>
      </c>
      <c r="C493" t="str">
        <f t="shared" si="143"/>
        <v>43004</v>
      </c>
      <c r="D493" t="str">
        <f>"5741"</f>
        <v>5741</v>
      </c>
      <c r="E493" t="str">
        <f t="shared" si="139"/>
        <v>850LOS</v>
      </c>
      <c r="F493" t="str">
        <f>""</f>
        <v/>
      </c>
      <c r="G493" t="str">
        <f>""</f>
        <v/>
      </c>
      <c r="H493" s="1">
        <v>39992</v>
      </c>
      <c r="I493" t="str">
        <f>"2950369"</f>
        <v>2950369</v>
      </c>
      <c r="J493" t="str">
        <f>"B113803B"</f>
        <v>B113803B</v>
      </c>
      <c r="K493" t="str">
        <f>"INNI"</f>
        <v>INNI</v>
      </c>
      <c r="L493" t="s">
        <v>330</v>
      </c>
      <c r="M493" s="2">
        <v>1700</v>
      </c>
    </row>
    <row r="494" spans="1:13" x14ac:dyDescent="0.25">
      <c r="A494" t="str">
        <f t="shared" si="142"/>
        <v>E279</v>
      </c>
      <c r="B494">
        <v>1</v>
      </c>
      <c r="C494" t="str">
        <f t="shared" si="143"/>
        <v>43004</v>
      </c>
      <c r="D494" t="str">
        <f>"5741"</f>
        <v>5741</v>
      </c>
      <c r="E494" t="str">
        <f t="shared" si="139"/>
        <v>850LOS</v>
      </c>
      <c r="F494" t="str">
        <f>""</f>
        <v/>
      </c>
      <c r="G494" t="str">
        <f>""</f>
        <v/>
      </c>
      <c r="H494" s="1">
        <v>39994</v>
      </c>
      <c r="I494" t="str">
        <f>"S0914012"</f>
        <v>S0914012</v>
      </c>
      <c r="J494" t="str">
        <f>""</f>
        <v/>
      </c>
      <c r="K494" t="str">
        <f>"J079"</f>
        <v>J079</v>
      </c>
      <c r="L494" t="s">
        <v>948</v>
      </c>
      <c r="M494">
        <v>630.77</v>
      </c>
    </row>
    <row r="495" spans="1:13" x14ac:dyDescent="0.25">
      <c r="A495" t="str">
        <f t="shared" ref="A495:A503" si="144">"E351"</f>
        <v>E351</v>
      </c>
      <c r="B495">
        <v>1</v>
      </c>
      <c r="C495" t="str">
        <f t="shared" ref="C495:C505" si="145">"14185"</f>
        <v>14185</v>
      </c>
      <c r="D495" t="str">
        <f t="shared" ref="D495:D505" si="146">"5620"</f>
        <v>5620</v>
      </c>
      <c r="E495" t="str">
        <f t="shared" ref="E495:E505" si="147">"094OMS"</f>
        <v>094OMS</v>
      </c>
      <c r="F495" t="str">
        <f>""</f>
        <v/>
      </c>
      <c r="G495" t="str">
        <f>""</f>
        <v/>
      </c>
      <c r="H495" s="1">
        <v>39701</v>
      </c>
      <c r="I495" t="str">
        <f>"V90274"</f>
        <v>V90274</v>
      </c>
      <c r="J495" t="str">
        <f>""</f>
        <v/>
      </c>
      <c r="K495" t="str">
        <f t="shared" ref="K495:K505" si="148">"INNI"</f>
        <v>INNI</v>
      </c>
      <c r="L495" t="s">
        <v>197</v>
      </c>
      <c r="M495">
        <v>135.61000000000001</v>
      </c>
    </row>
    <row r="496" spans="1:13" x14ac:dyDescent="0.25">
      <c r="A496" t="str">
        <f t="shared" si="144"/>
        <v>E351</v>
      </c>
      <c r="B496">
        <v>1</v>
      </c>
      <c r="C496" t="str">
        <f t="shared" si="145"/>
        <v>14185</v>
      </c>
      <c r="D496" t="str">
        <f t="shared" si="146"/>
        <v>5620</v>
      </c>
      <c r="E496" t="str">
        <f t="shared" si="147"/>
        <v>094OMS</v>
      </c>
      <c r="F496" t="str">
        <f>""</f>
        <v/>
      </c>
      <c r="G496" t="str">
        <f>""</f>
        <v/>
      </c>
      <c r="H496" s="1">
        <v>39701</v>
      </c>
      <c r="I496" t="str">
        <f>"V90275"</f>
        <v>V90275</v>
      </c>
      <c r="J496" t="str">
        <f>""</f>
        <v/>
      </c>
      <c r="K496" t="str">
        <f t="shared" si="148"/>
        <v>INNI</v>
      </c>
      <c r="L496" t="s">
        <v>338</v>
      </c>
      <c r="M496">
        <v>770.5</v>
      </c>
    </row>
    <row r="497" spans="1:13" x14ac:dyDescent="0.25">
      <c r="A497" t="str">
        <f t="shared" si="144"/>
        <v>E351</v>
      </c>
      <c r="B497">
        <v>1</v>
      </c>
      <c r="C497" t="str">
        <f t="shared" si="145"/>
        <v>14185</v>
      </c>
      <c r="D497" t="str">
        <f t="shared" si="146"/>
        <v>5620</v>
      </c>
      <c r="E497" t="str">
        <f t="shared" si="147"/>
        <v>094OMS</v>
      </c>
      <c r="F497" t="str">
        <f>""</f>
        <v/>
      </c>
      <c r="G497" t="str">
        <f>""</f>
        <v/>
      </c>
      <c r="H497" s="1">
        <v>39786</v>
      </c>
      <c r="I497" t="str">
        <f>"V90277"</f>
        <v>V90277</v>
      </c>
      <c r="J497" t="str">
        <f>""</f>
        <v/>
      </c>
      <c r="K497" t="str">
        <f t="shared" si="148"/>
        <v>INNI</v>
      </c>
      <c r="L497" t="s">
        <v>785</v>
      </c>
      <c r="M497">
        <v>397</v>
      </c>
    </row>
    <row r="498" spans="1:13" x14ac:dyDescent="0.25">
      <c r="A498" t="str">
        <f t="shared" si="144"/>
        <v>E351</v>
      </c>
      <c r="B498">
        <v>1</v>
      </c>
      <c r="C498" t="str">
        <f t="shared" si="145"/>
        <v>14185</v>
      </c>
      <c r="D498" t="str">
        <f t="shared" si="146"/>
        <v>5620</v>
      </c>
      <c r="E498" t="str">
        <f t="shared" si="147"/>
        <v>094OMS</v>
      </c>
      <c r="F498" t="str">
        <f>""</f>
        <v/>
      </c>
      <c r="G498" t="str">
        <f>""</f>
        <v/>
      </c>
      <c r="H498" s="1">
        <v>39839</v>
      </c>
      <c r="I498" t="str">
        <f>"V90278"</f>
        <v>V90278</v>
      </c>
      <c r="J498" t="str">
        <f>""</f>
        <v/>
      </c>
      <c r="K498" t="str">
        <f t="shared" si="148"/>
        <v>INNI</v>
      </c>
      <c r="L498" t="s">
        <v>336</v>
      </c>
      <c r="M498">
        <v>232.75</v>
      </c>
    </row>
    <row r="499" spans="1:13" x14ac:dyDescent="0.25">
      <c r="A499" t="str">
        <f t="shared" si="144"/>
        <v>E351</v>
      </c>
      <c r="B499">
        <v>1</v>
      </c>
      <c r="C499" t="str">
        <f t="shared" si="145"/>
        <v>14185</v>
      </c>
      <c r="D499" t="str">
        <f t="shared" si="146"/>
        <v>5620</v>
      </c>
      <c r="E499" t="str">
        <f t="shared" si="147"/>
        <v>094OMS</v>
      </c>
      <c r="F499" t="str">
        <f>""</f>
        <v/>
      </c>
      <c r="G499" t="str">
        <f>""</f>
        <v/>
      </c>
      <c r="H499" s="1">
        <v>39878</v>
      </c>
      <c r="I499" t="str">
        <f>"V90278A"</f>
        <v>V90278A</v>
      </c>
      <c r="J499" t="str">
        <f>""</f>
        <v/>
      </c>
      <c r="K499" t="str">
        <f t="shared" si="148"/>
        <v>INNI</v>
      </c>
      <c r="L499" t="s">
        <v>197</v>
      </c>
      <c r="M499">
        <v>299.76</v>
      </c>
    </row>
    <row r="500" spans="1:13" x14ac:dyDescent="0.25">
      <c r="A500" t="str">
        <f t="shared" si="144"/>
        <v>E351</v>
      </c>
      <c r="B500">
        <v>1</v>
      </c>
      <c r="C500" t="str">
        <f t="shared" si="145"/>
        <v>14185</v>
      </c>
      <c r="D500" t="str">
        <f t="shared" si="146"/>
        <v>5620</v>
      </c>
      <c r="E500" t="str">
        <f t="shared" si="147"/>
        <v>094OMS</v>
      </c>
      <c r="F500" t="str">
        <f>""</f>
        <v/>
      </c>
      <c r="G500" t="str">
        <f>""</f>
        <v/>
      </c>
      <c r="H500" s="1">
        <v>39941</v>
      </c>
      <c r="I500" t="str">
        <f>"V90280"</f>
        <v>V90280</v>
      </c>
      <c r="J500" t="str">
        <f>""</f>
        <v/>
      </c>
      <c r="K500" t="str">
        <f t="shared" si="148"/>
        <v>INNI</v>
      </c>
      <c r="L500" t="s">
        <v>787</v>
      </c>
      <c r="M500">
        <v>128</v>
      </c>
    </row>
    <row r="501" spans="1:13" x14ac:dyDescent="0.25">
      <c r="A501" t="str">
        <f t="shared" si="144"/>
        <v>E351</v>
      </c>
      <c r="B501">
        <v>1</v>
      </c>
      <c r="C501" t="str">
        <f t="shared" si="145"/>
        <v>14185</v>
      </c>
      <c r="D501" t="str">
        <f t="shared" si="146"/>
        <v>5620</v>
      </c>
      <c r="E501" t="str">
        <f t="shared" si="147"/>
        <v>094OMS</v>
      </c>
      <c r="F501" t="str">
        <f>""</f>
        <v/>
      </c>
      <c r="G501" t="str">
        <f>""</f>
        <v/>
      </c>
      <c r="H501" s="1">
        <v>39947</v>
      </c>
      <c r="I501" t="str">
        <f>"V90279"</f>
        <v>V90279</v>
      </c>
      <c r="J501" t="str">
        <f>""</f>
        <v/>
      </c>
      <c r="K501" t="str">
        <f t="shared" si="148"/>
        <v>INNI</v>
      </c>
      <c r="L501" t="s">
        <v>482</v>
      </c>
      <c r="M501">
        <v>128</v>
      </c>
    </row>
    <row r="502" spans="1:13" x14ac:dyDescent="0.25">
      <c r="A502" t="str">
        <f t="shared" si="144"/>
        <v>E351</v>
      </c>
      <c r="B502">
        <v>1</v>
      </c>
      <c r="C502" t="str">
        <f t="shared" si="145"/>
        <v>14185</v>
      </c>
      <c r="D502" t="str">
        <f t="shared" si="146"/>
        <v>5620</v>
      </c>
      <c r="E502" t="str">
        <f t="shared" si="147"/>
        <v>094OMS</v>
      </c>
      <c r="F502" t="str">
        <f>""</f>
        <v/>
      </c>
      <c r="G502" t="str">
        <f>""</f>
        <v/>
      </c>
      <c r="H502" s="1">
        <v>39988</v>
      </c>
      <c r="I502" t="str">
        <f>"V90282"</f>
        <v>V90282</v>
      </c>
      <c r="J502" t="str">
        <f>""</f>
        <v/>
      </c>
      <c r="K502" t="str">
        <f t="shared" si="148"/>
        <v>INNI</v>
      </c>
      <c r="L502" t="s">
        <v>785</v>
      </c>
      <c r="M502">
        <v>295.52999999999997</v>
      </c>
    </row>
    <row r="503" spans="1:13" x14ac:dyDescent="0.25">
      <c r="A503" t="str">
        <f t="shared" si="144"/>
        <v>E351</v>
      </c>
      <c r="B503">
        <v>1</v>
      </c>
      <c r="C503" t="str">
        <f t="shared" si="145"/>
        <v>14185</v>
      </c>
      <c r="D503" t="str">
        <f t="shared" si="146"/>
        <v>5620</v>
      </c>
      <c r="E503" t="str">
        <f t="shared" si="147"/>
        <v>094OMS</v>
      </c>
      <c r="F503" t="str">
        <f>""</f>
        <v/>
      </c>
      <c r="G503" t="str">
        <f>""</f>
        <v/>
      </c>
      <c r="H503" s="1">
        <v>39989</v>
      </c>
      <c r="I503" t="str">
        <f>"V90284"</f>
        <v>V90284</v>
      </c>
      <c r="J503" t="str">
        <f>""</f>
        <v/>
      </c>
      <c r="K503" t="str">
        <f t="shared" si="148"/>
        <v>INNI</v>
      </c>
      <c r="L503" t="s">
        <v>197</v>
      </c>
      <c r="M503">
        <v>218.61</v>
      </c>
    </row>
    <row r="504" spans="1:13" x14ac:dyDescent="0.25">
      <c r="A504" t="str">
        <f>"E353"</f>
        <v>E353</v>
      </c>
      <c r="B504">
        <v>1</v>
      </c>
      <c r="C504" t="str">
        <f t="shared" si="145"/>
        <v>14185</v>
      </c>
      <c r="D504" t="str">
        <f t="shared" si="146"/>
        <v>5620</v>
      </c>
      <c r="E504" t="str">
        <f t="shared" si="147"/>
        <v>094OMS</v>
      </c>
      <c r="F504" t="str">
        <f>""</f>
        <v/>
      </c>
      <c r="G504" t="str">
        <f>""</f>
        <v/>
      </c>
      <c r="H504" s="1">
        <v>39947</v>
      </c>
      <c r="I504" t="str">
        <f>"V90279"</f>
        <v>V90279</v>
      </c>
      <c r="J504" t="str">
        <f>""</f>
        <v/>
      </c>
      <c r="K504" t="str">
        <f t="shared" si="148"/>
        <v>INNI</v>
      </c>
      <c r="L504" t="s">
        <v>482</v>
      </c>
      <c r="M504">
        <v>106.7</v>
      </c>
    </row>
    <row r="505" spans="1:13" x14ac:dyDescent="0.25">
      <c r="A505" t="str">
        <f>"E354"</f>
        <v>E354</v>
      </c>
      <c r="B505">
        <v>1</v>
      </c>
      <c r="C505" t="str">
        <f t="shared" si="145"/>
        <v>14185</v>
      </c>
      <c r="D505" t="str">
        <f t="shared" si="146"/>
        <v>5620</v>
      </c>
      <c r="E505" t="str">
        <f t="shared" si="147"/>
        <v>094OMS</v>
      </c>
      <c r="F505" t="str">
        <f>""</f>
        <v/>
      </c>
      <c r="G505" t="str">
        <f>""</f>
        <v/>
      </c>
      <c r="H505" s="1">
        <v>39701</v>
      </c>
      <c r="I505" t="str">
        <f>"V90273"</f>
        <v>V90273</v>
      </c>
      <c r="J505" t="str">
        <f>""</f>
        <v/>
      </c>
      <c r="K505" t="str">
        <f t="shared" si="148"/>
        <v>INNI</v>
      </c>
      <c r="L505" t="s">
        <v>785</v>
      </c>
      <c r="M505">
        <v>180.75</v>
      </c>
    </row>
    <row r="506" spans="1:13" x14ac:dyDescent="0.25">
      <c r="A506" t="str">
        <f>"E357"</f>
        <v>E357</v>
      </c>
      <c r="B506">
        <v>1</v>
      </c>
      <c r="C506" t="str">
        <f>"55729"</f>
        <v>55729</v>
      </c>
      <c r="D506" t="str">
        <f>"5741"</f>
        <v>5741</v>
      </c>
      <c r="E506" t="str">
        <f>"111ZAA"</f>
        <v>111ZAA</v>
      </c>
      <c r="F506" t="str">
        <f>""</f>
        <v/>
      </c>
      <c r="G506" t="str">
        <f>""</f>
        <v/>
      </c>
      <c r="H506" s="1">
        <v>39833</v>
      </c>
      <c r="I506" t="str">
        <f>"G0907001"</f>
        <v>G0907001</v>
      </c>
      <c r="J506" t="str">
        <f>""</f>
        <v/>
      </c>
      <c r="K506" t="str">
        <f>"J096"</f>
        <v>J096</v>
      </c>
      <c r="L506" t="s">
        <v>950</v>
      </c>
      <c r="M506">
        <v>953.92</v>
      </c>
    </row>
    <row r="507" spans="1:13" x14ac:dyDescent="0.25">
      <c r="A507" t="str">
        <f>"E402"</f>
        <v>E402</v>
      </c>
      <c r="B507">
        <v>1</v>
      </c>
      <c r="C507" t="str">
        <f>"43000"</f>
        <v>43000</v>
      </c>
      <c r="D507" t="str">
        <f>"5740"</f>
        <v>5740</v>
      </c>
      <c r="E507" t="str">
        <f>"850LOS"</f>
        <v>850LOS</v>
      </c>
      <c r="F507" t="str">
        <f>""</f>
        <v/>
      </c>
      <c r="G507" t="str">
        <f>""</f>
        <v/>
      </c>
      <c r="H507" s="1">
        <v>39969</v>
      </c>
      <c r="I507" t="str">
        <f>"PCD00370"</f>
        <v>PCD00370</v>
      </c>
      <c r="J507" t="str">
        <f>"99999"</f>
        <v>99999</v>
      </c>
      <c r="K507" t="str">
        <f t="shared" ref="K507:K515" si="149">"AS89"</f>
        <v>AS89</v>
      </c>
      <c r="L507" t="s">
        <v>979</v>
      </c>
      <c r="M507">
        <v>159.09</v>
      </c>
    </row>
    <row r="508" spans="1:13" x14ac:dyDescent="0.25">
      <c r="A508" t="str">
        <f>"E403"</f>
        <v>E403</v>
      </c>
      <c r="B508">
        <v>1</v>
      </c>
      <c r="C508" t="str">
        <f t="shared" ref="C508:C522" si="150">"14185"</f>
        <v>14185</v>
      </c>
      <c r="D508" t="str">
        <f t="shared" ref="D508:D522" si="151">"5620"</f>
        <v>5620</v>
      </c>
      <c r="E508" t="str">
        <f t="shared" ref="E508:E522" si="152">"094OMS"</f>
        <v>094OMS</v>
      </c>
      <c r="F508" t="str">
        <f>""</f>
        <v/>
      </c>
      <c r="G508" t="str">
        <f>""</f>
        <v/>
      </c>
      <c r="H508" s="1">
        <v>39660</v>
      </c>
      <c r="I508" t="str">
        <f>"SWS00048"</f>
        <v>SWS00048</v>
      </c>
      <c r="J508" t="str">
        <f>"J-019"</f>
        <v>J-019</v>
      </c>
      <c r="K508" t="str">
        <f t="shared" si="149"/>
        <v>AS89</v>
      </c>
      <c r="L508" t="s">
        <v>978</v>
      </c>
      <c r="M508">
        <v>114</v>
      </c>
    </row>
    <row r="509" spans="1:13" x14ac:dyDescent="0.25">
      <c r="A509" t="str">
        <f t="shared" ref="A509:A527" si="153">"E404"</f>
        <v>E404</v>
      </c>
      <c r="B509">
        <v>1</v>
      </c>
      <c r="C509" t="str">
        <f t="shared" si="150"/>
        <v>14185</v>
      </c>
      <c r="D509" t="str">
        <f t="shared" si="151"/>
        <v>5620</v>
      </c>
      <c r="E509" t="str">
        <f t="shared" si="152"/>
        <v>094OMS</v>
      </c>
      <c r="F509" t="str">
        <f>""</f>
        <v/>
      </c>
      <c r="G509" t="str">
        <f>""</f>
        <v/>
      </c>
      <c r="H509" s="1">
        <v>39668</v>
      </c>
      <c r="I509" t="str">
        <f>"PCD00329"</f>
        <v>PCD00329</v>
      </c>
      <c r="J509" t="str">
        <f>"82628"</f>
        <v>82628</v>
      </c>
      <c r="K509" t="str">
        <f t="shared" si="149"/>
        <v>AS89</v>
      </c>
      <c r="L509" t="s">
        <v>977</v>
      </c>
      <c r="M509">
        <v>849.85</v>
      </c>
    </row>
    <row r="510" spans="1:13" x14ac:dyDescent="0.25">
      <c r="A510" t="str">
        <f t="shared" si="153"/>
        <v>E404</v>
      </c>
      <c r="B510">
        <v>1</v>
      </c>
      <c r="C510" t="str">
        <f t="shared" si="150"/>
        <v>14185</v>
      </c>
      <c r="D510" t="str">
        <f t="shared" si="151"/>
        <v>5620</v>
      </c>
      <c r="E510" t="str">
        <f t="shared" si="152"/>
        <v>094OMS</v>
      </c>
      <c r="F510" t="str">
        <f>""</f>
        <v/>
      </c>
      <c r="G510" t="str">
        <f>""</f>
        <v/>
      </c>
      <c r="H510" s="1">
        <v>39731</v>
      </c>
      <c r="I510" t="str">
        <f>"PCD00337"</f>
        <v>PCD00337</v>
      </c>
      <c r="J510" t="str">
        <f>"86568"</f>
        <v>86568</v>
      </c>
      <c r="K510" t="str">
        <f t="shared" si="149"/>
        <v>AS89</v>
      </c>
      <c r="L510" t="s">
        <v>976</v>
      </c>
      <c r="M510">
        <v>130.24</v>
      </c>
    </row>
    <row r="511" spans="1:13" x14ac:dyDescent="0.25">
      <c r="A511" t="str">
        <f t="shared" si="153"/>
        <v>E404</v>
      </c>
      <c r="B511">
        <v>1</v>
      </c>
      <c r="C511" t="str">
        <f t="shared" si="150"/>
        <v>14185</v>
      </c>
      <c r="D511" t="str">
        <f t="shared" si="151"/>
        <v>5620</v>
      </c>
      <c r="E511" t="str">
        <f t="shared" si="152"/>
        <v>094OMS</v>
      </c>
      <c r="F511" t="str">
        <f>""</f>
        <v/>
      </c>
      <c r="G511" t="str">
        <f>""</f>
        <v/>
      </c>
      <c r="H511" s="1">
        <v>39766</v>
      </c>
      <c r="I511" t="str">
        <f>"PCD00342"</f>
        <v>PCD00342</v>
      </c>
      <c r="J511" t="str">
        <f>"88612"</f>
        <v>88612</v>
      </c>
      <c r="K511" t="str">
        <f t="shared" si="149"/>
        <v>AS89</v>
      </c>
      <c r="L511" t="s">
        <v>975</v>
      </c>
      <c r="M511">
        <v>271.92</v>
      </c>
    </row>
    <row r="512" spans="1:13" x14ac:dyDescent="0.25">
      <c r="A512" t="str">
        <f t="shared" si="153"/>
        <v>E404</v>
      </c>
      <c r="B512">
        <v>1</v>
      </c>
      <c r="C512" t="str">
        <f t="shared" si="150"/>
        <v>14185</v>
      </c>
      <c r="D512" t="str">
        <f t="shared" si="151"/>
        <v>5620</v>
      </c>
      <c r="E512" t="str">
        <f t="shared" si="152"/>
        <v>094OMS</v>
      </c>
      <c r="F512" t="str">
        <f>""</f>
        <v/>
      </c>
      <c r="G512" t="str">
        <f>""</f>
        <v/>
      </c>
      <c r="H512" s="1">
        <v>39853</v>
      </c>
      <c r="I512" t="str">
        <f>"PCD00354"</f>
        <v>PCD00354</v>
      </c>
      <c r="J512" t="str">
        <f>"91777"</f>
        <v>91777</v>
      </c>
      <c r="K512" t="str">
        <f t="shared" si="149"/>
        <v>AS89</v>
      </c>
      <c r="L512" t="s">
        <v>974</v>
      </c>
      <c r="M512" s="2">
        <v>1105</v>
      </c>
    </row>
    <row r="513" spans="1:13" x14ac:dyDescent="0.25">
      <c r="A513" t="str">
        <f t="shared" si="153"/>
        <v>E404</v>
      </c>
      <c r="B513">
        <v>1</v>
      </c>
      <c r="C513" t="str">
        <f t="shared" si="150"/>
        <v>14185</v>
      </c>
      <c r="D513" t="str">
        <f t="shared" si="151"/>
        <v>5620</v>
      </c>
      <c r="E513" t="str">
        <f t="shared" si="152"/>
        <v>094OMS</v>
      </c>
      <c r="F513" t="str">
        <f>""</f>
        <v/>
      </c>
      <c r="G513" t="str">
        <f>""</f>
        <v/>
      </c>
      <c r="H513" s="1">
        <v>39857</v>
      </c>
      <c r="I513" t="str">
        <f>"PCD00355"</f>
        <v>PCD00355</v>
      </c>
      <c r="J513" t="str">
        <f>"93073"</f>
        <v>93073</v>
      </c>
      <c r="K513" t="str">
        <f t="shared" si="149"/>
        <v>AS89</v>
      </c>
      <c r="L513" t="s">
        <v>973</v>
      </c>
      <c r="M513">
        <v>468</v>
      </c>
    </row>
    <row r="514" spans="1:13" x14ac:dyDescent="0.25">
      <c r="A514" t="str">
        <f t="shared" si="153"/>
        <v>E404</v>
      </c>
      <c r="B514">
        <v>1</v>
      </c>
      <c r="C514" t="str">
        <f t="shared" si="150"/>
        <v>14185</v>
      </c>
      <c r="D514" t="str">
        <f t="shared" si="151"/>
        <v>5620</v>
      </c>
      <c r="E514" t="str">
        <f t="shared" si="152"/>
        <v>094OMS</v>
      </c>
      <c r="F514" t="str">
        <f>""</f>
        <v/>
      </c>
      <c r="G514" t="str">
        <f>""</f>
        <v/>
      </c>
      <c r="H514" s="1">
        <v>39885</v>
      </c>
      <c r="I514" t="str">
        <f>"PCD00359"</f>
        <v>PCD00359</v>
      </c>
      <c r="J514" t="str">
        <f>"94102"</f>
        <v>94102</v>
      </c>
      <c r="K514" t="str">
        <f t="shared" si="149"/>
        <v>AS89</v>
      </c>
      <c r="L514" t="s">
        <v>972</v>
      </c>
      <c r="M514">
        <v>564.99</v>
      </c>
    </row>
    <row r="515" spans="1:13" x14ac:dyDescent="0.25">
      <c r="A515" t="str">
        <f t="shared" si="153"/>
        <v>E404</v>
      </c>
      <c r="B515">
        <v>1</v>
      </c>
      <c r="C515" t="str">
        <f t="shared" si="150"/>
        <v>14185</v>
      </c>
      <c r="D515" t="str">
        <f t="shared" si="151"/>
        <v>5620</v>
      </c>
      <c r="E515" t="str">
        <f t="shared" si="152"/>
        <v>094OMS</v>
      </c>
      <c r="F515" t="str">
        <f>""</f>
        <v/>
      </c>
      <c r="G515" t="str">
        <f>""</f>
        <v/>
      </c>
      <c r="H515" s="1">
        <v>39885</v>
      </c>
      <c r="I515" t="str">
        <f>"PCD00359"</f>
        <v>PCD00359</v>
      </c>
      <c r="J515" t="str">
        <f>"94628"</f>
        <v>94628</v>
      </c>
      <c r="K515" t="str">
        <f t="shared" si="149"/>
        <v>AS89</v>
      </c>
      <c r="L515" t="s">
        <v>971</v>
      </c>
      <c r="M515">
        <v>815.4</v>
      </c>
    </row>
    <row r="516" spans="1:13" x14ac:dyDescent="0.25">
      <c r="A516" t="str">
        <f t="shared" si="153"/>
        <v>E404</v>
      </c>
      <c r="B516">
        <v>1</v>
      </c>
      <c r="C516" t="str">
        <f t="shared" si="150"/>
        <v>14185</v>
      </c>
      <c r="D516" t="str">
        <f t="shared" si="151"/>
        <v>5620</v>
      </c>
      <c r="E516" t="str">
        <f t="shared" si="152"/>
        <v>094OMS</v>
      </c>
      <c r="F516" t="str">
        <f>""</f>
        <v/>
      </c>
      <c r="G516" t="str">
        <f>""</f>
        <v/>
      </c>
      <c r="H516" s="1">
        <v>39896</v>
      </c>
      <c r="I516" t="str">
        <f>"2130C"</f>
        <v>2130C</v>
      </c>
      <c r="J516" t="str">
        <f>"F125370"</f>
        <v>F125370</v>
      </c>
      <c r="K516" t="str">
        <f>"INEI"</f>
        <v>INEI</v>
      </c>
      <c r="L516" t="s">
        <v>970</v>
      </c>
      <c r="M516" s="2">
        <v>3707.45</v>
      </c>
    </row>
    <row r="517" spans="1:13" x14ac:dyDescent="0.25">
      <c r="A517" t="str">
        <f t="shared" si="153"/>
        <v>E404</v>
      </c>
      <c r="B517">
        <v>1</v>
      </c>
      <c r="C517" t="str">
        <f t="shared" si="150"/>
        <v>14185</v>
      </c>
      <c r="D517" t="str">
        <f t="shared" si="151"/>
        <v>5620</v>
      </c>
      <c r="E517" t="str">
        <f t="shared" si="152"/>
        <v>094OMS</v>
      </c>
      <c r="F517" t="str">
        <f>""</f>
        <v/>
      </c>
      <c r="G517" t="str">
        <f>""</f>
        <v/>
      </c>
      <c r="H517" s="1">
        <v>39916</v>
      </c>
      <c r="I517" t="str">
        <f>"59786"</f>
        <v>59786</v>
      </c>
      <c r="J517" t="str">
        <f>"F125376"</f>
        <v>F125376</v>
      </c>
      <c r="K517" t="str">
        <f>"INEI"</f>
        <v>INEI</v>
      </c>
      <c r="L517" t="s">
        <v>961</v>
      </c>
      <c r="M517">
        <v>541.96</v>
      </c>
    </row>
    <row r="518" spans="1:13" x14ac:dyDescent="0.25">
      <c r="A518" t="str">
        <f t="shared" si="153"/>
        <v>E404</v>
      </c>
      <c r="B518">
        <v>1</v>
      </c>
      <c r="C518" t="str">
        <f t="shared" si="150"/>
        <v>14185</v>
      </c>
      <c r="D518" t="str">
        <f t="shared" si="151"/>
        <v>5620</v>
      </c>
      <c r="E518" t="str">
        <f t="shared" si="152"/>
        <v>094OMS</v>
      </c>
      <c r="F518" t="str">
        <f>""</f>
        <v/>
      </c>
      <c r="G518" t="str">
        <f>""</f>
        <v/>
      </c>
      <c r="H518" s="1">
        <v>39916</v>
      </c>
      <c r="I518" t="str">
        <f>"59786"</f>
        <v>59786</v>
      </c>
      <c r="J518" t="str">
        <f>"F125376"</f>
        <v>F125376</v>
      </c>
      <c r="K518" t="str">
        <f>"INEI"</f>
        <v>INEI</v>
      </c>
      <c r="L518" t="s">
        <v>961</v>
      </c>
      <c r="M518">
        <v>162.69999999999999</v>
      </c>
    </row>
    <row r="519" spans="1:13" x14ac:dyDescent="0.25">
      <c r="A519" t="str">
        <f t="shared" si="153"/>
        <v>E404</v>
      </c>
      <c r="B519">
        <v>1</v>
      </c>
      <c r="C519" t="str">
        <f t="shared" si="150"/>
        <v>14185</v>
      </c>
      <c r="D519" t="str">
        <f t="shared" si="151"/>
        <v>5620</v>
      </c>
      <c r="E519" t="str">
        <f t="shared" si="152"/>
        <v>094OMS</v>
      </c>
      <c r="F519" t="str">
        <f>""</f>
        <v/>
      </c>
      <c r="G519" t="str">
        <f>""</f>
        <v/>
      </c>
      <c r="H519" s="1">
        <v>39916</v>
      </c>
      <c r="I519" t="str">
        <f>"59786"</f>
        <v>59786</v>
      </c>
      <c r="J519" t="str">
        <f>"F125376"</f>
        <v>F125376</v>
      </c>
      <c r="K519" t="str">
        <f>"INEI"</f>
        <v>INEI</v>
      </c>
      <c r="L519" t="s">
        <v>961</v>
      </c>
      <c r="M519">
        <v>817.82</v>
      </c>
    </row>
    <row r="520" spans="1:13" x14ac:dyDescent="0.25">
      <c r="A520" t="str">
        <f t="shared" si="153"/>
        <v>E404</v>
      </c>
      <c r="B520">
        <v>1</v>
      </c>
      <c r="C520" t="str">
        <f t="shared" si="150"/>
        <v>14185</v>
      </c>
      <c r="D520" t="str">
        <f t="shared" si="151"/>
        <v>5620</v>
      </c>
      <c r="E520" t="str">
        <f t="shared" si="152"/>
        <v>094OMS</v>
      </c>
      <c r="F520" t="str">
        <f>""</f>
        <v/>
      </c>
      <c r="G520" t="str">
        <f>""</f>
        <v/>
      </c>
      <c r="H520" s="1">
        <v>39964</v>
      </c>
      <c r="I520" t="str">
        <f>"EIS00088"</f>
        <v>EIS00088</v>
      </c>
      <c r="J520" t="str">
        <f>"FT48997A"</f>
        <v>FT48997A</v>
      </c>
      <c r="K520" t="str">
        <f>"AS96"</f>
        <v>AS96</v>
      </c>
      <c r="L520" t="s">
        <v>960</v>
      </c>
      <c r="M520">
        <v>291.12</v>
      </c>
    </row>
    <row r="521" spans="1:13" x14ac:dyDescent="0.25">
      <c r="A521" t="str">
        <f t="shared" si="153"/>
        <v>E404</v>
      </c>
      <c r="B521">
        <v>1</v>
      </c>
      <c r="C521" t="str">
        <f t="shared" si="150"/>
        <v>14185</v>
      </c>
      <c r="D521" t="str">
        <f t="shared" si="151"/>
        <v>5620</v>
      </c>
      <c r="E521" t="str">
        <f t="shared" si="152"/>
        <v>094OMS</v>
      </c>
      <c r="F521" t="str">
        <f>""</f>
        <v/>
      </c>
      <c r="G521" t="str">
        <f>""</f>
        <v/>
      </c>
      <c r="H521" s="1">
        <v>39969</v>
      </c>
      <c r="I521" t="str">
        <f>"PCD00370"</f>
        <v>PCD00370</v>
      </c>
      <c r="J521" t="str">
        <f>"98869"</f>
        <v>98869</v>
      </c>
      <c r="K521" t="str">
        <f>"AS89"</f>
        <v>AS89</v>
      </c>
      <c r="L521" t="s">
        <v>969</v>
      </c>
      <c r="M521">
        <v>631.95000000000005</v>
      </c>
    </row>
    <row r="522" spans="1:13" x14ac:dyDescent="0.25">
      <c r="A522" t="str">
        <f t="shared" si="153"/>
        <v>E404</v>
      </c>
      <c r="B522">
        <v>1</v>
      </c>
      <c r="C522" t="str">
        <f t="shared" si="150"/>
        <v>14185</v>
      </c>
      <c r="D522" t="str">
        <f t="shared" si="151"/>
        <v>5620</v>
      </c>
      <c r="E522" t="str">
        <f t="shared" si="152"/>
        <v>094OMS</v>
      </c>
      <c r="F522" t="str">
        <f>""</f>
        <v/>
      </c>
      <c r="G522" t="str">
        <f>""</f>
        <v/>
      </c>
      <c r="H522" s="1">
        <v>39990</v>
      </c>
      <c r="I522" t="str">
        <f>"PCD00373"</f>
        <v>PCD00373</v>
      </c>
      <c r="J522" t="str">
        <f>"100336"</f>
        <v>100336</v>
      </c>
      <c r="K522" t="str">
        <f>"AS89"</f>
        <v>AS89</v>
      </c>
      <c r="L522" t="s">
        <v>968</v>
      </c>
      <c r="M522">
        <v>260.3</v>
      </c>
    </row>
    <row r="523" spans="1:13" x14ac:dyDescent="0.25">
      <c r="A523" t="str">
        <f t="shared" si="153"/>
        <v>E404</v>
      </c>
      <c r="B523">
        <v>1</v>
      </c>
      <c r="C523" t="str">
        <f>"43000"</f>
        <v>43000</v>
      </c>
      <c r="D523" t="str">
        <f>"5740"</f>
        <v>5740</v>
      </c>
      <c r="E523" t="str">
        <f>"850LOS"</f>
        <v>850LOS</v>
      </c>
      <c r="F523" t="str">
        <f>"PKOLOT"</f>
        <v>PKOLOT</v>
      </c>
      <c r="G523" t="str">
        <f>""</f>
        <v/>
      </c>
      <c r="H523" s="1">
        <v>39969</v>
      </c>
      <c r="I523" t="str">
        <f>"PCD00370"</f>
        <v>PCD00370</v>
      </c>
      <c r="J523" t="str">
        <f>"99245"</f>
        <v>99245</v>
      </c>
      <c r="K523" t="str">
        <f>"AS89"</f>
        <v>AS89</v>
      </c>
      <c r="L523" t="s">
        <v>967</v>
      </c>
      <c r="M523">
        <v>338.52</v>
      </c>
    </row>
    <row r="524" spans="1:13" x14ac:dyDescent="0.25">
      <c r="A524" t="str">
        <f t="shared" si="153"/>
        <v>E404</v>
      </c>
      <c r="B524">
        <v>1</v>
      </c>
      <c r="C524" t="str">
        <f>"43000"</f>
        <v>43000</v>
      </c>
      <c r="D524" t="str">
        <f>"5740"</f>
        <v>5740</v>
      </c>
      <c r="E524" t="str">
        <f>"850LOS"</f>
        <v>850LOS</v>
      </c>
      <c r="F524" t="str">
        <f>""</f>
        <v/>
      </c>
      <c r="G524" t="str">
        <f>""</f>
        <v/>
      </c>
      <c r="H524" s="1">
        <v>39885</v>
      </c>
      <c r="I524" t="str">
        <f>"PCD00359"</f>
        <v>PCD00359</v>
      </c>
      <c r="J524" t="str">
        <f>"93625"</f>
        <v>93625</v>
      </c>
      <c r="K524" t="str">
        <f>"AS89"</f>
        <v>AS89</v>
      </c>
      <c r="L524" t="s">
        <v>966</v>
      </c>
      <c r="M524">
        <v>100.25</v>
      </c>
    </row>
    <row r="525" spans="1:13" x14ac:dyDescent="0.25">
      <c r="A525" t="str">
        <f t="shared" si="153"/>
        <v>E404</v>
      </c>
      <c r="B525">
        <v>1</v>
      </c>
      <c r="C525" t="str">
        <f>"43000"</f>
        <v>43000</v>
      </c>
      <c r="D525" t="str">
        <f>"5740"</f>
        <v>5740</v>
      </c>
      <c r="E525" t="str">
        <f>"850PKE"</f>
        <v>850PKE</v>
      </c>
      <c r="F525" t="str">
        <f>""</f>
        <v/>
      </c>
      <c r="G525" t="str">
        <f>""</f>
        <v/>
      </c>
      <c r="H525" s="1">
        <v>39822</v>
      </c>
      <c r="I525" t="str">
        <f>"PCD00351"</f>
        <v>PCD00351</v>
      </c>
      <c r="J525" t="str">
        <f>"91341"</f>
        <v>91341</v>
      </c>
      <c r="K525" t="str">
        <f>"AS89"</f>
        <v>AS89</v>
      </c>
      <c r="L525" t="s">
        <v>965</v>
      </c>
      <c r="M525">
        <v>154.99</v>
      </c>
    </row>
    <row r="526" spans="1:13" x14ac:dyDescent="0.25">
      <c r="A526" t="str">
        <f t="shared" si="153"/>
        <v>E404</v>
      </c>
      <c r="B526">
        <v>1</v>
      </c>
      <c r="C526" t="str">
        <f>"55740"</f>
        <v>55740</v>
      </c>
      <c r="D526" t="str">
        <f>"5620"</f>
        <v>5620</v>
      </c>
      <c r="E526" t="str">
        <f>"094OMS"</f>
        <v>094OMS</v>
      </c>
      <c r="F526" t="str">
        <f>""</f>
        <v/>
      </c>
      <c r="G526" t="str">
        <f>""</f>
        <v/>
      </c>
      <c r="H526" s="1">
        <v>39964</v>
      </c>
      <c r="I526" t="str">
        <f>"EIS00088"</f>
        <v>EIS00088</v>
      </c>
      <c r="J526" t="str">
        <f>"FT48997A"</f>
        <v>FT48997A</v>
      </c>
      <c r="K526" t="str">
        <f>"AS96"</f>
        <v>AS96</v>
      </c>
      <c r="L526" t="s">
        <v>960</v>
      </c>
      <c r="M526" s="2">
        <v>2958.46</v>
      </c>
    </row>
    <row r="527" spans="1:13" x14ac:dyDescent="0.25">
      <c r="A527" t="str">
        <f t="shared" si="153"/>
        <v>E404</v>
      </c>
      <c r="B527">
        <v>1</v>
      </c>
      <c r="C527" t="str">
        <f>"55740"</f>
        <v>55740</v>
      </c>
      <c r="D527" t="str">
        <f>"5620"</f>
        <v>5620</v>
      </c>
      <c r="E527" t="str">
        <f>"111ZAA"</f>
        <v>111ZAA</v>
      </c>
      <c r="F527" t="str">
        <f>""</f>
        <v/>
      </c>
      <c r="G527" t="str">
        <f>""</f>
        <v/>
      </c>
      <c r="H527" s="1">
        <v>39903</v>
      </c>
      <c r="I527" t="str">
        <f>"EIS00084"</f>
        <v>EIS00084</v>
      </c>
      <c r="J527" t="str">
        <f>"FT48997A"</f>
        <v>FT48997A</v>
      </c>
      <c r="K527" t="str">
        <f>"AS96"</f>
        <v>AS96</v>
      </c>
      <c r="L527" t="s">
        <v>959</v>
      </c>
      <c r="M527" s="2">
        <v>1676.33</v>
      </c>
    </row>
    <row r="528" spans="1:13" x14ac:dyDescent="0.25">
      <c r="A528" t="str">
        <f>"E407"</f>
        <v>E407</v>
      </c>
      <c r="B528">
        <v>1</v>
      </c>
      <c r="C528" t="str">
        <f>"14185"</f>
        <v>14185</v>
      </c>
      <c r="D528" t="str">
        <f>"5620"</f>
        <v>5620</v>
      </c>
      <c r="E528" t="str">
        <f>"094OMS"</f>
        <v>094OMS</v>
      </c>
      <c r="F528" t="str">
        <f>""</f>
        <v/>
      </c>
      <c r="G528" t="str">
        <f>""</f>
        <v/>
      </c>
      <c r="H528" s="1">
        <v>39776</v>
      </c>
      <c r="I528" t="str">
        <f>"157870"</f>
        <v>157870</v>
      </c>
      <c r="J528" t="str">
        <f>"F125340"</f>
        <v>F125340</v>
      </c>
      <c r="K528" t="str">
        <f>"INEI"</f>
        <v>INEI</v>
      </c>
      <c r="L528" t="s">
        <v>764</v>
      </c>
      <c r="M528">
        <v>514.16</v>
      </c>
    </row>
    <row r="529" spans="1:13" x14ac:dyDescent="0.25">
      <c r="A529" t="str">
        <f>"E407"</f>
        <v>E407</v>
      </c>
      <c r="B529">
        <v>1</v>
      </c>
      <c r="C529" t="str">
        <f>"43000"</f>
        <v>43000</v>
      </c>
      <c r="D529" t="str">
        <f>"5740"</f>
        <v>5740</v>
      </c>
      <c r="E529" t="str">
        <f>"850LOS"</f>
        <v>850LOS</v>
      </c>
      <c r="F529" t="str">
        <f>""</f>
        <v/>
      </c>
      <c r="G529" t="str">
        <f>""</f>
        <v/>
      </c>
      <c r="H529" s="1">
        <v>39853</v>
      </c>
      <c r="I529" t="str">
        <f>"PCD00354"</f>
        <v>PCD00354</v>
      </c>
      <c r="J529" t="str">
        <f>"91662"</f>
        <v>91662</v>
      </c>
      <c r="K529" t="str">
        <f>"AS89"</f>
        <v>AS89</v>
      </c>
      <c r="L529" t="s">
        <v>964</v>
      </c>
      <c r="M529">
        <v>614.44000000000005</v>
      </c>
    </row>
    <row r="530" spans="1:13" x14ac:dyDescent="0.25">
      <c r="A530" t="str">
        <f>"E407"</f>
        <v>E407</v>
      </c>
      <c r="B530">
        <v>1</v>
      </c>
      <c r="C530" t="str">
        <f>"43005"</f>
        <v>43005</v>
      </c>
      <c r="D530" t="str">
        <f>"5740"</f>
        <v>5740</v>
      </c>
      <c r="E530" t="str">
        <f>"850PKE"</f>
        <v>850PKE</v>
      </c>
      <c r="F530" t="str">
        <f>""</f>
        <v/>
      </c>
      <c r="G530" t="str">
        <f>""</f>
        <v/>
      </c>
      <c r="H530" s="1">
        <v>39948</v>
      </c>
      <c r="I530" t="str">
        <f>"D74DT5M7"</f>
        <v>D74DT5M7</v>
      </c>
      <c r="J530" t="str">
        <f>"F135471"</f>
        <v>F135471</v>
      </c>
      <c r="K530" t="str">
        <f t="shared" ref="K530:K537" si="154">"INEI"</f>
        <v>INEI</v>
      </c>
      <c r="L530" t="s">
        <v>349</v>
      </c>
      <c r="M530" s="2">
        <v>5262.37</v>
      </c>
    </row>
    <row r="531" spans="1:13" x14ac:dyDescent="0.25">
      <c r="A531" t="str">
        <f>"E407"</f>
        <v>E407</v>
      </c>
      <c r="B531">
        <v>1</v>
      </c>
      <c r="C531" t="str">
        <f>"55729"</f>
        <v>55729</v>
      </c>
      <c r="D531" t="str">
        <f>"5741"</f>
        <v>5741</v>
      </c>
      <c r="E531" t="str">
        <f>"111ZAA"</f>
        <v>111ZAA</v>
      </c>
      <c r="F531" t="str">
        <f>""</f>
        <v/>
      </c>
      <c r="G531" t="str">
        <f>""</f>
        <v/>
      </c>
      <c r="H531" s="1">
        <v>39940</v>
      </c>
      <c r="I531" t="str">
        <f>"D6RMMN52"</f>
        <v>D6RMMN52</v>
      </c>
      <c r="J531" t="str">
        <f>"FT48205"</f>
        <v>FT48205</v>
      </c>
      <c r="K531" t="str">
        <f t="shared" si="154"/>
        <v>INEI</v>
      </c>
      <c r="L531" t="s">
        <v>349</v>
      </c>
      <c r="M531">
        <v>532.74</v>
      </c>
    </row>
    <row r="532" spans="1:13" x14ac:dyDescent="0.25">
      <c r="A532" t="str">
        <f t="shared" ref="A532:A537" si="155">"E408"</f>
        <v>E408</v>
      </c>
      <c r="B532">
        <v>1</v>
      </c>
      <c r="C532" t="str">
        <f>"14185"</f>
        <v>14185</v>
      </c>
      <c r="D532" t="str">
        <f t="shared" ref="D532:D537" si="156">"5620"</f>
        <v>5620</v>
      </c>
      <c r="E532" t="str">
        <f>"094OMS"</f>
        <v>094OMS</v>
      </c>
      <c r="F532" t="str">
        <f>""</f>
        <v/>
      </c>
      <c r="G532" t="str">
        <f>""</f>
        <v/>
      </c>
      <c r="H532" s="1">
        <v>39772</v>
      </c>
      <c r="I532" t="str">
        <f>"22334"</f>
        <v>22334</v>
      </c>
      <c r="J532" t="str">
        <f>"F125343"</f>
        <v>F125343</v>
      </c>
      <c r="K532" t="str">
        <f t="shared" si="154"/>
        <v>INEI</v>
      </c>
      <c r="L532" t="s">
        <v>963</v>
      </c>
      <c r="M532" s="2">
        <v>8130</v>
      </c>
    </row>
    <row r="533" spans="1:13" x14ac:dyDescent="0.25">
      <c r="A533" t="str">
        <f t="shared" si="155"/>
        <v>E408</v>
      </c>
      <c r="B533">
        <v>1</v>
      </c>
      <c r="C533" t="str">
        <f>"14185"</f>
        <v>14185</v>
      </c>
      <c r="D533" t="str">
        <f t="shared" si="156"/>
        <v>5620</v>
      </c>
      <c r="E533" t="str">
        <f>"094OMS"</f>
        <v>094OMS</v>
      </c>
      <c r="F533" t="str">
        <f>""</f>
        <v/>
      </c>
      <c r="G533" t="str">
        <f>""</f>
        <v/>
      </c>
      <c r="H533" s="1">
        <v>39916</v>
      </c>
      <c r="I533" t="str">
        <f>"59786"</f>
        <v>59786</v>
      </c>
      <c r="J533" t="str">
        <f>"F125376"</f>
        <v>F125376</v>
      </c>
      <c r="K533" t="str">
        <f t="shared" si="154"/>
        <v>INEI</v>
      </c>
      <c r="L533" t="s">
        <v>961</v>
      </c>
      <c r="M533" s="2">
        <v>3493.46</v>
      </c>
    </row>
    <row r="534" spans="1:13" x14ac:dyDescent="0.25">
      <c r="A534" t="str">
        <f t="shared" si="155"/>
        <v>E408</v>
      </c>
      <c r="B534">
        <v>1</v>
      </c>
      <c r="C534" t="str">
        <f>"14185"</f>
        <v>14185</v>
      </c>
      <c r="D534" t="str">
        <f t="shared" si="156"/>
        <v>5620</v>
      </c>
      <c r="E534" t="str">
        <f>"094OMS"</f>
        <v>094OMS</v>
      </c>
      <c r="F534" t="str">
        <f>""</f>
        <v/>
      </c>
      <c r="G534" t="str">
        <f>""</f>
        <v/>
      </c>
      <c r="H534" s="1">
        <v>39924</v>
      </c>
      <c r="I534" t="str">
        <f>"171590"</f>
        <v>171590</v>
      </c>
      <c r="J534" t="str">
        <f>"FT48997A"</f>
        <v>FT48997A</v>
      </c>
      <c r="K534" t="str">
        <f t="shared" si="154"/>
        <v>INEI</v>
      </c>
      <c r="L534" t="s">
        <v>957</v>
      </c>
      <c r="M534">
        <v>291.12</v>
      </c>
    </row>
    <row r="535" spans="1:13" x14ac:dyDescent="0.25">
      <c r="A535" t="str">
        <f t="shared" si="155"/>
        <v>E408</v>
      </c>
      <c r="B535">
        <v>1</v>
      </c>
      <c r="C535" t="str">
        <f>"55740"</f>
        <v>55740</v>
      </c>
      <c r="D535" t="str">
        <f t="shared" si="156"/>
        <v>5620</v>
      </c>
      <c r="E535" t="str">
        <f>"111ZAA"</f>
        <v>111ZAA</v>
      </c>
      <c r="F535" t="str">
        <f>""</f>
        <v/>
      </c>
      <c r="G535" t="str">
        <f>""</f>
        <v/>
      </c>
      <c r="H535" s="1">
        <v>39890</v>
      </c>
      <c r="I535" t="str">
        <f>"170094"</f>
        <v>170094</v>
      </c>
      <c r="J535" t="str">
        <f>"FT48997A"</f>
        <v>FT48997A</v>
      </c>
      <c r="K535" t="str">
        <f t="shared" si="154"/>
        <v>INEI</v>
      </c>
      <c r="L535" t="s">
        <v>957</v>
      </c>
      <c r="M535" s="2">
        <v>1676.33</v>
      </c>
    </row>
    <row r="536" spans="1:13" x14ac:dyDescent="0.25">
      <c r="A536" t="str">
        <f t="shared" si="155"/>
        <v>E408</v>
      </c>
      <c r="B536">
        <v>1</v>
      </c>
      <c r="C536" t="str">
        <f>"55740"</f>
        <v>55740</v>
      </c>
      <c r="D536" t="str">
        <f t="shared" si="156"/>
        <v>5620</v>
      </c>
      <c r="E536" t="str">
        <f>"111ZAA"</f>
        <v>111ZAA</v>
      </c>
      <c r="F536" t="str">
        <f>""</f>
        <v/>
      </c>
      <c r="G536" t="str">
        <f>""</f>
        <v/>
      </c>
      <c r="H536" s="1">
        <v>39905</v>
      </c>
      <c r="I536" t="str">
        <f>"00180560"</f>
        <v>00180560</v>
      </c>
      <c r="J536" t="str">
        <f>"FT48997"</f>
        <v>FT48997</v>
      </c>
      <c r="K536" t="str">
        <f t="shared" si="154"/>
        <v>INEI</v>
      </c>
      <c r="L536" t="s">
        <v>958</v>
      </c>
      <c r="M536">
        <v>537.08000000000004</v>
      </c>
    </row>
    <row r="537" spans="1:13" x14ac:dyDescent="0.25">
      <c r="A537" t="str">
        <f t="shared" si="155"/>
        <v>E408</v>
      </c>
      <c r="B537">
        <v>1</v>
      </c>
      <c r="C537" t="str">
        <f>"55740"</f>
        <v>55740</v>
      </c>
      <c r="D537" t="str">
        <f t="shared" si="156"/>
        <v>5620</v>
      </c>
      <c r="E537" t="str">
        <f>"111ZAA"</f>
        <v>111ZAA</v>
      </c>
      <c r="F537" t="str">
        <f>""</f>
        <v/>
      </c>
      <c r="G537" t="str">
        <f>""</f>
        <v/>
      </c>
      <c r="H537" s="1">
        <v>39924</v>
      </c>
      <c r="I537" t="str">
        <f>"171590"</f>
        <v>171590</v>
      </c>
      <c r="J537" t="str">
        <f>"FT48997A"</f>
        <v>FT48997A</v>
      </c>
      <c r="K537" t="str">
        <f t="shared" si="154"/>
        <v>INEI</v>
      </c>
      <c r="L537" t="s">
        <v>957</v>
      </c>
      <c r="M537" s="2">
        <v>2958.46</v>
      </c>
    </row>
    <row r="538" spans="1:13" x14ac:dyDescent="0.25">
      <c r="A538" t="str">
        <f>"E413"</f>
        <v>E413</v>
      </c>
      <c r="B538">
        <v>1</v>
      </c>
      <c r="C538" t="str">
        <f>"43005"</f>
        <v>43005</v>
      </c>
      <c r="D538" t="str">
        <f>"5740"</f>
        <v>5740</v>
      </c>
      <c r="E538" t="str">
        <f>"850REP"</f>
        <v>850REP</v>
      </c>
      <c r="F538" t="str">
        <f>""</f>
        <v/>
      </c>
      <c r="G538" t="str">
        <f>""</f>
        <v/>
      </c>
      <c r="H538" s="1">
        <v>39994</v>
      </c>
      <c r="I538" t="str">
        <f>"ACG01864"</f>
        <v>ACG01864</v>
      </c>
      <c r="J538" t="str">
        <f>"F000864"</f>
        <v>F000864</v>
      </c>
      <c r="K538" t="str">
        <f>"AS96"</f>
        <v>AS96</v>
      </c>
      <c r="L538" t="s">
        <v>956</v>
      </c>
      <c r="M538">
        <v>958.69</v>
      </c>
    </row>
    <row r="539" spans="1:13" x14ac:dyDescent="0.25">
      <c r="A539" t="str">
        <f>"E414"</f>
        <v>E414</v>
      </c>
      <c r="B539">
        <v>1</v>
      </c>
      <c r="C539" t="str">
        <f>"32040"</f>
        <v>32040</v>
      </c>
      <c r="D539" t="str">
        <f>"5610"</f>
        <v>5610</v>
      </c>
      <c r="E539" t="str">
        <f>"850LOS"</f>
        <v>850LOS</v>
      </c>
      <c r="F539" t="str">
        <f>""</f>
        <v/>
      </c>
      <c r="G539" t="str">
        <f>""</f>
        <v/>
      </c>
      <c r="H539" s="1">
        <v>39954</v>
      </c>
      <c r="I539" t="str">
        <f>"0504091"</f>
        <v>0504091</v>
      </c>
      <c r="J539" t="str">
        <f>"F135468"</f>
        <v>F135468</v>
      </c>
      <c r="K539" t="str">
        <f>"INEI"</f>
        <v>INEI</v>
      </c>
      <c r="L539" t="s">
        <v>955</v>
      </c>
      <c r="M539" s="2">
        <v>8697.36</v>
      </c>
    </row>
    <row r="540" spans="1:13" x14ac:dyDescent="0.25">
      <c r="A540" t="str">
        <f>"E414"</f>
        <v>E414</v>
      </c>
      <c r="B540">
        <v>1</v>
      </c>
      <c r="C540" t="str">
        <f>"43005"</f>
        <v>43005</v>
      </c>
      <c r="D540" t="str">
        <f>"5740"</f>
        <v>5740</v>
      </c>
      <c r="E540" t="str">
        <f>"850REP"</f>
        <v>850REP</v>
      </c>
      <c r="F540" t="str">
        <f>""</f>
        <v/>
      </c>
      <c r="G540" t="str">
        <f>""</f>
        <v/>
      </c>
      <c r="H540" s="1">
        <v>39969</v>
      </c>
      <c r="I540" t="str">
        <f>"HW000400"</f>
        <v>HW000400</v>
      </c>
      <c r="J540" t="str">
        <f>"N125348"</f>
        <v>N125348</v>
      </c>
      <c r="K540" t="str">
        <f>"INEI"</f>
        <v>INEI</v>
      </c>
      <c r="L540" t="s">
        <v>229</v>
      </c>
      <c r="M540" s="2">
        <v>25076.53</v>
      </c>
    </row>
    <row r="541" spans="1:13" x14ac:dyDescent="0.25">
      <c r="A541" t="str">
        <f>"E491"</f>
        <v>E491</v>
      </c>
      <c r="B541">
        <v>1</v>
      </c>
      <c r="C541" t="str">
        <f>"54551"</f>
        <v>54551</v>
      </c>
      <c r="D541" t="str">
        <f>"5740"</f>
        <v>5740</v>
      </c>
      <c r="E541" t="str">
        <f>"111ZAA"</f>
        <v>111ZAA</v>
      </c>
      <c r="F541" t="str">
        <f>"GRADPR"</f>
        <v>GRADPR</v>
      </c>
      <c r="G541" t="str">
        <f>""</f>
        <v/>
      </c>
      <c r="H541" s="1">
        <v>39918</v>
      </c>
      <c r="I541" t="str">
        <f>"G0910083"</f>
        <v>G0910083</v>
      </c>
      <c r="J541" t="str">
        <f>""</f>
        <v/>
      </c>
      <c r="K541" t="str">
        <f>"J096"</f>
        <v>J096</v>
      </c>
      <c r="L541" t="s">
        <v>954</v>
      </c>
      <c r="M541" s="2">
        <v>132716.92000000001</v>
      </c>
    </row>
    <row r="542" spans="1:13" x14ac:dyDescent="0.25">
      <c r="A542" t="str">
        <f>"E491"</f>
        <v>E491</v>
      </c>
      <c r="B542">
        <v>1</v>
      </c>
      <c r="C542" t="str">
        <f>"54551"</f>
        <v>54551</v>
      </c>
      <c r="D542" t="str">
        <f>"5740"</f>
        <v>5740</v>
      </c>
      <c r="E542" t="str">
        <f>"111ZAA"</f>
        <v>111ZAA</v>
      </c>
      <c r="F542" t="str">
        <f>"GRADPR"</f>
        <v>GRADPR</v>
      </c>
      <c r="G542" t="str">
        <f>""</f>
        <v/>
      </c>
      <c r="H542" s="1">
        <v>39993</v>
      </c>
      <c r="I542" t="str">
        <f>"G0912267"</f>
        <v>G0912267</v>
      </c>
      <c r="J542" t="str">
        <f>""</f>
        <v/>
      </c>
      <c r="K542" t="str">
        <f>"J096"</f>
        <v>J096</v>
      </c>
      <c r="L542" t="s">
        <v>953</v>
      </c>
      <c r="M542" s="2">
        <v>167275.57999999999</v>
      </c>
    </row>
    <row r="543" spans="1:13" x14ac:dyDescent="0.25">
      <c r="A543" t="str">
        <f>"E491"</f>
        <v>E491</v>
      </c>
      <c r="B543">
        <v>1</v>
      </c>
      <c r="C543" t="str">
        <f>"54551"</f>
        <v>54551</v>
      </c>
      <c r="D543" t="str">
        <f>"5740"</f>
        <v>5740</v>
      </c>
      <c r="E543" t="str">
        <f>"111ZAA"</f>
        <v>111ZAA</v>
      </c>
      <c r="F543" t="str">
        <f>"GRADPR"</f>
        <v>GRADPR</v>
      </c>
      <c r="G543" t="str">
        <f>""</f>
        <v/>
      </c>
      <c r="H543" s="1">
        <v>39994</v>
      </c>
      <c r="I543" t="str">
        <f>"G0914075"</f>
        <v>G0914075</v>
      </c>
      <c r="J543" t="str">
        <f>""</f>
        <v/>
      </c>
      <c r="K543" t="str">
        <f>"J096"</f>
        <v>J096</v>
      </c>
      <c r="L543" t="s">
        <v>952</v>
      </c>
      <c r="M543" s="2">
        <v>205924.7</v>
      </c>
    </row>
  </sheetData>
  <autoFilter ref="A1:M5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7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9.8554687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 t="shared" ref="A2:A8" si="0">"E051"</f>
        <v>E051</v>
      </c>
      <c r="B2">
        <v>1</v>
      </c>
      <c r="C2" t="str">
        <f t="shared" ref="C2:C8" si="1">"43007"</f>
        <v>43007</v>
      </c>
      <c r="D2" t="str">
        <f t="shared" ref="D2:D8" si="2">"5740"</f>
        <v>5740</v>
      </c>
      <c r="E2" t="str">
        <f t="shared" ref="E2:E8" si="3">"850GAR"</f>
        <v>850GAR</v>
      </c>
      <c r="F2" t="str">
        <f>""</f>
        <v/>
      </c>
      <c r="G2" t="str">
        <f>""</f>
        <v/>
      </c>
      <c r="H2" s="1">
        <v>40066</v>
      </c>
      <c r="I2" t="str">
        <f>"43498561"</f>
        <v>43498561</v>
      </c>
      <c r="J2" t="str">
        <f>"N113001C"</f>
        <v>N113001C</v>
      </c>
      <c r="K2" t="str">
        <f>"INEI"</f>
        <v>INEI</v>
      </c>
      <c r="L2" t="s">
        <v>673</v>
      </c>
      <c r="M2" s="2">
        <v>5300</v>
      </c>
    </row>
    <row r="3" spans="1:13" x14ac:dyDescent="0.25">
      <c r="A3" t="str">
        <f t="shared" si="0"/>
        <v>E051</v>
      </c>
      <c r="B3">
        <v>1</v>
      </c>
      <c r="C3" t="str">
        <f t="shared" si="1"/>
        <v>43007</v>
      </c>
      <c r="D3" t="str">
        <f t="shared" si="2"/>
        <v>5740</v>
      </c>
      <c r="E3" t="str">
        <f t="shared" si="3"/>
        <v>850GAR</v>
      </c>
      <c r="F3" t="str">
        <f>""</f>
        <v/>
      </c>
      <c r="G3" t="str">
        <f>""</f>
        <v/>
      </c>
      <c r="H3" s="1">
        <v>40067</v>
      </c>
      <c r="I3" t="str">
        <f>"43518260"</f>
        <v>43518260</v>
      </c>
      <c r="J3" t="str">
        <f>"N113001C"</f>
        <v>N113001C</v>
      </c>
      <c r="K3" t="str">
        <f>"INEI"</f>
        <v>INEI</v>
      </c>
      <c r="L3" t="s">
        <v>673</v>
      </c>
      <c r="M3" s="2">
        <v>3370</v>
      </c>
    </row>
    <row r="4" spans="1:13" x14ac:dyDescent="0.25">
      <c r="A4" t="str">
        <f t="shared" si="0"/>
        <v>E051</v>
      </c>
      <c r="B4">
        <v>1</v>
      </c>
      <c r="C4" t="str">
        <f t="shared" si="1"/>
        <v>43007</v>
      </c>
      <c r="D4" t="str">
        <f t="shared" si="2"/>
        <v>5740</v>
      </c>
      <c r="E4" t="str">
        <f t="shared" si="3"/>
        <v>850GAR</v>
      </c>
      <c r="F4" t="str">
        <f>""</f>
        <v/>
      </c>
      <c r="G4" t="str">
        <f>""</f>
        <v/>
      </c>
      <c r="H4" s="1">
        <v>40087</v>
      </c>
      <c r="I4" t="str">
        <f>"43523150"</f>
        <v>43523150</v>
      </c>
      <c r="J4" t="str">
        <f>"N113001C"</f>
        <v>N113001C</v>
      </c>
      <c r="K4" t="str">
        <f>"INEI"</f>
        <v>INEI</v>
      </c>
      <c r="L4" t="s">
        <v>673</v>
      </c>
      <c r="M4" s="2">
        <v>4786.55</v>
      </c>
    </row>
    <row r="5" spans="1:13" x14ac:dyDescent="0.25">
      <c r="A5" t="str">
        <f t="shared" si="0"/>
        <v>E051</v>
      </c>
      <c r="B5">
        <v>1</v>
      </c>
      <c r="C5" t="str">
        <f t="shared" si="1"/>
        <v>43007</v>
      </c>
      <c r="D5" t="str">
        <f t="shared" si="2"/>
        <v>5740</v>
      </c>
      <c r="E5" t="str">
        <f t="shared" si="3"/>
        <v>850GAR</v>
      </c>
      <c r="F5" t="str">
        <f>""</f>
        <v/>
      </c>
      <c r="G5" t="str">
        <f>""</f>
        <v/>
      </c>
      <c r="H5" s="1">
        <v>40092</v>
      </c>
      <c r="I5" t="str">
        <f>"43543658"</f>
        <v>43543658</v>
      </c>
      <c r="J5" t="str">
        <f>"N113001C"</f>
        <v>N113001C</v>
      </c>
      <c r="K5" t="str">
        <f>"INEI"</f>
        <v>INEI</v>
      </c>
      <c r="L5" t="s">
        <v>673</v>
      </c>
      <c r="M5" s="2">
        <v>3796.2</v>
      </c>
    </row>
    <row r="6" spans="1:13" x14ac:dyDescent="0.25">
      <c r="A6" t="str">
        <f t="shared" si="0"/>
        <v>E051</v>
      </c>
      <c r="B6">
        <v>1</v>
      </c>
      <c r="C6" t="str">
        <f t="shared" si="1"/>
        <v>43007</v>
      </c>
      <c r="D6" t="str">
        <f t="shared" si="2"/>
        <v>5740</v>
      </c>
      <c r="E6" t="str">
        <f t="shared" si="3"/>
        <v>850GAR</v>
      </c>
      <c r="F6" t="str">
        <f>""</f>
        <v/>
      </c>
      <c r="G6" t="str">
        <f>""</f>
        <v/>
      </c>
      <c r="H6" s="1">
        <v>40113</v>
      </c>
      <c r="I6" t="str">
        <f>"G1004127"</f>
        <v>G1004127</v>
      </c>
      <c r="J6" t="str">
        <f>"43518260"</f>
        <v>43518260</v>
      </c>
      <c r="K6" t="str">
        <f>"J096"</f>
        <v>J096</v>
      </c>
      <c r="L6" t="s">
        <v>1467</v>
      </c>
      <c r="M6" s="2">
        <v>4950</v>
      </c>
    </row>
    <row r="7" spans="1:13" x14ac:dyDescent="0.25">
      <c r="A7" t="str">
        <f t="shared" si="0"/>
        <v>E051</v>
      </c>
      <c r="B7">
        <v>1</v>
      </c>
      <c r="C7" t="str">
        <f t="shared" si="1"/>
        <v>43007</v>
      </c>
      <c r="D7" t="str">
        <f t="shared" si="2"/>
        <v>5740</v>
      </c>
      <c r="E7" t="str">
        <f t="shared" si="3"/>
        <v>850GAR</v>
      </c>
      <c r="F7" t="str">
        <f>""</f>
        <v/>
      </c>
      <c r="G7" t="str">
        <f>""</f>
        <v/>
      </c>
      <c r="H7" s="1">
        <v>40113</v>
      </c>
      <c r="I7" t="str">
        <f>"G1004128"</f>
        <v>G1004128</v>
      </c>
      <c r="J7" t="str">
        <f>"43496561"</f>
        <v>43496561</v>
      </c>
      <c r="K7" t="str">
        <f>"J096"</f>
        <v>J096</v>
      </c>
      <c r="L7" t="s">
        <v>1467</v>
      </c>
      <c r="M7" s="2">
        <v>8000</v>
      </c>
    </row>
    <row r="8" spans="1:13" x14ac:dyDescent="0.25">
      <c r="A8" t="str">
        <f t="shared" si="0"/>
        <v>E051</v>
      </c>
      <c r="B8">
        <v>1</v>
      </c>
      <c r="C8" t="str">
        <f t="shared" si="1"/>
        <v>43007</v>
      </c>
      <c r="D8" t="str">
        <f t="shared" si="2"/>
        <v>5740</v>
      </c>
      <c r="E8" t="str">
        <f t="shared" si="3"/>
        <v>850GAR</v>
      </c>
      <c r="F8" t="str">
        <f>""</f>
        <v/>
      </c>
      <c r="G8" t="str">
        <f>""</f>
        <v/>
      </c>
      <c r="H8" s="1">
        <v>40113</v>
      </c>
      <c r="I8" t="str">
        <f>"G1004129"</f>
        <v>G1004129</v>
      </c>
      <c r="J8" t="str">
        <f>"43523150"</f>
        <v>43523150</v>
      </c>
      <c r="K8" t="str">
        <f>"J096"</f>
        <v>J096</v>
      </c>
      <c r="L8" t="s">
        <v>1467</v>
      </c>
      <c r="M8" s="2">
        <v>6658.8</v>
      </c>
    </row>
    <row r="9" spans="1:13" x14ac:dyDescent="0.25">
      <c r="A9" t="str">
        <f>"E053"</f>
        <v>E053</v>
      </c>
      <c r="B9">
        <v>1</v>
      </c>
      <c r="C9" t="str">
        <f t="shared" ref="C9:C16" si="4">"14185"</f>
        <v>14185</v>
      </c>
      <c r="D9" t="str">
        <f t="shared" ref="D9:D56" si="5">"5620"</f>
        <v>5620</v>
      </c>
      <c r="E9" t="str">
        <f t="shared" ref="E9:E56" si="6">"094OMS"</f>
        <v>094OMS</v>
      </c>
      <c r="F9" t="str">
        <f>""</f>
        <v/>
      </c>
      <c r="G9" t="str">
        <f>""</f>
        <v/>
      </c>
      <c r="H9" s="1">
        <v>40206</v>
      </c>
      <c r="I9" t="str">
        <f>"00092240"</f>
        <v>00092240</v>
      </c>
      <c r="J9" t="str">
        <f>"BP43801P"</f>
        <v>BP43801P</v>
      </c>
      <c r="K9" t="str">
        <f t="shared" ref="K9:K21" si="7">"INNI"</f>
        <v>INNI</v>
      </c>
      <c r="L9" t="s">
        <v>1</v>
      </c>
      <c r="M9">
        <v>435</v>
      </c>
    </row>
    <row r="10" spans="1:13" x14ac:dyDescent="0.25">
      <c r="A10" t="str">
        <f>"E053"</f>
        <v>E053</v>
      </c>
      <c r="B10">
        <v>1</v>
      </c>
      <c r="C10" t="str">
        <f t="shared" si="4"/>
        <v>14185</v>
      </c>
      <c r="D10" t="str">
        <f t="shared" si="5"/>
        <v>5620</v>
      </c>
      <c r="E10" t="str">
        <f t="shared" si="6"/>
        <v>094OMS</v>
      </c>
      <c r="F10" t="str">
        <f>""</f>
        <v/>
      </c>
      <c r="G10" t="str">
        <f>""</f>
        <v/>
      </c>
      <c r="H10" s="1">
        <v>40347</v>
      </c>
      <c r="I10" t="str">
        <f>"00098961"</f>
        <v>00098961</v>
      </c>
      <c r="J10" t="str">
        <f>"BP43801P"</f>
        <v>BP43801P</v>
      </c>
      <c r="K10" t="str">
        <f t="shared" si="7"/>
        <v>INNI</v>
      </c>
      <c r="L10" t="s">
        <v>1</v>
      </c>
      <c r="M10">
        <v>395</v>
      </c>
    </row>
    <row r="11" spans="1:13" x14ac:dyDescent="0.25">
      <c r="A11" t="str">
        <f>"E053"</f>
        <v>E053</v>
      </c>
      <c r="B11">
        <v>1</v>
      </c>
      <c r="C11" t="str">
        <f t="shared" si="4"/>
        <v>14185</v>
      </c>
      <c r="D11" t="str">
        <f t="shared" si="5"/>
        <v>5620</v>
      </c>
      <c r="E11" t="str">
        <f t="shared" si="6"/>
        <v>094OMS</v>
      </c>
      <c r="F11" t="str">
        <f>""</f>
        <v/>
      </c>
      <c r="G11" t="str">
        <f>""</f>
        <v/>
      </c>
      <c r="H11" s="1">
        <v>40351</v>
      </c>
      <c r="I11" t="str">
        <f>"00099636"</f>
        <v>00099636</v>
      </c>
      <c r="J11" t="str">
        <f>"BP43801P"</f>
        <v>BP43801P</v>
      </c>
      <c r="K11" t="str">
        <f t="shared" si="7"/>
        <v>INNI</v>
      </c>
      <c r="L11" t="s">
        <v>1</v>
      </c>
      <c r="M11">
        <v>400</v>
      </c>
    </row>
    <row r="12" spans="1:13" x14ac:dyDescent="0.25">
      <c r="A12" t="str">
        <f t="shared" ref="A12:A19" si="8">"E055"</f>
        <v>E055</v>
      </c>
      <c r="B12">
        <v>1</v>
      </c>
      <c r="C12" t="str">
        <f t="shared" si="4"/>
        <v>14185</v>
      </c>
      <c r="D12" t="str">
        <f t="shared" si="5"/>
        <v>5620</v>
      </c>
      <c r="E12" t="str">
        <f t="shared" si="6"/>
        <v>094OMS</v>
      </c>
      <c r="F12" t="str">
        <f>""</f>
        <v/>
      </c>
      <c r="G12" t="str">
        <f>""</f>
        <v/>
      </c>
      <c r="H12" s="1">
        <v>40116</v>
      </c>
      <c r="I12" t="str">
        <f>"138264"</f>
        <v>138264</v>
      </c>
      <c r="J12" t="str">
        <f>""</f>
        <v/>
      </c>
      <c r="K12" t="str">
        <f t="shared" si="7"/>
        <v>INNI</v>
      </c>
      <c r="L12" t="s">
        <v>4</v>
      </c>
      <c r="M12">
        <v>175</v>
      </c>
    </row>
    <row r="13" spans="1:13" x14ac:dyDescent="0.25">
      <c r="A13" t="str">
        <f t="shared" si="8"/>
        <v>E055</v>
      </c>
      <c r="B13">
        <v>1</v>
      </c>
      <c r="C13" t="str">
        <f t="shared" si="4"/>
        <v>14185</v>
      </c>
      <c r="D13" t="str">
        <f t="shared" si="5"/>
        <v>5620</v>
      </c>
      <c r="E13" t="str">
        <f t="shared" si="6"/>
        <v>094OMS</v>
      </c>
      <c r="F13" t="str">
        <f>""</f>
        <v/>
      </c>
      <c r="G13" t="str">
        <f>""</f>
        <v/>
      </c>
      <c r="H13" s="1">
        <v>40122</v>
      </c>
      <c r="I13" t="str">
        <f>"138264A"</f>
        <v>138264A</v>
      </c>
      <c r="J13" t="str">
        <f>""</f>
        <v/>
      </c>
      <c r="K13" t="str">
        <f t="shared" si="7"/>
        <v>INNI</v>
      </c>
      <c r="L13" t="s">
        <v>4</v>
      </c>
      <c r="M13">
        <v>175</v>
      </c>
    </row>
    <row r="14" spans="1:13" x14ac:dyDescent="0.25">
      <c r="A14" t="str">
        <f t="shared" si="8"/>
        <v>E055</v>
      </c>
      <c r="B14">
        <v>1</v>
      </c>
      <c r="C14" t="str">
        <f t="shared" si="4"/>
        <v>14185</v>
      </c>
      <c r="D14" t="str">
        <f t="shared" si="5"/>
        <v>5620</v>
      </c>
      <c r="E14" t="str">
        <f t="shared" si="6"/>
        <v>094OMS</v>
      </c>
      <c r="F14" t="str">
        <f>""</f>
        <v/>
      </c>
      <c r="G14" t="str">
        <f>""</f>
        <v/>
      </c>
      <c r="H14" s="1">
        <v>40176</v>
      </c>
      <c r="I14" t="str">
        <f>"138275"</f>
        <v>138275</v>
      </c>
      <c r="J14" t="str">
        <f>""</f>
        <v/>
      </c>
      <c r="K14" t="str">
        <f t="shared" si="7"/>
        <v>INNI</v>
      </c>
      <c r="L14" t="s">
        <v>4</v>
      </c>
      <c r="M14">
        <v>175</v>
      </c>
    </row>
    <row r="15" spans="1:13" x14ac:dyDescent="0.25">
      <c r="A15" t="str">
        <f t="shared" si="8"/>
        <v>E055</v>
      </c>
      <c r="B15">
        <v>1</v>
      </c>
      <c r="C15" t="str">
        <f t="shared" si="4"/>
        <v>14185</v>
      </c>
      <c r="D15" t="str">
        <f t="shared" si="5"/>
        <v>5620</v>
      </c>
      <c r="E15" t="str">
        <f t="shared" si="6"/>
        <v>094OMS</v>
      </c>
      <c r="F15" t="str">
        <f>""</f>
        <v/>
      </c>
      <c r="G15" t="str">
        <f>""</f>
        <v/>
      </c>
      <c r="H15" s="1">
        <v>40190</v>
      </c>
      <c r="I15" t="str">
        <f>"138276A"</f>
        <v>138276A</v>
      </c>
      <c r="J15" t="str">
        <f>""</f>
        <v/>
      </c>
      <c r="K15" t="str">
        <f t="shared" si="7"/>
        <v>INNI</v>
      </c>
      <c r="L15" t="s">
        <v>7</v>
      </c>
      <c r="M15">
        <v>340</v>
      </c>
    </row>
    <row r="16" spans="1:13" x14ac:dyDescent="0.25">
      <c r="A16" t="str">
        <f t="shared" si="8"/>
        <v>E055</v>
      </c>
      <c r="B16">
        <v>1</v>
      </c>
      <c r="C16" t="str">
        <f t="shared" si="4"/>
        <v>14185</v>
      </c>
      <c r="D16" t="str">
        <f t="shared" si="5"/>
        <v>5620</v>
      </c>
      <c r="E16" t="str">
        <f t="shared" si="6"/>
        <v>094OMS</v>
      </c>
      <c r="F16" t="str">
        <f>""</f>
        <v/>
      </c>
      <c r="G16" t="str">
        <f>""</f>
        <v/>
      </c>
      <c r="H16" s="1">
        <v>40274</v>
      </c>
      <c r="I16" t="str">
        <f>"138300"</f>
        <v>138300</v>
      </c>
      <c r="J16" t="str">
        <f>""</f>
        <v/>
      </c>
      <c r="K16" t="str">
        <f t="shared" si="7"/>
        <v>INNI</v>
      </c>
      <c r="L16" t="s">
        <v>4</v>
      </c>
      <c r="M16">
        <v>175</v>
      </c>
    </row>
    <row r="17" spans="1:13" x14ac:dyDescent="0.25">
      <c r="A17" t="str">
        <f t="shared" si="8"/>
        <v>E055</v>
      </c>
      <c r="B17">
        <v>1</v>
      </c>
      <c r="C17" t="str">
        <f>"31040"</f>
        <v>31040</v>
      </c>
      <c r="D17" t="str">
        <f t="shared" si="5"/>
        <v>5620</v>
      </c>
      <c r="E17" t="str">
        <f t="shared" si="6"/>
        <v>094OMS</v>
      </c>
      <c r="F17" t="str">
        <f>""</f>
        <v/>
      </c>
      <c r="G17" t="str">
        <f>""</f>
        <v/>
      </c>
      <c r="H17" s="1">
        <v>40333</v>
      </c>
      <c r="I17" t="str">
        <f>"183009"</f>
        <v>183009</v>
      </c>
      <c r="J17" t="str">
        <f>""</f>
        <v/>
      </c>
      <c r="K17" t="str">
        <f t="shared" si="7"/>
        <v>INNI</v>
      </c>
      <c r="L17" t="s">
        <v>4</v>
      </c>
      <c r="M17">
        <v>175</v>
      </c>
    </row>
    <row r="18" spans="1:13" x14ac:dyDescent="0.25">
      <c r="A18" t="str">
        <f t="shared" si="8"/>
        <v>E055</v>
      </c>
      <c r="B18">
        <v>1</v>
      </c>
      <c r="C18" t="str">
        <f>"31040"</f>
        <v>31040</v>
      </c>
      <c r="D18" t="str">
        <f t="shared" si="5"/>
        <v>5620</v>
      </c>
      <c r="E18" t="str">
        <f t="shared" si="6"/>
        <v>094OMS</v>
      </c>
      <c r="F18" t="str">
        <f>""</f>
        <v/>
      </c>
      <c r="G18" t="str">
        <f>""</f>
        <v/>
      </c>
      <c r="H18" s="1">
        <v>40333</v>
      </c>
      <c r="I18" t="str">
        <f>"183011"</f>
        <v>183011</v>
      </c>
      <c r="J18" t="str">
        <f>""</f>
        <v/>
      </c>
      <c r="K18" t="str">
        <f t="shared" si="7"/>
        <v>INNI</v>
      </c>
      <c r="L18" t="s">
        <v>7</v>
      </c>
      <c r="M18">
        <v>340</v>
      </c>
    </row>
    <row r="19" spans="1:13" x14ac:dyDescent="0.25">
      <c r="A19" t="str">
        <f t="shared" si="8"/>
        <v>E055</v>
      </c>
      <c r="B19">
        <v>1</v>
      </c>
      <c r="C19" t="str">
        <f>"31040"</f>
        <v>31040</v>
      </c>
      <c r="D19" t="str">
        <f t="shared" si="5"/>
        <v>5620</v>
      </c>
      <c r="E19" t="str">
        <f t="shared" si="6"/>
        <v>094OMS</v>
      </c>
      <c r="F19" t="str">
        <f>""</f>
        <v/>
      </c>
      <c r="G19" t="str">
        <f>""</f>
        <v/>
      </c>
      <c r="H19" s="1">
        <v>40346</v>
      </c>
      <c r="I19" t="str">
        <f>"183015"</f>
        <v>183015</v>
      </c>
      <c r="J19" t="str">
        <f>""</f>
        <v/>
      </c>
      <c r="K19" t="str">
        <f t="shared" si="7"/>
        <v>INNI</v>
      </c>
      <c r="L19" t="s">
        <v>7</v>
      </c>
      <c r="M19">
        <v>340</v>
      </c>
    </row>
    <row r="20" spans="1:13" x14ac:dyDescent="0.25">
      <c r="A20" t="str">
        <f>"E063"</f>
        <v>E063</v>
      </c>
      <c r="B20">
        <v>1</v>
      </c>
      <c r="C20" t="str">
        <f t="shared" ref="C20:C56" si="9">"14185"</f>
        <v>14185</v>
      </c>
      <c r="D20" t="str">
        <f t="shared" si="5"/>
        <v>5620</v>
      </c>
      <c r="E20" t="str">
        <f t="shared" si="6"/>
        <v>094OMS</v>
      </c>
      <c r="F20" t="str">
        <f>""</f>
        <v/>
      </c>
      <c r="G20" t="str">
        <f>""</f>
        <v/>
      </c>
      <c r="H20" s="1">
        <v>40149</v>
      </c>
      <c r="I20" t="str">
        <f>"138268A"</f>
        <v>138268A</v>
      </c>
      <c r="J20" t="str">
        <f>""</f>
        <v/>
      </c>
      <c r="K20" t="str">
        <f t="shared" si="7"/>
        <v>INNI</v>
      </c>
      <c r="L20" t="s">
        <v>1178</v>
      </c>
      <c r="M20">
        <v>198.7</v>
      </c>
    </row>
    <row r="21" spans="1:13" x14ac:dyDescent="0.25">
      <c r="A21" t="str">
        <f>"E063"</f>
        <v>E063</v>
      </c>
      <c r="B21">
        <v>1</v>
      </c>
      <c r="C21" t="str">
        <f t="shared" si="9"/>
        <v>14185</v>
      </c>
      <c r="D21" t="str">
        <f t="shared" si="5"/>
        <v>5620</v>
      </c>
      <c r="E21" t="str">
        <f t="shared" si="6"/>
        <v>094OMS</v>
      </c>
      <c r="F21" t="str">
        <f>""</f>
        <v/>
      </c>
      <c r="G21" t="str">
        <f>""</f>
        <v/>
      </c>
      <c r="H21" s="1">
        <v>40149</v>
      </c>
      <c r="I21" t="str">
        <f>"138272"</f>
        <v>138272</v>
      </c>
      <c r="J21" t="str">
        <f>""</f>
        <v/>
      </c>
      <c r="K21" t="str">
        <f t="shared" si="7"/>
        <v>INNI</v>
      </c>
      <c r="L21" t="s">
        <v>1177</v>
      </c>
      <c r="M21">
        <v>141</v>
      </c>
    </row>
    <row r="22" spans="1:13" x14ac:dyDescent="0.25">
      <c r="A22" t="str">
        <f>"E063"</f>
        <v>E063</v>
      </c>
      <c r="B22">
        <v>1</v>
      </c>
      <c r="C22" t="str">
        <f t="shared" si="9"/>
        <v>14185</v>
      </c>
      <c r="D22" t="str">
        <f t="shared" si="5"/>
        <v>5620</v>
      </c>
      <c r="E22" t="str">
        <f t="shared" si="6"/>
        <v>094OMS</v>
      </c>
      <c r="F22" t="str">
        <f>""</f>
        <v/>
      </c>
      <c r="G22" t="str">
        <f>""</f>
        <v/>
      </c>
      <c r="H22" s="1">
        <v>40277</v>
      </c>
      <c r="I22" t="str">
        <f>"PCD00415"</f>
        <v>PCD00415</v>
      </c>
      <c r="J22" t="str">
        <f>"116881"</f>
        <v>116881</v>
      </c>
      <c r="K22" t="str">
        <f t="shared" ref="K22:K39" si="10">"AS89"</f>
        <v>AS89</v>
      </c>
      <c r="L22" t="s">
        <v>1466</v>
      </c>
      <c r="M22">
        <v>260</v>
      </c>
    </row>
    <row r="23" spans="1:13" x14ac:dyDescent="0.25">
      <c r="A23" t="str">
        <f t="shared" ref="A23:A54" si="11">"E111"</f>
        <v>E111</v>
      </c>
      <c r="B23">
        <v>1</v>
      </c>
      <c r="C23" t="str">
        <f t="shared" si="9"/>
        <v>14185</v>
      </c>
      <c r="D23" t="str">
        <f t="shared" si="5"/>
        <v>5620</v>
      </c>
      <c r="E23" t="str">
        <f t="shared" si="6"/>
        <v>094OMS</v>
      </c>
      <c r="F23" t="str">
        <f>""</f>
        <v/>
      </c>
      <c r="G23" t="str">
        <f>""</f>
        <v/>
      </c>
      <c r="H23" s="1">
        <v>40032</v>
      </c>
      <c r="I23" t="str">
        <f>"PCD00379"</f>
        <v>PCD00379</v>
      </c>
      <c r="J23" t="str">
        <f>"102545"</f>
        <v>102545</v>
      </c>
      <c r="K23" t="str">
        <f t="shared" si="10"/>
        <v>AS89</v>
      </c>
      <c r="L23" t="s">
        <v>1233</v>
      </c>
      <c r="M23">
        <v>432.74</v>
      </c>
    </row>
    <row r="24" spans="1:13" x14ac:dyDescent="0.25">
      <c r="A24" t="str">
        <f t="shared" si="11"/>
        <v>E111</v>
      </c>
      <c r="B24">
        <v>1</v>
      </c>
      <c r="C24" t="str">
        <f t="shared" si="9"/>
        <v>14185</v>
      </c>
      <c r="D24" t="str">
        <f t="shared" si="5"/>
        <v>5620</v>
      </c>
      <c r="E24" t="str">
        <f t="shared" si="6"/>
        <v>094OMS</v>
      </c>
      <c r="F24" t="str">
        <f>""</f>
        <v/>
      </c>
      <c r="G24" t="str">
        <f>""</f>
        <v/>
      </c>
      <c r="H24" s="1">
        <v>40032</v>
      </c>
      <c r="I24" t="str">
        <f>"PCD00379"</f>
        <v>PCD00379</v>
      </c>
      <c r="J24" t="str">
        <f>"103129"</f>
        <v>103129</v>
      </c>
      <c r="K24" t="str">
        <f t="shared" si="10"/>
        <v>AS89</v>
      </c>
      <c r="L24" t="s">
        <v>1465</v>
      </c>
      <c r="M24">
        <v>146.55000000000001</v>
      </c>
    </row>
    <row r="25" spans="1:13" x14ac:dyDescent="0.25">
      <c r="A25" t="str">
        <f t="shared" si="11"/>
        <v>E111</v>
      </c>
      <c r="B25">
        <v>1</v>
      </c>
      <c r="C25" t="str">
        <f t="shared" si="9"/>
        <v>14185</v>
      </c>
      <c r="D25" t="str">
        <f t="shared" si="5"/>
        <v>5620</v>
      </c>
      <c r="E25" t="str">
        <f t="shared" si="6"/>
        <v>094OMS</v>
      </c>
      <c r="F25" t="str">
        <f>""</f>
        <v/>
      </c>
      <c r="G25" t="str">
        <f>""</f>
        <v/>
      </c>
      <c r="H25" s="1">
        <v>40064</v>
      </c>
      <c r="I25" t="str">
        <f>"PCD00384"</f>
        <v>PCD00384</v>
      </c>
      <c r="J25" t="str">
        <f>"104488"</f>
        <v>104488</v>
      </c>
      <c r="K25" t="str">
        <f t="shared" si="10"/>
        <v>AS89</v>
      </c>
      <c r="L25" t="s">
        <v>1464</v>
      </c>
      <c r="M25">
        <v>541.23</v>
      </c>
    </row>
    <row r="26" spans="1:13" x14ac:dyDescent="0.25">
      <c r="A26" t="str">
        <f t="shared" si="11"/>
        <v>E111</v>
      </c>
      <c r="B26">
        <v>1</v>
      </c>
      <c r="C26" t="str">
        <f t="shared" si="9"/>
        <v>14185</v>
      </c>
      <c r="D26" t="str">
        <f t="shared" si="5"/>
        <v>5620</v>
      </c>
      <c r="E26" t="str">
        <f t="shared" si="6"/>
        <v>094OMS</v>
      </c>
      <c r="F26" t="str">
        <f>""</f>
        <v/>
      </c>
      <c r="G26" t="str">
        <f>""</f>
        <v/>
      </c>
      <c r="H26" s="1">
        <v>40064</v>
      </c>
      <c r="I26" t="str">
        <f>"PCD00384"</f>
        <v>PCD00384</v>
      </c>
      <c r="J26" t="str">
        <f>"104548"</f>
        <v>104548</v>
      </c>
      <c r="K26" t="str">
        <f t="shared" si="10"/>
        <v>AS89</v>
      </c>
      <c r="L26" t="s">
        <v>1463</v>
      </c>
      <c r="M26">
        <v>145.5</v>
      </c>
    </row>
    <row r="27" spans="1:13" x14ac:dyDescent="0.25">
      <c r="A27" t="str">
        <f t="shared" si="11"/>
        <v>E111</v>
      </c>
      <c r="B27">
        <v>1</v>
      </c>
      <c r="C27" t="str">
        <f t="shared" si="9"/>
        <v>14185</v>
      </c>
      <c r="D27" t="str">
        <f t="shared" si="5"/>
        <v>5620</v>
      </c>
      <c r="E27" t="str">
        <f t="shared" si="6"/>
        <v>094OMS</v>
      </c>
      <c r="F27" t="str">
        <f>""</f>
        <v/>
      </c>
      <c r="G27" t="str">
        <f>""</f>
        <v/>
      </c>
      <c r="H27" s="1">
        <v>40088</v>
      </c>
      <c r="I27" t="str">
        <f>"PCD00388"</f>
        <v>PCD00388</v>
      </c>
      <c r="J27" t="str">
        <f>"106428"</f>
        <v>106428</v>
      </c>
      <c r="K27" t="str">
        <f t="shared" si="10"/>
        <v>AS89</v>
      </c>
      <c r="L27" t="s">
        <v>1462</v>
      </c>
      <c r="M27">
        <v>312.47000000000003</v>
      </c>
    </row>
    <row r="28" spans="1:13" x14ac:dyDescent="0.25">
      <c r="A28" t="str">
        <f t="shared" si="11"/>
        <v>E111</v>
      </c>
      <c r="B28">
        <v>1</v>
      </c>
      <c r="C28" t="str">
        <f t="shared" si="9"/>
        <v>14185</v>
      </c>
      <c r="D28" t="str">
        <f t="shared" si="5"/>
        <v>5620</v>
      </c>
      <c r="E28" t="str">
        <f t="shared" si="6"/>
        <v>094OMS</v>
      </c>
      <c r="F28" t="str">
        <f>""</f>
        <v/>
      </c>
      <c r="G28" t="str">
        <f>""</f>
        <v/>
      </c>
      <c r="H28" s="1">
        <v>40088</v>
      </c>
      <c r="I28" t="str">
        <f>"PCD00388"</f>
        <v>PCD00388</v>
      </c>
      <c r="J28" t="str">
        <f>"106670"</f>
        <v>106670</v>
      </c>
      <c r="K28" t="str">
        <f t="shared" si="10"/>
        <v>AS89</v>
      </c>
      <c r="L28" t="s">
        <v>1461</v>
      </c>
      <c r="M28">
        <v>122.67</v>
      </c>
    </row>
    <row r="29" spans="1:13" x14ac:dyDescent="0.25">
      <c r="A29" t="str">
        <f t="shared" si="11"/>
        <v>E111</v>
      </c>
      <c r="B29">
        <v>1</v>
      </c>
      <c r="C29" t="str">
        <f t="shared" si="9"/>
        <v>14185</v>
      </c>
      <c r="D29" t="str">
        <f t="shared" si="5"/>
        <v>5620</v>
      </c>
      <c r="E29" t="str">
        <f t="shared" si="6"/>
        <v>094OMS</v>
      </c>
      <c r="F29" t="str">
        <f>""</f>
        <v/>
      </c>
      <c r="G29" t="str">
        <f>""</f>
        <v/>
      </c>
      <c r="H29" s="1">
        <v>40119</v>
      </c>
      <c r="I29" t="str">
        <f t="shared" ref="I29:I34" si="12">"PCD00393"</f>
        <v>PCD00393</v>
      </c>
      <c r="J29" t="str">
        <f>"107390"</f>
        <v>107390</v>
      </c>
      <c r="K29" t="str">
        <f t="shared" si="10"/>
        <v>AS89</v>
      </c>
      <c r="L29" t="s">
        <v>1460</v>
      </c>
      <c r="M29">
        <v>175.5</v>
      </c>
    </row>
    <row r="30" spans="1:13" x14ac:dyDescent="0.25">
      <c r="A30" t="str">
        <f t="shared" si="11"/>
        <v>E111</v>
      </c>
      <c r="B30">
        <v>1</v>
      </c>
      <c r="C30" t="str">
        <f t="shared" si="9"/>
        <v>14185</v>
      </c>
      <c r="D30" t="str">
        <f t="shared" si="5"/>
        <v>5620</v>
      </c>
      <c r="E30" t="str">
        <f t="shared" si="6"/>
        <v>094OMS</v>
      </c>
      <c r="F30" t="str">
        <f>""</f>
        <v/>
      </c>
      <c r="G30" t="str">
        <f>""</f>
        <v/>
      </c>
      <c r="H30" s="1">
        <v>40119</v>
      </c>
      <c r="I30" t="str">
        <f t="shared" si="12"/>
        <v>PCD00393</v>
      </c>
      <c r="J30" t="str">
        <f>"107391"</f>
        <v>107391</v>
      </c>
      <c r="K30" t="str">
        <f t="shared" si="10"/>
        <v>AS89</v>
      </c>
      <c r="L30" t="s">
        <v>1459</v>
      </c>
      <c r="M30">
        <v>121.84</v>
      </c>
    </row>
    <row r="31" spans="1:13" x14ac:dyDescent="0.25">
      <c r="A31" t="str">
        <f t="shared" si="11"/>
        <v>E111</v>
      </c>
      <c r="B31">
        <v>1</v>
      </c>
      <c r="C31" t="str">
        <f t="shared" si="9"/>
        <v>14185</v>
      </c>
      <c r="D31" t="str">
        <f t="shared" si="5"/>
        <v>5620</v>
      </c>
      <c r="E31" t="str">
        <f t="shared" si="6"/>
        <v>094OMS</v>
      </c>
      <c r="F31" t="str">
        <f>""</f>
        <v/>
      </c>
      <c r="G31" t="str">
        <f>""</f>
        <v/>
      </c>
      <c r="H31" s="1">
        <v>40119</v>
      </c>
      <c r="I31" t="str">
        <f t="shared" si="12"/>
        <v>PCD00393</v>
      </c>
      <c r="J31" t="str">
        <f>"107541"</f>
        <v>107541</v>
      </c>
      <c r="K31" t="str">
        <f t="shared" si="10"/>
        <v>AS89</v>
      </c>
      <c r="L31" t="s">
        <v>1422</v>
      </c>
      <c r="M31">
        <v>128.35</v>
      </c>
    </row>
    <row r="32" spans="1:13" x14ac:dyDescent="0.25">
      <c r="A32" t="str">
        <f t="shared" si="11"/>
        <v>E111</v>
      </c>
      <c r="B32">
        <v>1</v>
      </c>
      <c r="C32" t="str">
        <f t="shared" si="9"/>
        <v>14185</v>
      </c>
      <c r="D32" t="str">
        <f t="shared" si="5"/>
        <v>5620</v>
      </c>
      <c r="E32" t="str">
        <f t="shared" si="6"/>
        <v>094OMS</v>
      </c>
      <c r="F32" t="str">
        <f>""</f>
        <v/>
      </c>
      <c r="G32" t="str">
        <f>""</f>
        <v/>
      </c>
      <c r="H32" s="1">
        <v>40119</v>
      </c>
      <c r="I32" t="str">
        <f t="shared" si="12"/>
        <v>PCD00393</v>
      </c>
      <c r="J32" t="str">
        <f>"107819"</f>
        <v>107819</v>
      </c>
      <c r="K32" t="str">
        <f t="shared" si="10"/>
        <v>AS89</v>
      </c>
      <c r="L32" t="s">
        <v>1458</v>
      </c>
      <c r="M32">
        <v>104</v>
      </c>
    </row>
    <row r="33" spans="1:13" x14ac:dyDescent="0.25">
      <c r="A33" t="str">
        <f t="shared" si="11"/>
        <v>E111</v>
      </c>
      <c r="B33">
        <v>1</v>
      </c>
      <c r="C33" t="str">
        <f t="shared" si="9"/>
        <v>14185</v>
      </c>
      <c r="D33" t="str">
        <f t="shared" si="5"/>
        <v>5620</v>
      </c>
      <c r="E33" t="str">
        <f t="shared" si="6"/>
        <v>094OMS</v>
      </c>
      <c r="F33" t="str">
        <f>""</f>
        <v/>
      </c>
      <c r="G33" t="str">
        <f>""</f>
        <v/>
      </c>
      <c r="H33" s="1">
        <v>40119</v>
      </c>
      <c r="I33" t="str">
        <f t="shared" si="12"/>
        <v>PCD00393</v>
      </c>
      <c r="J33" t="str">
        <f>"107962"</f>
        <v>107962</v>
      </c>
      <c r="K33" t="str">
        <f t="shared" si="10"/>
        <v>AS89</v>
      </c>
      <c r="L33" t="s">
        <v>1457</v>
      </c>
      <c r="M33">
        <v>720.74</v>
      </c>
    </row>
    <row r="34" spans="1:13" x14ac:dyDescent="0.25">
      <c r="A34" t="str">
        <f t="shared" si="11"/>
        <v>E111</v>
      </c>
      <c r="B34">
        <v>1</v>
      </c>
      <c r="C34" t="str">
        <f t="shared" si="9"/>
        <v>14185</v>
      </c>
      <c r="D34" t="str">
        <f t="shared" si="5"/>
        <v>5620</v>
      </c>
      <c r="E34" t="str">
        <f t="shared" si="6"/>
        <v>094OMS</v>
      </c>
      <c r="F34" t="str">
        <f>""</f>
        <v/>
      </c>
      <c r="G34" t="str">
        <f>""</f>
        <v/>
      </c>
      <c r="H34" s="1">
        <v>40119</v>
      </c>
      <c r="I34" t="str">
        <f t="shared" si="12"/>
        <v>PCD00393</v>
      </c>
      <c r="J34" t="str">
        <f>"108649"</f>
        <v>108649</v>
      </c>
      <c r="K34" t="str">
        <f t="shared" si="10"/>
        <v>AS89</v>
      </c>
      <c r="L34" t="s">
        <v>1456</v>
      </c>
      <c r="M34">
        <v>323.64</v>
      </c>
    </row>
    <row r="35" spans="1:13" x14ac:dyDescent="0.25">
      <c r="A35" t="str">
        <f t="shared" si="11"/>
        <v>E111</v>
      </c>
      <c r="B35">
        <v>1</v>
      </c>
      <c r="C35" t="str">
        <f t="shared" si="9"/>
        <v>14185</v>
      </c>
      <c r="D35" t="str">
        <f t="shared" si="5"/>
        <v>5620</v>
      </c>
      <c r="E35" t="str">
        <f t="shared" si="6"/>
        <v>094OMS</v>
      </c>
      <c r="F35" t="str">
        <f>""</f>
        <v/>
      </c>
      <c r="G35" t="str">
        <f>""</f>
        <v/>
      </c>
      <c r="H35" s="1">
        <v>40151</v>
      </c>
      <c r="I35" t="str">
        <f>"PCD00398"</f>
        <v>PCD00398</v>
      </c>
      <c r="J35" t="str">
        <f>"109296"</f>
        <v>109296</v>
      </c>
      <c r="K35" t="str">
        <f t="shared" si="10"/>
        <v>AS89</v>
      </c>
      <c r="L35" t="s">
        <v>1455</v>
      </c>
      <c r="M35">
        <v>109.99</v>
      </c>
    </row>
    <row r="36" spans="1:13" x14ac:dyDescent="0.25">
      <c r="A36" t="str">
        <f t="shared" si="11"/>
        <v>E111</v>
      </c>
      <c r="B36">
        <v>1</v>
      </c>
      <c r="C36" t="str">
        <f t="shared" si="9"/>
        <v>14185</v>
      </c>
      <c r="D36" t="str">
        <f t="shared" si="5"/>
        <v>5620</v>
      </c>
      <c r="E36" t="str">
        <f t="shared" si="6"/>
        <v>094OMS</v>
      </c>
      <c r="F36" t="str">
        <f>""</f>
        <v/>
      </c>
      <c r="G36" t="str">
        <f>""</f>
        <v/>
      </c>
      <c r="H36" s="1">
        <v>40151</v>
      </c>
      <c r="I36" t="str">
        <f>"PCD00398"</f>
        <v>PCD00398</v>
      </c>
      <c r="J36" t="str">
        <f>"109826"</f>
        <v>109826</v>
      </c>
      <c r="K36" t="str">
        <f t="shared" si="10"/>
        <v>AS89</v>
      </c>
      <c r="L36" t="s">
        <v>1454</v>
      </c>
      <c r="M36">
        <v>706.26</v>
      </c>
    </row>
    <row r="37" spans="1:13" x14ac:dyDescent="0.25">
      <c r="A37" t="str">
        <f t="shared" si="11"/>
        <v>E111</v>
      </c>
      <c r="B37">
        <v>1</v>
      </c>
      <c r="C37" t="str">
        <f t="shared" si="9"/>
        <v>14185</v>
      </c>
      <c r="D37" t="str">
        <f t="shared" si="5"/>
        <v>5620</v>
      </c>
      <c r="E37" t="str">
        <f t="shared" si="6"/>
        <v>094OMS</v>
      </c>
      <c r="F37" t="str">
        <f>""</f>
        <v/>
      </c>
      <c r="G37" t="str">
        <f>""</f>
        <v/>
      </c>
      <c r="H37" s="1">
        <v>40151</v>
      </c>
      <c r="I37" t="str">
        <f>"PCD00398"</f>
        <v>PCD00398</v>
      </c>
      <c r="J37" t="str">
        <f>"110771"</f>
        <v>110771</v>
      </c>
      <c r="K37" t="str">
        <f t="shared" si="10"/>
        <v>AS89</v>
      </c>
      <c r="L37" t="s">
        <v>1206</v>
      </c>
      <c r="M37">
        <v>172.37</v>
      </c>
    </row>
    <row r="38" spans="1:13" x14ac:dyDescent="0.25">
      <c r="A38" t="str">
        <f t="shared" si="11"/>
        <v>E111</v>
      </c>
      <c r="B38">
        <v>1</v>
      </c>
      <c r="C38" t="str">
        <f t="shared" si="9"/>
        <v>14185</v>
      </c>
      <c r="D38" t="str">
        <f t="shared" si="5"/>
        <v>5620</v>
      </c>
      <c r="E38" t="str">
        <f t="shared" si="6"/>
        <v>094OMS</v>
      </c>
      <c r="F38" t="str">
        <f>""</f>
        <v/>
      </c>
      <c r="G38" t="str">
        <f>""</f>
        <v/>
      </c>
      <c r="H38" s="1">
        <v>40189</v>
      </c>
      <c r="I38" t="str">
        <f>"PCD00402"</f>
        <v>PCD00402</v>
      </c>
      <c r="J38" t="str">
        <f>"111210"</f>
        <v>111210</v>
      </c>
      <c r="K38" t="str">
        <f t="shared" si="10"/>
        <v>AS89</v>
      </c>
      <c r="L38" t="s">
        <v>1453</v>
      </c>
      <c r="M38">
        <v>172.73</v>
      </c>
    </row>
    <row r="39" spans="1:13" x14ac:dyDescent="0.25">
      <c r="A39" t="str">
        <f t="shared" si="11"/>
        <v>E111</v>
      </c>
      <c r="B39">
        <v>1</v>
      </c>
      <c r="C39" t="str">
        <f t="shared" si="9"/>
        <v>14185</v>
      </c>
      <c r="D39" t="str">
        <f t="shared" si="5"/>
        <v>5620</v>
      </c>
      <c r="E39" t="str">
        <f t="shared" si="6"/>
        <v>094OMS</v>
      </c>
      <c r="F39" t="str">
        <f>""</f>
        <v/>
      </c>
      <c r="G39" t="str">
        <f>""</f>
        <v/>
      </c>
      <c r="H39" s="1">
        <v>40214</v>
      </c>
      <c r="I39" t="str">
        <f>"PCD00406"</f>
        <v>PCD00406</v>
      </c>
      <c r="J39" t="str">
        <f>"113655"</f>
        <v>113655</v>
      </c>
      <c r="K39" t="str">
        <f t="shared" si="10"/>
        <v>AS89</v>
      </c>
      <c r="L39" t="s">
        <v>1429</v>
      </c>
      <c r="M39">
        <v>103.99</v>
      </c>
    </row>
    <row r="40" spans="1:13" x14ac:dyDescent="0.25">
      <c r="A40" t="str">
        <f t="shared" si="11"/>
        <v>E111</v>
      </c>
      <c r="B40">
        <v>1</v>
      </c>
      <c r="C40" t="str">
        <f t="shared" si="9"/>
        <v>14185</v>
      </c>
      <c r="D40" t="str">
        <f t="shared" si="5"/>
        <v>5620</v>
      </c>
      <c r="E40" t="str">
        <f t="shared" si="6"/>
        <v>094OMS</v>
      </c>
      <c r="F40" t="str">
        <f>""</f>
        <v/>
      </c>
      <c r="G40" t="str">
        <f>""</f>
        <v/>
      </c>
      <c r="H40" s="1">
        <v>40242</v>
      </c>
      <c r="I40" t="str">
        <f>"C0014875"</f>
        <v>C0014875</v>
      </c>
      <c r="J40" t="str">
        <f>""</f>
        <v/>
      </c>
      <c r="K40" t="str">
        <f>"ISSU"</f>
        <v>ISSU</v>
      </c>
      <c r="L40" t="s">
        <v>15</v>
      </c>
      <c r="M40">
        <v>111.3</v>
      </c>
    </row>
    <row r="41" spans="1:13" x14ac:dyDescent="0.25">
      <c r="A41" t="str">
        <f t="shared" si="11"/>
        <v>E111</v>
      </c>
      <c r="B41">
        <v>1</v>
      </c>
      <c r="C41" t="str">
        <f t="shared" si="9"/>
        <v>14185</v>
      </c>
      <c r="D41" t="str">
        <f t="shared" si="5"/>
        <v>5620</v>
      </c>
      <c r="E41" t="str">
        <f t="shared" si="6"/>
        <v>094OMS</v>
      </c>
      <c r="F41" t="str">
        <f>""</f>
        <v/>
      </c>
      <c r="G41" t="str">
        <f>""</f>
        <v/>
      </c>
      <c r="H41" s="1">
        <v>40242</v>
      </c>
      <c r="I41" t="str">
        <f t="shared" ref="I41:I46" si="13">"PCD00410"</f>
        <v>PCD00410</v>
      </c>
      <c r="J41" t="str">
        <f>"115271"</f>
        <v>115271</v>
      </c>
      <c r="K41" t="str">
        <f t="shared" ref="K41:K50" si="14">"AS89"</f>
        <v>AS89</v>
      </c>
      <c r="L41" t="s">
        <v>1452</v>
      </c>
      <c r="M41">
        <v>155.31</v>
      </c>
    </row>
    <row r="42" spans="1:13" x14ac:dyDescent="0.25">
      <c r="A42" t="str">
        <f t="shared" si="11"/>
        <v>E111</v>
      </c>
      <c r="B42">
        <v>1</v>
      </c>
      <c r="C42" t="str">
        <f t="shared" si="9"/>
        <v>14185</v>
      </c>
      <c r="D42" t="str">
        <f t="shared" si="5"/>
        <v>5620</v>
      </c>
      <c r="E42" t="str">
        <f t="shared" si="6"/>
        <v>094OMS</v>
      </c>
      <c r="F42" t="str">
        <f>""</f>
        <v/>
      </c>
      <c r="G42" t="str">
        <f>""</f>
        <v/>
      </c>
      <c r="H42" s="1">
        <v>40242</v>
      </c>
      <c r="I42" t="str">
        <f t="shared" si="13"/>
        <v>PCD00410</v>
      </c>
      <c r="J42" t="str">
        <f>"115697"</f>
        <v>115697</v>
      </c>
      <c r="K42" t="str">
        <f t="shared" si="14"/>
        <v>AS89</v>
      </c>
      <c r="L42" t="s">
        <v>1451</v>
      </c>
      <c r="M42">
        <v>147.31</v>
      </c>
    </row>
    <row r="43" spans="1:13" x14ac:dyDescent="0.25">
      <c r="A43" t="str">
        <f t="shared" si="11"/>
        <v>E111</v>
      </c>
      <c r="B43">
        <v>1</v>
      </c>
      <c r="C43" t="str">
        <f t="shared" si="9"/>
        <v>14185</v>
      </c>
      <c r="D43" t="str">
        <f t="shared" si="5"/>
        <v>5620</v>
      </c>
      <c r="E43" t="str">
        <f t="shared" si="6"/>
        <v>094OMS</v>
      </c>
      <c r="F43" t="str">
        <f>""</f>
        <v/>
      </c>
      <c r="G43" t="str">
        <f>""</f>
        <v/>
      </c>
      <c r="H43" s="1">
        <v>40242</v>
      </c>
      <c r="I43" t="str">
        <f t="shared" si="13"/>
        <v>PCD00410</v>
      </c>
      <c r="J43" t="str">
        <f>"115698"</f>
        <v>115698</v>
      </c>
      <c r="K43" t="str">
        <f t="shared" si="14"/>
        <v>AS89</v>
      </c>
      <c r="L43" t="s">
        <v>1450</v>
      </c>
      <c r="M43">
        <v>427.3</v>
      </c>
    </row>
    <row r="44" spans="1:13" x14ac:dyDescent="0.25">
      <c r="A44" t="str">
        <f t="shared" si="11"/>
        <v>E111</v>
      </c>
      <c r="B44">
        <v>1</v>
      </c>
      <c r="C44" t="str">
        <f t="shared" si="9"/>
        <v>14185</v>
      </c>
      <c r="D44" t="str">
        <f t="shared" si="5"/>
        <v>5620</v>
      </c>
      <c r="E44" t="str">
        <f t="shared" si="6"/>
        <v>094OMS</v>
      </c>
      <c r="F44" t="str">
        <f>""</f>
        <v/>
      </c>
      <c r="G44" t="str">
        <f>""</f>
        <v/>
      </c>
      <c r="H44" s="1">
        <v>40242</v>
      </c>
      <c r="I44" t="str">
        <f t="shared" si="13"/>
        <v>PCD00410</v>
      </c>
      <c r="J44" t="str">
        <f>"116351"</f>
        <v>116351</v>
      </c>
      <c r="K44" t="str">
        <f t="shared" si="14"/>
        <v>AS89</v>
      </c>
      <c r="L44" t="s">
        <v>1449</v>
      </c>
      <c r="M44">
        <v>137.30000000000001</v>
      </c>
    </row>
    <row r="45" spans="1:13" x14ac:dyDescent="0.25">
      <c r="A45" t="str">
        <f t="shared" si="11"/>
        <v>E111</v>
      </c>
      <c r="B45">
        <v>1</v>
      </c>
      <c r="C45" t="str">
        <f t="shared" si="9"/>
        <v>14185</v>
      </c>
      <c r="D45" t="str">
        <f t="shared" si="5"/>
        <v>5620</v>
      </c>
      <c r="E45" t="str">
        <f t="shared" si="6"/>
        <v>094OMS</v>
      </c>
      <c r="F45" t="str">
        <f>""</f>
        <v/>
      </c>
      <c r="G45" t="str">
        <f>""</f>
        <v/>
      </c>
      <c r="H45" s="1">
        <v>40242</v>
      </c>
      <c r="I45" t="str">
        <f t="shared" si="13"/>
        <v>PCD00410</v>
      </c>
      <c r="J45" t="str">
        <f>"116425"</f>
        <v>116425</v>
      </c>
      <c r="K45" t="str">
        <f t="shared" si="14"/>
        <v>AS89</v>
      </c>
      <c r="L45" t="s">
        <v>1448</v>
      </c>
      <c r="M45" s="2">
        <v>2434.6999999999998</v>
      </c>
    </row>
    <row r="46" spans="1:13" x14ac:dyDescent="0.25">
      <c r="A46" t="str">
        <f t="shared" si="11"/>
        <v>E111</v>
      </c>
      <c r="B46">
        <v>1</v>
      </c>
      <c r="C46" t="str">
        <f t="shared" si="9"/>
        <v>14185</v>
      </c>
      <c r="D46" t="str">
        <f t="shared" si="5"/>
        <v>5620</v>
      </c>
      <c r="E46" t="str">
        <f t="shared" si="6"/>
        <v>094OMS</v>
      </c>
      <c r="F46" t="str">
        <f>""</f>
        <v/>
      </c>
      <c r="G46" t="str">
        <f>""</f>
        <v/>
      </c>
      <c r="H46" s="1">
        <v>40242</v>
      </c>
      <c r="I46" t="str">
        <f t="shared" si="13"/>
        <v>PCD00410</v>
      </c>
      <c r="J46" t="str">
        <f>"116526"</f>
        <v>116526</v>
      </c>
      <c r="K46" t="str">
        <f t="shared" si="14"/>
        <v>AS89</v>
      </c>
      <c r="L46" t="s">
        <v>1447</v>
      </c>
      <c r="M46">
        <v>462</v>
      </c>
    </row>
    <row r="47" spans="1:13" x14ac:dyDescent="0.25">
      <c r="A47" t="str">
        <f t="shared" si="11"/>
        <v>E111</v>
      </c>
      <c r="B47">
        <v>1</v>
      </c>
      <c r="C47" t="str">
        <f t="shared" si="9"/>
        <v>14185</v>
      </c>
      <c r="D47" t="str">
        <f t="shared" si="5"/>
        <v>5620</v>
      </c>
      <c r="E47" t="str">
        <f t="shared" si="6"/>
        <v>094OMS</v>
      </c>
      <c r="F47" t="str">
        <f>""</f>
        <v/>
      </c>
      <c r="G47" t="str">
        <f>""</f>
        <v/>
      </c>
      <c r="H47" s="1">
        <v>40277</v>
      </c>
      <c r="I47" t="str">
        <f>"PCD00415"</f>
        <v>PCD00415</v>
      </c>
      <c r="J47" t="str">
        <f>"118542"</f>
        <v>118542</v>
      </c>
      <c r="K47" t="str">
        <f t="shared" si="14"/>
        <v>AS89</v>
      </c>
      <c r="L47" t="s">
        <v>1446</v>
      </c>
      <c r="M47">
        <v>146.02000000000001</v>
      </c>
    </row>
    <row r="48" spans="1:13" x14ac:dyDescent="0.25">
      <c r="A48" t="str">
        <f t="shared" si="11"/>
        <v>E111</v>
      </c>
      <c r="B48">
        <v>1</v>
      </c>
      <c r="C48" t="str">
        <f t="shared" si="9"/>
        <v>14185</v>
      </c>
      <c r="D48" t="str">
        <f t="shared" si="5"/>
        <v>5620</v>
      </c>
      <c r="E48" t="str">
        <f t="shared" si="6"/>
        <v>094OMS</v>
      </c>
      <c r="F48" t="str">
        <f>""</f>
        <v/>
      </c>
      <c r="G48" t="str">
        <f>""</f>
        <v/>
      </c>
      <c r="H48" s="1">
        <v>40277</v>
      </c>
      <c r="I48" t="str">
        <f>"PCD00415"</f>
        <v>PCD00415</v>
      </c>
      <c r="J48" t="str">
        <f>"118964"</f>
        <v>118964</v>
      </c>
      <c r="K48" t="str">
        <f t="shared" si="14"/>
        <v>AS89</v>
      </c>
      <c r="L48" t="s">
        <v>1445</v>
      </c>
      <c r="M48" s="2">
        <v>2397.58</v>
      </c>
    </row>
    <row r="49" spans="1:13" x14ac:dyDescent="0.25">
      <c r="A49" t="str">
        <f t="shared" si="11"/>
        <v>E111</v>
      </c>
      <c r="B49">
        <v>1</v>
      </c>
      <c r="C49" t="str">
        <f t="shared" si="9"/>
        <v>14185</v>
      </c>
      <c r="D49" t="str">
        <f t="shared" si="5"/>
        <v>5620</v>
      </c>
      <c r="E49" t="str">
        <f t="shared" si="6"/>
        <v>094OMS</v>
      </c>
      <c r="F49" t="str">
        <f>""</f>
        <v/>
      </c>
      <c r="G49" t="str">
        <f>""</f>
        <v/>
      </c>
      <c r="H49" s="1">
        <v>40305</v>
      </c>
      <c r="I49" t="str">
        <f>"PCD00419"</f>
        <v>PCD00419</v>
      </c>
      <c r="J49" t="str">
        <f>"119576"</f>
        <v>119576</v>
      </c>
      <c r="K49" t="str">
        <f t="shared" si="14"/>
        <v>AS89</v>
      </c>
      <c r="L49" t="s">
        <v>1444</v>
      </c>
      <c r="M49">
        <v>151.86000000000001</v>
      </c>
    </row>
    <row r="50" spans="1:13" x14ac:dyDescent="0.25">
      <c r="A50" t="str">
        <f t="shared" si="11"/>
        <v>E111</v>
      </c>
      <c r="B50">
        <v>1</v>
      </c>
      <c r="C50" t="str">
        <f t="shared" si="9"/>
        <v>14185</v>
      </c>
      <c r="D50" t="str">
        <f t="shared" si="5"/>
        <v>5620</v>
      </c>
      <c r="E50" t="str">
        <f t="shared" si="6"/>
        <v>094OMS</v>
      </c>
      <c r="F50" t="str">
        <f>""</f>
        <v/>
      </c>
      <c r="G50" t="str">
        <f>""</f>
        <v/>
      </c>
      <c r="H50" s="1">
        <v>40305</v>
      </c>
      <c r="I50" t="str">
        <f>"PCD00419"</f>
        <v>PCD00419</v>
      </c>
      <c r="J50" t="str">
        <f>"121241"</f>
        <v>121241</v>
      </c>
      <c r="K50" t="str">
        <f t="shared" si="14"/>
        <v>AS89</v>
      </c>
      <c r="L50" t="s">
        <v>1443</v>
      </c>
      <c r="M50">
        <v>908.05</v>
      </c>
    </row>
    <row r="51" spans="1:13" x14ac:dyDescent="0.25">
      <c r="A51" t="str">
        <f t="shared" si="11"/>
        <v>E111</v>
      </c>
      <c r="B51">
        <v>1</v>
      </c>
      <c r="C51" t="str">
        <f t="shared" si="9"/>
        <v>14185</v>
      </c>
      <c r="D51" t="str">
        <f t="shared" si="5"/>
        <v>5620</v>
      </c>
      <c r="E51" t="str">
        <f t="shared" si="6"/>
        <v>094OMS</v>
      </c>
      <c r="F51" t="str">
        <f>""</f>
        <v/>
      </c>
      <c r="G51" t="str">
        <f>""</f>
        <v/>
      </c>
      <c r="H51" s="1">
        <v>40308</v>
      </c>
      <c r="I51" t="str">
        <f>"G1011043"</f>
        <v>G1011043</v>
      </c>
      <c r="J51" t="str">
        <f>""</f>
        <v/>
      </c>
      <c r="K51" t="str">
        <f>"J096"</f>
        <v>J096</v>
      </c>
      <c r="L51" t="s">
        <v>1188</v>
      </c>
      <c r="M51" s="2">
        <v>6352.16</v>
      </c>
    </row>
    <row r="52" spans="1:13" x14ac:dyDescent="0.25">
      <c r="A52" t="str">
        <f t="shared" si="11"/>
        <v>E111</v>
      </c>
      <c r="B52">
        <v>1</v>
      </c>
      <c r="C52" t="str">
        <f t="shared" si="9"/>
        <v>14185</v>
      </c>
      <c r="D52" t="str">
        <f t="shared" si="5"/>
        <v>5620</v>
      </c>
      <c r="E52" t="str">
        <f t="shared" si="6"/>
        <v>094OMS</v>
      </c>
      <c r="F52" t="str">
        <f>""</f>
        <v/>
      </c>
      <c r="G52" t="str">
        <f>""</f>
        <v/>
      </c>
      <c r="H52" s="1">
        <v>40333</v>
      </c>
      <c r="I52" t="str">
        <f>"PCD00423"</f>
        <v>PCD00423</v>
      </c>
      <c r="J52" t="str">
        <f>"121893"</f>
        <v>121893</v>
      </c>
      <c r="K52" t="str">
        <f>"AS89"</f>
        <v>AS89</v>
      </c>
      <c r="L52" t="s">
        <v>1442</v>
      </c>
      <c r="M52">
        <v>199.08</v>
      </c>
    </row>
    <row r="53" spans="1:13" x14ac:dyDescent="0.25">
      <c r="A53" t="str">
        <f t="shared" si="11"/>
        <v>E111</v>
      </c>
      <c r="B53">
        <v>1</v>
      </c>
      <c r="C53" t="str">
        <f t="shared" si="9"/>
        <v>14185</v>
      </c>
      <c r="D53" t="str">
        <f t="shared" si="5"/>
        <v>5620</v>
      </c>
      <c r="E53" t="str">
        <f t="shared" si="6"/>
        <v>094OMS</v>
      </c>
      <c r="F53" t="str">
        <f>""</f>
        <v/>
      </c>
      <c r="G53" t="str">
        <f>""</f>
        <v/>
      </c>
      <c r="H53" s="1">
        <v>40333</v>
      </c>
      <c r="I53" t="str">
        <f>"PCD00423"</f>
        <v>PCD00423</v>
      </c>
      <c r="J53" t="str">
        <f>"122252"</f>
        <v>122252</v>
      </c>
      <c r="K53" t="str">
        <f>"AS89"</f>
        <v>AS89</v>
      </c>
      <c r="L53" t="s">
        <v>1441</v>
      </c>
      <c r="M53" s="2">
        <v>1808.45</v>
      </c>
    </row>
    <row r="54" spans="1:13" x14ac:dyDescent="0.25">
      <c r="A54" t="str">
        <f t="shared" si="11"/>
        <v>E111</v>
      </c>
      <c r="B54">
        <v>1</v>
      </c>
      <c r="C54" t="str">
        <f t="shared" si="9"/>
        <v>14185</v>
      </c>
      <c r="D54" t="str">
        <f t="shared" si="5"/>
        <v>5620</v>
      </c>
      <c r="E54" t="str">
        <f t="shared" si="6"/>
        <v>094OMS</v>
      </c>
      <c r="F54" t="str">
        <f>""</f>
        <v/>
      </c>
      <c r="G54" t="str">
        <f>""</f>
        <v/>
      </c>
      <c r="H54" s="1">
        <v>40336</v>
      </c>
      <c r="I54" t="str">
        <f>"C0015395"</f>
        <v>C0015395</v>
      </c>
      <c r="J54" t="str">
        <f>""</f>
        <v/>
      </c>
      <c r="K54" t="str">
        <f>"ISSU"</f>
        <v>ISSU</v>
      </c>
      <c r="L54" t="s">
        <v>15</v>
      </c>
      <c r="M54">
        <v>144.13</v>
      </c>
    </row>
    <row r="55" spans="1:13" x14ac:dyDescent="0.25">
      <c r="A55" t="str">
        <f t="shared" ref="A55:A86" si="15">"E111"</f>
        <v>E111</v>
      </c>
      <c r="B55">
        <v>1</v>
      </c>
      <c r="C55" t="str">
        <f t="shared" si="9"/>
        <v>14185</v>
      </c>
      <c r="D55" t="str">
        <f t="shared" si="5"/>
        <v>5620</v>
      </c>
      <c r="E55" t="str">
        <f t="shared" si="6"/>
        <v>094OMS</v>
      </c>
      <c r="F55" t="str">
        <f>""</f>
        <v/>
      </c>
      <c r="G55" t="str">
        <f>""</f>
        <v/>
      </c>
      <c r="H55" s="1">
        <v>40347</v>
      </c>
      <c r="I55" t="str">
        <f>"PCD00425"</f>
        <v>PCD00425</v>
      </c>
      <c r="J55" t="str">
        <f>"123541"</f>
        <v>123541</v>
      </c>
      <c r="K55" t="str">
        <f>"AS89"</f>
        <v>AS89</v>
      </c>
      <c r="L55" t="s">
        <v>1440</v>
      </c>
      <c r="M55">
        <v>113.54</v>
      </c>
    </row>
    <row r="56" spans="1:13" x14ac:dyDescent="0.25">
      <c r="A56" t="str">
        <f t="shared" si="15"/>
        <v>E111</v>
      </c>
      <c r="B56">
        <v>1</v>
      </c>
      <c r="C56" t="str">
        <f t="shared" si="9"/>
        <v>14185</v>
      </c>
      <c r="D56" t="str">
        <f t="shared" si="5"/>
        <v>5620</v>
      </c>
      <c r="E56" t="str">
        <f t="shared" si="6"/>
        <v>094OMS</v>
      </c>
      <c r="F56" t="str">
        <f>""</f>
        <v/>
      </c>
      <c r="G56" t="str">
        <f>""</f>
        <v/>
      </c>
      <c r="H56" s="1">
        <v>40359</v>
      </c>
      <c r="I56" t="str">
        <f>"PCD00428"</f>
        <v>PCD00428</v>
      </c>
      <c r="J56" t="str">
        <f>"125618"</f>
        <v>125618</v>
      </c>
      <c r="K56" t="str">
        <f>"AS89"</f>
        <v>AS89</v>
      </c>
      <c r="L56" t="s">
        <v>1439</v>
      </c>
      <c r="M56">
        <v>207.99</v>
      </c>
    </row>
    <row r="57" spans="1:13" x14ac:dyDescent="0.25">
      <c r="A57" t="str">
        <f t="shared" si="15"/>
        <v>E111</v>
      </c>
      <c r="B57">
        <v>1</v>
      </c>
      <c r="C57" t="str">
        <f t="shared" ref="C57:C104" si="16">"32040"</f>
        <v>32040</v>
      </c>
      <c r="D57" t="str">
        <f t="shared" ref="D57:D104" si="17">"5610"</f>
        <v>5610</v>
      </c>
      <c r="E57" t="str">
        <f t="shared" ref="E57:E88" si="18">"850LOS"</f>
        <v>850LOS</v>
      </c>
      <c r="F57" t="str">
        <f>""</f>
        <v/>
      </c>
      <c r="G57" t="str">
        <f>""</f>
        <v/>
      </c>
      <c r="H57" s="1">
        <v>40022</v>
      </c>
      <c r="I57" t="str">
        <f>"70033701"</f>
        <v>70033701</v>
      </c>
      <c r="J57" t="str">
        <f t="shared" ref="J57:J71" si="19">"BP52205M"</f>
        <v>BP52205M</v>
      </c>
      <c r="K57" t="str">
        <f t="shared" ref="K57:K71" si="20">"INNI"</f>
        <v>INNI</v>
      </c>
      <c r="L57" t="s">
        <v>36</v>
      </c>
      <c r="M57">
        <v>290.17</v>
      </c>
    </row>
    <row r="58" spans="1:13" x14ac:dyDescent="0.25">
      <c r="A58" t="str">
        <f t="shared" si="15"/>
        <v>E111</v>
      </c>
      <c r="B58">
        <v>1</v>
      </c>
      <c r="C58" t="str">
        <f t="shared" si="16"/>
        <v>32040</v>
      </c>
      <c r="D58" t="str">
        <f t="shared" si="17"/>
        <v>5610</v>
      </c>
      <c r="E58" t="str">
        <f t="shared" si="18"/>
        <v>850LOS</v>
      </c>
      <c r="F58" t="str">
        <f>""</f>
        <v/>
      </c>
      <c r="G58" t="str">
        <f>""</f>
        <v/>
      </c>
      <c r="H58" s="1">
        <v>40022</v>
      </c>
      <c r="I58" t="str">
        <f>"70035301"</f>
        <v>70035301</v>
      </c>
      <c r="J58" t="str">
        <f t="shared" si="19"/>
        <v>BP52205M</v>
      </c>
      <c r="K58" t="str">
        <f t="shared" si="20"/>
        <v>INNI</v>
      </c>
      <c r="L58" t="s">
        <v>36</v>
      </c>
      <c r="M58">
        <v>164.21</v>
      </c>
    </row>
    <row r="59" spans="1:13" x14ac:dyDescent="0.25">
      <c r="A59" t="str">
        <f t="shared" si="15"/>
        <v>E111</v>
      </c>
      <c r="B59">
        <v>1</v>
      </c>
      <c r="C59" t="str">
        <f t="shared" si="16"/>
        <v>32040</v>
      </c>
      <c r="D59" t="str">
        <f t="shared" si="17"/>
        <v>5610</v>
      </c>
      <c r="E59" t="str">
        <f t="shared" si="18"/>
        <v>850LOS</v>
      </c>
      <c r="F59" t="str">
        <f>""</f>
        <v/>
      </c>
      <c r="G59" t="str">
        <f>""</f>
        <v/>
      </c>
      <c r="H59" s="1">
        <v>40032</v>
      </c>
      <c r="I59" t="str">
        <f>"69957701"</f>
        <v>69957701</v>
      </c>
      <c r="J59" t="str">
        <f t="shared" si="19"/>
        <v>BP52205M</v>
      </c>
      <c r="K59" t="str">
        <f t="shared" si="20"/>
        <v>INNI</v>
      </c>
      <c r="L59" t="s">
        <v>36</v>
      </c>
      <c r="M59" s="2">
        <v>11763.29</v>
      </c>
    </row>
    <row r="60" spans="1:13" x14ac:dyDescent="0.25">
      <c r="A60" t="str">
        <f t="shared" si="15"/>
        <v>E111</v>
      </c>
      <c r="B60">
        <v>1</v>
      </c>
      <c r="C60" t="str">
        <f t="shared" si="16"/>
        <v>32040</v>
      </c>
      <c r="D60" t="str">
        <f t="shared" si="17"/>
        <v>5610</v>
      </c>
      <c r="E60" t="str">
        <f t="shared" si="18"/>
        <v>850LOS</v>
      </c>
      <c r="F60" t="str">
        <f>""</f>
        <v/>
      </c>
      <c r="G60" t="str">
        <f>""</f>
        <v/>
      </c>
      <c r="H60" s="1">
        <v>40032</v>
      </c>
      <c r="I60" t="str">
        <f>"69957702"</f>
        <v>69957702</v>
      </c>
      <c r="J60" t="str">
        <f t="shared" si="19"/>
        <v>BP52205M</v>
      </c>
      <c r="K60" t="str">
        <f t="shared" si="20"/>
        <v>INNI</v>
      </c>
      <c r="L60" t="s">
        <v>36</v>
      </c>
      <c r="M60" s="2">
        <v>5597.2</v>
      </c>
    </row>
    <row r="61" spans="1:13" x14ac:dyDescent="0.25">
      <c r="A61" t="str">
        <f t="shared" si="15"/>
        <v>E111</v>
      </c>
      <c r="B61">
        <v>1</v>
      </c>
      <c r="C61" t="str">
        <f t="shared" si="16"/>
        <v>32040</v>
      </c>
      <c r="D61" t="str">
        <f t="shared" si="17"/>
        <v>5610</v>
      </c>
      <c r="E61" t="str">
        <f t="shared" si="18"/>
        <v>850LOS</v>
      </c>
      <c r="F61" t="str">
        <f>""</f>
        <v/>
      </c>
      <c r="G61" t="str">
        <f>""</f>
        <v/>
      </c>
      <c r="H61" s="1">
        <v>40032</v>
      </c>
      <c r="I61" t="str">
        <f>"70035302"</f>
        <v>70035302</v>
      </c>
      <c r="J61" t="str">
        <f t="shared" si="19"/>
        <v>BP52205M</v>
      </c>
      <c r="K61" t="str">
        <f t="shared" si="20"/>
        <v>INNI</v>
      </c>
      <c r="L61" t="s">
        <v>36</v>
      </c>
      <c r="M61">
        <v>388.16</v>
      </c>
    </row>
    <row r="62" spans="1:13" x14ac:dyDescent="0.25">
      <c r="A62" t="str">
        <f t="shared" si="15"/>
        <v>E111</v>
      </c>
      <c r="B62">
        <v>1</v>
      </c>
      <c r="C62" t="str">
        <f t="shared" si="16"/>
        <v>32040</v>
      </c>
      <c r="D62" t="str">
        <f t="shared" si="17"/>
        <v>5610</v>
      </c>
      <c r="E62" t="str">
        <f t="shared" si="18"/>
        <v>850LOS</v>
      </c>
      <c r="F62" t="str">
        <f>""</f>
        <v/>
      </c>
      <c r="G62" t="str">
        <f>""</f>
        <v/>
      </c>
      <c r="H62" s="1">
        <v>40032</v>
      </c>
      <c r="I62" t="str">
        <f>"70037301"</f>
        <v>70037301</v>
      </c>
      <c r="J62" t="str">
        <f t="shared" si="19"/>
        <v>BP52205M</v>
      </c>
      <c r="K62" t="str">
        <f t="shared" si="20"/>
        <v>INNI</v>
      </c>
      <c r="L62" t="s">
        <v>36</v>
      </c>
      <c r="M62">
        <v>841.16</v>
      </c>
    </row>
    <row r="63" spans="1:13" x14ac:dyDescent="0.25">
      <c r="A63" t="str">
        <f t="shared" si="15"/>
        <v>E111</v>
      </c>
      <c r="B63">
        <v>1</v>
      </c>
      <c r="C63" t="str">
        <f t="shared" si="16"/>
        <v>32040</v>
      </c>
      <c r="D63" t="str">
        <f t="shared" si="17"/>
        <v>5610</v>
      </c>
      <c r="E63" t="str">
        <f t="shared" si="18"/>
        <v>850LOS</v>
      </c>
      <c r="F63" t="str">
        <f>""</f>
        <v/>
      </c>
      <c r="G63" t="str">
        <f>""</f>
        <v/>
      </c>
      <c r="H63" s="1">
        <v>40032</v>
      </c>
      <c r="I63" t="str">
        <f>"70224502"</f>
        <v>70224502</v>
      </c>
      <c r="J63" t="str">
        <f t="shared" si="19"/>
        <v>BP52205M</v>
      </c>
      <c r="K63" t="str">
        <f t="shared" si="20"/>
        <v>INNI</v>
      </c>
      <c r="L63" t="s">
        <v>36</v>
      </c>
      <c r="M63">
        <v>220.93</v>
      </c>
    </row>
    <row r="64" spans="1:13" x14ac:dyDescent="0.25">
      <c r="A64" t="str">
        <f t="shared" si="15"/>
        <v>E111</v>
      </c>
      <c r="B64">
        <v>1</v>
      </c>
      <c r="C64" t="str">
        <f t="shared" si="16"/>
        <v>32040</v>
      </c>
      <c r="D64" t="str">
        <f t="shared" si="17"/>
        <v>5610</v>
      </c>
      <c r="E64" t="str">
        <f t="shared" si="18"/>
        <v>850LOS</v>
      </c>
      <c r="F64" t="str">
        <f>""</f>
        <v/>
      </c>
      <c r="G64" t="str">
        <f>""</f>
        <v/>
      </c>
      <c r="H64" s="1">
        <v>40052</v>
      </c>
      <c r="I64" t="str">
        <f>"69923601"</f>
        <v>69923601</v>
      </c>
      <c r="J64" t="str">
        <f t="shared" si="19"/>
        <v>BP52205M</v>
      </c>
      <c r="K64" t="str">
        <f t="shared" si="20"/>
        <v>INNI</v>
      </c>
      <c r="L64" t="s">
        <v>36</v>
      </c>
      <c r="M64" s="2">
        <v>1264.78</v>
      </c>
    </row>
    <row r="65" spans="1:13" x14ac:dyDescent="0.25">
      <c r="A65" t="str">
        <f t="shared" si="15"/>
        <v>E111</v>
      </c>
      <c r="B65">
        <v>1</v>
      </c>
      <c r="C65" t="str">
        <f t="shared" si="16"/>
        <v>32040</v>
      </c>
      <c r="D65" t="str">
        <f t="shared" si="17"/>
        <v>5610</v>
      </c>
      <c r="E65" t="str">
        <f t="shared" si="18"/>
        <v>850LOS</v>
      </c>
      <c r="F65" t="str">
        <f>""</f>
        <v/>
      </c>
      <c r="G65" t="str">
        <f>""</f>
        <v/>
      </c>
      <c r="H65" s="1">
        <v>40066</v>
      </c>
      <c r="I65" t="str">
        <f>"70068401"</f>
        <v>70068401</v>
      </c>
      <c r="J65" t="str">
        <f t="shared" si="19"/>
        <v>BP52205M</v>
      </c>
      <c r="K65" t="str">
        <f t="shared" si="20"/>
        <v>INNI</v>
      </c>
      <c r="L65" t="s">
        <v>36</v>
      </c>
      <c r="M65" s="2">
        <v>4228.6899999999996</v>
      </c>
    </row>
    <row r="66" spans="1:13" x14ac:dyDescent="0.25">
      <c r="A66" t="str">
        <f t="shared" si="15"/>
        <v>E111</v>
      </c>
      <c r="B66">
        <v>1</v>
      </c>
      <c r="C66" t="str">
        <f t="shared" si="16"/>
        <v>32040</v>
      </c>
      <c r="D66" t="str">
        <f t="shared" si="17"/>
        <v>5610</v>
      </c>
      <c r="E66" t="str">
        <f t="shared" si="18"/>
        <v>850LOS</v>
      </c>
      <c r="F66" t="str">
        <f>""</f>
        <v/>
      </c>
      <c r="G66" t="str">
        <f>""</f>
        <v/>
      </c>
      <c r="H66" s="1">
        <v>40067</v>
      </c>
      <c r="I66" t="str">
        <f>"70224503"</f>
        <v>70224503</v>
      </c>
      <c r="J66" t="str">
        <f t="shared" si="19"/>
        <v>BP52205M</v>
      </c>
      <c r="K66" t="str">
        <f t="shared" si="20"/>
        <v>INNI</v>
      </c>
      <c r="L66" t="s">
        <v>36</v>
      </c>
      <c r="M66" s="2">
        <v>3837.79</v>
      </c>
    </row>
    <row r="67" spans="1:13" x14ac:dyDescent="0.25">
      <c r="A67" t="str">
        <f t="shared" si="15"/>
        <v>E111</v>
      </c>
      <c r="B67">
        <v>1</v>
      </c>
      <c r="C67" t="str">
        <f t="shared" si="16"/>
        <v>32040</v>
      </c>
      <c r="D67" t="str">
        <f t="shared" si="17"/>
        <v>5610</v>
      </c>
      <c r="E67" t="str">
        <f t="shared" si="18"/>
        <v>850LOS</v>
      </c>
      <c r="F67" t="str">
        <f>""</f>
        <v/>
      </c>
      <c r="G67" t="str">
        <f>""</f>
        <v/>
      </c>
      <c r="H67" s="1">
        <v>40070</v>
      </c>
      <c r="I67" t="str">
        <f>"70615002"</f>
        <v>70615002</v>
      </c>
      <c r="J67" t="str">
        <f t="shared" si="19"/>
        <v>BP52205M</v>
      </c>
      <c r="K67" t="str">
        <f t="shared" si="20"/>
        <v>INNI</v>
      </c>
      <c r="L67" t="s">
        <v>36</v>
      </c>
      <c r="M67">
        <v>428.07</v>
      </c>
    </row>
    <row r="68" spans="1:13" x14ac:dyDescent="0.25">
      <c r="A68" t="str">
        <f t="shared" si="15"/>
        <v>E111</v>
      </c>
      <c r="B68">
        <v>1</v>
      </c>
      <c r="C68" t="str">
        <f t="shared" si="16"/>
        <v>32040</v>
      </c>
      <c r="D68" t="str">
        <f t="shared" si="17"/>
        <v>5610</v>
      </c>
      <c r="E68" t="str">
        <f t="shared" si="18"/>
        <v>850LOS</v>
      </c>
      <c r="F68" t="str">
        <f>""</f>
        <v/>
      </c>
      <c r="G68" t="str">
        <f>""</f>
        <v/>
      </c>
      <c r="H68" s="1">
        <v>40072</v>
      </c>
      <c r="I68" t="str">
        <f>"70061101"</f>
        <v>70061101</v>
      </c>
      <c r="J68" t="str">
        <f t="shared" si="19"/>
        <v>BP52205M</v>
      </c>
      <c r="K68" t="str">
        <f t="shared" si="20"/>
        <v>INNI</v>
      </c>
      <c r="L68" t="s">
        <v>36</v>
      </c>
      <c r="M68">
        <v>725.96</v>
      </c>
    </row>
    <row r="69" spans="1:13" x14ac:dyDescent="0.25">
      <c r="A69" t="str">
        <f t="shared" si="15"/>
        <v>E111</v>
      </c>
      <c r="B69">
        <v>1</v>
      </c>
      <c r="C69" t="str">
        <f t="shared" si="16"/>
        <v>32040</v>
      </c>
      <c r="D69" t="str">
        <f t="shared" si="17"/>
        <v>5610</v>
      </c>
      <c r="E69" t="str">
        <f t="shared" si="18"/>
        <v>850LOS</v>
      </c>
      <c r="F69" t="str">
        <f>""</f>
        <v/>
      </c>
      <c r="G69" t="str">
        <f>""</f>
        <v/>
      </c>
      <c r="H69" s="1">
        <v>40072</v>
      </c>
      <c r="I69" t="str">
        <f>"70224504"</f>
        <v>70224504</v>
      </c>
      <c r="J69" t="str">
        <f t="shared" si="19"/>
        <v>BP52205M</v>
      </c>
      <c r="K69" t="str">
        <f t="shared" si="20"/>
        <v>INNI</v>
      </c>
      <c r="L69" t="s">
        <v>36</v>
      </c>
      <c r="M69">
        <v>242.12</v>
      </c>
    </row>
    <row r="70" spans="1:13" x14ac:dyDescent="0.25">
      <c r="A70" t="str">
        <f t="shared" si="15"/>
        <v>E111</v>
      </c>
      <c r="B70">
        <v>1</v>
      </c>
      <c r="C70" t="str">
        <f t="shared" si="16"/>
        <v>32040</v>
      </c>
      <c r="D70" t="str">
        <f t="shared" si="17"/>
        <v>5610</v>
      </c>
      <c r="E70" t="str">
        <f t="shared" si="18"/>
        <v>850LOS</v>
      </c>
      <c r="F70" t="str">
        <f>""</f>
        <v/>
      </c>
      <c r="G70" t="str">
        <f>""</f>
        <v/>
      </c>
      <c r="H70" s="1">
        <v>40081</v>
      </c>
      <c r="I70" t="str">
        <f>"70544701"</f>
        <v>70544701</v>
      </c>
      <c r="J70" t="str">
        <f t="shared" si="19"/>
        <v>BP52205M</v>
      </c>
      <c r="K70" t="str">
        <f t="shared" si="20"/>
        <v>INNI</v>
      </c>
      <c r="L70" t="s">
        <v>36</v>
      </c>
      <c r="M70">
        <v>128.4</v>
      </c>
    </row>
    <row r="71" spans="1:13" x14ac:dyDescent="0.25">
      <c r="A71" t="str">
        <f t="shared" si="15"/>
        <v>E111</v>
      </c>
      <c r="B71">
        <v>1</v>
      </c>
      <c r="C71" t="str">
        <f t="shared" si="16"/>
        <v>32040</v>
      </c>
      <c r="D71" t="str">
        <f t="shared" si="17"/>
        <v>5610</v>
      </c>
      <c r="E71" t="str">
        <f t="shared" si="18"/>
        <v>850LOS</v>
      </c>
      <c r="F71" t="str">
        <f>""</f>
        <v/>
      </c>
      <c r="G71" t="str">
        <f>""</f>
        <v/>
      </c>
      <c r="H71" s="1">
        <v>40086</v>
      </c>
      <c r="I71" t="str">
        <f>"70546501"</f>
        <v>70546501</v>
      </c>
      <c r="J71" t="str">
        <f t="shared" si="19"/>
        <v>BP52205M</v>
      </c>
      <c r="K71" t="str">
        <f t="shared" si="20"/>
        <v>INNI</v>
      </c>
      <c r="L71" t="s">
        <v>36</v>
      </c>
      <c r="M71" s="2">
        <v>2286.1</v>
      </c>
    </row>
    <row r="72" spans="1:13" x14ac:dyDescent="0.25">
      <c r="A72" t="str">
        <f t="shared" si="15"/>
        <v>E111</v>
      </c>
      <c r="B72">
        <v>1</v>
      </c>
      <c r="C72" t="str">
        <f t="shared" si="16"/>
        <v>32040</v>
      </c>
      <c r="D72" t="str">
        <f t="shared" si="17"/>
        <v>5610</v>
      </c>
      <c r="E72" t="str">
        <f t="shared" si="18"/>
        <v>850LOS</v>
      </c>
      <c r="F72" t="str">
        <f>""</f>
        <v/>
      </c>
      <c r="G72" t="str">
        <f>""</f>
        <v/>
      </c>
      <c r="H72" s="1">
        <v>40115</v>
      </c>
      <c r="I72" t="str">
        <f>"70805501"</f>
        <v>70805501</v>
      </c>
      <c r="J72" t="str">
        <f>"NP52205N"</f>
        <v>NP52205N</v>
      </c>
      <c r="K72" t="str">
        <f>"INEI"</f>
        <v>INEI</v>
      </c>
      <c r="L72" t="s">
        <v>36</v>
      </c>
      <c r="M72">
        <v>190.88</v>
      </c>
    </row>
    <row r="73" spans="1:13" x14ac:dyDescent="0.25">
      <c r="A73" t="str">
        <f t="shared" si="15"/>
        <v>E111</v>
      </c>
      <c r="B73">
        <v>1</v>
      </c>
      <c r="C73" t="str">
        <f t="shared" si="16"/>
        <v>32040</v>
      </c>
      <c r="D73" t="str">
        <f t="shared" si="17"/>
        <v>5610</v>
      </c>
      <c r="E73" t="str">
        <f t="shared" si="18"/>
        <v>850LOS</v>
      </c>
      <c r="F73" t="str">
        <f>""</f>
        <v/>
      </c>
      <c r="G73" t="str">
        <f>""</f>
        <v/>
      </c>
      <c r="H73" s="1">
        <v>40116</v>
      </c>
      <c r="I73" t="str">
        <f>"70806301"</f>
        <v>70806301</v>
      </c>
      <c r="J73" t="str">
        <f>"NP52205N"</f>
        <v>NP52205N</v>
      </c>
      <c r="K73" t="str">
        <f>"INEI"</f>
        <v>INEI</v>
      </c>
      <c r="L73" t="s">
        <v>36</v>
      </c>
      <c r="M73">
        <v>245.05</v>
      </c>
    </row>
    <row r="74" spans="1:13" x14ac:dyDescent="0.25">
      <c r="A74" t="str">
        <f t="shared" si="15"/>
        <v>E111</v>
      </c>
      <c r="B74">
        <v>1</v>
      </c>
      <c r="C74" t="str">
        <f t="shared" si="16"/>
        <v>32040</v>
      </c>
      <c r="D74" t="str">
        <f t="shared" si="17"/>
        <v>5610</v>
      </c>
      <c r="E74" t="str">
        <f t="shared" si="18"/>
        <v>850LOS</v>
      </c>
      <c r="F74" t="str">
        <f>""</f>
        <v/>
      </c>
      <c r="G74" t="str">
        <f>""</f>
        <v/>
      </c>
      <c r="H74" s="1">
        <v>40119</v>
      </c>
      <c r="I74" t="str">
        <f>"PCD00393"</f>
        <v>PCD00393</v>
      </c>
      <c r="J74" t="str">
        <f>"107538"</f>
        <v>107538</v>
      </c>
      <c r="K74" t="str">
        <f>"AS89"</f>
        <v>AS89</v>
      </c>
      <c r="L74" t="s">
        <v>1438</v>
      </c>
      <c r="M74">
        <v>166.97</v>
      </c>
    </row>
    <row r="75" spans="1:13" x14ac:dyDescent="0.25">
      <c r="A75" t="str">
        <f t="shared" si="15"/>
        <v>E111</v>
      </c>
      <c r="B75">
        <v>1</v>
      </c>
      <c r="C75" t="str">
        <f t="shared" si="16"/>
        <v>32040</v>
      </c>
      <c r="D75" t="str">
        <f t="shared" si="17"/>
        <v>5610</v>
      </c>
      <c r="E75" t="str">
        <f t="shared" si="18"/>
        <v>850LOS</v>
      </c>
      <c r="F75" t="str">
        <f>""</f>
        <v/>
      </c>
      <c r="G75" t="str">
        <f>""</f>
        <v/>
      </c>
      <c r="H75" s="1">
        <v>40129</v>
      </c>
      <c r="I75" t="str">
        <f>"70914101"</f>
        <v>70914101</v>
      </c>
      <c r="J75" t="str">
        <f t="shared" ref="J75:J86" si="21">"NP52205N"</f>
        <v>NP52205N</v>
      </c>
      <c r="K75" t="str">
        <f t="shared" ref="K75:K86" si="22">"INEI"</f>
        <v>INEI</v>
      </c>
      <c r="L75" t="s">
        <v>36</v>
      </c>
      <c r="M75" s="2">
        <v>2254.1999999999998</v>
      </c>
    </row>
    <row r="76" spans="1:13" x14ac:dyDescent="0.25">
      <c r="A76" t="str">
        <f t="shared" si="15"/>
        <v>E111</v>
      </c>
      <c r="B76">
        <v>1</v>
      </c>
      <c r="C76" t="str">
        <f t="shared" si="16"/>
        <v>32040</v>
      </c>
      <c r="D76" t="str">
        <f t="shared" si="17"/>
        <v>5610</v>
      </c>
      <c r="E76" t="str">
        <f t="shared" si="18"/>
        <v>850LOS</v>
      </c>
      <c r="F76" t="str">
        <f>""</f>
        <v/>
      </c>
      <c r="G76" t="str">
        <f>""</f>
        <v/>
      </c>
      <c r="H76" s="1">
        <v>40136</v>
      </c>
      <c r="I76" t="str">
        <f>"71095201"</f>
        <v>71095201</v>
      </c>
      <c r="J76" t="str">
        <f t="shared" si="21"/>
        <v>NP52205N</v>
      </c>
      <c r="K76" t="str">
        <f t="shared" si="22"/>
        <v>INEI</v>
      </c>
      <c r="L76" t="s">
        <v>36</v>
      </c>
      <c r="M76">
        <v>341.32</v>
      </c>
    </row>
    <row r="77" spans="1:13" x14ac:dyDescent="0.25">
      <c r="A77" t="str">
        <f t="shared" si="15"/>
        <v>E111</v>
      </c>
      <c r="B77">
        <v>1</v>
      </c>
      <c r="C77" t="str">
        <f t="shared" si="16"/>
        <v>32040</v>
      </c>
      <c r="D77" t="str">
        <f t="shared" si="17"/>
        <v>5610</v>
      </c>
      <c r="E77" t="str">
        <f t="shared" si="18"/>
        <v>850LOS</v>
      </c>
      <c r="F77" t="str">
        <f>""</f>
        <v/>
      </c>
      <c r="G77" t="str">
        <f>""</f>
        <v/>
      </c>
      <c r="H77" s="1">
        <v>40150</v>
      </c>
      <c r="I77" t="str">
        <f>"70615101"</f>
        <v>70615101</v>
      </c>
      <c r="J77" t="str">
        <f t="shared" si="21"/>
        <v>NP52205N</v>
      </c>
      <c r="K77" t="str">
        <f t="shared" si="22"/>
        <v>INEI</v>
      </c>
      <c r="L77" t="s">
        <v>36</v>
      </c>
      <c r="M77" s="2">
        <v>1053.95</v>
      </c>
    </row>
    <row r="78" spans="1:13" x14ac:dyDescent="0.25">
      <c r="A78" t="str">
        <f t="shared" si="15"/>
        <v>E111</v>
      </c>
      <c r="B78">
        <v>1</v>
      </c>
      <c r="C78" t="str">
        <f t="shared" si="16"/>
        <v>32040</v>
      </c>
      <c r="D78" t="str">
        <f t="shared" si="17"/>
        <v>5610</v>
      </c>
      <c r="E78" t="str">
        <f t="shared" si="18"/>
        <v>850LOS</v>
      </c>
      <c r="F78" t="str">
        <f>""</f>
        <v/>
      </c>
      <c r="G78" t="str">
        <f>""</f>
        <v/>
      </c>
      <c r="H78" s="1">
        <v>40150</v>
      </c>
      <c r="I78" t="str">
        <f>"71368001"</f>
        <v>71368001</v>
      </c>
      <c r="J78" t="str">
        <f t="shared" si="21"/>
        <v>NP52205N</v>
      </c>
      <c r="K78" t="str">
        <f t="shared" si="22"/>
        <v>INEI</v>
      </c>
      <c r="L78" t="s">
        <v>36</v>
      </c>
      <c r="M78">
        <v>109.48</v>
      </c>
    </row>
    <row r="79" spans="1:13" x14ac:dyDescent="0.25">
      <c r="A79" t="str">
        <f t="shared" si="15"/>
        <v>E111</v>
      </c>
      <c r="B79">
        <v>1</v>
      </c>
      <c r="C79" t="str">
        <f t="shared" si="16"/>
        <v>32040</v>
      </c>
      <c r="D79" t="str">
        <f t="shared" si="17"/>
        <v>5610</v>
      </c>
      <c r="E79" t="str">
        <f t="shared" si="18"/>
        <v>850LOS</v>
      </c>
      <c r="F79" t="str">
        <f>""</f>
        <v/>
      </c>
      <c r="G79" t="str">
        <f>""</f>
        <v/>
      </c>
      <c r="H79" s="1">
        <v>40191</v>
      </c>
      <c r="I79" t="str">
        <f>"71517501"</f>
        <v>71517501</v>
      </c>
      <c r="J79" t="str">
        <f t="shared" si="21"/>
        <v>NP52205N</v>
      </c>
      <c r="K79" t="str">
        <f t="shared" si="22"/>
        <v>INEI</v>
      </c>
      <c r="L79" t="s">
        <v>36</v>
      </c>
      <c r="M79">
        <v>133.74</v>
      </c>
    </row>
    <row r="80" spans="1:13" x14ac:dyDescent="0.25">
      <c r="A80" t="str">
        <f t="shared" si="15"/>
        <v>E111</v>
      </c>
      <c r="B80">
        <v>1</v>
      </c>
      <c r="C80" t="str">
        <f t="shared" si="16"/>
        <v>32040</v>
      </c>
      <c r="D80" t="str">
        <f t="shared" si="17"/>
        <v>5610</v>
      </c>
      <c r="E80" t="str">
        <f t="shared" si="18"/>
        <v>850LOS</v>
      </c>
      <c r="F80" t="str">
        <f>""</f>
        <v/>
      </c>
      <c r="G80" t="str">
        <f>""</f>
        <v/>
      </c>
      <c r="H80" s="1">
        <v>40191</v>
      </c>
      <c r="I80" t="str">
        <f>"71517502"</f>
        <v>71517502</v>
      </c>
      <c r="J80" t="str">
        <f t="shared" si="21"/>
        <v>NP52205N</v>
      </c>
      <c r="K80" t="str">
        <f t="shared" si="22"/>
        <v>INEI</v>
      </c>
      <c r="L80" t="s">
        <v>36</v>
      </c>
      <c r="M80" s="2">
        <v>1280.74</v>
      </c>
    </row>
    <row r="81" spans="1:13" x14ac:dyDescent="0.25">
      <c r="A81" t="str">
        <f t="shared" si="15"/>
        <v>E111</v>
      </c>
      <c r="B81">
        <v>1</v>
      </c>
      <c r="C81" t="str">
        <f t="shared" si="16"/>
        <v>32040</v>
      </c>
      <c r="D81" t="str">
        <f t="shared" si="17"/>
        <v>5610</v>
      </c>
      <c r="E81" t="str">
        <f t="shared" si="18"/>
        <v>850LOS</v>
      </c>
      <c r="F81" t="str">
        <f>""</f>
        <v/>
      </c>
      <c r="G81" t="str">
        <f>""</f>
        <v/>
      </c>
      <c r="H81" s="1">
        <v>40198</v>
      </c>
      <c r="I81" t="str">
        <f>"71517503"</f>
        <v>71517503</v>
      </c>
      <c r="J81" t="str">
        <f t="shared" si="21"/>
        <v>NP52205N</v>
      </c>
      <c r="K81" t="str">
        <f t="shared" si="22"/>
        <v>INEI</v>
      </c>
      <c r="L81" t="s">
        <v>36</v>
      </c>
      <c r="M81" s="2">
        <v>1314.24</v>
      </c>
    </row>
    <row r="82" spans="1:13" x14ac:dyDescent="0.25">
      <c r="A82" t="str">
        <f t="shared" si="15"/>
        <v>E111</v>
      </c>
      <c r="B82">
        <v>1</v>
      </c>
      <c r="C82" t="str">
        <f t="shared" si="16"/>
        <v>32040</v>
      </c>
      <c r="D82" t="str">
        <f t="shared" si="17"/>
        <v>5610</v>
      </c>
      <c r="E82" t="str">
        <f t="shared" si="18"/>
        <v>850LOS</v>
      </c>
      <c r="F82" t="str">
        <f>""</f>
        <v/>
      </c>
      <c r="G82" t="str">
        <f>""</f>
        <v/>
      </c>
      <c r="H82" s="1">
        <v>40198</v>
      </c>
      <c r="I82" t="str">
        <f>"71517601"</f>
        <v>71517601</v>
      </c>
      <c r="J82" t="str">
        <f t="shared" si="21"/>
        <v>NP52205N</v>
      </c>
      <c r="K82" t="str">
        <f t="shared" si="22"/>
        <v>INEI</v>
      </c>
      <c r="L82" t="s">
        <v>36</v>
      </c>
      <c r="M82" s="2">
        <v>2860.09</v>
      </c>
    </row>
    <row r="83" spans="1:13" x14ac:dyDescent="0.25">
      <c r="A83" t="str">
        <f t="shared" si="15"/>
        <v>E111</v>
      </c>
      <c r="B83">
        <v>1</v>
      </c>
      <c r="C83" t="str">
        <f t="shared" si="16"/>
        <v>32040</v>
      </c>
      <c r="D83" t="str">
        <f t="shared" si="17"/>
        <v>5610</v>
      </c>
      <c r="E83" t="str">
        <f t="shared" si="18"/>
        <v>850LOS</v>
      </c>
      <c r="F83" t="str">
        <f>""</f>
        <v/>
      </c>
      <c r="G83" t="str">
        <f>""</f>
        <v/>
      </c>
      <c r="H83" s="1">
        <v>40198</v>
      </c>
      <c r="I83" t="str">
        <f>"71562702"</f>
        <v>71562702</v>
      </c>
      <c r="J83" t="str">
        <f t="shared" si="21"/>
        <v>NP52205N</v>
      </c>
      <c r="K83" t="str">
        <f t="shared" si="22"/>
        <v>INEI</v>
      </c>
      <c r="L83" t="s">
        <v>36</v>
      </c>
      <c r="M83">
        <v>190.88</v>
      </c>
    </row>
    <row r="84" spans="1:13" x14ac:dyDescent="0.25">
      <c r="A84" t="str">
        <f t="shared" si="15"/>
        <v>E111</v>
      </c>
      <c r="B84">
        <v>1</v>
      </c>
      <c r="C84" t="str">
        <f t="shared" si="16"/>
        <v>32040</v>
      </c>
      <c r="D84" t="str">
        <f t="shared" si="17"/>
        <v>5610</v>
      </c>
      <c r="E84" t="str">
        <f t="shared" si="18"/>
        <v>850LOS</v>
      </c>
      <c r="F84" t="str">
        <f>""</f>
        <v/>
      </c>
      <c r="G84" t="str">
        <f>""</f>
        <v/>
      </c>
      <c r="H84" s="1">
        <v>40198</v>
      </c>
      <c r="I84" t="str">
        <f>"71563001"</f>
        <v>71563001</v>
      </c>
      <c r="J84" t="str">
        <f t="shared" si="21"/>
        <v>NP52205N</v>
      </c>
      <c r="K84" t="str">
        <f t="shared" si="22"/>
        <v>INEI</v>
      </c>
      <c r="L84" t="s">
        <v>36</v>
      </c>
      <c r="M84">
        <v>209.6</v>
      </c>
    </row>
    <row r="85" spans="1:13" x14ac:dyDescent="0.25">
      <c r="A85" t="str">
        <f t="shared" si="15"/>
        <v>E111</v>
      </c>
      <c r="B85">
        <v>1</v>
      </c>
      <c r="C85" t="str">
        <f t="shared" si="16"/>
        <v>32040</v>
      </c>
      <c r="D85" t="str">
        <f t="shared" si="17"/>
        <v>5610</v>
      </c>
      <c r="E85" t="str">
        <f t="shared" si="18"/>
        <v>850LOS</v>
      </c>
      <c r="F85" t="str">
        <f>""</f>
        <v/>
      </c>
      <c r="G85" t="str">
        <f>""</f>
        <v/>
      </c>
      <c r="H85" s="1">
        <v>40207</v>
      </c>
      <c r="I85" t="str">
        <f>"71562703"</f>
        <v>71562703</v>
      </c>
      <c r="J85" t="str">
        <f t="shared" si="21"/>
        <v>NP52205N</v>
      </c>
      <c r="K85" t="str">
        <f t="shared" si="22"/>
        <v>INEI</v>
      </c>
      <c r="L85" t="s">
        <v>36</v>
      </c>
      <c r="M85">
        <v>261.99</v>
      </c>
    </row>
    <row r="86" spans="1:13" x14ac:dyDescent="0.25">
      <c r="A86" t="str">
        <f t="shared" si="15"/>
        <v>E111</v>
      </c>
      <c r="B86">
        <v>1</v>
      </c>
      <c r="C86" t="str">
        <f t="shared" si="16"/>
        <v>32040</v>
      </c>
      <c r="D86" t="str">
        <f t="shared" si="17"/>
        <v>5610</v>
      </c>
      <c r="E86" t="str">
        <f t="shared" si="18"/>
        <v>850LOS</v>
      </c>
      <c r="F86" t="str">
        <f>""</f>
        <v/>
      </c>
      <c r="G86" t="str">
        <f>""</f>
        <v/>
      </c>
      <c r="H86" s="1">
        <v>40207</v>
      </c>
      <c r="I86" t="str">
        <f>"71563002"</f>
        <v>71563002</v>
      </c>
      <c r="J86" t="str">
        <f t="shared" si="21"/>
        <v>NP52205N</v>
      </c>
      <c r="K86" t="str">
        <f t="shared" si="22"/>
        <v>INEI</v>
      </c>
      <c r="L86" t="s">
        <v>36</v>
      </c>
      <c r="M86">
        <v>295.22000000000003</v>
      </c>
    </row>
    <row r="87" spans="1:13" x14ac:dyDescent="0.25">
      <c r="A87" t="str">
        <f t="shared" ref="A87:A118" si="23">"E111"</f>
        <v>E111</v>
      </c>
      <c r="B87">
        <v>1</v>
      </c>
      <c r="C87" t="str">
        <f t="shared" si="16"/>
        <v>32040</v>
      </c>
      <c r="D87" t="str">
        <f t="shared" si="17"/>
        <v>5610</v>
      </c>
      <c r="E87" t="str">
        <f t="shared" si="18"/>
        <v>850LOS</v>
      </c>
      <c r="F87" t="str">
        <f>""</f>
        <v/>
      </c>
      <c r="G87" t="str">
        <f>""</f>
        <v/>
      </c>
      <c r="H87" s="1">
        <v>40214</v>
      </c>
      <c r="I87" t="str">
        <f>"PCD00406"</f>
        <v>PCD00406</v>
      </c>
      <c r="J87" t="str">
        <f>"113513"</f>
        <v>113513</v>
      </c>
      <c r="K87" t="str">
        <f>"AS89"</f>
        <v>AS89</v>
      </c>
      <c r="L87" t="s">
        <v>1437</v>
      </c>
      <c r="M87">
        <v>130.19999999999999</v>
      </c>
    </row>
    <row r="88" spans="1:13" x14ac:dyDescent="0.25">
      <c r="A88" t="str">
        <f t="shared" si="23"/>
        <v>E111</v>
      </c>
      <c r="B88">
        <v>1</v>
      </c>
      <c r="C88" t="str">
        <f t="shared" si="16"/>
        <v>32040</v>
      </c>
      <c r="D88" t="str">
        <f t="shared" si="17"/>
        <v>5610</v>
      </c>
      <c r="E88" t="str">
        <f t="shared" si="18"/>
        <v>850LOS</v>
      </c>
      <c r="F88" t="str">
        <f>""</f>
        <v/>
      </c>
      <c r="G88" t="str">
        <f>""</f>
        <v/>
      </c>
      <c r="H88" s="1">
        <v>40232</v>
      </c>
      <c r="I88" t="str">
        <f>"72053004"</f>
        <v>72053004</v>
      </c>
      <c r="J88" t="str">
        <f>"NP52205N"</f>
        <v>NP52205N</v>
      </c>
      <c r="K88" t="str">
        <f t="shared" ref="K88:K102" si="24">"INEI"</f>
        <v>INEI</v>
      </c>
      <c r="L88" t="s">
        <v>36</v>
      </c>
      <c r="M88">
        <v>230.75</v>
      </c>
    </row>
    <row r="89" spans="1:13" x14ac:dyDescent="0.25">
      <c r="A89" t="str">
        <f t="shared" si="23"/>
        <v>E111</v>
      </c>
      <c r="B89">
        <v>1</v>
      </c>
      <c r="C89" t="str">
        <f t="shared" si="16"/>
        <v>32040</v>
      </c>
      <c r="D89" t="str">
        <f t="shared" si="17"/>
        <v>5610</v>
      </c>
      <c r="E89" t="str">
        <f t="shared" ref="E89:E120" si="25">"850LOS"</f>
        <v>850LOS</v>
      </c>
      <c r="F89" t="str">
        <f>""</f>
        <v/>
      </c>
      <c r="G89" t="str">
        <f>""</f>
        <v/>
      </c>
      <c r="H89" s="1">
        <v>40232</v>
      </c>
      <c r="I89" t="str">
        <f>"2053002A"</f>
        <v>2053002A</v>
      </c>
      <c r="J89" t="str">
        <f>"NP52205N"</f>
        <v>NP52205N</v>
      </c>
      <c r="K89" t="str">
        <f t="shared" si="24"/>
        <v>INEI</v>
      </c>
      <c r="L89" t="s">
        <v>36</v>
      </c>
      <c r="M89">
        <v>464.67</v>
      </c>
    </row>
    <row r="90" spans="1:13" x14ac:dyDescent="0.25">
      <c r="A90" t="str">
        <f t="shared" si="23"/>
        <v>E111</v>
      </c>
      <c r="B90">
        <v>1</v>
      </c>
      <c r="C90" t="str">
        <f t="shared" si="16"/>
        <v>32040</v>
      </c>
      <c r="D90" t="str">
        <f t="shared" si="17"/>
        <v>5610</v>
      </c>
      <c r="E90" t="str">
        <f t="shared" si="25"/>
        <v>850LOS</v>
      </c>
      <c r="F90" t="str">
        <f>""</f>
        <v/>
      </c>
      <c r="G90" t="str">
        <f>""</f>
        <v/>
      </c>
      <c r="H90" s="1">
        <v>40232</v>
      </c>
      <c r="I90" t="str">
        <f>"2053003A"</f>
        <v>2053003A</v>
      </c>
      <c r="J90" t="str">
        <f>"NP52205N"</f>
        <v>NP52205N</v>
      </c>
      <c r="K90" t="str">
        <f t="shared" si="24"/>
        <v>INEI</v>
      </c>
      <c r="L90" t="s">
        <v>36</v>
      </c>
      <c r="M90">
        <v>108.78</v>
      </c>
    </row>
    <row r="91" spans="1:13" x14ac:dyDescent="0.25">
      <c r="A91" t="str">
        <f t="shared" si="23"/>
        <v>E111</v>
      </c>
      <c r="B91">
        <v>1</v>
      </c>
      <c r="C91" t="str">
        <f t="shared" si="16"/>
        <v>32040</v>
      </c>
      <c r="D91" t="str">
        <f t="shared" si="17"/>
        <v>5610</v>
      </c>
      <c r="E91" t="str">
        <f t="shared" si="25"/>
        <v>850LOS</v>
      </c>
      <c r="F91" t="str">
        <f>""</f>
        <v/>
      </c>
      <c r="G91" t="str">
        <f>""</f>
        <v/>
      </c>
      <c r="H91" s="1">
        <v>40246</v>
      </c>
      <c r="I91" t="str">
        <f>"72063001"</f>
        <v>72063001</v>
      </c>
      <c r="J91" t="str">
        <f t="shared" ref="J91:J102" si="26">"NP52205P"</f>
        <v>NP52205P</v>
      </c>
      <c r="K91" t="str">
        <f t="shared" si="24"/>
        <v>INEI</v>
      </c>
      <c r="L91" t="s">
        <v>36</v>
      </c>
      <c r="M91">
        <v>846.92</v>
      </c>
    </row>
    <row r="92" spans="1:13" x14ac:dyDescent="0.25">
      <c r="A92" t="str">
        <f t="shared" si="23"/>
        <v>E111</v>
      </c>
      <c r="B92">
        <v>1</v>
      </c>
      <c r="C92" t="str">
        <f t="shared" si="16"/>
        <v>32040</v>
      </c>
      <c r="D92" t="str">
        <f t="shared" si="17"/>
        <v>5610</v>
      </c>
      <c r="E92" t="str">
        <f t="shared" si="25"/>
        <v>850LOS</v>
      </c>
      <c r="F92" t="str">
        <f>""</f>
        <v/>
      </c>
      <c r="G92" t="str">
        <f>""</f>
        <v/>
      </c>
      <c r="H92" s="1">
        <v>40246</v>
      </c>
      <c r="I92" t="str">
        <f>"72060001"</f>
        <v>72060001</v>
      </c>
      <c r="J92" t="str">
        <f t="shared" si="26"/>
        <v>NP52205P</v>
      </c>
      <c r="K92" t="str">
        <f t="shared" si="24"/>
        <v>INEI</v>
      </c>
      <c r="L92" t="s">
        <v>36</v>
      </c>
      <c r="M92" s="2">
        <v>3272.95</v>
      </c>
    </row>
    <row r="93" spans="1:13" x14ac:dyDescent="0.25">
      <c r="A93" t="str">
        <f t="shared" si="23"/>
        <v>E111</v>
      </c>
      <c r="B93">
        <v>1</v>
      </c>
      <c r="C93" t="str">
        <f t="shared" si="16"/>
        <v>32040</v>
      </c>
      <c r="D93" t="str">
        <f t="shared" si="17"/>
        <v>5610</v>
      </c>
      <c r="E93" t="str">
        <f t="shared" si="25"/>
        <v>850LOS</v>
      </c>
      <c r="F93" t="str">
        <f>""</f>
        <v/>
      </c>
      <c r="G93" t="str">
        <f>""</f>
        <v/>
      </c>
      <c r="H93" s="1">
        <v>40252</v>
      </c>
      <c r="I93" t="str">
        <f>"72280101"</f>
        <v>72280101</v>
      </c>
      <c r="J93" t="str">
        <f t="shared" si="26"/>
        <v>NP52205P</v>
      </c>
      <c r="K93" t="str">
        <f t="shared" si="24"/>
        <v>INEI</v>
      </c>
      <c r="L93" t="s">
        <v>36</v>
      </c>
      <c r="M93" s="2">
        <v>2210.38</v>
      </c>
    </row>
    <row r="94" spans="1:13" x14ac:dyDescent="0.25">
      <c r="A94" t="str">
        <f t="shared" si="23"/>
        <v>E111</v>
      </c>
      <c r="B94">
        <v>1</v>
      </c>
      <c r="C94" t="str">
        <f t="shared" si="16"/>
        <v>32040</v>
      </c>
      <c r="D94" t="str">
        <f t="shared" si="17"/>
        <v>5610</v>
      </c>
      <c r="E94" t="str">
        <f t="shared" si="25"/>
        <v>850LOS</v>
      </c>
      <c r="F94" t="str">
        <f>""</f>
        <v/>
      </c>
      <c r="G94" t="str">
        <f>""</f>
        <v/>
      </c>
      <c r="H94" s="1">
        <v>40252</v>
      </c>
      <c r="I94" t="str">
        <f>"72280102"</f>
        <v>72280102</v>
      </c>
      <c r="J94" t="str">
        <f t="shared" si="26"/>
        <v>NP52205P</v>
      </c>
      <c r="K94" t="str">
        <f t="shared" si="24"/>
        <v>INEI</v>
      </c>
      <c r="L94" t="s">
        <v>36</v>
      </c>
      <c r="M94" s="2">
        <v>3686.78</v>
      </c>
    </row>
    <row r="95" spans="1:13" x14ac:dyDescent="0.25">
      <c r="A95" t="str">
        <f t="shared" si="23"/>
        <v>E111</v>
      </c>
      <c r="B95">
        <v>1</v>
      </c>
      <c r="C95" t="str">
        <f t="shared" si="16"/>
        <v>32040</v>
      </c>
      <c r="D95" t="str">
        <f t="shared" si="17"/>
        <v>5610</v>
      </c>
      <c r="E95" t="str">
        <f t="shared" si="25"/>
        <v>850LOS</v>
      </c>
      <c r="F95" t="str">
        <f>""</f>
        <v/>
      </c>
      <c r="G95" t="str">
        <f>""</f>
        <v/>
      </c>
      <c r="H95" s="1">
        <v>40260</v>
      </c>
      <c r="I95" t="str">
        <f>"72362401"</f>
        <v>72362401</v>
      </c>
      <c r="J95" t="str">
        <f t="shared" si="26"/>
        <v>NP52205P</v>
      </c>
      <c r="K95" t="str">
        <f t="shared" si="24"/>
        <v>INEI</v>
      </c>
      <c r="L95" t="s">
        <v>36</v>
      </c>
      <c r="M95">
        <v>158.21</v>
      </c>
    </row>
    <row r="96" spans="1:13" x14ac:dyDescent="0.25">
      <c r="A96" t="str">
        <f t="shared" si="23"/>
        <v>E111</v>
      </c>
      <c r="B96">
        <v>1</v>
      </c>
      <c r="C96" t="str">
        <f t="shared" si="16"/>
        <v>32040</v>
      </c>
      <c r="D96" t="str">
        <f t="shared" si="17"/>
        <v>5610</v>
      </c>
      <c r="E96" t="str">
        <f t="shared" si="25"/>
        <v>850LOS</v>
      </c>
      <c r="F96" t="str">
        <f>""</f>
        <v/>
      </c>
      <c r="G96" t="str">
        <f>""</f>
        <v/>
      </c>
      <c r="H96" s="1">
        <v>40262</v>
      </c>
      <c r="I96" t="str">
        <f>"72195701"</f>
        <v>72195701</v>
      </c>
      <c r="J96" t="str">
        <f t="shared" si="26"/>
        <v>NP52205P</v>
      </c>
      <c r="K96" t="str">
        <f t="shared" si="24"/>
        <v>INEI</v>
      </c>
      <c r="L96" t="s">
        <v>36</v>
      </c>
      <c r="M96">
        <v>580.78</v>
      </c>
    </row>
    <row r="97" spans="1:13" x14ac:dyDescent="0.25">
      <c r="A97" t="str">
        <f t="shared" si="23"/>
        <v>E111</v>
      </c>
      <c r="B97">
        <v>1</v>
      </c>
      <c r="C97" t="str">
        <f t="shared" si="16"/>
        <v>32040</v>
      </c>
      <c r="D97" t="str">
        <f t="shared" si="17"/>
        <v>5610</v>
      </c>
      <c r="E97" t="str">
        <f t="shared" si="25"/>
        <v>850LOS</v>
      </c>
      <c r="F97" t="str">
        <f>""</f>
        <v/>
      </c>
      <c r="G97" t="str">
        <f>""</f>
        <v/>
      </c>
      <c r="H97" s="1">
        <v>40294</v>
      </c>
      <c r="I97" t="str">
        <f>"72744501"</f>
        <v>72744501</v>
      </c>
      <c r="J97" t="str">
        <f t="shared" si="26"/>
        <v>NP52205P</v>
      </c>
      <c r="K97" t="str">
        <f t="shared" si="24"/>
        <v>INEI</v>
      </c>
      <c r="L97" t="s">
        <v>36</v>
      </c>
      <c r="M97">
        <v>472.99</v>
      </c>
    </row>
    <row r="98" spans="1:13" x14ac:dyDescent="0.25">
      <c r="A98" t="str">
        <f t="shared" si="23"/>
        <v>E111</v>
      </c>
      <c r="B98">
        <v>1</v>
      </c>
      <c r="C98" t="str">
        <f t="shared" si="16"/>
        <v>32040</v>
      </c>
      <c r="D98" t="str">
        <f t="shared" si="17"/>
        <v>5610</v>
      </c>
      <c r="E98" t="str">
        <f t="shared" si="25"/>
        <v>850LOS</v>
      </c>
      <c r="F98" t="str">
        <f>""</f>
        <v/>
      </c>
      <c r="G98" t="str">
        <f>""</f>
        <v/>
      </c>
      <c r="H98" s="1">
        <v>40309</v>
      </c>
      <c r="I98" t="str">
        <f>"72744401"</f>
        <v>72744401</v>
      </c>
      <c r="J98" t="str">
        <f t="shared" si="26"/>
        <v>NP52205P</v>
      </c>
      <c r="K98" t="str">
        <f t="shared" si="24"/>
        <v>INEI</v>
      </c>
      <c r="L98" t="s">
        <v>36</v>
      </c>
      <c r="M98">
        <v>189.65</v>
      </c>
    </row>
    <row r="99" spans="1:13" x14ac:dyDescent="0.25">
      <c r="A99" t="str">
        <f t="shared" si="23"/>
        <v>E111</v>
      </c>
      <c r="B99">
        <v>1</v>
      </c>
      <c r="C99" t="str">
        <f t="shared" si="16"/>
        <v>32040</v>
      </c>
      <c r="D99" t="str">
        <f t="shared" si="17"/>
        <v>5610</v>
      </c>
      <c r="E99" t="str">
        <f t="shared" si="25"/>
        <v>850LOS</v>
      </c>
      <c r="F99" t="str">
        <f>""</f>
        <v/>
      </c>
      <c r="G99" t="str">
        <f>""</f>
        <v/>
      </c>
      <c r="H99" s="1">
        <v>40338</v>
      </c>
      <c r="I99" t="str">
        <f>"73122802"</f>
        <v>73122802</v>
      </c>
      <c r="J99" t="str">
        <f t="shared" si="26"/>
        <v>NP52205P</v>
      </c>
      <c r="K99" t="str">
        <f t="shared" si="24"/>
        <v>INEI</v>
      </c>
      <c r="L99" t="s">
        <v>36</v>
      </c>
      <c r="M99">
        <v>926.77</v>
      </c>
    </row>
    <row r="100" spans="1:13" x14ac:dyDescent="0.25">
      <c r="A100" t="str">
        <f t="shared" si="23"/>
        <v>E111</v>
      </c>
      <c r="B100">
        <v>1</v>
      </c>
      <c r="C100" t="str">
        <f t="shared" si="16"/>
        <v>32040</v>
      </c>
      <c r="D100" t="str">
        <f t="shared" si="17"/>
        <v>5610</v>
      </c>
      <c r="E100" t="str">
        <f t="shared" si="25"/>
        <v>850LOS</v>
      </c>
      <c r="F100" t="str">
        <f>""</f>
        <v/>
      </c>
      <c r="G100" t="str">
        <f>""</f>
        <v/>
      </c>
      <c r="H100" s="1">
        <v>40338</v>
      </c>
      <c r="I100" t="str">
        <f>"73176901"</f>
        <v>73176901</v>
      </c>
      <c r="J100" t="str">
        <f t="shared" si="26"/>
        <v>NP52205P</v>
      </c>
      <c r="K100" t="str">
        <f t="shared" si="24"/>
        <v>INEI</v>
      </c>
      <c r="L100" t="s">
        <v>36</v>
      </c>
      <c r="M100">
        <v>869.18</v>
      </c>
    </row>
    <row r="101" spans="1:13" x14ac:dyDescent="0.25">
      <c r="A101" t="str">
        <f t="shared" si="23"/>
        <v>E111</v>
      </c>
      <c r="B101">
        <v>1</v>
      </c>
      <c r="C101" t="str">
        <f t="shared" si="16"/>
        <v>32040</v>
      </c>
      <c r="D101" t="str">
        <f t="shared" si="17"/>
        <v>5610</v>
      </c>
      <c r="E101" t="str">
        <f t="shared" si="25"/>
        <v>850LOS</v>
      </c>
      <c r="F101" t="str">
        <f>""</f>
        <v/>
      </c>
      <c r="G101" t="str">
        <f>""</f>
        <v/>
      </c>
      <c r="H101" s="1">
        <v>40338</v>
      </c>
      <c r="I101" t="str">
        <f>"72744502"</f>
        <v>72744502</v>
      </c>
      <c r="J101" t="str">
        <f t="shared" si="26"/>
        <v>NP52205P</v>
      </c>
      <c r="K101" t="str">
        <f t="shared" si="24"/>
        <v>INEI</v>
      </c>
      <c r="L101" t="s">
        <v>36</v>
      </c>
      <c r="M101">
        <v>603.53</v>
      </c>
    </row>
    <row r="102" spans="1:13" x14ac:dyDescent="0.25">
      <c r="A102" t="str">
        <f t="shared" si="23"/>
        <v>E111</v>
      </c>
      <c r="B102">
        <v>1</v>
      </c>
      <c r="C102" t="str">
        <f t="shared" si="16"/>
        <v>32040</v>
      </c>
      <c r="D102" t="str">
        <f t="shared" si="17"/>
        <v>5610</v>
      </c>
      <c r="E102" t="str">
        <f t="shared" si="25"/>
        <v>850LOS</v>
      </c>
      <c r="F102" t="str">
        <f>""</f>
        <v/>
      </c>
      <c r="G102" t="str">
        <f>""</f>
        <v/>
      </c>
      <c r="H102" s="1">
        <v>40356</v>
      </c>
      <c r="I102" t="str">
        <f>"73176401"</f>
        <v>73176401</v>
      </c>
      <c r="J102" t="str">
        <f t="shared" si="26"/>
        <v>NP52205P</v>
      </c>
      <c r="K102" t="str">
        <f t="shared" si="24"/>
        <v>INEI</v>
      </c>
      <c r="L102" t="s">
        <v>36</v>
      </c>
      <c r="M102">
        <v>799.07</v>
      </c>
    </row>
    <row r="103" spans="1:13" x14ac:dyDescent="0.25">
      <c r="A103" t="str">
        <f t="shared" si="23"/>
        <v>E111</v>
      </c>
      <c r="B103">
        <v>1</v>
      </c>
      <c r="C103" t="str">
        <f t="shared" si="16"/>
        <v>32040</v>
      </c>
      <c r="D103" t="str">
        <f t="shared" si="17"/>
        <v>5610</v>
      </c>
      <c r="E103" t="str">
        <f t="shared" si="25"/>
        <v>850LOS</v>
      </c>
      <c r="F103" t="str">
        <f>""</f>
        <v/>
      </c>
      <c r="G103" t="str">
        <f>""</f>
        <v/>
      </c>
      <c r="H103" s="1">
        <v>40359</v>
      </c>
      <c r="I103" t="str">
        <f>"ACG01992"</f>
        <v>ACG01992</v>
      </c>
      <c r="J103" t="str">
        <f>"73126201"</f>
        <v>73126201</v>
      </c>
      <c r="K103" t="str">
        <f t="shared" ref="K103:K114" si="27">"AS89"</f>
        <v>AS89</v>
      </c>
      <c r="L103" t="s">
        <v>1305</v>
      </c>
      <c r="M103" s="2">
        <v>13325.24</v>
      </c>
    </row>
    <row r="104" spans="1:13" x14ac:dyDescent="0.25">
      <c r="A104" t="str">
        <f t="shared" si="23"/>
        <v>E111</v>
      </c>
      <c r="B104">
        <v>1</v>
      </c>
      <c r="C104" t="str">
        <f t="shared" si="16"/>
        <v>32040</v>
      </c>
      <c r="D104" t="str">
        <f t="shared" si="17"/>
        <v>5610</v>
      </c>
      <c r="E104" t="str">
        <f t="shared" si="25"/>
        <v>850LOS</v>
      </c>
      <c r="F104" t="str">
        <f>""</f>
        <v/>
      </c>
      <c r="G104" t="str">
        <f>""</f>
        <v/>
      </c>
      <c r="H104" s="1">
        <v>40359</v>
      </c>
      <c r="I104" t="str">
        <f>"ACG01992"</f>
        <v>ACG01992</v>
      </c>
      <c r="J104" t="str">
        <f>"73314701"</f>
        <v>73314701</v>
      </c>
      <c r="K104" t="str">
        <f t="shared" si="27"/>
        <v>AS89</v>
      </c>
      <c r="L104" t="s">
        <v>1305</v>
      </c>
      <c r="M104" s="2">
        <v>17633.89</v>
      </c>
    </row>
    <row r="105" spans="1:13" x14ac:dyDescent="0.25">
      <c r="A105" t="str">
        <f t="shared" si="23"/>
        <v>E111</v>
      </c>
      <c r="B105">
        <v>1</v>
      </c>
      <c r="C105" t="str">
        <f t="shared" ref="C105:C145" si="28">"43000"</f>
        <v>43000</v>
      </c>
      <c r="D105" t="str">
        <f t="shared" ref="D105:D149" si="29">"5740"</f>
        <v>5740</v>
      </c>
      <c r="E105" t="str">
        <f t="shared" si="25"/>
        <v>850LOS</v>
      </c>
      <c r="F105" t="str">
        <f t="shared" ref="F105:F114" si="30">"PKOLOT"</f>
        <v>PKOLOT</v>
      </c>
      <c r="G105" t="str">
        <f>""</f>
        <v/>
      </c>
      <c r="H105" s="1">
        <v>40032</v>
      </c>
      <c r="I105" t="str">
        <f>"PCD00379"</f>
        <v>PCD00379</v>
      </c>
      <c r="J105" t="str">
        <f>"103300"</f>
        <v>103300</v>
      </c>
      <c r="K105" t="str">
        <f t="shared" si="27"/>
        <v>AS89</v>
      </c>
      <c r="L105" t="s">
        <v>1435</v>
      </c>
      <c r="M105">
        <v>109</v>
      </c>
    </row>
    <row r="106" spans="1:13" x14ac:dyDescent="0.25">
      <c r="A106" t="str">
        <f t="shared" si="23"/>
        <v>E111</v>
      </c>
      <c r="B106">
        <v>1</v>
      </c>
      <c r="C106" t="str">
        <f t="shared" si="28"/>
        <v>43000</v>
      </c>
      <c r="D106" t="str">
        <f t="shared" si="29"/>
        <v>5740</v>
      </c>
      <c r="E106" t="str">
        <f t="shared" si="25"/>
        <v>850LOS</v>
      </c>
      <c r="F106" t="str">
        <f t="shared" si="30"/>
        <v>PKOLOT</v>
      </c>
      <c r="G106" t="str">
        <f>""</f>
        <v/>
      </c>
      <c r="H106" s="1">
        <v>40032</v>
      </c>
      <c r="I106" t="str">
        <f>"PCD00379"</f>
        <v>PCD00379</v>
      </c>
      <c r="J106" t="str">
        <f>"103481"</f>
        <v>103481</v>
      </c>
      <c r="K106" t="str">
        <f t="shared" si="27"/>
        <v>AS89</v>
      </c>
      <c r="L106" t="s">
        <v>1434</v>
      </c>
      <c r="M106">
        <v>287.33</v>
      </c>
    </row>
    <row r="107" spans="1:13" x14ac:dyDescent="0.25">
      <c r="A107" t="str">
        <f t="shared" si="23"/>
        <v>E111</v>
      </c>
      <c r="B107">
        <v>1</v>
      </c>
      <c r="C107" t="str">
        <f t="shared" si="28"/>
        <v>43000</v>
      </c>
      <c r="D107" t="str">
        <f t="shared" si="29"/>
        <v>5740</v>
      </c>
      <c r="E107" t="str">
        <f t="shared" si="25"/>
        <v>850LOS</v>
      </c>
      <c r="F107" t="str">
        <f t="shared" si="30"/>
        <v>PKOLOT</v>
      </c>
      <c r="G107" t="str">
        <f>""</f>
        <v/>
      </c>
      <c r="H107" s="1">
        <v>40064</v>
      </c>
      <c r="I107" t="str">
        <f>"PCD00384"</f>
        <v>PCD00384</v>
      </c>
      <c r="J107" t="str">
        <f>"103888"</f>
        <v>103888</v>
      </c>
      <c r="K107" t="str">
        <f t="shared" si="27"/>
        <v>AS89</v>
      </c>
      <c r="L107" t="s">
        <v>1433</v>
      </c>
      <c r="M107">
        <v>130.19</v>
      </c>
    </row>
    <row r="108" spans="1:13" x14ac:dyDescent="0.25">
      <c r="A108" t="str">
        <f t="shared" si="23"/>
        <v>E111</v>
      </c>
      <c r="B108">
        <v>1</v>
      </c>
      <c r="C108" t="str">
        <f t="shared" si="28"/>
        <v>43000</v>
      </c>
      <c r="D108" t="str">
        <f t="shared" si="29"/>
        <v>5740</v>
      </c>
      <c r="E108" t="str">
        <f t="shared" si="25"/>
        <v>850LOS</v>
      </c>
      <c r="F108" t="str">
        <f t="shared" si="30"/>
        <v>PKOLOT</v>
      </c>
      <c r="G108" t="str">
        <f>""</f>
        <v/>
      </c>
      <c r="H108" s="1">
        <v>40064</v>
      </c>
      <c r="I108" t="str">
        <f>"PCD00384"</f>
        <v>PCD00384</v>
      </c>
      <c r="J108" t="str">
        <f>"104459"</f>
        <v>104459</v>
      </c>
      <c r="K108" t="str">
        <f t="shared" si="27"/>
        <v>AS89</v>
      </c>
      <c r="L108" t="s">
        <v>1432</v>
      </c>
      <c r="M108">
        <v>107.27</v>
      </c>
    </row>
    <row r="109" spans="1:13" x14ac:dyDescent="0.25">
      <c r="A109" t="str">
        <f t="shared" si="23"/>
        <v>E111</v>
      </c>
      <c r="B109">
        <v>1</v>
      </c>
      <c r="C109" t="str">
        <f t="shared" si="28"/>
        <v>43000</v>
      </c>
      <c r="D109" t="str">
        <f t="shared" si="29"/>
        <v>5740</v>
      </c>
      <c r="E109" t="str">
        <f t="shared" si="25"/>
        <v>850LOS</v>
      </c>
      <c r="F109" t="str">
        <f t="shared" si="30"/>
        <v>PKOLOT</v>
      </c>
      <c r="G109" t="str">
        <f>""</f>
        <v/>
      </c>
      <c r="H109" s="1">
        <v>40064</v>
      </c>
      <c r="I109" t="str">
        <f>"PCD00384"</f>
        <v>PCD00384</v>
      </c>
      <c r="J109" t="str">
        <f>"104685"</f>
        <v>104685</v>
      </c>
      <c r="K109" t="str">
        <f t="shared" si="27"/>
        <v>AS89</v>
      </c>
      <c r="L109" t="s">
        <v>1431</v>
      </c>
      <c r="M109">
        <v>164.92</v>
      </c>
    </row>
    <row r="110" spans="1:13" x14ac:dyDescent="0.25">
      <c r="A110" t="str">
        <f t="shared" si="23"/>
        <v>E111</v>
      </c>
      <c r="B110">
        <v>1</v>
      </c>
      <c r="C110" t="str">
        <f t="shared" si="28"/>
        <v>43000</v>
      </c>
      <c r="D110" t="str">
        <f t="shared" si="29"/>
        <v>5740</v>
      </c>
      <c r="E110" t="str">
        <f t="shared" si="25"/>
        <v>850LOS</v>
      </c>
      <c r="F110" t="str">
        <f t="shared" si="30"/>
        <v>PKOLOT</v>
      </c>
      <c r="G110" t="str">
        <f>""</f>
        <v/>
      </c>
      <c r="H110" s="1">
        <v>40064</v>
      </c>
      <c r="I110" t="str">
        <f>"PCD00384"</f>
        <v>PCD00384</v>
      </c>
      <c r="J110" t="str">
        <f>"105046"</f>
        <v>105046</v>
      </c>
      <c r="K110" t="str">
        <f t="shared" si="27"/>
        <v>AS89</v>
      </c>
      <c r="L110" t="s">
        <v>1430</v>
      </c>
      <c r="M110">
        <v>595.53</v>
      </c>
    </row>
    <row r="111" spans="1:13" x14ac:dyDescent="0.25">
      <c r="A111" t="str">
        <f t="shared" si="23"/>
        <v>E111</v>
      </c>
      <c r="B111">
        <v>1</v>
      </c>
      <c r="C111" t="str">
        <f t="shared" si="28"/>
        <v>43000</v>
      </c>
      <c r="D111" t="str">
        <f t="shared" si="29"/>
        <v>5740</v>
      </c>
      <c r="E111" t="str">
        <f t="shared" si="25"/>
        <v>850LOS</v>
      </c>
      <c r="F111" t="str">
        <f t="shared" si="30"/>
        <v>PKOLOT</v>
      </c>
      <c r="G111" t="str">
        <f>""</f>
        <v/>
      </c>
      <c r="H111" s="1">
        <v>40214</v>
      </c>
      <c r="I111" t="str">
        <f>"PCD00406"</f>
        <v>PCD00406</v>
      </c>
      <c r="J111" t="str">
        <f>"114014"</f>
        <v>114014</v>
      </c>
      <c r="K111" t="str">
        <f t="shared" si="27"/>
        <v>AS89</v>
      </c>
      <c r="L111" t="s">
        <v>1262</v>
      </c>
      <c r="M111">
        <v>225.61</v>
      </c>
    </row>
    <row r="112" spans="1:13" x14ac:dyDescent="0.25">
      <c r="A112" t="str">
        <f t="shared" si="23"/>
        <v>E111</v>
      </c>
      <c r="B112">
        <v>1</v>
      </c>
      <c r="C112" t="str">
        <f t="shared" si="28"/>
        <v>43000</v>
      </c>
      <c r="D112" t="str">
        <f t="shared" si="29"/>
        <v>5740</v>
      </c>
      <c r="E112" t="str">
        <f t="shared" si="25"/>
        <v>850LOS</v>
      </c>
      <c r="F112" t="str">
        <f t="shared" si="30"/>
        <v>PKOLOT</v>
      </c>
      <c r="G112" t="str">
        <f>""</f>
        <v/>
      </c>
      <c r="H112" s="1">
        <v>40333</v>
      </c>
      <c r="I112" t="str">
        <f>"PCD00423"</f>
        <v>PCD00423</v>
      </c>
      <c r="J112" t="str">
        <f>"121959"</f>
        <v>121959</v>
      </c>
      <c r="K112" t="str">
        <f t="shared" si="27"/>
        <v>AS89</v>
      </c>
      <c r="L112" t="s">
        <v>1428</v>
      </c>
      <c r="M112">
        <v>301.54000000000002</v>
      </c>
    </row>
    <row r="113" spans="1:13" x14ac:dyDescent="0.25">
      <c r="A113" t="str">
        <f t="shared" si="23"/>
        <v>E111</v>
      </c>
      <c r="B113">
        <v>1</v>
      </c>
      <c r="C113" t="str">
        <f t="shared" si="28"/>
        <v>43000</v>
      </c>
      <c r="D113" t="str">
        <f t="shared" si="29"/>
        <v>5740</v>
      </c>
      <c r="E113" t="str">
        <f t="shared" si="25"/>
        <v>850LOS</v>
      </c>
      <c r="F113" t="str">
        <f t="shared" si="30"/>
        <v>PKOLOT</v>
      </c>
      <c r="G113" t="str">
        <f>""</f>
        <v/>
      </c>
      <c r="H113" s="1">
        <v>40333</v>
      </c>
      <c r="I113" t="str">
        <f>"PCD00423"</f>
        <v>PCD00423</v>
      </c>
      <c r="J113" t="str">
        <f>"121960"</f>
        <v>121960</v>
      </c>
      <c r="K113" t="str">
        <f t="shared" si="27"/>
        <v>AS89</v>
      </c>
      <c r="L113" t="s">
        <v>1428</v>
      </c>
      <c r="M113">
        <v>174.58</v>
      </c>
    </row>
    <row r="114" spans="1:13" x14ac:dyDescent="0.25">
      <c r="A114" t="str">
        <f t="shared" si="23"/>
        <v>E111</v>
      </c>
      <c r="B114">
        <v>1</v>
      </c>
      <c r="C114" t="str">
        <f t="shared" si="28"/>
        <v>43000</v>
      </c>
      <c r="D114" t="str">
        <f t="shared" si="29"/>
        <v>5740</v>
      </c>
      <c r="E114" t="str">
        <f t="shared" si="25"/>
        <v>850LOS</v>
      </c>
      <c r="F114" t="str">
        <f t="shared" si="30"/>
        <v>PKOLOT</v>
      </c>
      <c r="G114" t="str">
        <f>""</f>
        <v/>
      </c>
      <c r="H114" s="1">
        <v>40359</v>
      </c>
      <c r="I114" t="str">
        <f>"PCD00427"</f>
        <v>PCD00427</v>
      </c>
      <c r="J114" t="str">
        <f>"123797"</f>
        <v>123797</v>
      </c>
      <c r="K114" t="str">
        <f t="shared" si="27"/>
        <v>AS89</v>
      </c>
      <c r="L114" t="s">
        <v>1427</v>
      </c>
      <c r="M114">
        <v>139.53</v>
      </c>
    </row>
    <row r="115" spans="1:13" x14ac:dyDescent="0.25">
      <c r="A115" t="str">
        <f t="shared" si="23"/>
        <v>E111</v>
      </c>
      <c r="B115">
        <v>1</v>
      </c>
      <c r="C115" t="str">
        <f t="shared" si="28"/>
        <v>43000</v>
      </c>
      <c r="D115" t="str">
        <f t="shared" si="29"/>
        <v>5740</v>
      </c>
      <c r="E115" t="str">
        <f t="shared" si="25"/>
        <v>850LOS</v>
      </c>
      <c r="F115" t="str">
        <f>""</f>
        <v/>
      </c>
      <c r="G115" t="str">
        <f>""</f>
        <v/>
      </c>
      <c r="H115" s="1">
        <v>40008</v>
      </c>
      <c r="I115" t="str">
        <f>"C0013818"</f>
        <v>C0013818</v>
      </c>
      <c r="J115" t="str">
        <f>""</f>
        <v/>
      </c>
      <c r="K115" t="str">
        <f>"ISSU"</f>
        <v>ISSU</v>
      </c>
      <c r="L115" t="s">
        <v>15</v>
      </c>
      <c r="M115">
        <v>226.37</v>
      </c>
    </row>
    <row r="116" spans="1:13" x14ac:dyDescent="0.25">
      <c r="A116" t="str">
        <f t="shared" si="23"/>
        <v>E111</v>
      </c>
      <c r="B116">
        <v>1</v>
      </c>
      <c r="C116" t="str">
        <f t="shared" si="28"/>
        <v>43000</v>
      </c>
      <c r="D116" t="str">
        <f t="shared" si="29"/>
        <v>5740</v>
      </c>
      <c r="E116" t="str">
        <f t="shared" si="25"/>
        <v>850LOS</v>
      </c>
      <c r="F116" t="str">
        <f>""</f>
        <v/>
      </c>
      <c r="G116" t="str">
        <f>""</f>
        <v/>
      </c>
      <c r="H116" s="1">
        <v>40032</v>
      </c>
      <c r="I116" t="str">
        <f>"PCD00379"</f>
        <v>PCD00379</v>
      </c>
      <c r="J116" t="str">
        <f>"103401"</f>
        <v>103401</v>
      </c>
      <c r="K116" t="str">
        <f>"AS89"</f>
        <v>AS89</v>
      </c>
      <c r="L116" t="s">
        <v>1426</v>
      </c>
      <c r="M116">
        <v>147.84</v>
      </c>
    </row>
    <row r="117" spans="1:13" x14ac:dyDescent="0.25">
      <c r="A117" t="str">
        <f t="shared" si="23"/>
        <v>E111</v>
      </c>
      <c r="B117">
        <v>1</v>
      </c>
      <c r="C117" t="str">
        <f t="shared" si="28"/>
        <v>43000</v>
      </c>
      <c r="D117" t="str">
        <f t="shared" si="29"/>
        <v>5740</v>
      </c>
      <c r="E117" t="str">
        <f t="shared" si="25"/>
        <v>850LOS</v>
      </c>
      <c r="F117" t="str">
        <f>""</f>
        <v/>
      </c>
      <c r="G117" t="str">
        <f>""</f>
        <v/>
      </c>
      <c r="H117" s="1">
        <v>40064</v>
      </c>
      <c r="I117" t="str">
        <f>"PCD00384"</f>
        <v>PCD00384</v>
      </c>
      <c r="J117" t="str">
        <f>"104087"</f>
        <v>104087</v>
      </c>
      <c r="K117" t="str">
        <f>"AS89"</f>
        <v>AS89</v>
      </c>
      <c r="L117" t="s">
        <v>1425</v>
      </c>
      <c r="M117">
        <v>326.31</v>
      </c>
    </row>
    <row r="118" spans="1:13" x14ac:dyDescent="0.25">
      <c r="A118" t="str">
        <f t="shared" si="23"/>
        <v>E111</v>
      </c>
      <c r="B118">
        <v>1</v>
      </c>
      <c r="C118" t="str">
        <f t="shared" si="28"/>
        <v>43000</v>
      </c>
      <c r="D118" t="str">
        <f t="shared" si="29"/>
        <v>5740</v>
      </c>
      <c r="E118" t="str">
        <f t="shared" si="25"/>
        <v>850LOS</v>
      </c>
      <c r="F118" t="str">
        <f>""</f>
        <v/>
      </c>
      <c r="G118" t="str">
        <f>""</f>
        <v/>
      </c>
      <c r="H118" s="1">
        <v>40088</v>
      </c>
      <c r="I118" t="str">
        <f>"PCD00388"</f>
        <v>PCD00388</v>
      </c>
      <c r="J118" t="str">
        <f>"105139"</f>
        <v>105139</v>
      </c>
      <c r="K118" t="str">
        <f>"AS89"</f>
        <v>AS89</v>
      </c>
      <c r="L118" t="s">
        <v>1424</v>
      </c>
      <c r="M118">
        <v>446.25</v>
      </c>
    </row>
    <row r="119" spans="1:13" x14ac:dyDescent="0.25">
      <c r="A119" t="str">
        <f t="shared" ref="A119:A150" si="31">"E111"</f>
        <v>E111</v>
      </c>
      <c r="B119">
        <v>1</v>
      </c>
      <c r="C119" t="str">
        <f t="shared" si="28"/>
        <v>43000</v>
      </c>
      <c r="D119" t="str">
        <f t="shared" si="29"/>
        <v>5740</v>
      </c>
      <c r="E119" t="str">
        <f t="shared" si="25"/>
        <v>850LOS</v>
      </c>
      <c r="F119" t="str">
        <f>""</f>
        <v/>
      </c>
      <c r="G119" t="str">
        <f>""</f>
        <v/>
      </c>
      <c r="H119" s="1">
        <v>40095</v>
      </c>
      <c r="I119" t="str">
        <f>"C0014144"</f>
        <v>C0014144</v>
      </c>
      <c r="J119" t="str">
        <f>""</f>
        <v/>
      </c>
      <c r="K119" t="str">
        <f>"ISSU"</f>
        <v>ISSU</v>
      </c>
      <c r="L119" t="s">
        <v>23</v>
      </c>
      <c r="M119">
        <v>204.43</v>
      </c>
    </row>
    <row r="120" spans="1:13" x14ac:dyDescent="0.25">
      <c r="A120" t="str">
        <f t="shared" si="31"/>
        <v>E111</v>
      </c>
      <c r="B120">
        <v>1</v>
      </c>
      <c r="C120" t="str">
        <f t="shared" si="28"/>
        <v>43000</v>
      </c>
      <c r="D120" t="str">
        <f t="shared" si="29"/>
        <v>5740</v>
      </c>
      <c r="E120" t="str">
        <f t="shared" si="25"/>
        <v>850LOS</v>
      </c>
      <c r="F120" t="str">
        <f>""</f>
        <v/>
      </c>
      <c r="G120" t="str">
        <f>""</f>
        <v/>
      </c>
      <c r="H120" s="1">
        <v>40119</v>
      </c>
      <c r="I120" t="str">
        <f>"PCD00393"</f>
        <v>PCD00393</v>
      </c>
      <c r="J120" t="str">
        <f>"107730"</f>
        <v>107730</v>
      </c>
      <c r="K120" t="str">
        <f>"AS89"</f>
        <v>AS89</v>
      </c>
      <c r="L120" t="s">
        <v>1423</v>
      </c>
      <c r="M120">
        <v>170.89</v>
      </c>
    </row>
    <row r="121" spans="1:13" x14ac:dyDescent="0.25">
      <c r="A121" t="str">
        <f t="shared" si="31"/>
        <v>E111</v>
      </c>
      <c r="B121">
        <v>1</v>
      </c>
      <c r="C121" t="str">
        <f t="shared" si="28"/>
        <v>43000</v>
      </c>
      <c r="D121" t="str">
        <f t="shared" si="29"/>
        <v>5740</v>
      </c>
      <c r="E121" t="str">
        <f t="shared" ref="E121:E138" si="32">"850LOS"</f>
        <v>850LOS</v>
      </c>
      <c r="F121" t="str">
        <f>""</f>
        <v/>
      </c>
      <c r="G121" t="str">
        <f>""</f>
        <v/>
      </c>
      <c r="H121" s="1">
        <v>40123</v>
      </c>
      <c r="I121" t="str">
        <f>"PCD00394"</f>
        <v>PCD00394</v>
      </c>
      <c r="J121" t="str">
        <f>"107868"</f>
        <v>107868</v>
      </c>
      <c r="K121" t="str">
        <f>"AS89"</f>
        <v>AS89</v>
      </c>
      <c r="L121" t="s">
        <v>1421</v>
      </c>
      <c r="M121">
        <v>139.97</v>
      </c>
    </row>
    <row r="122" spans="1:13" x14ac:dyDescent="0.25">
      <c r="A122" t="str">
        <f t="shared" si="31"/>
        <v>E111</v>
      </c>
      <c r="B122">
        <v>1</v>
      </c>
      <c r="C122" t="str">
        <f t="shared" si="28"/>
        <v>43000</v>
      </c>
      <c r="D122" t="str">
        <f t="shared" si="29"/>
        <v>5740</v>
      </c>
      <c r="E122" t="str">
        <f t="shared" si="32"/>
        <v>850LOS</v>
      </c>
      <c r="F122" t="str">
        <f>""</f>
        <v/>
      </c>
      <c r="G122" t="str">
        <f>""</f>
        <v/>
      </c>
      <c r="H122" s="1">
        <v>40123</v>
      </c>
      <c r="I122" t="str">
        <f>"PCD00394"</f>
        <v>PCD00394</v>
      </c>
      <c r="J122" t="str">
        <f>"108513"</f>
        <v>108513</v>
      </c>
      <c r="K122" t="str">
        <f>"AS89"</f>
        <v>AS89</v>
      </c>
      <c r="L122" t="s">
        <v>1420</v>
      </c>
      <c r="M122">
        <v>318.16000000000003</v>
      </c>
    </row>
    <row r="123" spans="1:13" x14ac:dyDescent="0.25">
      <c r="A123" t="str">
        <f t="shared" si="31"/>
        <v>E111</v>
      </c>
      <c r="B123">
        <v>1</v>
      </c>
      <c r="C123" t="str">
        <f t="shared" si="28"/>
        <v>43000</v>
      </c>
      <c r="D123" t="str">
        <f t="shared" si="29"/>
        <v>5740</v>
      </c>
      <c r="E123" t="str">
        <f t="shared" si="32"/>
        <v>850LOS</v>
      </c>
      <c r="F123" t="str">
        <f>""</f>
        <v/>
      </c>
      <c r="G123" t="str">
        <f>""</f>
        <v/>
      </c>
      <c r="H123" s="1">
        <v>40123</v>
      </c>
      <c r="I123" t="str">
        <f>"PCD00394"</f>
        <v>PCD00394</v>
      </c>
      <c r="J123" t="str">
        <f>"108791"</f>
        <v>108791</v>
      </c>
      <c r="K123" t="str">
        <f>"AS89"</f>
        <v>AS89</v>
      </c>
      <c r="L123" t="s">
        <v>1419</v>
      </c>
      <c r="M123">
        <v>135.66</v>
      </c>
    </row>
    <row r="124" spans="1:13" x14ac:dyDescent="0.25">
      <c r="A124" t="str">
        <f t="shared" si="31"/>
        <v>E111</v>
      </c>
      <c r="B124">
        <v>1</v>
      </c>
      <c r="C124" t="str">
        <f t="shared" si="28"/>
        <v>43000</v>
      </c>
      <c r="D124" t="str">
        <f t="shared" si="29"/>
        <v>5740</v>
      </c>
      <c r="E124" t="str">
        <f t="shared" si="32"/>
        <v>850LOS</v>
      </c>
      <c r="F124" t="str">
        <f>""</f>
        <v/>
      </c>
      <c r="G124" t="str">
        <f>""</f>
        <v/>
      </c>
      <c r="H124" s="1">
        <v>40123</v>
      </c>
      <c r="I124" t="str">
        <f>"PCD00394"</f>
        <v>PCD00394</v>
      </c>
      <c r="J124" t="str">
        <f>"108997"</f>
        <v>108997</v>
      </c>
      <c r="K124" t="str">
        <f>"AS89"</f>
        <v>AS89</v>
      </c>
      <c r="L124" t="s">
        <v>1418</v>
      </c>
      <c r="M124">
        <v>114.36</v>
      </c>
    </row>
    <row r="125" spans="1:13" x14ac:dyDescent="0.25">
      <c r="A125" t="str">
        <f t="shared" si="31"/>
        <v>E111</v>
      </c>
      <c r="B125">
        <v>1</v>
      </c>
      <c r="C125" t="str">
        <f t="shared" si="28"/>
        <v>43000</v>
      </c>
      <c r="D125" t="str">
        <f t="shared" si="29"/>
        <v>5740</v>
      </c>
      <c r="E125" t="str">
        <f t="shared" si="32"/>
        <v>850LOS</v>
      </c>
      <c r="F125" t="str">
        <f>""</f>
        <v/>
      </c>
      <c r="G125" t="str">
        <f>""</f>
        <v/>
      </c>
      <c r="H125" s="1">
        <v>40142</v>
      </c>
      <c r="I125" t="str">
        <f>"C0014371"</f>
        <v>C0014371</v>
      </c>
      <c r="J125" t="str">
        <f>""</f>
        <v/>
      </c>
      <c r="K125" t="str">
        <f>"ISSU"</f>
        <v>ISSU</v>
      </c>
      <c r="L125" t="s">
        <v>23</v>
      </c>
      <c r="M125">
        <v>121.22</v>
      </c>
    </row>
    <row r="126" spans="1:13" x14ac:dyDescent="0.25">
      <c r="A126" t="str">
        <f t="shared" si="31"/>
        <v>E111</v>
      </c>
      <c r="B126">
        <v>1</v>
      </c>
      <c r="C126" t="str">
        <f t="shared" si="28"/>
        <v>43000</v>
      </c>
      <c r="D126" t="str">
        <f t="shared" si="29"/>
        <v>5740</v>
      </c>
      <c r="E126" t="str">
        <f t="shared" si="32"/>
        <v>850LOS</v>
      </c>
      <c r="F126" t="str">
        <f>""</f>
        <v/>
      </c>
      <c r="G126" t="str">
        <f>""</f>
        <v/>
      </c>
      <c r="H126" s="1">
        <v>40189</v>
      </c>
      <c r="I126" t="str">
        <f>"PCD00402"</f>
        <v>PCD00402</v>
      </c>
      <c r="J126" t="str">
        <f>"111386"</f>
        <v>111386</v>
      </c>
      <c r="K126" t="str">
        <f>"AS89"</f>
        <v>AS89</v>
      </c>
      <c r="L126" t="s">
        <v>1234</v>
      </c>
      <c r="M126">
        <v>274.49</v>
      </c>
    </row>
    <row r="127" spans="1:13" x14ac:dyDescent="0.25">
      <c r="A127" t="str">
        <f t="shared" si="31"/>
        <v>E111</v>
      </c>
      <c r="B127">
        <v>1</v>
      </c>
      <c r="C127" t="str">
        <f t="shared" si="28"/>
        <v>43000</v>
      </c>
      <c r="D127" t="str">
        <f t="shared" si="29"/>
        <v>5740</v>
      </c>
      <c r="E127" t="str">
        <f t="shared" si="32"/>
        <v>850LOS</v>
      </c>
      <c r="F127" t="str">
        <f>""</f>
        <v/>
      </c>
      <c r="G127" t="str">
        <f>""</f>
        <v/>
      </c>
      <c r="H127" s="1">
        <v>40193</v>
      </c>
      <c r="I127" t="str">
        <f>"C0014606"</f>
        <v>C0014606</v>
      </c>
      <c r="J127" t="str">
        <f>""</f>
        <v/>
      </c>
      <c r="K127" t="str">
        <f>"ISSU"</f>
        <v>ISSU</v>
      </c>
      <c r="L127" t="s">
        <v>15</v>
      </c>
      <c r="M127">
        <v>172.87</v>
      </c>
    </row>
    <row r="128" spans="1:13" x14ac:dyDescent="0.25">
      <c r="A128" t="str">
        <f t="shared" si="31"/>
        <v>E111</v>
      </c>
      <c r="B128">
        <v>1</v>
      </c>
      <c r="C128" t="str">
        <f t="shared" si="28"/>
        <v>43000</v>
      </c>
      <c r="D128" t="str">
        <f t="shared" si="29"/>
        <v>5740</v>
      </c>
      <c r="E128" t="str">
        <f t="shared" si="32"/>
        <v>850LOS</v>
      </c>
      <c r="F128" t="str">
        <f>""</f>
        <v/>
      </c>
      <c r="G128" t="str">
        <f>""</f>
        <v/>
      </c>
      <c r="H128" s="1">
        <v>40214</v>
      </c>
      <c r="I128" t="str">
        <f>"PCD00406"</f>
        <v>PCD00406</v>
      </c>
      <c r="J128" t="str">
        <f>"112723"</f>
        <v>112723</v>
      </c>
      <c r="K128" t="str">
        <f>"AS89"</f>
        <v>AS89</v>
      </c>
      <c r="L128" t="s">
        <v>1417</v>
      </c>
      <c r="M128">
        <v>119.22</v>
      </c>
    </row>
    <row r="129" spans="1:13" x14ac:dyDescent="0.25">
      <c r="A129" t="str">
        <f t="shared" si="31"/>
        <v>E111</v>
      </c>
      <c r="B129">
        <v>1</v>
      </c>
      <c r="C129" t="str">
        <f t="shared" si="28"/>
        <v>43000</v>
      </c>
      <c r="D129" t="str">
        <f t="shared" si="29"/>
        <v>5740</v>
      </c>
      <c r="E129" t="str">
        <f t="shared" si="32"/>
        <v>850LOS</v>
      </c>
      <c r="F129" t="str">
        <f>""</f>
        <v/>
      </c>
      <c r="G129" t="str">
        <f>""</f>
        <v/>
      </c>
      <c r="H129" s="1">
        <v>40242</v>
      </c>
      <c r="I129" t="str">
        <f>"C0014875"</f>
        <v>C0014875</v>
      </c>
      <c r="J129" t="str">
        <f>""</f>
        <v/>
      </c>
      <c r="K129" t="str">
        <f>"ISSU"</f>
        <v>ISSU</v>
      </c>
      <c r="L129" t="s">
        <v>15</v>
      </c>
      <c r="M129">
        <v>166.96</v>
      </c>
    </row>
    <row r="130" spans="1:13" x14ac:dyDescent="0.25">
      <c r="A130" t="str">
        <f t="shared" si="31"/>
        <v>E111</v>
      </c>
      <c r="B130">
        <v>1</v>
      </c>
      <c r="C130" t="str">
        <f t="shared" si="28"/>
        <v>43000</v>
      </c>
      <c r="D130" t="str">
        <f t="shared" si="29"/>
        <v>5740</v>
      </c>
      <c r="E130" t="str">
        <f t="shared" si="32"/>
        <v>850LOS</v>
      </c>
      <c r="F130" t="str">
        <f>""</f>
        <v/>
      </c>
      <c r="G130" t="str">
        <f>""</f>
        <v/>
      </c>
      <c r="H130" s="1">
        <v>40242</v>
      </c>
      <c r="I130" t="str">
        <f>"PCD00410"</f>
        <v>PCD00410</v>
      </c>
      <c r="J130" t="str">
        <f>"115756"</f>
        <v>115756</v>
      </c>
      <c r="K130" t="str">
        <f>"AS89"</f>
        <v>AS89</v>
      </c>
      <c r="L130" t="s">
        <v>1416</v>
      </c>
      <c r="M130">
        <v>106.26</v>
      </c>
    </row>
    <row r="131" spans="1:13" x14ac:dyDescent="0.25">
      <c r="A131" t="str">
        <f t="shared" si="31"/>
        <v>E111</v>
      </c>
      <c r="B131">
        <v>1</v>
      </c>
      <c r="C131" t="str">
        <f t="shared" si="28"/>
        <v>43000</v>
      </c>
      <c r="D131" t="str">
        <f t="shared" si="29"/>
        <v>5740</v>
      </c>
      <c r="E131" t="str">
        <f t="shared" si="32"/>
        <v>850LOS</v>
      </c>
      <c r="F131" t="str">
        <f>""</f>
        <v/>
      </c>
      <c r="G131" t="str">
        <f>""</f>
        <v/>
      </c>
      <c r="H131" s="1">
        <v>40277</v>
      </c>
      <c r="I131" t="str">
        <f>"PCD00415"</f>
        <v>PCD00415</v>
      </c>
      <c r="J131" t="str">
        <f>"116847"</f>
        <v>116847</v>
      </c>
      <c r="K131" t="str">
        <f>"AS89"</f>
        <v>AS89</v>
      </c>
      <c r="L131" t="s">
        <v>1415</v>
      </c>
      <c r="M131">
        <v>171.23</v>
      </c>
    </row>
    <row r="132" spans="1:13" x14ac:dyDescent="0.25">
      <c r="A132" t="str">
        <f t="shared" si="31"/>
        <v>E111</v>
      </c>
      <c r="B132">
        <v>1</v>
      </c>
      <c r="C132" t="str">
        <f t="shared" si="28"/>
        <v>43000</v>
      </c>
      <c r="D132" t="str">
        <f t="shared" si="29"/>
        <v>5740</v>
      </c>
      <c r="E132" t="str">
        <f t="shared" si="32"/>
        <v>850LOS</v>
      </c>
      <c r="F132" t="str">
        <f>""</f>
        <v/>
      </c>
      <c r="G132" t="str">
        <f>""</f>
        <v/>
      </c>
      <c r="H132" s="1">
        <v>40305</v>
      </c>
      <c r="I132" t="str">
        <f>"PCD00419"</f>
        <v>PCD00419</v>
      </c>
      <c r="J132" t="str">
        <f>"120102"</f>
        <v>120102</v>
      </c>
      <c r="K132" t="str">
        <f>"AS89"</f>
        <v>AS89</v>
      </c>
      <c r="L132" t="s">
        <v>1414</v>
      </c>
      <c r="M132">
        <v>203</v>
      </c>
    </row>
    <row r="133" spans="1:13" x14ac:dyDescent="0.25">
      <c r="A133" t="str">
        <f t="shared" si="31"/>
        <v>E111</v>
      </c>
      <c r="B133">
        <v>1</v>
      </c>
      <c r="C133" t="str">
        <f t="shared" si="28"/>
        <v>43000</v>
      </c>
      <c r="D133" t="str">
        <f t="shared" si="29"/>
        <v>5740</v>
      </c>
      <c r="E133" t="str">
        <f t="shared" si="32"/>
        <v>850LOS</v>
      </c>
      <c r="F133" t="str">
        <f>""</f>
        <v/>
      </c>
      <c r="G133" t="str">
        <f>""</f>
        <v/>
      </c>
      <c r="H133" s="1">
        <v>40305</v>
      </c>
      <c r="I133" t="str">
        <f>"PCD00419"</f>
        <v>PCD00419</v>
      </c>
      <c r="J133" t="str">
        <f>"120700"</f>
        <v>120700</v>
      </c>
      <c r="K133" t="str">
        <f>"AS89"</f>
        <v>AS89</v>
      </c>
      <c r="L133" t="s">
        <v>1413</v>
      </c>
      <c r="M133">
        <v>221.87</v>
      </c>
    </row>
    <row r="134" spans="1:13" x14ac:dyDescent="0.25">
      <c r="A134" t="str">
        <f t="shared" si="31"/>
        <v>E111</v>
      </c>
      <c r="B134">
        <v>1</v>
      </c>
      <c r="C134" t="str">
        <f t="shared" si="28"/>
        <v>43000</v>
      </c>
      <c r="D134" t="str">
        <f t="shared" si="29"/>
        <v>5740</v>
      </c>
      <c r="E134" t="str">
        <f t="shared" si="32"/>
        <v>850LOS</v>
      </c>
      <c r="F134" t="str">
        <f>""</f>
        <v/>
      </c>
      <c r="G134" t="str">
        <f>""</f>
        <v/>
      </c>
      <c r="H134" s="1">
        <v>40333</v>
      </c>
      <c r="I134" t="str">
        <f>"PCD00423"</f>
        <v>PCD00423</v>
      </c>
      <c r="J134" t="str">
        <f>"122383"</f>
        <v>122383</v>
      </c>
      <c r="K134" t="str">
        <f>"AS89"</f>
        <v>AS89</v>
      </c>
      <c r="L134" t="s">
        <v>1412</v>
      </c>
      <c r="M134">
        <v>183.12</v>
      </c>
    </row>
    <row r="135" spans="1:13" x14ac:dyDescent="0.25">
      <c r="A135" t="str">
        <f t="shared" si="31"/>
        <v>E111</v>
      </c>
      <c r="B135">
        <v>1</v>
      </c>
      <c r="C135" t="str">
        <f t="shared" si="28"/>
        <v>43000</v>
      </c>
      <c r="D135" t="str">
        <f t="shared" si="29"/>
        <v>5740</v>
      </c>
      <c r="E135" t="str">
        <f t="shared" si="32"/>
        <v>850LOS</v>
      </c>
      <c r="F135" t="str">
        <f>""</f>
        <v/>
      </c>
      <c r="G135" t="str">
        <f>""</f>
        <v/>
      </c>
      <c r="H135" s="1">
        <v>40336</v>
      </c>
      <c r="I135" t="str">
        <f>"C0015395"</f>
        <v>C0015395</v>
      </c>
      <c r="J135" t="str">
        <f>""</f>
        <v/>
      </c>
      <c r="K135" t="str">
        <f>"ISSU"</f>
        <v>ISSU</v>
      </c>
      <c r="L135" t="s">
        <v>15</v>
      </c>
      <c r="M135">
        <v>144.13</v>
      </c>
    </row>
    <row r="136" spans="1:13" x14ac:dyDescent="0.25">
      <c r="A136" t="str">
        <f t="shared" si="31"/>
        <v>E111</v>
      </c>
      <c r="B136">
        <v>1</v>
      </c>
      <c r="C136" t="str">
        <f t="shared" si="28"/>
        <v>43000</v>
      </c>
      <c r="D136" t="str">
        <f t="shared" si="29"/>
        <v>5740</v>
      </c>
      <c r="E136" t="str">
        <f t="shared" si="32"/>
        <v>850LOS</v>
      </c>
      <c r="F136" t="str">
        <f>""</f>
        <v/>
      </c>
      <c r="G136" t="str">
        <f>""</f>
        <v/>
      </c>
      <c r="H136" s="1">
        <v>40359</v>
      </c>
      <c r="I136" t="str">
        <f>"PCD00427"</f>
        <v>PCD00427</v>
      </c>
      <c r="J136" t="str">
        <f>"123419"</f>
        <v>123419</v>
      </c>
      <c r="K136" t="str">
        <f t="shared" ref="K136:K149" si="33">"AS89"</f>
        <v>AS89</v>
      </c>
      <c r="L136" t="s">
        <v>1411</v>
      </c>
      <c r="M136">
        <v>310.94</v>
      </c>
    </row>
    <row r="137" spans="1:13" x14ac:dyDescent="0.25">
      <c r="A137" t="str">
        <f t="shared" si="31"/>
        <v>E111</v>
      </c>
      <c r="B137">
        <v>1</v>
      </c>
      <c r="C137" t="str">
        <f t="shared" si="28"/>
        <v>43000</v>
      </c>
      <c r="D137" t="str">
        <f t="shared" si="29"/>
        <v>5740</v>
      </c>
      <c r="E137" t="str">
        <f t="shared" si="32"/>
        <v>850LOS</v>
      </c>
      <c r="F137" t="str">
        <f>""</f>
        <v/>
      </c>
      <c r="G137" t="str">
        <f>""</f>
        <v/>
      </c>
      <c r="H137" s="1">
        <v>40359</v>
      </c>
      <c r="I137" t="str">
        <f>"PCD00427"</f>
        <v>PCD00427</v>
      </c>
      <c r="J137" t="str">
        <f>"124494"</f>
        <v>124494</v>
      </c>
      <c r="K137" t="str">
        <f t="shared" si="33"/>
        <v>AS89</v>
      </c>
      <c r="L137" t="s">
        <v>1410</v>
      </c>
      <c r="M137">
        <v>148.58000000000001</v>
      </c>
    </row>
    <row r="138" spans="1:13" x14ac:dyDescent="0.25">
      <c r="A138" t="str">
        <f t="shared" si="31"/>
        <v>E111</v>
      </c>
      <c r="B138">
        <v>1</v>
      </c>
      <c r="C138" t="str">
        <f t="shared" si="28"/>
        <v>43000</v>
      </c>
      <c r="D138" t="str">
        <f t="shared" si="29"/>
        <v>5740</v>
      </c>
      <c r="E138" t="str">
        <f t="shared" si="32"/>
        <v>850LOS</v>
      </c>
      <c r="F138" t="str">
        <f>""</f>
        <v/>
      </c>
      <c r="G138" t="str">
        <f>""</f>
        <v/>
      </c>
      <c r="H138" s="1">
        <v>40359</v>
      </c>
      <c r="I138" t="str">
        <f>"PCD00427"</f>
        <v>PCD00427</v>
      </c>
      <c r="J138" t="str">
        <f>"124679"</f>
        <v>124679</v>
      </c>
      <c r="K138" t="str">
        <f t="shared" si="33"/>
        <v>AS89</v>
      </c>
      <c r="L138" t="s">
        <v>1409</v>
      </c>
      <c r="M138">
        <v>117.16</v>
      </c>
    </row>
    <row r="139" spans="1:13" x14ac:dyDescent="0.25">
      <c r="A139" t="str">
        <f t="shared" si="31"/>
        <v>E111</v>
      </c>
      <c r="B139">
        <v>1</v>
      </c>
      <c r="C139" t="str">
        <f t="shared" si="28"/>
        <v>43000</v>
      </c>
      <c r="D139" t="str">
        <f t="shared" si="29"/>
        <v>5740</v>
      </c>
      <c r="E139" t="str">
        <f t="shared" ref="E139:E145" si="34">"850PKE"</f>
        <v>850PKE</v>
      </c>
      <c r="F139" t="str">
        <f>""</f>
        <v/>
      </c>
      <c r="G139" t="str">
        <f>""</f>
        <v/>
      </c>
      <c r="H139" s="1">
        <v>40064</v>
      </c>
      <c r="I139" t="str">
        <f>"PCD00384"</f>
        <v>PCD00384</v>
      </c>
      <c r="J139" t="str">
        <f>"103642"</f>
        <v>103642</v>
      </c>
      <c r="K139" t="str">
        <f t="shared" si="33"/>
        <v>AS89</v>
      </c>
      <c r="L139" t="s">
        <v>1408</v>
      </c>
      <c r="M139">
        <v>195.23</v>
      </c>
    </row>
    <row r="140" spans="1:13" x14ac:dyDescent="0.25">
      <c r="A140" t="str">
        <f t="shared" si="31"/>
        <v>E111</v>
      </c>
      <c r="B140">
        <v>1</v>
      </c>
      <c r="C140" t="str">
        <f t="shared" si="28"/>
        <v>43000</v>
      </c>
      <c r="D140" t="str">
        <f t="shared" si="29"/>
        <v>5740</v>
      </c>
      <c r="E140" t="str">
        <f t="shared" si="34"/>
        <v>850PKE</v>
      </c>
      <c r="F140" t="str">
        <f>""</f>
        <v/>
      </c>
      <c r="G140" t="str">
        <f>""</f>
        <v/>
      </c>
      <c r="H140" s="1">
        <v>40123</v>
      </c>
      <c r="I140" t="str">
        <f>"PCD00394"</f>
        <v>PCD00394</v>
      </c>
      <c r="J140" t="str">
        <f>"107900"</f>
        <v>107900</v>
      </c>
      <c r="K140" t="str">
        <f t="shared" si="33"/>
        <v>AS89</v>
      </c>
      <c r="L140" t="s">
        <v>1407</v>
      </c>
      <c r="M140" s="2">
        <v>1000</v>
      </c>
    </row>
    <row r="141" spans="1:13" x14ac:dyDescent="0.25">
      <c r="A141" t="str">
        <f t="shared" si="31"/>
        <v>E111</v>
      </c>
      <c r="B141">
        <v>1</v>
      </c>
      <c r="C141" t="str">
        <f t="shared" si="28"/>
        <v>43000</v>
      </c>
      <c r="D141" t="str">
        <f t="shared" si="29"/>
        <v>5740</v>
      </c>
      <c r="E141" t="str">
        <f t="shared" si="34"/>
        <v>850PKE</v>
      </c>
      <c r="F141" t="str">
        <f>""</f>
        <v/>
      </c>
      <c r="G141" t="str">
        <f>""</f>
        <v/>
      </c>
      <c r="H141" s="1">
        <v>40151</v>
      </c>
      <c r="I141" t="str">
        <f>"PCD00398"</f>
        <v>PCD00398</v>
      </c>
      <c r="J141" t="str">
        <f>"109922"</f>
        <v>109922</v>
      </c>
      <c r="K141" t="str">
        <f t="shared" si="33"/>
        <v>AS89</v>
      </c>
      <c r="L141" t="s">
        <v>1406</v>
      </c>
      <c r="M141">
        <v>148.81</v>
      </c>
    </row>
    <row r="142" spans="1:13" x14ac:dyDescent="0.25">
      <c r="A142" t="str">
        <f t="shared" si="31"/>
        <v>E111</v>
      </c>
      <c r="B142">
        <v>1</v>
      </c>
      <c r="C142" t="str">
        <f t="shared" si="28"/>
        <v>43000</v>
      </c>
      <c r="D142" t="str">
        <f t="shared" si="29"/>
        <v>5740</v>
      </c>
      <c r="E142" t="str">
        <f t="shared" si="34"/>
        <v>850PKE</v>
      </c>
      <c r="F142" t="str">
        <f>""</f>
        <v/>
      </c>
      <c r="G142" t="str">
        <f>""</f>
        <v/>
      </c>
      <c r="H142" s="1">
        <v>40151</v>
      </c>
      <c r="I142" t="str">
        <f>"PCD00398"</f>
        <v>PCD00398</v>
      </c>
      <c r="J142" t="str">
        <f>"109967"</f>
        <v>109967</v>
      </c>
      <c r="K142" t="str">
        <f t="shared" si="33"/>
        <v>AS89</v>
      </c>
      <c r="L142" t="s">
        <v>1405</v>
      </c>
      <c r="M142">
        <v>269.57</v>
      </c>
    </row>
    <row r="143" spans="1:13" x14ac:dyDescent="0.25">
      <c r="A143" t="str">
        <f t="shared" si="31"/>
        <v>E111</v>
      </c>
      <c r="B143">
        <v>1</v>
      </c>
      <c r="C143" t="str">
        <f t="shared" si="28"/>
        <v>43000</v>
      </c>
      <c r="D143" t="str">
        <f t="shared" si="29"/>
        <v>5740</v>
      </c>
      <c r="E143" t="str">
        <f t="shared" si="34"/>
        <v>850PKE</v>
      </c>
      <c r="F143" t="str">
        <f>""</f>
        <v/>
      </c>
      <c r="G143" t="str">
        <f>""</f>
        <v/>
      </c>
      <c r="H143" s="1">
        <v>40151</v>
      </c>
      <c r="I143" t="str">
        <f>"PCD00398"</f>
        <v>PCD00398</v>
      </c>
      <c r="J143" t="str">
        <f>"110441"</f>
        <v>110441</v>
      </c>
      <c r="K143" t="str">
        <f t="shared" si="33"/>
        <v>AS89</v>
      </c>
      <c r="L143" t="s">
        <v>1248</v>
      </c>
      <c r="M143">
        <v>107.25</v>
      </c>
    </row>
    <row r="144" spans="1:13" x14ac:dyDescent="0.25">
      <c r="A144" t="str">
        <f t="shared" si="31"/>
        <v>E111</v>
      </c>
      <c r="B144">
        <v>1</v>
      </c>
      <c r="C144" t="str">
        <f t="shared" si="28"/>
        <v>43000</v>
      </c>
      <c r="D144" t="str">
        <f t="shared" si="29"/>
        <v>5740</v>
      </c>
      <c r="E144" t="str">
        <f t="shared" si="34"/>
        <v>850PKE</v>
      </c>
      <c r="F144" t="str">
        <f>""</f>
        <v/>
      </c>
      <c r="G144" t="str">
        <f>""</f>
        <v/>
      </c>
      <c r="H144" s="1">
        <v>40242</v>
      </c>
      <c r="I144" t="str">
        <f>"PCD00410"</f>
        <v>PCD00410</v>
      </c>
      <c r="J144" t="str">
        <f>"114950"</f>
        <v>114950</v>
      </c>
      <c r="K144" t="str">
        <f t="shared" si="33"/>
        <v>AS89</v>
      </c>
      <c r="L144" t="s">
        <v>1404</v>
      </c>
      <c r="M144">
        <v>932.77</v>
      </c>
    </row>
    <row r="145" spans="1:13" x14ac:dyDescent="0.25">
      <c r="A145" t="str">
        <f t="shared" si="31"/>
        <v>E111</v>
      </c>
      <c r="B145">
        <v>1</v>
      </c>
      <c r="C145" t="str">
        <f t="shared" si="28"/>
        <v>43000</v>
      </c>
      <c r="D145" t="str">
        <f t="shared" si="29"/>
        <v>5740</v>
      </c>
      <c r="E145" t="str">
        <f t="shared" si="34"/>
        <v>850PKE</v>
      </c>
      <c r="F145" t="str">
        <f>""</f>
        <v/>
      </c>
      <c r="G145" t="str">
        <f>""</f>
        <v/>
      </c>
      <c r="H145" s="1">
        <v>40277</v>
      </c>
      <c r="I145" t="str">
        <f>"PCD00415"</f>
        <v>PCD00415</v>
      </c>
      <c r="J145" t="str">
        <f>"117131"</f>
        <v>117131</v>
      </c>
      <c r="K145" t="str">
        <f t="shared" si="33"/>
        <v>AS89</v>
      </c>
      <c r="L145" t="s">
        <v>1403</v>
      </c>
      <c r="M145">
        <v>155.85</v>
      </c>
    </row>
    <row r="146" spans="1:13" x14ac:dyDescent="0.25">
      <c r="A146" t="str">
        <f t="shared" si="31"/>
        <v>E111</v>
      </c>
      <c r="B146">
        <v>1</v>
      </c>
      <c r="C146" t="str">
        <f>"43003"</f>
        <v>43003</v>
      </c>
      <c r="D146" t="str">
        <f t="shared" si="29"/>
        <v>5740</v>
      </c>
      <c r="E146" t="str">
        <f>"850LOS"</f>
        <v>850LOS</v>
      </c>
      <c r="F146" t="str">
        <f>""</f>
        <v/>
      </c>
      <c r="G146" t="str">
        <f>""</f>
        <v/>
      </c>
      <c r="H146" s="1">
        <v>40123</v>
      </c>
      <c r="I146" t="str">
        <f>"PCD00394"</f>
        <v>PCD00394</v>
      </c>
      <c r="J146" t="str">
        <f>"108904"</f>
        <v>108904</v>
      </c>
      <c r="K146" t="str">
        <f t="shared" si="33"/>
        <v>AS89</v>
      </c>
      <c r="L146" t="s">
        <v>1402</v>
      </c>
      <c r="M146">
        <v>297.89</v>
      </c>
    </row>
    <row r="147" spans="1:13" x14ac:dyDescent="0.25">
      <c r="A147" t="str">
        <f t="shared" si="31"/>
        <v>E111</v>
      </c>
      <c r="B147">
        <v>1</v>
      </c>
      <c r="C147" t="str">
        <f>"43003"</f>
        <v>43003</v>
      </c>
      <c r="D147" t="str">
        <f t="shared" si="29"/>
        <v>5740</v>
      </c>
      <c r="E147" t="str">
        <f>"850LOS"</f>
        <v>850LOS</v>
      </c>
      <c r="F147" t="str">
        <f>""</f>
        <v/>
      </c>
      <c r="G147" t="str">
        <f>""</f>
        <v/>
      </c>
      <c r="H147" s="1">
        <v>40151</v>
      </c>
      <c r="I147" t="str">
        <f>"PCD00398"</f>
        <v>PCD00398</v>
      </c>
      <c r="J147" t="str">
        <f>"109930"</f>
        <v>109930</v>
      </c>
      <c r="K147" t="str">
        <f t="shared" si="33"/>
        <v>AS89</v>
      </c>
      <c r="L147" t="s">
        <v>1401</v>
      </c>
      <c r="M147">
        <v>448.11</v>
      </c>
    </row>
    <row r="148" spans="1:13" x14ac:dyDescent="0.25">
      <c r="A148" t="str">
        <f t="shared" si="31"/>
        <v>E111</v>
      </c>
      <c r="B148">
        <v>1</v>
      </c>
      <c r="C148" t="str">
        <f>"43003"</f>
        <v>43003</v>
      </c>
      <c r="D148" t="str">
        <f t="shared" si="29"/>
        <v>5740</v>
      </c>
      <c r="E148" t="str">
        <f>"850LOS"</f>
        <v>850LOS</v>
      </c>
      <c r="F148" t="str">
        <f>""</f>
        <v/>
      </c>
      <c r="G148" t="str">
        <f>""</f>
        <v/>
      </c>
      <c r="H148" s="1">
        <v>40189</v>
      </c>
      <c r="I148" t="str">
        <f>"PCD00402"</f>
        <v>PCD00402</v>
      </c>
      <c r="J148" t="str">
        <f>"112237"</f>
        <v>112237</v>
      </c>
      <c r="K148" t="str">
        <f t="shared" si="33"/>
        <v>AS89</v>
      </c>
      <c r="L148" t="s">
        <v>1400</v>
      </c>
      <c r="M148">
        <v>629.84</v>
      </c>
    </row>
    <row r="149" spans="1:13" x14ac:dyDescent="0.25">
      <c r="A149" t="str">
        <f t="shared" si="31"/>
        <v>E111</v>
      </c>
      <c r="B149">
        <v>1</v>
      </c>
      <c r="C149" t="str">
        <f>"43003"</f>
        <v>43003</v>
      </c>
      <c r="D149" t="str">
        <f t="shared" si="29"/>
        <v>5740</v>
      </c>
      <c r="E149" t="str">
        <f>"850LOS"</f>
        <v>850LOS</v>
      </c>
      <c r="F149" t="str">
        <f>""</f>
        <v/>
      </c>
      <c r="G149" t="str">
        <f>""</f>
        <v/>
      </c>
      <c r="H149" s="1">
        <v>40277</v>
      </c>
      <c r="I149" t="str">
        <f>"PCD00415"</f>
        <v>PCD00415</v>
      </c>
      <c r="J149" t="str">
        <f>"117814"</f>
        <v>117814</v>
      </c>
      <c r="K149" t="str">
        <f t="shared" si="33"/>
        <v>AS89</v>
      </c>
      <c r="L149" t="s">
        <v>1399</v>
      </c>
      <c r="M149">
        <v>242.23</v>
      </c>
    </row>
    <row r="150" spans="1:13" x14ac:dyDescent="0.25">
      <c r="A150" t="str">
        <f t="shared" si="31"/>
        <v>E111</v>
      </c>
      <c r="B150">
        <v>1</v>
      </c>
      <c r="C150" t="str">
        <f>"55752"</f>
        <v>55752</v>
      </c>
      <c r="D150" t="str">
        <f>"5620"</f>
        <v>5620</v>
      </c>
      <c r="E150" t="str">
        <f>"111ZAA"</f>
        <v>111ZAA</v>
      </c>
      <c r="F150" t="str">
        <f>""</f>
        <v/>
      </c>
      <c r="G150" t="str">
        <f>""</f>
        <v/>
      </c>
      <c r="H150" s="1">
        <v>40289</v>
      </c>
      <c r="I150" t="str">
        <f>"G1010001"</f>
        <v>G1010001</v>
      </c>
      <c r="J150" t="str">
        <f>""</f>
        <v/>
      </c>
      <c r="K150" t="str">
        <f>"J096"</f>
        <v>J096</v>
      </c>
      <c r="L150" t="s">
        <v>1398</v>
      </c>
      <c r="M150">
        <v>462</v>
      </c>
    </row>
    <row r="151" spans="1:13" x14ac:dyDescent="0.25">
      <c r="A151" t="str">
        <f>"E112"</f>
        <v>E112</v>
      </c>
      <c r="B151">
        <v>1</v>
      </c>
      <c r="C151" t="str">
        <f>"14185"</f>
        <v>14185</v>
      </c>
      <c r="D151" t="str">
        <f>"5620"</f>
        <v>5620</v>
      </c>
      <c r="E151" t="str">
        <f>"094OMS"</f>
        <v>094OMS</v>
      </c>
      <c r="F151" t="str">
        <f>""</f>
        <v/>
      </c>
      <c r="G151" t="str">
        <f>""</f>
        <v/>
      </c>
      <c r="H151" s="1">
        <v>40064</v>
      </c>
      <c r="I151" t="str">
        <f>"PCD00384"</f>
        <v>PCD00384</v>
      </c>
      <c r="J151" t="str">
        <f>"104400"</f>
        <v>104400</v>
      </c>
      <c r="K151" t="str">
        <f>"AS89"</f>
        <v>AS89</v>
      </c>
      <c r="L151" t="s">
        <v>1397</v>
      </c>
      <c r="M151">
        <v>254.7</v>
      </c>
    </row>
    <row r="152" spans="1:13" x14ac:dyDescent="0.25">
      <c r="A152" t="str">
        <f>"E120"</f>
        <v>E120</v>
      </c>
      <c r="B152">
        <v>1</v>
      </c>
      <c r="C152" t="str">
        <f t="shared" ref="C152:C170" si="35">"43000"</f>
        <v>43000</v>
      </c>
      <c r="D152" t="str">
        <f t="shared" ref="D152:D170" si="36">"5740"</f>
        <v>5740</v>
      </c>
      <c r="E152" t="str">
        <f t="shared" ref="E152:E169" si="37">"850LOS"</f>
        <v>850LOS</v>
      </c>
      <c r="F152" t="str">
        <f>""</f>
        <v/>
      </c>
      <c r="G152" t="str">
        <f>""</f>
        <v/>
      </c>
      <c r="H152" s="1">
        <v>40070</v>
      </c>
      <c r="I152" t="str">
        <f>"P0920435"</f>
        <v>P0920435</v>
      </c>
      <c r="J152" t="str">
        <f>"B125309A"</f>
        <v>B125309A</v>
      </c>
      <c r="K152" t="str">
        <f>"INNI"</f>
        <v>INNI</v>
      </c>
      <c r="L152" t="s">
        <v>48</v>
      </c>
      <c r="M152">
        <v>244.13</v>
      </c>
    </row>
    <row r="153" spans="1:13" x14ac:dyDescent="0.25">
      <c r="A153" t="str">
        <f>"E120"</f>
        <v>E120</v>
      </c>
      <c r="B153">
        <v>1</v>
      </c>
      <c r="C153" t="str">
        <f t="shared" si="35"/>
        <v>43000</v>
      </c>
      <c r="D153" t="str">
        <f t="shared" si="36"/>
        <v>5740</v>
      </c>
      <c r="E153" t="str">
        <f t="shared" si="37"/>
        <v>850LOS</v>
      </c>
      <c r="F153" t="str">
        <f>""</f>
        <v/>
      </c>
      <c r="G153" t="str">
        <f>""</f>
        <v/>
      </c>
      <c r="H153" s="1">
        <v>40137</v>
      </c>
      <c r="I153" t="str">
        <f>"P0920429"</f>
        <v>P0920429</v>
      </c>
      <c r="J153" t="str">
        <f>"B125309A"</f>
        <v>B125309A</v>
      </c>
      <c r="K153" t="str">
        <f>"INNI"</f>
        <v>INNI</v>
      </c>
      <c r="L153" t="s">
        <v>48</v>
      </c>
      <c r="M153" s="2">
        <v>8196.34</v>
      </c>
    </row>
    <row r="154" spans="1:13" x14ac:dyDescent="0.25">
      <c r="A154" t="str">
        <f t="shared" ref="A154:A169" si="38">"E121"</f>
        <v>E121</v>
      </c>
      <c r="B154">
        <v>1</v>
      </c>
      <c r="C154" t="str">
        <f t="shared" si="35"/>
        <v>43000</v>
      </c>
      <c r="D154" t="str">
        <f t="shared" si="36"/>
        <v>5740</v>
      </c>
      <c r="E154" t="str">
        <f t="shared" si="37"/>
        <v>850LOS</v>
      </c>
      <c r="F154" t="str">
        <f>""</f>
        <v/>
      </c>
      <c r="G154" t="str">
        <f>""</f>
        <v/>
      </c>
      <c r="H154" s="1">
        <v>40079</v>
      </c>
      <c r="I154" t="str">
        <f>"NV305295"</f>
        <v>NV305295</v>
      </c>
      <c r="J154" t="str">
        <f>"B113857A"</f>
        <v>B113857A</v>
      </c>
      <c r="K154" t="str">
        <f>"INNI"</f>
        <v>INNI</v>
      </c>
      <c r="L154" t="s">
        <v>76</v>
      </c>
      <c r="M154">
        <v>250.21</v>
      </c>
    </row>
    <row r="155" spans="1:13" x14ac:dyDescent="0.25">
      <c r="A155" t="str">
        <f t="shared" si="38"/>
        <v>E121</v>
      </c>
      <c r="B155">
        <v>1</v>
      </c>
      <c r="C155" t="str">
        <f t="shared" si="35"/>
        <v>43000</v>
      </c>
      <c r="D155" t="str">
        <f t="shared" si="36"/>
        <v>5740</v>
      </c>
      <c r="E155" t="str">
        <f t="shared" si="37"/>
        <v>850LOS</v>
      </c>
      <c r="F155" t="str">
        <f>""</f>
        <v/>
      </c>
      <c r="G155" t="str">
        <f>""</f>
        <v/>
      </c>
      <c r="H155" s="1">
        <v>40081</v>
      </c>
      <c r="I155" t="str">
        <f>"PCD00387"</f>
        <v>PCD00387</v>
      </c>
      <c r="J155" t="str">
        <f>"105239"</f>
        <v>105239</v>
      </c>
      <c r="K155" t="str">
        <f>"AS89"</f>
        <v>AS89</v>
      </c>
      <c r="L155" t="s">
        <v>1395</v>
      </c>
      <c r="M155" s="2">
        <v>1479.95</v>
      </c>
    </row>
    <row r="156" spans="1:13" x14ac:dyDescent="0.25">
      <c r="A156" t="str">
        <f t="shared" si="38"/>
        <v>E121</v>
      </c>
      <c r="B156">
        <v>1</v>
      </c>
      <c r="C156" t="str">
        <f t="shared" si="35"/>
        <v>43000</v>
      </c>
      <c r="D156" t="str">
        <f t="shared" si="36"/>
        <v>5740</v>
      </c>
      <c r="E156" t="str">
        <f t="shared" si="37"/>
        <v>850LOS</v>
      </c>
      <c r="F156" t="str">
        <f>""</f>
        <v/>
      </c>
      <c r="G156" t="str">
        <f>""</f>
        <v/>
      </c>
      <c r="H156" s="1">
        <v>40107</v>
      </c>
      <c r="I156" t="str">
        <f>"NV305458"</f>
        <v>NV305458</v>
      </c>
      <c r="J156" t="str">
        <f>"B113857A"</f>
        <v>B113857A</v>
      </c>
      <c r="K156" t="str">
        <f>"INNI"</f>
        <v>INNI</v>
      </c>
      <c r="L156" t="s">
        <v>76</v>
      </c>
      <c r="M156">
        <v>238.05</v>
      </c>
    </row>
    <row r="157" spans="1:13" x14ac:dyDescent="0.25">
      <c r="A157" t="str">
        <f t="shared" si="38"/>
        <v>E121</v>
      </c>
      <c r="B157">
        <v>1</v>
      </c>
      <c r="C157" t="str">
        <f t="shared" si="35"/>
        <v>43000</v>
      </c>
      <c r="D157" t="str">
        <f t="shared" si="36"/>
        <v>5740</v>
      </c>
      <c r="E157" t="str">
        <f t="shared" si="37"/>
        <v>850LOS</v>
      </c>
      <c r="F157" t="str">
        <f>""</f>
        <v/>
      </c>
      <c r="G157" t="str">
        <f>""</f>
        <v/>
      </c>
      <c r="H157" s="1">
        <v>40107</v>
      </c>
      <c r="I157" t="str">
        <f>"NV305579"</f>
        <v>NV305579</v>
      </c>
      <c r="J157" t="str">
        <f>"B113857A"</f>
        <v>B113857A</v>
      </c>
      <c r="K157" t="str">
        <f>"INNI"</f>
        <v>INNI</v>
      </c>
      <c r="L157" t="s">
        <v>76</v>
      </c>
      <c r="M157">
        <v>359.36</v>
      </c>
    </row>
    <row r="158" spans="1:13" x14ac:dyDescent="0.25">
      <c r="A158" t="str">
        <f t="shared" si="38"/>
        <v>E121</v>
      </c>
      <c r="B158">
        <v>1</v>
      </c>
      <c r="C158" t="str">
        <f t="shared" si="35"/>
        <v>43000</v>
      </c>
      <c r="D158" t="str">
        <f t="shared" si="36"/>
        <v>5740</v>
      </c>
      <c r="E158" t="str">
        <f t="shared" si="37"/>
        <v>850LOS</v>
      </c>
      <c r="F158" t="str">
        <f>""</f>
        <v/>
      </c>
      <c r="G158" t="str">
        <f>""</f>
        <v/>
      </c>
      <c r="H158" s="1">
        <v>40120</v>
      </c>
      <c r="I158" t="str">
        <f>"NV305459"</f>
        <v>NV305459</v>
      </c>
      <c r="J158" t="str">
        <f>"B113857A"</f>
        <v>B113857A</v>
      </c>
      <c r="K158" t="str">
        <f>"INNI"</f>
        <v>INNI</v>
      </c>
      <c r="L158" t="s">
        <v>76</v>
      </c>
      <c r="M158" s="2">
        <v>1542.68</v>
      </c>
    </row>
    <row r="159" spans="1:13" x14ac:dyDescent="0.25">
      <c r="A159" t="str">
        <f t="shared" si="38"/>
        <v>E121</v>
      </c>
      <c r="B159">
        <v>1</v>
      </c>
      <c r="C159" t="str">
        <f t="shared" si="35"/>
        <v>43000</v>
      </c>
      <c r="D159" t="str">
        <f t="shared" si="36"/>
        <v>5740</v>
      </c>
      <c r="E159" t="str">
        <f t="shared" si="37"/>
        <v>850LOS</v>
      </c>
      <c r="F159" t="str">
        <f>""</f>
        <v/>
      </c>
      <c r="G159" t="str">
        <f>""</f>
        <v/>
      </c>
      <c r="H159" s="1">
        <v>40122</v>
      </c>
      <c r="I159" t="str">
        <f>"NV305665"</f>
        <v>NV305665</v>
      </c>
      <c r="J159" t="str">
        <f>"B113857A"</f>
        <v>B113857A</v>
      </c>
      <c r="K159" t="str">
        <f>"INNI"</f>
        <v>INNI</v>
      </c>
      <c r="L159" t="s">
        <v>76</v>
      </c>
      <c r="M159">
        <v>141.05000000000001</v>
      </c>
    </row>
    <row r="160" spans="1:13" x14ac:dyDescent="0.25">
      <c r="A160" t="str">
        <f t="shared" si="38"/>
        <v>E121</v>
      </c>
      <c r="B160">
        <v>1</v>
      </c>
      <c r="C160" t="str">
        <f t="shared" si="35"/>
        <v>43000</v>
      </c>
      <c r="D160" t="str">
        <f t="shared" si="36"/>
        <v>5740</v>
      </c>
      <c r="E160" t="str">
        <f t="shared" si="37"/>
        <v>850LOS</v>
      </c>
      <c r="F160" t="str">
        <f>""</f>
        <v/>
      </c>
      <c r="G160" t="str">
        <f>""</f>
        <v/>
      </c>
      <c r="H160" s="1">
        <v>40147</v>
      </c>
      <c r="I160" t="str">
        <f>"NV305715"</f>
        <v>NV305715</v>
      </c>
      <c r="J160" t="str">
        <f>"B113857A"</f>
        <v>B113857A</v>
      </c>
      <c r="K160" t="str">
        <f>"INNI"</f>
        <v>INNI</v>
      </c>
      <c r="L160" t="s">
        <v>76</v>
      </c>
      <c r="M160">
        <v>118.48</v>
      </c>
    </row>
    <row r="161" spans="1:13" x14ac:dyDescent="0.25">
      <c r="A161" t="str">
        <f t="shared" si="38"/>
        <v>E121</v>
      </c>
      <c r="B161">
        <v>1</v>
      </c>
      <c r="C161" t="str">
        <f t="shared" si="35"/>
        <v>43000</v>
      </c>
      <c r="D161" t="str">
        <f t="shared" si="36"/>
        <v>5740</v>
      </c>
      <c r="E161" t="str">
        <f t="shared" si="37"/>
        <v>850LOS</v>
      </c>
      <c r="F161" t="str">
        <f>""</f>
        <v/>
      </c>
      <c r="G161" t="str">
        <f>""</f>
        <v/>
      </c>
      <c r="H161" s="1">
        <v>40164</v>
      </c>
      <c r="I161" t="str">
        <f>"NV306081"</f>
        <v>NV306081</v>
      </c>
      <c r="J161" t="str">
        <f t="shared" ref="J161:J169" si="39">"N113857B"</f>
        <v>N113857B</v>
      </c>
      <c r="K161" t="str">
        <f t="shared" ref="K161:K170" si="40">"INEI"</f>
        <v>INEI</v>
      </c>
      <c r="L161" t="s">
        <v>76</v>
      </c>
      <c r="M161">
        <v>177.47</v>
      </c>
    </row>
    <row r="162" spans="1:13" x14ac:dyDescent="0.25">
      <c r="A162" t="str">
        <f t="shared" si="38"/>
        <v>E121</v>
      </c>
      <c r="B162">
        <v>1</v>
      </c>
      <c r="C162" t="str">
        <f t="shared" si="35"/>
        <v>43000</v>
      </c>
      <c r="D162" t="str">
        <f t="shared" si="36"/>
        <v>5740</v>
      </c>
      <c r="E162" t="str">
        <f t="shared" si="37"/>
        <v>850LOS</v>
      </c>
      <c r="F162" t="str">
        <f>""</f>
        <v/>
      </c>
      <c r="G162" t="str">
        <f>""</f>
        <v/>
      </c>
      <c r="H162" s="1">
        <v>40241</v>
      </c>
      <c r="I162" t="str">
        <f>"NV306688"</f>
        <v>NV306688</v>
      </c>
      <c r="J162" t="str">
        <f t="shared" si="39"/>
        <v>N113857B</v>
      </c>
      <c r="K162" t="str">
        <f t="shared" si="40"/>
        <v>INEI</v>
      </c>
      <c r="L162" t="s">
        <v>76</v>
      </c>
      <c r="M162">
        <v>680.08</v>
      </c>
    </row>
    <row r="163" spans="1:13" x14ac:dyDescent="0.25">
      <c r="A163" t="str">
        <f t="shared" si="38"/>
        <v>E121</v>
      </c>
      <c r="B163">
        <v>1</v>
      </c>
      <c r="C163" t="str">
        <f t="shared" si="35"/>
        <v>43000</v>
      </c>
      <c r="D163" t="str">
        <f t="shared" si="36"/>
        <v>5740</v>
      </c>
      <c r="E163" t="str">
        <f t="shared" si="37"/>
        <v>850LOS</v>
      </c>
      <c r="F163" t="str">
        <f>""</f>
        <v/>
      </c>
      <c r="G163" t="str">
        <f>""</f>
        <v/>
      </c>
      <c r="H163" s="1">
        <v>40254</v>
      </c>
      <c r="I163" t="str">
        <f>"NV306829"</f>
        <v>NV306829</v>
      </c>
      <c r="J163" t="str">
        <f t="shared" si="39"/>
        <v>N113857B</v>
      </c>
      <c r="K163" t="str">
        <f t="shared" si="40"/>
        <v>INEI</v>
      </c>
      <c r="L163" t="s">
        <v>76</v>
      </c>
      <c r="M163">
        <v>209.3</v>
      </c>
    </row>
    <row r="164" spans="1:13" x14ac:dyDescent="0.25">
      <c r="A164" t="str">
        <f t="shared" si="38"/>
        <v>E121</v>
      </c>
      <c r="B164">
        <v>1</v>
      </c>
      <c r="C164" t="str">
        <f t="shared" si="35"/>
        <v>43000</v>
      </c>
      <c r="D164" t="str">
        <f t="shared" si="36"/>
        <v>5740</v>
      </c>
      <c r="E164" t="str">
        <f t="shared" si="37"/>
        <v>850LOS</v>
      </c>
      <c r="F164" t="str">
        <f>""</f>
        <v/>
      </c>
      <c r="G164" t="str">
        <f>""</f>
        <v/>
      </c>
      <c r="H164" s="1">
        <v>40254</v>
      </c>
      <c r="I164" t="str">
        <f>"NV306842"</f>
        <v>NV306842</v>
      </c>
      <c r="J164" t="str">
        <f t="shared" si="39"/>
        <v>N113857B</v>
      </c>
      <c r="K164" t="str">
        <f t="shared" si="40"/>
        <v>INEI</v>
      </c>
      <c r="L164" t="s">
        <v>76</v>
      </c>
      <c r="M164">
        <v>106.03</v>
      </c>
    </row>
    <row r="165" spans="1:13" x14ac:dyDescent="0.25">
      <c r="A165" t="str">
        <f t="shared" si="38"/>
        <v>E121</v>
      </c>
      <c r="B165">
        <v>1</v>
      </c>
      <c r="C165" t="str">
        <f t="shared" si="35"/>
        <v>43000</v>
      </c>
      <c r="D165" t="str">
        <f t="shared" si="36"/>
        <v>5740</v>
      </c>
      <c r="E165" t="str">
        <f t="shared" si="37"/>
        <v>850LOS</v>
      </c>
      <c r="F165" t="str">
        <f>""</f>
        <v/>
      </c>
      <c r="G165" t="str">
        <f>""</f>
        <v/>
      </c>
      <c r="H165" s="1">
        <v>40254</v>
      </c>
      <c r="I165" t="str">
        <f>"NV306906"</f>
        <v>NV306906</v>
      </c>
      <c r="J165" t="str">
        <f t="shared" si="39"/>
        <v>N113857B</v>
      </c>
      <c r="K165" t="str">
        <f t="shared" si="40"/>
        <v>INEI</v>
      </c>
      <c r="L165" t="s">
        <v>76</v>
      </c>
      <c r="M165">
        <v>160.15</v>
      </c>
    </row>
    <row r="166" spans="1:13" x14ac:dyDescent="0.25">
      <c r="A166" t="str">
        <f t="shared" si="38"/>
        <v>E121</v>
      </c>
      <c r="B166">
        <v>1</v>
      </c>
      <c r="C166" t="str">
        <f t="shared" si="35"/>
        <v>43000</v>
      </c>
      <c r="D166" t="str">
        <f t="shared" si="36"/>
        <v>5740</v>
      </c>
      <c r="E166" t="str">
        <f t="shared" si="37"/>
        <v>850LOS</v>
      </c>
      <c r="F166" t="str">
        <f>""</f>
        <v/>
      </c>
      <c r="G166" t="str">
        <f>""</f>
        <v/>
      </c>
      <c r="H166" s="1">
        <v>40276</v>
      </c>
      <c r="I166" t="str">
        <f>"NV307034"</f>
        <v>NV307034</v>
      </c>
      <c r="J166" t="str">
        <f t="shared" si="39"/>
        <v>N113857B</v>
      </c>
      <c r="K166" t="str">
        <f t="shared" si="40"/>
        <v>INEI</v>
      </c>
      <c r="L166" t="s">
        <v>76</v>
      </c>
      <c r="M166">
        <v>139.54</v>
      </c>
    </row>
    <row r="167" spans="1:13" x14ac:dyDescent="0.25">
      <c r="A167" t="str">
        <f t="shared" si="38"/>
        <v>E121</v>
      </c>
      <c r="B167">
        <v>1</v>
      </c>
      <c r="C167" t="str">
        <f t="shared" si="35"/>
        <v>43000</v>
      </c>
      <c r="D167" t="str">
        <f t="shared" si="36"/>
        <v>5740</v>
      </c>
      <c r="E167" t="str">
        <f t="shared" si="37"/>
        <v>850LOS</v>
      </c>
      <c r="F167" t="str">
        <f>""</f>
        <v/>
      </c>
      <c r="G167" t="str">
        <f>""</f>
        <v/>
      </c>
      <c r="H167" s="1">
        <v>40291</v>
      </c>
      <c r="I167" t="str">
        <f>"NV307344"</f>
        <v>NV307344</v>
      </c>
      <c r="J167" t="str">
        <f t="shared" si="39"/>
        <v>N113857B</v>
      </c>
      <c r="K167" t="str">
        <f t="shared" si="40"/>
        <v>INEI</v>
      </c>
      <c r="L167" t="s">
        <v>76</v>
      </c>
      <c r="M167">
        <v>290.19</v>
      </c>
    </row>
    <row r="168" spans="1:13" x14ac:dyDescent="0.25">
      <c r="A168" t="str">
        <f t="shared" si="38"/>
        <v>E121</v>
      </c>
      <c r="B168">
        <v>1</v>
      </c>
      <c r="C168" t="str">
        <f t="shared" si="35"/>
        <v>43000</v>
      </c>
      <c r="D168" t="str">
        <f t="shared" si="36"/>
        <v>5740</v>
      </c>
      <c r="E168" t="str">
        <f t="shared" si="37"/>
        <v>850LOS</v>
      </c>
      <c r="F168" t="str">
        <f>""</f>
        <v/>
      </c>
      <c r="G168" t="str">
        <f>""</f>
        <v/>
      </c>
      <c r="H168" s="1">
        <v>40297</v>
      </c>
      <c r="I168" t="str">
        <f>"NV307442"</f>
        <v>NV307442</v>
      </c>
      <c r="J168" t="str">
        <f t="shared" si="39"/>
        <v>N113857B</v>
      </c>
      <c r="K168" t="str">
        <f t="shared" si="40"/>
        <v>INEI</v>
      </c>
      <c r="L168" t="s">
        <v>76</v>
      </c>
      <c r="M168">
        <v>133.19</v>
      </c>
    </row>
    <row r="169" spans="1:13" x14ac:dyDescent="0.25">
      <c r="A169" t="str">
        <f t="shared" si="38"/>
        <v>E121</v>
      </c>
      <c r="B169">
        <v>1</v>
      </c>
      <c r="C169" t="str">
        <f t="shared" si="35"/>
        <v>43000</v>
      </c>
      <c r="D169" t="str">
        <f t="shared" si="36"/>
        <v>5740</v>
      </c>
      <c r="E169" t="str">
        <f t="shared" si="37"/>
        <v>850LOS</v>
      </c>
      <c r="F169" t="str">
        <f>""</f>
        <v/>
      </c>
      <c r="G169" t="str">
        <f>""</f>
        <v/>
      </c>
      <c r="H169" s="1">
        <v>40355</v>
      </c>
      <c r="I169" t="str">
        <f>"NV307679"</f>
        <v>NV307679</v>
      </c>
      <c r="J169" t="str">
        <f t="shared" si="39"/>
        <v>N113857B</v>
      </c>
      <c r="K169" t="str">
        <f t="shared" si="40"/>
        <v>INEI</v>
      </c>
      <c r="L169" t="s">
        <v>76</v>
      </c>
      <c r="M169">
        <v>789.23</v>
      </c>
    </row>
    <row r="170" spans="1:13" x14ac:dyDescent="0.25">
      <c r="A170" t="str">
        <f>"E130"</f>
        <v>E130</v>
      </c>
      <c r="B170">
        <v>1</v>
      </c>
      <c r="C170" t="str">
        <f t="shared" si="35"/>
        <v>43000</v>
      </c>
      <c r="D170" t="str">
        <f t="shared" si="36"/>
        <v>5740</v>
      </c>
      <c r="E170" t="str">
        <f>"850PKE"</f>
        <v>850PKE</v>
      </c>
      <c r="F170" t="str">
        <f>""</f>
        <v/>
      </c>
      <c r="G170" t="str">
        <f>""</f>
        <v/>
      </c>
      <c r="H170" s="1">
        <v>40338</v>
      </c>
      <c r="I170" t="str">
        <f>"147275"</f>
        <v>147275</v>
      </c>
      <c r="J170" t="str">
        <f>"F183003A"</f>
        <v>F183003A</v>
      </c>
      <c r="K170" t="str">
        <f t="shared" si="40"/>
        <v>INEI</v>
      </c>
      <c r="L170" t="s">
        <v>1208</v>
      </c>
      <c r="M170">
        <v>471.98</v>
      </c>
    </row>
    <row r="171" spans="1:13" x14ac:dyDescent="0.25">
      <c r="A171" t="str">
        <f t="shared" ref="A171:A202" si="41">"E131"</f>
        <v>E131</v>
      </c>
      <c r="B171">
        <v>1</v>
      </c>
      <c r="C171" t="str">
        <f t="shared" ref="C171:C198" si="42">"14185"</f>
        <v>14185</v>
      </c>
      <c r="D171" t="str">
        <f t="shared" ref="D171:D198" si="43">"5620"</f>
        <v>5620</v>
      </c>
      <c r="E171" t="str">
        <f t="shared" ref="E171:E198" si="44">"094OMS"</f>
        <v>094OMS</v>
      </c>
      <c r="F171" t="str">
        <f>""</f>
        <v/>
      </c>
      <c r="G171" t="str">
        <f>""</f>
        <v/>
      </c>
      <c r="H171" s="1">
        <v>40038</v>
      </c>
      <c r="I171" t="str">
        <f>"TEL00578"</f>
        <v>TEL00578</v>
      </c>
      <c r="J171" t="str">
        <f>""</f>
        <v/>
      </c>
      <c r="K171" t="str">
        <f>"AS89"</f>
        <v>AS89</v>
      </c>
      <c r="L171" t="s">
        <v>1394</v>
      </c>
      <c r="M171">
        <v>338.08</v>
      </c>
    </row>
    <row r="172" spans="1:13" x14ac:dyDescent="0.25">
      <c r="A172" t="str">
        <f t="shared" si="41"/>
        <v>E131</v>
      </c>
      <c r="B172">
        <v>1</v>
      </c>
      <c r="C172" t="str">
        <f t="shared" si="42"/>
        <v>14185</v>
      </c>
      <c r="D172" t="str">
        <f t="shared" si="43"/>
        <v>5620</v>
      </c>
      <c r="E172" t="str">
        <f t="shared" si="44"/>
        <v>094OMS</v>
      </c>
      <c r="F172" t="str">
        <f>""</f>
        <v/>
      </c>
      <c r="G172" t="str">
        <f>""</f>
        <v/>
      </c>
      <c r="H172" s="1">
        <v>40059</v>
      </c>
      <c r="I172" t="str">
        <f>"90970247"</f>
        <v>90970247</v>
      </c>
      <c r="J172" t="str">
        <f>"N138254"</f>
        <v>N138254</v>
      </c>
      <c r="K172" t="str">
        <f>"INEI"</f>
        <v>INEI</v>
      </c>
      <c r="L172" t="s">
        <v>1382</v>
      </c>
      <c r="M172">
        <v>127.29</v>
      </c>
    </row>
    <row r="173" spans="1:13" x14ac:dyDescent="0.25">
      <c r="A173" t="str">
        <f t="shared" si="41"/>
        <v>E131</v>
      </c>
      <c r="B173">
        <v>1</v>
      </c>
      <c r="C173" t="str">
        <f t="shared" si="42"/>
        <v>14185</v>
      </c>
      <c r="D173" t="str">
        <f t="shared" si="43"/>
        <v>5620</v>
      </c>
      <c r="E173" t="str">
        <f t="shared" si="44"/>
        <v>094OMS</v>
      </c>
      <c r="F173" t="str">
        <f>""</f>
        <v/>
      </c>
      <c r="G173" t="str">
        <f>""</f>
        <v/>
      </c>
      <c r="H173" s="1">
        <v>40078</v>
      </c>
      <c r="I173" t="str">
        <f>"TEL00580"</f>
        <v>TEL00580</v>
      </c>
      <c r="J173" t="str">
        <f>""</f>
        <v/>
      </c>
      <c r="K173" t="str">
        <f>"AS89"</f>
        <v>AS89</v>
      </c>
      <c r="L173" t="s">
        <v>1393</v>
      </c>
      <c r="M173">
        <v>178.38</v>
      </c>
    </row>
    <row r="174" spans="1:13" x14ac:dyDescent="0.25">
      <c r="A174" t="str">
        <f t="shared" si="41"/>
        <v>E131</v>
      </c>
      <c r="B174">
        <v>1</v>
      </c>
      <c r="C174" t="str">
        <f t="shared" si="42"/>
        <v>14185</v>
      </c>
      <c r="D174" t="str">
        <f t="shared" si="43"/>
        <v>5620</v>
      </c>
      <c r="E174" t="str">
        <f t="shared" si="44"/>
        <v>094OMS</v>
      </c>
      <c r="F174" t="str">
        <f>""</f>
        <v/>
      </c>
      <c r="G174" t="str">
        <f>""</f>
        <v/>
      </c>
      <c r="H174" s="1">
        <v>40091</v>
      </c>
      <c r="I174" t="str">
        <f>"99812043"</f>
        <v>99812043</v>
      </c>
      <c r="J174" t="str">
        <f>"N138254"</f>
        <v>N138254</v>
      </c>
      <c r="K174" t="str">
        <f>"INEI"</f>
        <v>INEI</v>
      </c>
      <c r="L174" t="s">
        <v>1382</v>
      </c>
      <c r="M174">
        <v>119.73</v>
      </c>
    </row>
    <row r="175" spans="1:13" x14ac:dyDescent="0.25">
      <c r="A175" t="str">
        <f t="shared" si="41"/>
        <v>E131</v>
      </c>
      <c r="B175">
        <v>1</v>
      </c>
      <c r="C175" t="str">
        <f t="shared" si="42"/>
        <v>14185</v>
      </c>
      <c r="D175" t="str">
        <f t="shared" si="43"/>
        <v>5620</v>
      </c>
      <c r="E175" t="str">
        <f t="shared" si="44"/>
        <v>094OMS</v>
      </c>
      <c r="F175" t="str">
        <f>""</f>
        <v/>
      </c>
      <c r="G175" t="str">
        <f>""</f>
        <v/>
      </c>
      <c r="H175" s="1">
        <v>40098</v>
      </c>
      <c r="I175" t="str">
        <f>"TEL00581"</f>
        <v>TEL00581</v>
      </c>
      <c r="J175" t="str">
        <f>""</f>
        <v/>
      </c>
      <c r="K175" t="str">
        <f>"AS89"</f>
        <v>AS89</v>
      </c>
      <c r="L175" t="s">
        <v>1392</v>
      </c>
      <c r="M175">
        <v>166.05</v>
      </c>
    </row>
    <row r="176" spans="1:13" x14ac:dyDescent="0.25">
      <c r="A176" t="str">
        <f t="shared" si="41"/>
        <v>E131</v>
      </c>
      <c r="B176">
        <v>1</v>
      </c>
      <c r="C176" t="str">
        <f t="shared" si="42"/>
        <v>14185</v>
      </c>
      <c r="D176" t="str">
        <f t="shared" si="43"/>
        <v>5620</v>
      </c>
      <c r="E176" t="str">
        <f t="shared" si="44"/>
        <v>094OMS</v>
      </c>
      <c r="F176" t="str">
        <f>""</f>
        <v/>
      </c>
      <c r="G176" t="str">
        <f>""</f>
        <v/>
      </c>
      <c r="H176" s="1">
        <v>40127</v>
      </c>
      <c r="I176" t="str">
        <f>"08737753"</f>
        <v>08737753</v>
      </c>
      <c r="J176" t="str">
        <f>"N138254"</f>
        <v>N138254</v>
      </c>
      <c r="K176" t="str">
        <f>"INEI"</f>
        <v>INEI</v>
      </c>
      <c r="L176" t="s">
        <v>1382</v>
      </c>
      <c r="M176">
        <v>119.51</v>
      </c>
    </row>
    <row r="177" spans="1:13" x14ac:dyDescent="0.25">
      <c r="A177" t="str">
        <f t="shared" si="41"/>
        <v>E131</v>
      </c>
      <c r="B177">
        <v>1</v>
      </c>
      <c r="C177" t="str">
        <f t="shared" si="42"/>
        <v>14185</v>
      </c>
      <c r="D177" t="str">
        <f t="shared" si="43"/>
        <v>5620</v>
      </c>
      <c r="E177" t="str">
        <f t="shared" si="44"/>
        <v>094OMS</v>
      </c>
      <c r="F177" t="str">
        <f>""</f>
        <v/>
      </c>
      <c r="G177" t="str">
        <f>""</f>
        <v/>
      </c>
      <c r="H177" s="1">
        <v>40127</v>
      </c>
      <c r="I177" t="str">
        <f>"TEL00582"</f>
        <v>TEL00582</v>
      </c>
      <c r="J177" t="str">
        <f>""</f>
        <v/>
      </c>
      <c r="K177" t="str">
        <f>"AS89"</f>
        <v>AS89</v>
      </c>
      <c r="L177" t="s">
        <v>1391</v>
      </c>
      <c r="M177">
        <v>136.19999999999999</v>
      </c>
    </row>
    <row r="178" spans="1:13" x14ac:dyDescent="0.25">
      <c r="A178" t="str">
        <f t="shared" si="41"/>
        <v>E131</v>
      </c>
      <c r="B178">
        <v>1</v>
      </c>
      <c r="C178" t="str">
        <f t="shared" si="42"/>
        <v>14185</v>
      </c>
      <c r="D178" t="str">
        <f t="shared" si="43"/>
        <v>5620</v>
      </c>
      <c r="E178" t="str">
        <f t="shared" si="44"/>
        <v>094OMS</v>
      </c>
      <c r="F178" t="str">
        <f>""</f>
        <v/>
      </c>
      <c r="G178" t="str">
        <f>""</f>
        <v/>
      </c>
      <c r="H178" s="1">
        <v>40155</v>
      </c>
      <c r="I178" t="str">
        <f>"TEL00583"</f>
        <v>TEL00583</v>
      </c>
      <c r="J178" t="str">
        <f>""</f>
        <v/>
      </c>
      <c r="K178" t="str">
        <f>"AS89"</f>
        <v>AS89</v>
      </c>
      <c r="L178" t="s">
        <v>1390</v>
      </c>
      <c r="M178">
        <v>135.58000000000001</v>
      </c>
    </row>
    <row r="179" spans="1:13" x14ac:dyDescent="0.25">
      <c r="A179" t="str">
        <f t="shared" si="41"/>
        <v>E131</v>
      </c>
      <c r="B179">
        <v>1</v>
      </c>
      <c r="C179" t="str">
        <f t="shared" si="42"/>
        <v>14185</v>
      </c>
      <c r="D179" t="str">
        <f t="shared" si="43"/>
        <v>5620</v>
      </c>
      <c r="E179" t="str">
        <f t="shared" si="44"/>
        <v>094OMS</v>
      </c>
      <c r="F179" t="str">
        <f>""</f>
        <v/>
      </c>
      <c r="G179" t="str">
        <f>""</f>
        <v/>
      </c>
      <c r="H179" s="1">
        <v>40156</v>
      </c>
      <c r="I179" t="str">
        <f>"17870671"</f>
        <v>17870671</v>
      </c>
      <c r="J179" t="str">
        <f>"N138254"</f>
        <v>N138254</v>
      </c>
      <c r="K179" t="str">
        <f>"INEI"</f>
        <v>INEI</v>
      </c>
      <c r="L179" t="s">
        <v>1382</v>
      </c>
      <c r="M179">
        <v>119.49</v>
      </c>
    </row>
    <row r="180" spans="1:13" x14ac:dyDescent="0.25">
      <c r="A180" t="str">
        <f t="shared" si="41"/>
        <v>E131</v>
      </c>
      <c r="B180">
        <v>1</v>
      </c>
      <c r="C180" t="str">
        <f t="shared" si="42"/>
        <v>14185</v>
      </c>
      <c r="D180" t="str">
        <f t="shared" si="43"/>
        <v>5620</v>
      </c>
      <c r="E180" t="str">
        <f t="shared" si="44"/>
        <v>094OMS</v>
      </c>
      <c r="F180" t="str">
        <f>""</f>
        <v/>
      </c>
      <c r="G180" t="str">
        <f>""</f>
        <v/>
      </c>
      <c r="H180" s="1">
        <v>40177</v>
      </c>
      <c r="I180" t="str">
        <f>"26996166"</f>
        <v>26996166</v>
      </c>
      <c r="J180" t="str">
        <f>"N138254"</f>
        <v>N138254</v>
      </c>
      <c r="K180" t="str">
        <f>"INEI"</f>
        <v>INEI</v>
      </c>
      <c r="L180" t="s">
        <v>1382</v>
      </c>
      <c r="M180">
        <v>119.63</v>
      </c>
    </row>
    <row r="181" spans="1:13" x14ac:dyDescent="0.25">
      <c r="A181" t="str">
        <f t="shared" si="41"/>
        <v>E131</v>
      </c>
      <c r="B181">
        <v>1</v>
      </c>
      <c r="C181" t="str">
        <f t="shared" si="42"/>
        <v>14185</v>
      </c>
      <c r="D181" t="str">
        <f t="shared" si="43"/>
        <v>5620</v>
      </c>
      <c r="E181" t="str">
        <f t="shared" si="44"/>
        <v>094OMS</v>
      </c>
      <c r="F181" t="str">
        <f>""</f>
        <v/>
      </c>
      <c r="G181" t="str">
        <f>""</f>
        <v/>
      </c>
      <c r="H181" s="1">
        <v>40186</v>
      </c>
      <c r="I181" t="str">
        <f>"TEL00584"</f>
        <v>TEL00584</v>
      </c>
      <c r="J181" t="str">
        <f>""</f>
        <v/>
      </c>
      <c r="K181" t="str">
        <f>"AS89"</f>
        <v>AS89</v>
      </c>
      <c r="L181" t="s">
        <v>1389</v>
      </c>
      <c r="M181">
        <v>127.86</v>
      </c>
    </row>
    <row r="182" spans="1:13" x14ac:dyDescent="0.25">
      <c r="A182" t="str">
        <f t="shared" si="41"/>
        <v>E131</v>
      </c>
      <c r="B182">
        <v>1</v>
      </c>
      <c r="C182" t="str">
        <f t="shared" si="42"/>
        <v>14185</v>
      </c>
      <c r="D182" t="str">
        <f t="shared" si="43"/>
        <v>5620</v>
      </c>
      <c r="E182" t="str">
        <f t="shared" si="44"/>
        <v>094OMS</v>
      </c>
      <c r="F182" t="str">
        <f>""</f>
        <v/>
      </c>
      <c r="G182" t="str">
        <f>""</f>
        <v/>
      </c>
      <c r="H182" s="1">
        <v>40214</v>
      </c>
      <c r="I182" t="str">
        <f>"TEL00586"</f>
        <v>TEL00586</v>
      </c>
      <c r="J182" t="str">
        <f>""</f>
        <v/>
      </c>
      <c r="K182" t="str">
        <f>"AS89"</f>
        <v>AS89</v>
      </c>
      <c r="L182" t="s">
        <v>1388</v>
      </c>
      <c r="M182">
        <v>123.83</v>
      </c>
    </row>
    <row r="183" spans="1:13" x14ac:dyDescent="0.25">
      <c r="A183" t="str">
        <f t="shared" si="41"/>
        <v>E131</v>
      </c>
      <c r="B183">
        <v>1</v>
      </c>
      <c r="C183" t="str">
        <f t="shared" si="42"/>
        <v>14185</v>
      </c>
      <c r="D183" t="str">
        <f t="shared" si="43"/>
        <v>5620</v>
      </c>
      <c r="E183" t="str">
        <f t="shared" si="44"/>
        <v>094OMS</v>
      </c>
      <c r="F183" t="str">
        <f>""</f>
        <v/>
      </c>
      <c r="G183" t="str">
        <f>""</f>
        <v/>
      </c>
      <c r="H183" s="1">
        <v>40217</v>
      </c>
      <c r="I183" t="str">
        <f>"36097785"</f>
        <v>36097785</v>
      </c>
      <c r="J183" t="str">
        <f>"N138254"</f>
        <v>N138254</v>
      </c>
      <c r="K183" t="str">
        <f>"INEI"</f>
        <v>INEI</v>
      </c>
      <c r="L183" t="s">
        <v>1382</v>
      </c>
      <c r="M183">
        <v>119.91</v>
      </c>
    </row>
    <row r="184" spans="1:13" x14ac:dyDescent="0.25">
      <c r="A184" t="str">
        <f t="shared" si="41"/>
        <v>E131</v>
      </c>
      <c r="B184">
        <v>1</v>
      </c>
      <c r="C184" t="str">
        <f t="shared" si="42"/>
        <v>14185</v>
      </c>
      <c r="D184" t="str">
        <f t="shared" si="43"/>
        <v>5620</v>
      </c>
      <c r="E184" t="str">
        <f t="shared" si="44"/>
        <v>094OMS</v>
      </c>
      <c r="F184" t="str">
        <f>""</f>
        <v/>
      </c>
      <c r="G184" t="str">
        <f>""</f>
        <v/>
      </c>
      <c r="H184" s="1">
        <v>40246</v>
      </c>
      <c r="I184" t="str">
        <f>"45130452"</f>
        <v>45130452</v>
      </c>
      <c r="J184" t="str">
        <f>"N138254"</f>
        <v>N138254</v>
      </c>
      <c r="K184" t="str">
        <f>"INEI"</f>
        <v>INEI</v>
      </c>
      <c r="L184" t="s">
        <v>1382</v>
      </c>
      <c r="M184">
        <v>119.91</v>
      </c>
    </row>
    <row r="185" spans="1:13" x14ac:dyDescent="0.25">
      <c r="A185" t="str">
        <f t="shared" si="41"/>
        <v>E131</v>
      </c>
      <c r="B185">
        <v>1</v>
      </c>
      <c r="C185" t="str">
        <f t="shared" si="42"/>
        <v>14185</v>
      </c>
      <c r="D185" t="str">
        <f t="shared" si="43"/>
        <v>5620</v>
      </c>
      <c r="E185" t="str">
        <f t="shared" si="44"/>
        <v>094OMS</v>
      </c>
      <c r="F185" t="str">
        <f>""</f>
        <v/>
      </c>
      <c r="G185" t="str">
        <f>""</f>
        <v/>
      </c>
      <c r="H185" s="1">
        <v>40246</v>
      </c>
      <c r="I185" t="str">
        <f>"TEL00587"</f>
        <v>TEL00587</v>
      </c>
      <c r="J185" t="str">
        <f>""</f>
        <v/>
      </c>
      <c r="K185" t="str">
        <f>"AS89"</f>
        <v>AS89</v>
      </c>
      <c r="L185" t="s">
        <v>1387</v>
      </c>
      <c r="M185">
        <v>130.94999999999999</v>
      </c>
    </row>
    <row r="186" spans="1:13" x14ac:dyDescent="0.25">
      <c r="A186" t="str">
        <f t="shared" si="41"/>
        <v>E131</v>
      </c>
      <c r="B186">
        <v>1</v>
      </c>
      <c r="C186" t="str">
        <f t="shared" si="42"/>
        <v>14185</v>
      </c>
      <c r="D186" t="str">
        <f t="shared" si="43"/>
        <v>5620</v>
      </c>
      <c r="E186" t="str">
        <f t="shared" si="44"/>
        <v>094OMS</v>
      </c>
      <c r="F186" t="str">
        <f>""</f>
        <v/>
      </c>
      <c r="G186" t="str">
        <f>""</f>
        <v/>
      </c>
      <c r="H186" s="1">
        <v>40273</v>
      </c>
      <c r="I186" t="str">
        <f>"54159572"</f>
        <v>54159572</v>
      </c>
      <c r="J186" t="str">
        <f>"N138299"</f>
        <v>N138299</v>
      </c>
      <c r="K186" t="str">
        <f>"INEI"</f>
        <v>INEI</v>
      </c>
      <c r="L186" t="s">
        <v>1382</v>
      </c>
      <c r="M186">
        <v>257.3</v>
      </c>
    </row>
    <row r="187" spans="1:13" x14ac:dyDescent="0.25">
      <c r="A187" t="str">
        <f t="shared" si="41"/>
        <v>E131</v>
      </c>
      <c r="B187">
        <v>1</v>
      </c>
      <c r="C187" t="str">
        <f t="shared" si="42"/>
        <v>14185</v>
      </c>
      <c r="D187" t="str">
        <f t="shared" si="43"/>
        <v>5620</v>
      </c>
      <c r="E187" t="str">
        <f t="shared" si="44"/>
        <v>094OMS</v>
      </c>
      <c r="F187" t="str">
        <f>""</f>
        <v/>
      </c>
      <c r="G187" t="str">
        <f>""</f>
        <v/>
      </c>
      <c r="H187" s="1">
        <v>40273</v>
      </c>
      <c r="I187" t="str">
        <f>"54159561"</f>
        <v>54159561</v>
      </c>
      <c r="J187" t="str">
        <f>"N138254"</f>
        <v>N138254</v>
      </c>
      <c r="K187" t="str">
        <f>"INEI"</f>
        <v>INEI</v>
      </c>
      <c r="L187" t="s">
        <v>1382</v>
      </c>
      <c r="M187">
        <v>119.91</v>
      </c>
    </row>
    <row r="188" spans="1:13" x14ac:dyDescent="0.25">
      <c r="A188" t="str">
        <f t="shared" si="41"/>
        <v>E131</v>
      </c>
      <c r="B188">
        <v>1</v>
      </c>
      <c r="C188" t="str">
        <f t="shared" si="42"/>
        <v>14185</v>
      </c>
      <c r="D188" t="str">
        <f t="shared" si="43"/>
        <v>5620</v>
      </c>
      <c r="E188" t="str">
        <f t="shared" si="44"/>
        <v>094OMS</v>
      </c>
      <c r="F188" t="str">
        <f>""</f>
        <v/>
      </c>
      <c r="G188" t="str">
        <f>""</f>
        <v/>
      </c>
      <c r="H188" s="1">
        <v>40276</v>
      </c>
      <c r="I188" t="str">
        <f>"TEL00588"</f>
        <v>TEL00588</v>
      </c>
      <c r="J188" t="str">
        <f>""</f>
        <v/>
      </c>
      <c r="K188" t="str">
        <f>"AS89"</f>
        <v>AS89</v>
      </c>
      <c r="L188" t="s">
        <v>1386</v>
      </c>
      <c r="M188">
        <v>259.02</v>
      </c>
    </row>
    <row r="189" spans="1:13" x14ac:dyDescent="0.25">
      <c r="A189" t="str">
        <f t="shared" si="41"/>
        <v>E131</v>
      </c>
      <c r="B189">
        <v>1</v>
      </c>
      <c r="C189" t="str">
        <f t="shared" si="42"/>
        <v>14185</v>
      </c>
      <c r="D189" t="str">
        <f t="shared" si="43"/>
        <v>5620</v>
      </c>
      <c r="E189" t="str">
        <f t="shared" si="44"/>
        <v>094OMS</v>
      </c>
      <c r="F189" t="str">
        <f>""</f>
        <v/>
      </c>
      <c r="G189" t="str">
        <f>""</f>
        <v/>
      </c>
      <c r="H189" s="1">
        <v>40302</v>
      </c>
      <c r="I189" t="str">
        <f>"TEL00589"</f>
        <v>TEL00589</v>
      </c>
      <c r="J189" t="str">
        <f>""</f>
        <v/>
      </c>
      <c r="K189" t="str">
        <f>"AS89"</f>
        <v>AS89</v>
      </c>
      <c r="L189" t="s">
        <v>1385</v>
      </c>
      <c r="M189">
        <v>117.36</v>
      </c>
    </row>
    <row r="190" spans="1:13" x14ac:dyDescent="0.25">
      <c r="A190" t="str">
        <f t="shared" si="41"/>
        <v>E131</v>
      </c>
      <c r="B190">
        <v>1</v>
      </c>
      <c r="C190" t="str">
        <f t="shared" si="42"/>
        <v>14185</v>
      </c>
      <c r="D190" t="str">
        <f t="shared" si="43"/>
        <v>5620</v>
      </c>
      <c r="E190" t="str">
        <f t="shared" si="44"/>
        <v>094OMS</v>
      </c>
      <c r="F190" t="str">
        <f>""</f>
        <v/>
      </c>
      <c r="G190" t="str">
        <f>""</f>
        <v/>
      </c>
      <c r="H190" s="1">
        <v>40304</v>
      </c>
      <c r="I190" t="str">
        <f>"63169886"</f>
        <v>63169886</v>
      </c>
      <c r="J190" t="str">
        <f>"N138299"</f>
        <v>N138299</v>
      </c>
      <c r="K190" t="str">
        <f>"INEI"</f>
        <v>INEI</v>
      </c>
      <c r="L190" t="s">
        <v>1382</v>
      </c>
      <c r="M190">
        <v>245.08</v>
      </c>
    </row>
    <row r="191" spans="1:13" x14ac:dyDescent="0.25">
      <c r="A191" t="str">
        <f t="shared" si="41"/>
        <v>E131</v>
      </c>
      <c r="B191">
        <v>1</v>
      </c>
      <c r="C191" t="str">
        <f t="shared" si="42"/>
        <v>14185</v>
      </c>
      <c r="D191" t="str">
        <f t="shared" si="43"/>
        <v>5620</v>
      </c>
      <c r="E191" t="str">
        <f t="shared" si="44"/>
        <v>094OMS</v>
      </c>
      <c r="F191" t="str">
        <f>""</f>
        <v/>
      </c>
      <c r="G191" t="str">
        <f>""</f>
        <v/>
      </c>
      <c r="H191" s="1">
        <v>40304</v>
      </c>
      <c r="I191" t="str">
        <f>"63169875"</f>
        <v>63169875</v>
      </c>
      <c r="J191" t="str">
        <f>"N138254"</f>
        <v>N138254</v>
      </c>
      <c r="K191" t="str">
        <f>"INEI"</f>
        <v>INEI</v>
      </c>
      <c r="L191" t="s">
        <v>1382</v>
      </c>
      <c r="M191">
        <v>120.12</v>
      </c>
    </row>
    <row r="192" spans="1:13" x14ac:dyDescent="0.25">
      <c r="A192" t="str">
        <f t="shared" si="41"/>
        <v>E131</v>
      </c>
      <c r="B192">
        <v>1</v>
      </c>
      <c r="C192" t="str">
        <f t="shared" si="42"/>
        <v>14185</v>
      </c>
      <c r="D192" t="str">
        <f t="shared" si="43"/>
        <v>5620</v>
      </c>
      <c r="E192" t="str">
        <f t="shared" si="44"/>
        <v>094OMS</v>
      </c>
      <c r="F192" t="str">
        <f>""</f>
        <v/>
      </c>
      <c r="G192" t="str">
        <f>""</f>
        <v/>
      </c>
      <c r="H192" s="1">
        <v>40332</v>
      </c>
      <c r="I192" t="str">
        <f>"TEL00590"</f>
        <v>TEL00590</v>
      </c>
      <c r="J192" t="str">
        <f>""</f>
        <v/>
      </c>
      <c r="K192" t="str">
        <f>"AS89"</f>
        <v>AS89</v>
      </c>
      <c r="L192" t="s">
        <v>1384</v>
      </c>
      <c r="M192">
        <v>132.99</v>
      </c>
    </row>
    <row r="193" spans="1:13" x14ac:dyDescent="0.25">
      <c r="A193" t="str">
        <f t="shared" si="41"/>
        <v>E131</v>
      </c>
      <c r="B193">
        <v>1</v>
      </c>
      <c r="C193" t="str">
        <f t="shared" si="42"/>
        <v>14185</v>
      </c>
      <c r="D193" t="str">
        <f t="shared" si="43"/>
        <v>5620</v>
      </c>
      <c r="E193" t="str">
        <f t="shared" si="44"/>
        <v>094OMS</v>
      </c>
      <c r="F193" t="str">
        <f>""</f>
        <v/>
      </c>
      <c r="G193" t="str">
        <f>""</f>
        <v/>
      </c>
      <c r="H193" s="1">
        <v>40339</v>
      </c>
      <c r="I193" t="str">
        <f>"72153690"</f>
        <v>72153690</v>
      </c>
      <c r="J193" t="str">
        <f>"N138254"</f>
        <v>N138254</v>
      </c>
      <c r="K193" t="str">
        <f>"INEI"</f>
        <v>INEI</v>
      </c>
      <c r="L193" t="s">
        <v>1382</v>
      </c>
      <c r="M193">
        <v>120.63</v>
      </c>
    </row>
    <row r="194" spans="1:13" x14ac:dyDescent="0.25">
      <c r="A194" t="str">
        <f t="shared" si="41"/>
        <v>E131</v>
      </c>
      <c r="B194">
        <v>1</v>
      </c>
      <c r="C194" t="str">
        <f t="shared" si="42"/>
        <v>14185</v>
      </c>
      <c r="D194" t="str">
        <f t="shared" si="43"/>
        <v>5620</v>
      </c>
      <c r="E194" t="str">
        <f t="shared" si="44"/>
        <v>094OMS</v>
      </c>
      <c r="F194" t="str">
        <f>""</f>
        <v/>
      </c>
      <c r="G194" t="str">
        <f>""</f>
        <v/>
      </c>
      <c r="H194" s="1">
        <v>40339</v>
      </c>
      <c r="I194" t="str">
        <f>"72153700"</f>
        <v>72153700</v>
      </c>
      <c r="J194" t="str">
        <f>"N138299"</f>
        <v>N138299</v>
      </c>
      <c r="K194" t="str">
        <f>"INEI"</f>
        <v>INEI</v>
      </c>
      <c r="L194" t="s">
        <v>1382</v>
      </c>
      <c r="M194">
        <v>245.64</v>
      </c>
    </row>
    <row r="195" spans="1:13" x14ac:dyDescent="0.25">
      <c r="A195" t="str">
        <f t="shared" si="41"/>
        <v>E131</v>
      </c>
      <c r="B195">
        <v>1</v>
      </c>
      <c r="C195" t="str">
        <f t="shared" si="42"/>
        <v>14185</v>
      </c>
      <c r="D195" t="str">
        <f t="shared" si="43"/>
        <v>5620</v>
      </c>
      <c r="E195" t="str">
        <f t="shared" si="44"/>
        <v>094OMS</v>
      </c>
      <c r="F195" t="str">
        <f>""</f>
        <v/>
      </c>
      <c r="G195" t="str">
        <f>""</f>
        <v/>
      </c>
      <c r="H195" s="1">
        <v>40358</v>
      </c>
      <c r="I195" t="str">
        <f>"81126597"</f>
        <v>81126597</v>
      </c>
      <c r="J195" t="str">
        <f>"N138254"</f>
        <v>N138254</v>
      </c>
      <c r="K195" t="str">
        <f>"INEI"</f>
        <v>INEI</v>
      </c>
      <c r="L195" t="s">
        <v>1382</v>
      </c>
      <c r="M195">
        <v>120.51</v>
      </c>
    </row>
    <row r="196" spans="1:13" x14ac:dyDescent="0.25">
      <c r="A196" t="str">
        <f t="shared" si="41"/>
        <v>E131</v>
      </c>
      <c r="B196">
        <v>1</v>
      </c>
      <c r="C196" t="str">
        <f t="shared" si="42"/>
        <v>14185</v>
      </c>
      <c r="D196" t="str">
        <f t="shared" si="43"/>
        <v>5620</v>
      </c>
      <c r="E196" t="str">
        <f t="shared" si="44"/>
        <v>094OMS</v>
      </c>
      <c r="F196" t="str">
        <f>""</f>
        <v/>
      </c>
      <c r="G196" t="str">
        <f>""</f>
        <v/>
      </c>
      <c r="H196" s="1">
        <v>40358</v>
      </c>
      <c r="I196" t="str">
        <f>"81126607"</f>
        <v>81126607</v>
      </c>
      <c r="J196" t="str">
        <f>"N138299"</f>
        <v>N138299</v>
      </c>
      <c r="K196" t="str">
        <f>"INEI"</f>
        <v>INEI</v>
      </c>
      <c r="L196" t="s">
        <v>1382</v>
      </c>
      <c r="M196">
        <v>303.74</v>
      </c>
    </row>
    <row r="197" spans="1:13" x14ac:dyDescent="0.25">
      <c r="A197" t="str">
        <f t="shared" si="41"/>
        <v>E131</v>
      </c>
      <c r="B197">
        <v>1</v>
      </c>
      <c r="C197" t="str">
        <f t="shared" si="42"/>
        <v>14185</v>
      </c>
      <c r="D197" t="str">
        <f t="shared" si="43"/>
        <v>5620</v>
      </c>
      <c r="E197" t="str">
        <f t="shared" si="44"/>
        <v>094OMS</v>
      </c>
      <c r="F197" t="str">
        <f>""</f>
        <v/>
      </c>
      <c r="G197" t="str">
        <f>""</f>
        <v/>
      </c>
      <c r="H197" s="1">
        <v>40359</v>
      </c>
      <c r="I197" t="str">
        <f>"ACG01983"</f>
        <v>ACG01983</v>
      </c>
      <c r="J197" t="str">
        <f>"90088471"</f>
        <v>90088471</v>
      </c>
      <c r="K197" t="str">
        <f t="shared" ref="K197:K240" si="45">"AS89"</f>
        <v>AS89</v>
      </c>
      <c r="L197" t="s">
        <v>1305</v>
      </c>
      <c r="M197">
        <v>189.54</v>
      </c>
    </row>
    <row r="198" spans="1:13" x14ac:dyDescent="0.25">
      <c r="A198" t="str">
        <f t="shared" si="41"/>
        <v>E131</v>
      </c>
      <c r="B198">
        <v>1</v>
      </c>
      <c r="C198" t="str">
        <f t="shared" si="42"/>
        <v>14185</v>
      </c>
      <c r="D198" t="str">
        <f t="shared" si="43"/>
        <v>5620</v>
      </c>
      <c r="E198" t="str">
        <f t="shared" si="44"/>
        <v>094OMS</v>
      </c>
      <c r="F198" t="str">
        <f>""</f>
        <v/>
      </c>
      <c r="G198" t="str">
        <f>""</f>
        <v/>
      </c>
      <c r="H198" s="1">
        <v>40359</v>
      </c>
      <c r="I198" t="str">
        <f>"TEL00591"</f>
        <v>TEL00591</v>
      </c>
      <c r="J198" t="str">
        <f>""</f>
        <v/>
      </c>
      <c r="K198" t="str">
        <f t="shared" si="45"/>
        <v>AS89</v>
      </c>
      <c r="L198" t="s">
        <v>1383</v>
      </c>
      <c r="M198">
        <v>116.15</v>
      </c>
    </row>
    <row r="199" spans="1:13" x14ac:dyDescent="0.25">
      <c r="A199" t="str">
        <f t="shared" si="41"/>
        <v>E131</v>
      </c>
      <c r="B199">
        <v>1</v>
      </c>
      <c r="C199" t="str">
        <f t="shared" ref="C199:C210" si="46">"32040"</f>
        <v>32040</v>
      </c>
      <c r="D199" t="str">
        <f t="shared" ref="D199:D210" si="47">"5610"</f>
        <v>5610</v>
      </c>
      <c r="E199" t="str">
        <f t="shared" ref="E199:E222" si="48">"850LOS"</f>
        <v>850LOS</v>
      </c>
      <c r="F199" t="str">
        <f>""</f>
        <v/>
      </c>
      <c r="G199" t="str">
        <f>""</f>
        <v/>
      </c>
      <c r="H199" s="1">
        <v>40038</v>
      </c>
      <c r="I199" t="str">
        <f>"TEL00578"</f>
        <v>TEL00578</v>
      </c>
      <c r="J199" t="str">
        <f>""</f>
        <v/>
      </c>
      <c r="K199" t="str">
        <f t="shared" si="45"/>
        <v>AS89</v>
      </c>
      <c r="L199" t="s">
        <v>1394</v>
      </c>
      <c r="M199">
        <v>260.57</v>
      </c>
    </row>
    <row r="200" spans="1:13" x14ac:dyDescent="0.25">
      <c r="A200" t="str">
        <f t="shared" si="41"/>
        <v>E131</v>
      </c>
      <c r="B200">
        <v>1</v>
      </c>
      <c r="C200" t="str">
        <f t="shared" si="46"/>
        <v>32040</v>
      </c>
      <c r="D200" t="str">
        <f t="shared" si="47"/>
        <v>5610</v>
      </c>
      <c r="E200" t="str">
        <f t="shared" si="48"/>
        <v>850LOS</v>
      </c>
      <c r="F200" t="str">
        <f>""</f>
        <v/>
      </c>
      <c r="G200" t="str">
        <f>""</f>
        <v/>
      </c>
      <c r="H200" s="1">
        <v>40078</v>
      </c>
      <c r="I200" t="str">
        <f>"TEL00580"</f>
        <v>TEL00580</v>
      </c>
      <c r="J200" t="str">
        <f>""</f>
        <v/>
      </c>
      <c r="K200" t="str">
        <f t="shared" si="45"/>
        <v>AS89</v>
      </c>
      <c r="L200" t="s">
        <v>1393</v>
      </c>
      <c r="M200">
        <v>257.69</v>
      </c>
    </row>
    <row r="201" spans="1:13" x14ac:dyDescent="0.25">
      <c r="A201" t="str">
        <f t="shared" si="41"/>
        <v>E131</v>
      </c>
      <c r="B201">
        <v>1</v>
      </c>
      <c r="C201" t="str">
        <f t="shared" si="46"/>
        <v>32040</v>
      </c>
      <c r="D201" t="str">
        <f t="shared" si="47"/>
        <v>5610</v>
      </c>
      <c r="E201" t="str">
        <f t="shared" si="48"/>
        <v>850LOS</v>
      </c>
      <c r="F201" t="str">
        <f>""</f>
        <v/>
      </c>
      <c r="G201" t="str">
        <f>""</f>
        <v/>
      </c>
      <c r="H201" s="1">
        <v>40098</v>
      </c>
      <c r="I201" t="str">
        <f>"TEL00581"</f>
        <v>TEL00581</v>
      </c>
      <c r="J201" t="str">
        <f>""</f>
        <v/>
      </c>
      <c r="K201" t="str">
        <f t="shared" si="45"/>
        <v>AS89</v>
      </c>
      <c r="L201" t="s">
        <v>1392</v>
      </c>
      <c r="M201">
        <v>114.24</v>
      </c>
    </row>
    <row r="202" spans="1:13" x14ac:dyDescent="0.25">
      <c r="A202" t="str">
        <f t="shared" si="41"/>
        <v>E131</v>
      </c>
      <c r="B202">
        <v>1</v>
      </c>
      <c r="C202" t="str">
        <f t="shared" si="46"/>
        <v>32040</v>
      </c>
      <c r="D202" t="str">
        <f t="shared" si="47"/>
        <v>5610</v>
      </c>
      <c r="E202" t="str">
        <f t="shared" si="48"/>
        <v>850LOS</v>
      </c>
      <c r="F202" t="str">
        <f>""</f>
        <v/>
      </c>
      <c r="G202" t="str">
        <f>""</f>
        <v/>
      </c>
      <c r="H202" s="1">
        <v>40127</v>
      </c>
      <c r="I202" t="str">
        <f>"TEL00582"</f>
        <v>TEL00582</v>
      </c>
      <c r="J202" t="str">
        <f>""</f>
        <v/>
      </c>
      <c r="K202" t="str">
        <f t="shared" si="45"/>
        <v>AS89</v>
      </c>
      <c r="L202" t="s">
        <v>1391</v>
      </c>
      <c r="M202">
        <v>183.49</v>
      </c>
    </row>
    <row r="203" spans="1:13" x14ac:dyDescent="0.25">
      <c r="A203" t="str">
        <f t="shared" ref="A203:A234" si="49">"E131"</f>
        <v>E131</v>
      </c>
      <c r="B203">
        <v>1</v>
      </c>
      <c r="C203" t="str">
        <f t="shared" si="46"/>
        <v>32040</v>
      </c>
      <c r="D203" t="str">
        <f t="shared" si="47"/>
        <v>5610</v>
      </c>
      <c r="E203" t="str">
        <f t="shared" si="48"/>
        <v>850LOS</v>
      </c>
      <c r="F203" t="str">
        <f>""</f>
        <v/>
      </c>
      <c r="G203" t="str">
        <f>""</f>
        <v/>
      </c>
      <c r="H203" s="1">
        <v>40155</v>
      </c>
      <c r="I203" t="str">
        <f>"TEL00583"</f>
        <v>TEL00583</v>
      </c>
      <c r="J203" t="str">
        <f>""</f>
        <v/>
      </c>
      <c r="K203" t="str">
        <f t="shared" si="45"/>
        <v>AS89</v>
      </c>
      <c r="L203" t="s">
        <v>1390</v>
      </c>
      <c r="M203">
        <v>183</v>
      </c>
    </row>
    <row r="204" spans="1:13" x14ac:dyDescent="0.25">
      <c r="A204" t="str">
        <f t="shared" si="49"/>
        <v>E131</v>
      </c>
      <c r="B204">
        <v>1</v>
      </c>
      <c r="C204" t="str">
        <f t="shared" si="46"/>
        <v>32040</v>
      </c>
      <c r="D204" t="str">
        <f t="shared" si="47"/>
        <v>5610</v>
      </c>
      <c r="E204" t="str">
        <f t="shared" si="48"/>
        <v>850LOS</v>
      </c>
      <c r="F204" t="str">
        <f>""</f>
        <v/>
      </c>
      <c r="G204" t="str">
        <f>""</f>
        <v/>
      </c>
      <c r="H204" s="1">
        <v>40186</v>
      </c>
      <c r="I204" t="str">
        <f>"TEL00584"</f>
        <v>TEL00584</v>
      </c>
      <c r="J204" t="str">
        <f>""</f>
        <v/>
      </c>
      <c r="K204" t="str">
        <f t="shared" si="45"/>
        <v>AS89</v>
      </c>
      <c r="L204" t="s">
        <v>1389</v>
      </c>
      <c r="M204">
        <v>188.4</v>
      </c>
    </row>
    <row r="205" spans="1:13" x14ac:dyDescent="0.25">
      <c r="A205" t="str">
        <f t="shared" si="49"/>
        <v>E131</v>
      </c>
      <c r="B205">
        <v>1</v>
      </c>
      <c r="C205" t="str">
        <f t="shared" si="46"/>
        <v>32040</v>
      </c>
      <c r="D205" t="str">
        <f t="shared" si="47"/>
        <v>5610</v>
      </c>
      <c r="E205" t="str">
        <f t="shared" si="48"/>
        <v>850LOS</v>
      </c>
      <c r="F205" t="str">
        <f>""</f>
        <v/>
      </c>
      <c r="G205" t="str">
        <f>""</f>
        <v/>
      </c>
      <c r="H205" s="1">
        <v>40214</v>
      </c>
      <c r="I205" t="str">
        <f>"TEL00586"</f>
        <v>TEL00586</v>
      </c>
      <c r="J205" t="str">
        <f>""</f>
        <v/>
      </c>
      <c r="K205" t="str">
        <f t="shared" si="45"/>
        <v>AS89</v>
      </c>
      <c r="L205" t="s">
        <v>1388</v>
      </c>
      <c r="M205">
        <v>183.6</v>
      </c>
    </row>
    <row r="206" spans="1:13" x14ac:dyDescent="0.25">
      <c r="A206" t="str">
        <f t="shared" si="49"/>
        <v>E131</v>
      </c>
      <c r="B206">
        <v>1</v>
      </c>
      <c r="C206" t="str">
        <f t="shared" si="46"/>
        <v>32040</v>
      </c>
      <c r="D206" t="str">
        <f t="shared" si="47"/>
        <v>5610</v>
      </c>
      <c r="E206" t="str">
        <f t="shared" si="48"/>
        <v>850LOS</v>
      </c>
      <c r="F206" t="str">
        <f>""</f>
        <v/>
      </c>
      <c r="G206" t="str">
        <f>""</f>
        <v/>
      </c>
      <c r="H206" s="1">
        <v>40246</v>
      </c>
      <c r="I206" t="str">
        <f>"TEL00587"</f>
        <v>TEL00587</v>
      </c>
      <c r="J206" t="str">
        <f>""</f>
        <v/>
      </c>
      <c r="K206" t="str">
        <f t="shared" si="45"/>
        <v>AS89</v>
      </c>
      <c r="L206" t="s">
        <v>1387</v>
      </c>
      <c r="M206">
        <v>185.08</v>
      </c>
    </row>
    <row r="207" spans="1:13" x14ac:dyDescent="0.25">
      <c r="A207" t="str">
        <f t="shared" si="49"/>
        <v>E131</v>
      </c>
      <c r="B207">
        <v>1</v>
      </c>
      <c r="C207" t="str">
        <f t="shared" si="46"/>
        <v>32040</v>
      </c>
      <c r="D207" t="str">
        <f t="shared" si="47"/>
        <v>5610</v>
      </c>
      <c r="E207" t="str">
        <f t="shared" si="48"/>
        <v>850LOS</v>
      </c>
      <c r="F207" t="str">
        <f>""</f>
        <v/>
      </c>
      <c r="G207" t="str">
        <f>""</f>
        <v/>
      </c>
      <c r="H207" s="1">
        <v>40276</v>
      </c>
      <c r="I207" t="str">
        <f>"TEL00588"</f>
        <v>TEL00588</v>
      </c>
      <c r="J207" t="str">
        <f>""</f>
        <v/>
      </c>
      <c r="K207" t="str">
        <f t="shared" si="45"/>
        <v>AS89</v>
      </c>
      <c r="L207" t="s">
        <v>1386</v>
      </c>
      <c r="M207">
        <v>183</v>
      </c>
    </row>
    <row r="208" spans="1:13" x14ac:dyDescent="0.25">
      <c r="A208" t="str">
        <f t="shared" si="49"/>
        <v>E131</v>
      </c>
      <c r="B208">
        <v>1</v>
      </c>
      <c r="C208" t="str">
        <f t="shared" si="46"/>
        <v>32040</v>
      </c>
      <c r="D208" t="str">
        <f t="shared" si="47"/>
        <v>5610</v>
      </c>
      <c r="E208" t="str">
        <f t="shared" si="48"/>
        <v>850LOS</v>
      </c>
      <c r="F208" t="str">
        <f>""</f>
        <v/>
      </c>
      <c r="G208" t="str">
        <f>""</f>
        <v/>
      </c>
      <c r="H208" s="1">
        <v>40302</v>
      </c>
      <c r="I208" t="str">
        <f>"TEL00589"</f>
        <v>TEL00589</v>
      </c>
      <c r="J208" t="str">
        <f>""</f>
        <v/>
      </c>
      <c r="K208" t="str">
        <f t="shared" si="45"/>
        <v>AS89</v>
      </c>
      <c r="L208" t="s">
        <v>1385</v>
      </c>
      <c r="M208">
        <v>183.87</v>
      </c>
    </row>
    <row r="209" spans="1:13" x14ac:dyDescent="0.25">
      <c r="A209" t="str">
        <f t="shared" si="49"/>
        <v>E131</v>
      </c>
      <c r="B209">
        <v>1</v>
      </c>
      <c r="C209" t="str">
        <f t="shared" si="46"/>
        <v>32040</v>
      </c>
      <c r="D209" t="str">
        <f t="shared" si="47"/>
        <v>5610</v>
      </c>
      <c r="E209" t="str">
        <f t="shared" si="48"/>
        <v>850LOS</v>
      </c>
      <c r="F209" t="str">
        <f>""</f>
        <v/>
      </c>
      <c r="G209" t="str">
        <f>""</f>
        <v/>
      </c>
      <c r="H209" s="1">
        <v>40332</v>
      </c>
      <c r="I209" t="str">
        <f>"TEL00590"</f>
        <v>TEL00590</v>
      </c>
      <c r="J209" t="str">
        <f>""</f>
        <v/>
      </c>
      <c r="K209" t="str">
        <f t="shared" si="45"/>
        <v>AS89</v>
      </c>
      <c r="L209" t="s">
        <v>1384</v>
      </c>
      <c r="M209">
        <v>184.15</v>
      </c>
    </row>
    <row r="210" spans="1:13" x14ac:dyDescent="0.25">
      <c r="A210" t="str">
        <f t="shared" si="49"/>
        <v>E131</v>
      </c>
      <c r="B210">
        <v>1</v>
      </c>
      <c r="C210" t="str">
        <f t="shared" si="46"/>
        <v>32040</v>
      </c>
      <c r="D210" t="str">
        <f t="shared" si="47"/>
        <v>5610</v>
      </c>
      <c r="E210" t="str">
        <f t="shared" si="48"/>
        <v>850LOS</v>
      </c>
      <c r="F210" t="str">
        <f>""</f>
        <v/>
      </c>
      <c r="G210" t="str">
        <f>""</f>
        <v/>
      </c>
      <c r="H210" s="1">
        <v>40359</v>
      </c>
      <c r="I210" t="str">
        <f>"TEL00591"</f>
        <v>TEL00591</v>
      </c>
      <c r="J210" t="str">
        <f>""</f>
        <v/>
      </c>
      <c r="K210" t="str">
        <f t="shared" si="45"/>
        <v>AS89</v>
      </c>
      <c r="L210" t="s">
        <v>1383</v>
      </c>
      <c r="M210">
        <v>183.93</v>
      </c>
    </row>
    <row r="211" spans="1:13" x14ac:dyDescent="0.25">
      <c r="A211" t="str">
        <f t="shared" si="49"/>
        <v>E131</v>
      </c>
      <c r="B211">
        <v>1</v>
      </c>
      <c r="C211" t="str">
        <f t="shared" ref="C211:C228" si="50">"43000"</f>
        <v>43000</v>
      </c>
      <c r="D211" t="str">
        <f t="shared" ref="D211:D228" si="51">"5740"</f>
        <v>5740</v>
      </c>
      <c r="E211" t="str">
        <f t="shared" si="48"/>
        <v>850LOS</v>
      </c>
      <c r="F211" t="str">
        <f>""</f>
        <v/>
      </c>
      <c r="G211" t="str">
        <f>""</f>
        <v/>
      </c>
      <c r="H211" s="1">
        <v>40038</v>
      </c>
      <c r="I211" t="str">
        <f>"TEL00578"</f>
        <v>TEL00578</v>
      </c>
      <c r="J211" t="str">
        <f>""</f>
        <v/>
      </c>
      <c r="K211" t="str">
        <f t="shared" si="45"/>
        <v>AS89</v>
      </c>
      <c r="L211" t="s">
        <v>1394</v>
      </c>
      <c r="M211">
        <v>613.27</v>
      </c>
    </row>
    <row r="212" spans="1:13" x14ac:dyDescent="0.25">
      <c r="A212" t="str">
        <f t="shared" si="49"/>
        <v>E131</v>
      </c>
      <c r="B212">
        <v>1</v>
      </c>
      <c r="C212" t="str">
        <f t="shared" si="50"/>
        <v>43000</v>
      </c>
      <c r="D212" t="str">
        <f t="shared" si="51"/>
        <v>5740</v>
      </c>
      <c r="E212" t="str">
        <f t="shared" si="48"/>
        <v>850LOS</v>
      </c>
      <c r="F212" t="str">
        <f>""</f>
        <v/>
      </c>
      <c r="G212" t="str">
        <f>""</f>
        <v/>
      </c>
      <c r="H212" s="1">
        <v>40078</v>
      </c>
      <c r="I212" t="str">
        <f>"TEL00580"</f>
        <v>TEL00580</v>
      </c>
      <c r="J212" t="str">
        <f>""</f>
        <v/>
      </c>
      <c r="K212" t="str">
        <f t="shared" si="45"/>
        <v>AS89</v>
      </c>
      <c r="L212" t="s">
        <v>1393</v>
      </c>
      <c r="M212">
        <v>595.30999999999995</v>
      </c>
    </row>
    <row r="213" spans="1:13" x14ac:dyDescent="0.25">
      <c r="A213" t="str">
        <f t="shared" si="49"/>
        <v>E131</v>
      </c>
      <c r="B213">
        <v>1</v>
      </c>
      <c r="C213" t="str">
        <f t="shared" si="50"/>
        <v>43000</v>
      </c>
      <c r="D213" t="str">
        <f t="shared" si="51"/>
        <v>5740</v>
      </c>
      <c r="E213" t="str">
        <f t="shared" si="48"/>
        <v>850LOS</v>
      </c>
      <c r="F213" t="str">
        <f>""</f>
        <v/>
      </c>
      <c r="G213" t="str">
        <f>""</f>
        <v/>
      </c>
      <c r="H213" s="1">
        <v>40098</v>
      </c>
      <c r="I213" t="str">
        <f>"TEL00581"</f>
        <v>TEL00581</v>
      </c>
      <c r="J213" t="str">
        <f>""</f>
        <v/>
      </c>
      <c r="K213" t="str">
        <f t="shared" si="45"/>
        <v>AS89</v>
      </c>
      <c r="L213" t="s">
        <v>1392</v>
      </c>
      <c r="M213">
        <v>608.84</v>
      </c>
    </row>
    <row r="214" spans="1:13" x14ac:dyDescent="0.25">
      <c r="A214" t="str">
        <f t="shared" si="49"/>
        <v>E131</v>
      </c>
      <c r="B214">
        <v>1</v>
      </c>
      <c r="C214" t="str">
        <f t="shared" si="50"/>
        <v>43000</v>
      </c>
      <c r="D214" t="str">
        <f t="shared" si="51"/>
        <v>5740</v>
      </c>
      <c r="E214" t="str">
        <f t="shared" si="48"/>
        <v>850LOS</v>
      </c>
      <c r="F214" t="str">
        <f>""</f>
        <v/>
      </c>
      <c r="G214" t="str">
        <f>""</f>
        <v/>
      </c>
      <c r="H214" s="1">
        <v>40127</v>
      </c>
      <c r="I214" t="str">
        <f>"TEL00582"</f>
        <v>TEL00582</v>
      </c>
      <c r="J214" t="str">
        <f>""</f>
        <v/>
      </c>
      <c r="K214" t="str">
        <f t="shared" si="45"/>
        <v>AS89</v>
      </c>
      <c r="L214" t="s">
        <v>1391</v>
      </c>
      <c r="M214">
        <v>592.92999999999995</v>
      </c>
    </row>
    <row r="215" spans="1:13" x14ac:dyDescent="0.25">
      <c r="A215" t="str">
        <f t="shared" si="49"/>
        <v>E131</v>
      </c>
      <c r="B215">
        <v>1</v>
      </c>
      <c r="C215" t="str">
        <f t="shared" si="50"/>
        <v>43000</v>
      </c>
      <c r="D215" t="str">
        <f t="shared" si="51"/>
        <v>5740</v>
      </c>
      <c r="E215" t="str">
        <f t="shared" si="48"/>
        <v>850LOS</v>
      </c>
      <c r="F215" t="str">
        <f>""</f>
        <v/>
      </c>
      <c r="G215" t="str">
        <f>""</f>
        <v/>
      </c>
      <c r="H215" s="1">
        <v>40155</v>
      </c>
      <c r="I215" t="str">
        <f>"TEL00583"</f>
        <v>TEL00583</v>
      </c>
      <c r="J215" t="str">
        <f>""</f>
        <v/>
      </c>
      <c r="K215" t="str">
        <f t="shared" si="45"/>
        <v>AS89</v>
      </c>
      <c r="L215" t="s">
        <v>1390</v>
      </c>
      <c r="M215">
        <v>565.08000000000004</v>
      </c>
    </row>
    <row r="216" spans="1:13" x14ac:dyDescent="0.25">
      <c r="A216" t="str">
        <f t="shared" si="49"/>
        <v>E131</v>
      </c>
      <c r="B216">
        <v>1</v>
      </c>
      <c r="C216" t="str">
        <f t="shared" si="50"/>
        <v>43000</v>
      </c>
      <c r="D216" t="str">
        <f t="shared" si="51"/>
        <v>5740</v>
      </c>
      <c r="E216" t="str">
        <f t="shared" si="48"/>
        <v>850LOS</v>
      </c>
      <c r="F216" t="str">
        <f>""</f>
        <v/>
      </c>
      <c r="G216" t="str">
        <f>""</f>
        <v/>
      </c>
      <c r="H216" s="1">
        <v>40186</v>
      </c>
      <c r="I216" t="str">
        <f>"TEL00584"</f>
        <v>TEL00584</v>
      </c>
      <c r="J216" t="str">
        <f>""</f>
        <v/>
      </c>
      <c r="K216" t="str">
        <f t="shared" si="45"/>
        <v>AS89</v>
      </c>
      <c r="L216" t="s">
        <v>1389</v>
      </c>
      <c r="M216">
        <v>558.32000000000005</v>
      </c>
    </row>
    <row r="217" spans="1:13" x14ac:dyDescent="0.25">
      <c r="A217" t="str">
        <f t="shared" si="49"/>
        <v>E131</v>
      </c>
      <c r="B217">
        <v>1</v>
      </c>
      <c r="C217" t="str">
        <f t="shared" si="50"/>
        <v>43000</v>
      </c>
      <c r="D217" t="str">
        <f t="shared" si="51"/>
        <v>5740</v>
      </c>
      <c r="E217" t="str">
        <f t="shared" si="48"/>
        <v>850LOS</v>
      </c>
      <c r="F217" t="str">
        <f>""</f>
        <v/>
      </c>
      <c r="G217" t="str">
        <f>""</f>
        <v/>
      </c>
      <c r="H217" s="1">
        <v>40214</v>
      </c>
      <c r="I217" t="str">
        <f>"TEL00586"</f>
        <v>TEL00586</v>
      </c>
      <c r="J217" t="str">
        <f>""</f>
        <v/>
      </c>
      <c r="K217" t="str">
        <f t="shared" si="45"/>
        <v>AS89</v>
      </c>
      <c r="L217" t="s">
        <v>1388</v>
      </c>
      <c r="M217">
        <v>566.87</v>
      </c>
    </row>
    <row r="218" spans="1:13" x14ac:dyDescent="0.25">
      <c r="A218" t="str">
        <f t="shared" si="49"/>
        <v>E131</v>
      </c>
      <c r="B218">
        <v>1</v>
      </c>
      <c r="C218" t="str">
        <f t="shared" si="50"/>
        <v>43000</v>
      </c>
      <c r="D218" t="str">
        <f t="shared" si="51"/>
        <v>5740</v>
      </c>
      <c r="E218" t="str">
        <f t="shared" si="48"/>
        <v>850LOS</v>
      </c>
      <c r="F218" t="str">
        <f>""</f>
        <v/>
      </c>
      <c r="G218" t="str">
        <f>""</f>
        <v/>
      </c>
      <c r="H218" s="1">
        <v>40246</v>
      </c>
      <c r="I218" t="str">
        <f>"TEL00587"</f>
        <v>TEL00587</v>
      </c>
      <c r="J218" t="str">
        <f>""</f>
        <v/>
      </c>
      <c r="K218" t="str">
        <f t="shared" si="45"/>
        <v>AS89</v>
      </c>
      <c r="L218" t="s">
        <v>1387</v>
      </c>
      <c r="M218">
        <v>564.07000000000005</v>
      </c>
    </row>
    <row r="219" spans="1:13" x14ac:dyDescent="0.25">
      <c r="A219" t="str">
        <f t="shared" si="49"/>
        <v>E131</v>
      </c>
      <c r="B219">
        <v>1</v>
      </c>
      <c r="C219" t="str">
        <f t="shared" si="50"/>
        <v>43000</v>
      </c>
      <c r="D219" t="str">
        <f t="shared" si="51"/>
        <v>5740</v>
      </c>
      <c r="E219" t="str">
        <f t="shared" si="48"/>
        <v>850LOS</v>
      </c>
      <c r="F219" t="str">
        <f>""</f>
        <v/>
      </c>
      <c r="G219" t="str">
        <f>""</f>
        <v/>
      </c>
      <c r="H219" s="1">
        <v>40276</v>
      </c>
      <c r="I219" t="str">
        <f>"TEL00588"</f>
        <v>TEL00588</v>
      </c>
      <c r="J219" t="str">
        <f>""</f>
        <v/>
      </c>
      <c r="K219" t="str">
        <f t="shared" si="45"/>
        <v>AS89</v>
      </c>
      <c r="L219" t="s">
        <v>1386</v>
      </c>
      <c r="M219">
        <v>612.5</v>
      </c>
    </row>
    <row r="220" spans="1:13" x14ac:dyDescent="0.25">
      <c r="A220" t="str">
        <f t="shared" si="49"/>
        <v>E131</v>
      </c>
      <c r="B220">
        <v>1</v>
      </c>
      <c r="C220" t="str">
        <f t="shared" si="50"/>
        <v>43000</v>
      </c>
      <c r="D220" t="str">
        <f t="shared" si="51"/>
        <v>5740</v>
      </c>
      <c r="E220" t="str">
        <f t="shared" si="48"/>
        <v>850LOS</v>
      </c>
      <c r="F220" t="str">
        <f>""</f>
        <v/>
      </c>
      <c r="G220" t="str">
        <f>""</f>
        <v/>
      </c>
      <c r="H220" s="1">
        <v>40302</v>
      </c>
      <c r="I220" t="str">
        <f>"TEL00589"</f>
        <v>TEL00589</v>
      </c>
      <c r="J220" t="str">
        <f>""</f>
        <v/>
      </c>
      <c r="K220" t="str">
        <f t="shared" si="45"/>
        <v>AS89</v>
      </c>
      <c r="L220" t="s">
        <v>1385</v>
      </c>
      <c r="M220">
        <v>567.58000000000004</v>
      </c>
    </row>
    <row r="221" spans="1:13" x14ac:dyDescent="0.25">
      <c r="A221" t="str">
        <f t="shared" si="49"/>
        <v>E131</v>
      </c>
      <c r="B221">
        <v>1</v>
      </c>
      <c r="C221" t="str">
        <f t="shared" si="50"/>
        <v>43000</v>
      </c>
      <c r="D221" t="str">
        <f t="shared" si="51"/>
        <v>5740</v>
      </c>
      <c r="E221" t="str">
        <f t="shared" si="48"/>
        <v>850LOS</v>
      </c>
      <c r="F221" t="str">
        <f>""</f>
        <v/>
      </c>
      <c r="G221" t="str">
        <f>""</f>
        <v/>
      </c>
      <c r="H221" s="1">
        <v>40332</v>
      </c>
      <c r="I221" t="str">
        <f>"TEL00590"</f>
        <v>TEL00590</v>
      </c>
      <c r="J221" t="str">
        <f>""</f>
        <v/>
      </c>
      <c r="K221" t="str">
        <f t="shared" si="45"/>
        <v>AS89</v>
      </c>
      <c r="L221" t="s">
        <v>1384</v>
      </c>
      <c r="M221">
        <v>570.61</v>
      </c>
    </row>
    <row r="222" spans="1:13" x14ac:dyDescent="0.25">
      <c r="A222" t="str">
        <f t="shared" si="49"/>
        <v>E131</v>
      </c>
      <c r="B222">
        <v>1</v>
      </c>
      <c r="C222" t="str">
        <f t="shared" si="50"/>
        <v>43000</v>
      </c>
      <c r="D222" t="str">
        <f t="shared" si="51"/>
        <v>5740</v>
      </c>
      <c r="E222" t="str">
        <f t="shared" si="48"/>
        <v>850LOS</v>
      </c>
      <c r="F222" t="str">
        <f>""</f>
        <v/>
      </c>
      <c r="G222" t="str">
        <f>""</f>
        <v/>
      </c>
      <c r="H222" s="1">
        <v>40359</v>
      </c>
      <c r="I222" t="str">
        <f>"TEL00591"</f>
        <v>TEL00591</v>
      </c>
      <c r="J222" t="str">
        <f>""</f>
        <v/>
      </c>
      <c r="K222" t="str">
        <f t="shared" si="45"/>
        <v>AS89</v>
      </c>
      <c r="L222" t="s">
        <v>1383</v>
      </c>
      <c r="M222">
        <v>546.53</v>
      </c>
    </row>
    <row r="223" spans="1:13" x14ac:dyDescent="0.25">
      <c r="A223" t="str">
        <f t="shared" si="49"/>
        <v>E131</v>
      </c>
      <c r="B223">
        <v>1</v>
      </c>
      <c r="C223" t="str">
        <f t="shared" si="50"/>
        <v>43000</v>
      </c>
      <c r="D223" t="str">
        <f t="shared" si="51"/>
        <v>5740</v>
      </c>
      <c r="E223" t="str">
        <f>"850PKC"</f>
        <v>850PKC</v>
      </c>
      <c r="F223" t="str">
        <f>""</f>
        <v/>
      </c>
      <c r="G223" t="str">
        <f>""</f>
        <v/>
      </c>
      <c r="H223" s="1">
        <v>40155</v>
      </c>
      <c r="I223" t="str">
        <f>"TEL00583"</f>
        <v>TEL00583</v>
      </c>
      <c r="J223" t="str">
        <f>""</f>
        <v/>
      </c>
      <c r="K223" t="str">
        <f t="shared" si="45"/>
        <v>AS89</v>
      </c>
      <c r="L223" t="s">
        <v>1390</v>
      </c>
      <c r="M223">
        <v>113.66</v>
      </c>
    </row>
    <row r="224" spans="1:13" x14ac:dyDescent="0.25">
      <c r="A224" t="str">
        <f t="shared" si="49"/>
        <v>E131</v>
      </c>
      <c r="B224">
        <v>1</v>
      </c>
      <c r="C224" t="str">
        <f t="shared" si="50"/>
        <v>43000</v>
      </c>
      <c r="D224" t="str">
        <f t="shared" si="51"/>
        <v>5740</v>
      </c>
      <c r="E224" t="str">
        <f>"850PKE"</f>
        <v>850PKE</v>
      </c>
      <c r="F224" t="str">
        <f>""</f>
        <v/>
      </c>
      <c r="G224" t="str">
        <f>""</f>
        <v/>
      </c>
      <c r="H224" s="1">
        <v>40038</v>
      </c>
      <c r="I224" t="str">
        <f>"TEL00578"</f>
        <v>TEL00578</v>
      </c>
      <c r="J224" t="str">
        <f>""</f>
        <v/>
      </c>
      <c r="K224" t="str">
        <f t="shared" si="45"/>
        <v>AS89</v>
      </c>
      <c r="L224" t="s">
        <v>1394</v>
      </c>
      <c r="M224">
        <v>243.2</v>
      </c>
    </row>
    <row r="225" spans="1:13" x14ac:dyDescent="0.25">
      <c r="A225" t="str">
        <f t="shared" si="49"/>
        <v>E131</v>
      </c>
      <c r="B225">
        <v>1</v>
      </c>
      <c r="C225" t="str">
        <f t="shared" si="50"/>
        <v>43000</v>
      </c>
      <c r="D225" t="str">
        <f t="shared" si="51"/>
        <v>5740</v>
      </c>
      <c r="E225" t="str">
        <f>"850PKE"</f>
        <v>850PKE</v>
      </c>
      <c r="F225" t="str">
        <f>""</f>
        <v/>
      </c>
      <c r="G225" t="str">
        <f>""</f>
        <v/>
      </c>
      <c r="H225" s="1">
        <v>40078</v>
      </c>
      <c r="I225" t="str">
        <f>"TEL00580"</f>
        <v>TEL00580</v>
      </c>
      <c r="J225" t="str">
        <f>""</f>
        <v/>
      </c>
      <c r="K225" t="str">
        <f t="shared" si="45"/>
        <v>AS89</v>
      </c>
      <c r="L225" t="s">
        <v>1393</v>
      </c>
      <c r="M225">
        <v>173.42</v>
      </c>
    </row>
    <row r="226" spans="1:13" x14ac:dyDescent="0.25">
      <c r="A226" t="str">
        <f t="shared" si="49"/>
        <v>E131</v>
      </c>
      <c r="B226">
        <v>1</v>
      </c>
      <c r="C226" t="str">
        <f t="shared" si="50"/>
        <v>43000</v>
      </c>
      <c r="D226" t="str">
        <f t="shared" si="51"/>
        <v>5740</v>
      </c>
      <c r="E226" t="str">
        <f>"850PKE"</f>
        <v>850PKE</v>
      </c>
      <c r="F226" t="str">
        <f>""</f>
        <v/>
      </c>
      <c r="G226" t="str">
        <f>""</f>
        <v/>
      </c>
      <c r="H226" s="1">
        <v>40127</v>
      </c>
      <c r="I226" t="str">
        <f>"TEL00582"</f>
        <v>TEL00582</v>
      </c>
      <c r="J226" t="str">
        <f>""</f>
        <v/>
      </c>
      <c r="K226" t="str">
        <f t="shared" si="45"/>
        <v>AS89</v>
      </c>
      <c r="L226" t="s">
        <v>1391</v>
      </c>
      <c r="M226">
        <v>123.38</v>
      </c>
    </row>
    <row r="227" spans="1:13" x14ac:dyDescent="0.25">
      <c r="A227" t="str">
        <f t="shared" si="49"/>
        <v>E131</v>
      </c>
      <c r="B227">
        <v>1</v>
      </c>
      <c r="C227" t="str">
        <f t="shared" si="50"/>
        <v>43000</v>
      </c>
      <c r="D227" t="str">
        <f t="shared" si="51"/>
        <v>5740</v>
      </c>
      <c r="E227" t="str">
        <f>"850PKE"</f>
        <v>850PKE</v>
      </c>
      <c r="F227" t="str">
        <f>""</f>
        <v/>
      </c>
      <c r="G227" t="str">
        <f>""</f>
        <v/>
      </c>
      <c r="H227" s="1">
        <v>40332</v>
      </c>
      <c r="I227" t="str">
        <f>"TEL00590"</f>
        <v>TEL00590</v>
      </c>
      <c r="J227" t="str">
        <f>""</f>
        <v/>
      </c>
      <c r="K227" t="str">
        <f t="shared" si="45"/>
        <v>AS89</v>
      </c>
      <c r="L227" t="s">
        <v>1384</v>
      </c>
      <c r="M227">
        <v>100.65</v>
      </c>
    </row>
    <row r="228" spans="1:13" x14ac:dyDescent="0.25">
      <c r="A228" t="str">
        <f t="shared" si="49"/>
        <v>E131</v>
      </c>
      <c r="B228">
        <v>1</v>
      </c>
      <c r="C228" t="str">
        <f t="shared" si="50"/>
        <v>43000</v>
      </c>
      <c r="D228" t="str">
        <f t="shared" si="51"/>
        <v>5740</v>
      </c>
      <c r="E228" t="str">
        <f>"850PKE"</f>
        <v>850PKE</v>
      </c>
      <c r="F228" t="str">
        <f>""</f>
        <v/>
      </c>
      <c r="G228" t="str">
        <f>""</f>
        <v/>
      </c>
      <c r="H228" s="1">
        <v>40359</v>
      </c>
      <c r="I228" t="str">
        <f>"TEL00591"</f>
        <v>TEL00591</v>
      </c>
      <c r="J228" t="str">
        <f>""</f>
        <v/>
      </c>
      <c r="K228" t="str">
        <f t="shared" si="45"/>
        <v>AS89</v>
      </c>
      <c r="L228" t="s">
        <v>1383</v>
      </c>
      <c r="M228">
        <v>146.59</v>
      </c>
    </row>
    <row r="229" spans="1:13" x14ac:dyDescent="0.25">
      <c r="A229" t="str">
        <f t="shared" si="49"/>
        <v>E131</v>
      </c>
      <c r="B229">
        <v>1</v>
      </c>
      <c r="C229" t="str">
        <f t="shared" ref="C229:C240" si="52">"43001"</f>
        <v>43001</v>
      </c>
      <c r="D229" t="str">
        <f t="shared" ref="D229:D240" si="53">"5741"</f>
        <v>5741</v>
      </c>
      <c r="E229" t="str">
        <f t="shared" ref="E229:E240" si="54">"850LOS"</f>
        <v>850LOS</v>
      </c>
      <c r="F229" t="str">
        <f>""</f>
        <v/>
      </c>
      <c r="G229" t="str">
        <f>""</f>
        <v/>
      </c>
      <c r="H229" s="1">
        <v>40038</v>
      </c>
      <c r="I229" t="str">
        <f>"TEL00578"</f>
        <v>TEL00578</v>
      </c>
      <c r="J229" t="str">
        <f>""</f>
        <v/>
      </c>
      <c r="K229" t="str">
        <f t="shared" si="45"/>
        <v>AS89</v>
      </c>
      <c r="L229" t="s">
        <v>1394</v>
      </c>
      <c r="M229">
        <v>167.17</v>
      </c>
    </row>
    <row r="230" spans="1:13" x14ac:dyDescent="0.25">
      <c r="A230" t="str">
        <f t="shared" si="49"/>
        <v>E131</v>
      </c>
      <c r="B230">
        <v>1</v>
      </c>
      <c r="C230" t="str">
        <f t="shared" si="52"/>
        <v>43001</v>
      </c>
      <c r="D230" t="str">
        <f t="shared" si="53"/>
        <v>5741</v>
      </c>
      <c r="E230" t="str">
        <f t="shared" si="54"/>
        <v>850LOS</v>
      </c>
      <c r="F230" t="str">
        <f>""</f>
        <v/>
      </c>
      <c r="G230" t="str">
        <f>""</f>
        <v/>
      </c>
      <c r="H230" s="1">
        <v>40078</v>
      </c>
      <c r="I230" t="str">
        <f>"TEL00580"</f>
        <v>TEL00580</v>
      </c>
      <c r="J230" t="str">
        <f>""</f>
        <v/>
      </c>
      <c r="K230" t="str">
        <f t="shared" si="45"/>
        <v>AS89</v>
      </c>
      <c r="L230" t="s">
        <v>1393</v>
      </c>
      <c r="M230">
        <v>167.31</v>
      </c>
    </row>
    <row r="231" spans="1:13" x14ac:dyDescent="0.25">
      <c r="A231" t="str">
        <f t="shared" si="49"/>
        <v>E131</v>
      </c>
      <c r="B231">
        <v>1</v>
      </c>
      <c r="C231" t="str">
        <f t="shared" si="52"/>
        <v>43001</v>
      </c>
      <c r="D231" t="str">
        <f t="shared" si="53"/>
        <v>5741</v>
      </c>
      <c r="E231" t="str">
        <f t="shared" si="54"/>
        <v>850LOS</v>
      </c>
      <c r="F231" t="str">
        <f>""</f>
        <v/>
      </c>
      <c r="G231" t="str">
        <f>""</f>
        <v/>
      </c>
      <c r="H231" s="1">
        <v>40098</v>
      </c>
      <c r="I231" t="str">
        <f>"TEL00581"</f>
        <v>TEL00581</v>
      </c>
      <c r="J231" t="str">
        <f>""</f>
        <v/>
      </c>
      <c r="K231" t="str">
        <f t="shared" si="45"/>
        <v>AS89</v>
      </c>
      <c r="L231" t="s">
        <v>1392</v>
      </c>
      <c r="M231">
        <v>101.55</v>
      </c>
    </row>
    <row r="232" spans="1:13" x14ac:dyDescent="0.25">
      <c r="A232" t="str">
        <f t="shared" si="49"/>
        <v>E131</v>
      </c>
      <c r="B232">
        <v>1</v>
      </c>
      <c r="C232" t="str">
        <f t="shared" si="52"/>
        <v>43001</v>
      </c>
      <c r="D232" t="str">
        <f t="shared" si="53"/>
        <v>5741</v>
      </c>
      <c r="E232" t="str">
        <f t="shared" si="54"/>
        <v>850LOS</v>
      </c>
      <c r="F232" t="str">
        <f>""</f>
        <v/>
      </c>
      <c r="G232" t="str">
        <f>""</f>
        <v/>
      </c>
      <c r="H232" s="1">
        <v>40127</v>
      </c>
      <c r="I232" t="str">
        <f>"TEL00582"</f>
        <v>TEL00582</v>
      </c>
      <c r="J232" t="str">
        <f>""</f>
        <v/>
      </c>
      <c r="K232" t="str">
        <f t="shared" si="45"/>
        <v>AS89</v>
      </c>
      <c r="L232" t="s">
        <v>1391</v>
      </c>
      <c r="M232">
        <v>125.4</v>
      </c>
    </row>
    <row r="233" spans="1:13" x14ac:dyDescent="0.25">
      <c r="A233" t="str">
        <f t="shared" si="49"/>
        <v>E131</v>
      </c>
      <c r="B233">
        <v>1</v>
      </c>
      <c r="C233" t="str">
        <f t="shared" si="52"/>
        <v>43001</v>
      </c>
      <c r="D233" t="str">
        <f t="shared" si="53"/>
        <v>5741</v>
      </c>
      <c r="E233" t="str">
        <f t="shared" si="54"/>
        <v>850LOS</v>
      </c>
      <c r="F233" t="str">
        <f>""</f>
        <v/>
      </c>
      <c r="G233" t="str">
        <f>""</f>
        <v/>
      </c>
      <c r="H233" s="1">
        <v>40155</v>
      </c>
      <c r="I233" t="str">
        <f>"TEL00583"</f>
        <v>TEL00583</v>
      </c>
      <c r="J233" t="str">
        <f>""</f>
        <v/>
      </c>
      <c r="K233" t="str">
        <f t="shared" si="45"/>
        <v>AS89</v>
      </c>
      <c r="L233" t="s">
        <v>1390</v>
      </c>
      <c r="M233">
        <v>125.4</v>
      </c>
    </row>
    <row r="234" spans="1:13" x14ac:dyDescent="0.25">
      <c r="A234" t="str">
        <f t="shared" si="49"/>
        <v>E131</v>
      </c>
      <c r="B234">
        <v>1</v>
      </c>
      <c r="C234" t="str">
        <f t="shared" si="52"/>
        <v>43001</v>
      </c>
      <c r="D234" t="str">
        <f t="shared" si="53"/>
        <v>5741</v>
      </c>
      <c r="E234" t="str">
        <f t="shared" si="54"/>
        <v>850LOS</v>
      </c>
      <c r="F234" t="str">
        <f>""</f>
        <v/>
      </c>
      <c r="G234" t="str">
        <f>""</f>
        <v/>
      </c>
      <c r="H234" s="1">
        <v>40186</v>
      </c>
      <c r="I234" t="str">
        <f>"TEL00584"</f>
        <v>TEL00584</v>
      </c>
      <c r="J234" t="str">
        <f>""</f>
        <v/>
      </c>
      <c r="K234" t="str">
        <f t="shared" si="45"/>
        <v>AS89</v>
      </c>
      <c r="L234" t="s">
        <v>1389</v>
      </c>
      <c r="M234">
        <v>125.4</v>
      </c>
    </row>
    <row r="235" spans="1:13" x14ac:dyDescent="0.25">
      <c r="A235" t="str">
        <f t="shared" ref="A235:A240" si="55">"E131"</f>
        <v>E131</v>
      </c>
      <c r="B235">
        <v>1</v>
      </c>
      <c r="C235" t="str">
        <f t="shared" si="52"/>
        <v>43001</v>
      </c>
      <c r="D235" t="str">
        <f t="shared" si="53"/>
        <v>5741</v>
      </c>
      <c r="E235" t="str">
        <f t="shared" si="54"/>
        <v>850LOS</v>
      </c>
      <c r="F235" t="str">
        <f>""</f>
        <v/>
      </c>
      <c r="G235" t="str">
        <f>""</f>
        <v/>
      </c>
      <c r="H235" s="1">
        <v>40214</v>
      </c>
      <c r="I235" t="str">
        <f>"TEL00586"</f>
        <v>TEL00586</v>
      </c>
      <c r="J235" t="str">
        <f>""</f>
        <v/>
      </c>
      <c r="K235" t="str">
        <f t="shared" si="45"/>
        <v>AS89</v>
      </c>
      <c r="L235" t="s">
        <v>1388</v>
      </c>
      <c r="M235">
        <v>125.4</v>
      </c>
    </row>
    <row r="236" spans="1:13" x14ac:dyDescent="0.25">
      <c r="A236" t="str">
        <f t="shared" si="55"/>
        <v>E131</v>
      </c>
      <c r="B236">
        <v>1</v>
      </c>
      <c r="C236" t="str">
        <f t="shared" si="52"/>
        <v>43001</v>
      </c>
      <c r="D236" t="str">
        <f t="shared" si="53"/>
        <v>5741</v>
      </c>
      <c r="E236" t="str">
        <f t="shared" si="54"/>
        <v>850LOS</v>
      </c>
      <c r="F236" t="str">
        <f>""</f>
        <v/>
      </c>
      <c r="G236" t="str">
        <f>""</f>
        <v/>
      </c>
      <c r="H236" s="1">
        <v>40246</v>
      </c>
      <c r="I236" t="str">
        <f>"TEL00587"</f>
        <v>TEL00587</v>
      </c>
      <c r="J236" t="str">
        <f>""</f>
        <v/>
      </c>
      <c r="K236" t="str">
        <f t="shared" si="45"/>
        <v>AS89</v>
      </c>
      <c r="L236" t="s">
        <v>1387</v>
      </c>
      <c r="M236">
        <v>125.4</v>
      </c>
    </row>
    <row r="237" spans="1:13" x14ac:dyDescent="0.25">
      <c r="A237" t="str">
        <f t="shared" si="55"/>
        <v>E131</v>
      </c>
      <c r="B237">
        <v>1</v>
      </c>
      <c r="C237" t="str">
        <f t="shared" si="52"/>
        <v>43001</v>
      </c>
      <c r="D237" t="str">
        <f t="shared" si="53"/>
        <v>5741</v>
      </c>
      <c r="E237" t="str">
        <f t="shared" si="54"/>
        <v>850LOS</v>
      </c>
      <c r="F237" t="str">
        <f>""</f>
        <v/>
      </c>
      <c r="G237" t="str">
        <f>""</f>
        <v/>
      </c>
      <c r="H237" s="1">
        <v>40276</v>
      </c>
      <c r="I237" t="str">
        <f>"TEL00588"</f>
        <v>TEL00588</v>
      </c>
      <c r="J237" t="str">
        <f>""</f>
        <v/>
      </c>
      <c r="K237" t="str">
        <f t="shared" si="45"/>
        <v>AS89</v>
      </c>
      <c r="L237" t="s">
        <v>1386</v>
      </c>
      <c r="M237">
        <v>125.4</v>
      </c>
    </row>
    <row r="238" spans="1:13" x14ac:dyDescent="0.25">
      <c r="A238" t="str">
        <f t="shared" si="55"/>
        <v>E131</v>
      </c>
      <c r="B238">
        <v>1</v>
      </c>
      <c r="C238" t="str">
        <f t="shared" si="52"/>
        <v>43001</v>
      </c>
      <c r="D238" t="str">
        <f t="shared" si="53"/>
        <v>5741</v>
      </c>
      <c r="E238" t="str">
        <f t="shared" si="54"/>
        <v>850LOS</v>
      </c>
      <c r="F238" t="str">
        <f>""</f>
        <v/>
      </c>
      <c r="G238" t="str">
        <f>""</f>
        <v/>
      </c>
      <c r="H238" s="1">
        <v>40302</v>
      </c>
      <c r="I238" t="str">
        <f>"TEL00589"</f>
        <v>TEL00589</v>
      </c>
      <c r="J238" t="str">
        <f>""</f>
        <v/>
      </c>
      <c r="K238" t="str">
        <f t="shared" si="45"/>
        <v>AS89</v>
      </c>
      <c r="L238" t="s">
        <v>1385</v>
      </c>
      <c r="M238">
        <v>125.4</v>
      </c>
    </row>
    <row r="239" spans="1:13" x14ac:dyDescent="0.25">
      <c r="A239" t="str">
        <f t="shared" si="55"/>
        <v>E131</v>
      </c>
      <c r="B239">
        <v>1</v>
      </c>
      <c r="C239" t="str">
        <f t="shared" si="52"/>
        <v>43001</v>
      </c>
      <c r="D239" t="str">
        <f t="shared" si="53"/>
        <v>5741</v>
      </c>
      <c r="E239" t="str">
        <f t="shared" si="54"/>
        <v>850LOS</v>
      </c>
      <c r="F239" t="str">
        <f>""</f>
        <v/>
      </c>
      <c r="G239" t="str">
        <f>""</f>
        <v/>
      </c>
      <c r="H239" s="1">
        <v>40332</v>
      </c>
      <c r="I239" t="str">
        <f>"TEL00590"</f>
        <v>TEL00590</v>
      </c>
      <c r="J239" t="str">
        <f>""</f>
        <v/>
      </c>
      <c r="K239" t="str">
        <f t="shared" si="45"/>
        <v>AS89</v>
      </c>
      <c r="L239" t="s">
        <v>1384</v>
      </c>
      <c r="M239">
        <v>125.4</v>
      </c>
    </row>
    <row r="240" spans="1:13" x14ac:dyDescent="0.25">
      <c r="A240" t="str">
        <f t="shared" si="55"/>
        <v>E131</v>
      </c>
      <c r="B240">
        <v>1</v>
      </c>
      <c r="C240" t="str">
        <f t="shared" si="52"/>
        <v>43001</v>
      </c>
      <c r="D240" t="str">
        <f t="shared" si="53"/>
        <v>5741</v>
      </c>
      <c r="E240" t="str">
        <f t="shared" si="54"/>
        <v>850LOS</v>
      </c>
      <c r="F240" t="str">
        <f>""</f>
        <v/>
      </c>
      <c r="G240" t="str">
        <f>""</f>
        <v/>
      </c>
      <c r="H240" s="1">
        <v>40359</v>
      </c>
      <c r="I240" t="str">
        <f>"TEL00591"</f>
        <v>TEL00591</v>
      </c>
      <c r="J240" t="str">
        <f>""</f>
        <v/>
      </c>
      <c r="K240" t="str">
        <f t="shared" si="45"/>
        <v>AS89</v>
      </c>
      <c r="L240" t="s">
        <v>1383</v>
      </c>
      <c r="M240">
        <v>125.4</v>
      </c>
    </row>
    <row r="241" spans="1:13" x14ac:dyDescent="0.25">
      <c r="A241" t="str">
        <f t="shared" ref="A241:A256" si="56">"E133"</f>
        <v>E133</v>
      </c>
      <c r="B241">
        <v>1</v>
      </c>
      <c r="C241" t="str">
        <f>"14185"</f>
        <v>14185</v>
      </c>
      <c r="D241" t="str">
        <f>"5620"</f>
        <v>5620</v>
      </c>
      <c r="E241" t="str">
        <f>"094OMS"</f>
        <v>094OMS</v>
      </c>
      <c r="F241" t="str">
        <f>""</f>
        <v/>
      </c>
      <c r="G241" t="str">
        <f>""</f>
        <v/>
      </c>
      <c r="H241" s="1">
        <v>40014</v>
      </c>
      <c r="I241" t="str">
        <f>"00037569"</f>
        <v>00037569</v>
      </c>
      <c r="J241" t="str">
        <f>"N171000P"</f>
        <v>N171000P</v>
      </c>
      <c r="K241" t="str">
        <f t="shared" ref="K241:K255" si="57">"INEI"</f>
        <v>INEI</v>
      </c>
      <c r="L241" t="s">
        <v>78</v>
      </c>
      <c r="M241">
        <v>750</v>
      </c>
    </row>
    <row r="242" spans="1:13" x14ac:dyDescent="0.25">
      <c r="A242" t="str">
        <f t="shared" si="56"/>
        <v>E133</v>
      </c>
      <c r="B242">
        <v>1</v>
      </c>
      <c r="C242" t="str">
        <f>"14185"</f>
        <v>14185</v>
      </c>
      <c r="D242" t="str">
        <f>"5620"</f>
        <v>5620</v>
      </c>
      <c r="E242" t="str">
        <f>"094OMS"</f>
        <v>094OMS</v>
      </c>
      <c r="F242" t="str">
        <f>""</f>
        <v/>
      </c>
      <c r="G242" t="str">
        <f>""</f>
        <v/>
      </c>
      <c r="H242" s="1">
        <v>40079</v>
      </c>
      <c r="I242" t="str">
        <f>"00038380"</f>
        <v>00038380</v>
      </c>
      <c r="J242" t="str">
        <f>"N171000Q"</f>
        <v>N171000Q</v>
      </c>
      <c r="K242" t="str">
        <f t="shared" si="57"/>
        <v>INEI</v>
      </c>
      <c r="L242" t="s">
        <v>78</v>
      </c>
      <c r="M242">
        <v>750</v>
      </c>
    </row>
    <row r="243" spans="1:13" x14ac:dyDescent="0.25">
      <c r="A243" t="str">
        <f t="shared" si="56"/>
        <v>E133</v>
      </c>
      <c r="B243">
        <v>1</v>
      </c>
      <c r="C243" t="str">
        <f>"14185"</f>
        <v>14185</v>
      </c>
      <c r="D243" t="str">
        <f>"5620"</f>
        <v>5620</v>
      </c>
      <c r="E243" t="str">
        <f>"094OMS"</f>
        <v>094OMS</v>
      </c>
      <c r="F243" t="str">
        <f>""</f>
        <v/>
      </c>
      <c r="G243" t="str">
        <f>""</f>
        <v/>
      </c>
      <c r="H243" s="1">
        <v>40178</v>
      </c>
      <c r="I243" t="str">
        <f>"00039214"</f>
        <v>00039214</v>
      </c>
      <c r="J243" t="str">
        <f>"N171000Q"</f>
        <v>N171000Q</v>
      </c>
      <c r="K243" t="str">
        <f t="shared" si="57"/>
        <v>INEI</v>
      </c>
      <c r="L243" t="s">
        <v>78</v>
      </c>
      <c r="M243">
        <v>750</v>
      </c>
    </row>
    <row r="244" spans="1:13" x14ac:dyDescent="0.25">
      <c r="A244" t="str">
        <f t="shared" si="56"/>
        <v>E133</v>
      </c>
      <c r="B244">
        <v>1</v>
      </c>
      <c r="C244" t="str">
        <f>"14185"</f>
        <v>14185</v>
      </c>
      <c r="D244" t="str">
        <f>"5620"</f>
        <v>5620</v>
      </c>
      <c r="E244" t="str">
        <f>"094OMS"</f>
        <v>094OMS</v>
      </c>
      <c r="F244" t="str">
        <f>""</f>
        <v/>
      </c>
      <c r="G244" t="str">
        <f>""</f>
        <v/>
      </c>
      <c r="H244" s="1">
        <v>40290</v>
      </c>
      <c r="I244" t="str">
        <f>"00039975"</f>
        <v>00039975</v>
      </c>
      <c r="J244" t="str">
        <f>"N171000Q"</f>
        <v>N171000Q</v>
      </c>
      <c r="K244" t="str">
        <f t="shared" si="57"/>
        <v>INEI</v>
      </c>
      <c r="L244" t="s">
        <v>78</v>
      </c>
      <c r="M244">
        <v>750</v>
      </c>
    </row>
    <row r="245" spans="1:13" x14ac:dyDescent="0.25">
      <c r="A245" t="str">
        <f t="shared" si="56"/>
        <v>E133</v>
      </c>
      <c r="B245">
        <v>1</v>
      </c>
      <c r="C245" t="str">
        <f>"14185"</f>
        <v>14185</v>
      </c>
      <c r="D245" t="str">
        <f>"5620"</f>
        <v>5620</v>
      </c>
      <c r="E245" t="str">
        <f>"094OMS"</f>
        <v>094OMS</v>
      </c>
      <c r="F245" t="str">
        <f>""</f>
        <v/>
      </c>
      <c r="G245" t="str">
        <f>""</f>
        <v/>
      </c>
      <c r="H245" s="1">
        <v>40355</v>
      </c>
      <c r="I245" t="str">
        <f>"00040802"</f>
        <v>00040802</v>
      </c>
      <c r="J245" t="str">
        <f>"N171000Q"</f>
        <v>N171000Q</v>
      </c>
      <c r="K245" t="str">
        <f t="shared" si="57"/>
        <v>INEI</v>
      </c>
      <c r="L245" t="s">
        <v>78</v>
      </c>
      <c r="M245">
        <v>750</v>
      </c>
    </row>
    <row r="246" spans="1:13" x14ac:dyDescent="0.25">
      <c r="A246" t="str">
        <f t="shared" si="56"/>
        <v>E133</v>
      </c>
      <c r="B246">
        <v>1</v>
      </c>
      <c r="C246" t="str">
        <f t="shared" ref="C246:C256" si="58">"43003"</f>
        <v>43003</v>
      </c>
      <c r="D246" t="str">
        <f t="shared" ref="D246:D256" si="59">"5740"</f>
        <v>5740</v>
      </c>
      <c r="E246" t="str">
        <f t="shared" ref="E246:E256" si="60">"850LOS"</f>
        <v>850LOS</v>
      </c>
      <c r="F246" t="str">
        <f>""</f>
        <v/>
      </c>
      <c r="G246" t="str">
        <f>""</f>
        <v/>
      </c>
      <c r="H246" s="1">
        <v>40091</v>
      </c>
      <c r="I246" t="str">
        <f>"I0093834"</f>
        <v>I0093834</v>
      </c>
      <c r="J246" t="str">
        <f t="shared" ref="J246:J255" si="61">"N138259"</f>
        <v>N138259</v>
      </c>
      <c r="K246" t="str">
        <f t="shared" si="57"/>
        <v>INEI</v>
      </c>
      <c r="L246" t="s">
        <v>1381</v>
      </c>
      <c r="M246">
        <v>331.84</v>
      </c>
    </row>
    <row r="247" spans="1:13" x14ac:dyDescent="0.25">
      <c r="A247" t="str">
        <f t="shared" si="56"/>
        <v>E133</v>
      </c>
      <c r="B247">
        <v>1</v>
      </c>
      <c r="C247" t="str">
        <f t="shared" si="58"/>
        <v>43003</v>
      </c>
      <c r="D247" t="str">
        <f t="shared" si="59"/>
        <v>5740</v>
      </c>
      <c r="E247" t="str">
        <f t="shared" si="60"/>
        <v>850LOS</v>
      </c>
      <c r="F247" t="str">
        <f>""</f>
        <v/>
      </c>
      <c r="G247" t="str">
        <f>""</f>
        <v/>
      </c>
      <c r="H247" s="1">
        <v>40122</v>
      </c>
      <c r="I247" t="str">
        <f>"I0094101"</f>
        <v>I0094101</v>
      </c>
      <c r="J247" t="str">
        <f t="shared" si="61"/>
        <v>N138259</v>
      </c>
      <c r="K247" t="str">
        <f t="shared" si="57"/>
        <v>INEI</v>
      </c>
      <c r="L247" t="s">
        <v>1381</v>
      </c>
      <c r="M247">
        <v>469.45</v>
      </c>
    </row>
    <row r="248" spans="1:13" x14ac:dyDescent="0.25">
      <c r="A248" t="str">
        <f t="shared" si="56"/>
        <v>E133</v>
      </c>
      <c r="B248">
        <v>1</v>
      </c>
      <c r="C248" t="str">
        <f t="shared" si="58"/>
        <v>43003</v>
      </c>
      <c r="D248" t="str">
        <f t="shared" si="59"/>
        <v>5740</v>
      </c>
      <c r="E248" t="str">
        <f t="shared" si="60"/>
        <v>850LOS</v>
      </c>
      <c r="F248" t="str">
        <f>""</f>
        <v/>
      </c>
      <c r="G248" t="str">
        <f>""</f>
        <v/>
      </c>
      <c r="H248" s="1">
        <v>40156</v>
      </c>
      <c r="I248" t="str">
        <f>"I0094528"</f>
        <v>I0094528</v>
      </c>
      <c r="J248" t="str">
        <f t="shared" si="61"/>
        <v>N138259</v>
      </c>
      <c r="K248" t="str">
        <f t="shared" si="57"/>
        <v>INEI</v>
      </c>
      <c r="L248" t="s">
        <v>1381</v>
      </c>
      <c r="M248">
        <v>469.46</v>
      </c>
    </row>
    <row r="249" spans="1:13" x14ac:dyDescent="0.25">
      <c r="A249" t="str">
        <f t="shared" si="56"/>
        <v>E133</v>
      </c>
      <c r="B249">
        <v>1</v>
      </c>
      <c r="C249" t="str">
        <f t="shared" si="58"/>
        <v>43003</v>
      </c>
      <c r="D249" t="str">
        <f t="shared" si="59"/>
        <v>5740</v>
      </c>
      <c r="E249" t="str">
        <f t="shared" si="60"/>
        <v>850LOS</v>
      </c>
      <c r="F249" t="str">
        <f>""</f>
        <v/>
      </c>
      <c r="G249" t="str">
        <f>""</f>
        <v/>
      </c>
      <c r="H249" s="1">
        <v>40177</v>
      </c>
      <c r="I249" t="str">
        <f>"I0094863"</f>
        <v>I0094863</v>
      </c>
      <c r="J249" t="str">
        <f t="shared" si="61"/>
        <v>N138259</v>
      </c>
      <c r="K249" t="str">
        <f t="shared" si="57"/>
        <v>INEI</v>
      </c>
      <c r="L249" t="s">
        <v>1381</v>
      </c>
      <c r="M249">
        <v>470.86</v>
      </c>
    </row>
    <row r="250" spans="1:13" x14ac:dyDescent="0.25">
      <c r="A250" t="str">
        <f t="shared" si="56"/>
        <v>E133</v>
      </c>
      <c r="B250">
        <v>1</v>
      </c>
      <c r="C250" t="str">
        <f t="shared" si="58"/>
        <v>43003</v>
      </c>
      <c r="D250" t="str">
        <f t="shared" si="59"/>
        <v>5740</v>
      </c>
      <c r="E250" t="str">
        <f t="shared" si="60"/>
        <v>850LOS</v>
      </c>
      <c r="F250" t="str">
        <f>""</f>
        <v/>
      </c>
      <c r="G250" t="str">
        <f>""</f>
        <v/>
      </c>
      <c r="H250" s="1">
        <v>40210</v>
      </c>
      <c r="I250" t="str">
        <f>"I0095575"</f>
        <v>I0095575</v>
      </c>
      <c r="J250" t="str">
        <f t="shared" si="61"/>
        <v>N138259</v>
      </c>
      <c r="K250" t="str">
        <f t="shared" si="57"/>
        <v>INEI</v>
      </c>
      <c r="L250" t="s">
        <v>1381</v>
      </c>
      <c r="M250">
        <v>472.45</v>
      </c>
    </row>
    <row r="251" spans="1:13" x14ac:dyDescent="0.25">
      <c r="A251" t="str">
        <f t="shared" si="56"/>
        <v>E133</v>
      </c>
      <c r="B251">
        <v>1</v>
      </c>
      <c r="C251" t="str">
        <f t="shared" si="58"/>
        <v>43003</v>
      </c>
      <c r="D251" t="str">
        <f t="shared" si="59"/>
        <v>5740</v>
      </c>
      <c r="E251" t="str">
        <f t="shared" si="60"/>
        <v>850LOS</v>
      </c>
      <c r="F251" t="str">
        <f>""</f>
        <v/>
      </c>
      <c r="G251" t="str">
        <f>""</f>
        <v/>
      </c>
      <c r="H251" s="1">
        <v>40242</v>
      </c>
      <c r="I251" t="str">
        <f>"I0095684"</f>
        <v>I0095684</v>
      </c>
      <c r="J251" t="str">
        <f t="shared" si="61"/>
        <v>N138259</v>
      </c>
      <c r="K251" t="str">
        <f t="shared" si="57"/>
        <v>INEI</v>
      </c>
      <c r="L251" t="s">
        <v>1381</v>
      </c>
      <c r="M251">
        <v>471.05</v>
      </c>
    </row>
    <row r="252" spans="1:13" x14ac:dyDescent="0.25">
      <c r="A252" t="str">
        <f t="shared" si="56"/>
        <v>E133</v>
      </c>
      <c r="B252">
        <v>1</v>
      </c>
      <c r="C252" t="str">
        <f t="shared" si="58"/>
        <v>43003</v>
      </c>
      <c r="D252" t="str">
        <f t="shared" si="59"/>
        <v>5740</v>
      </c>
      <c r="E252" t="str">
        <f t="shared" si="60"/>
        <v>850LOS</v>
      </c>
      <c r="F252" t="str">
        <f>""</f>
        <v/>
      </c>
      <c r="G252" t="str">
        <f>""</f>
        <v/>
      </c>
      <c r="H252" s="1">
        <v>40281</v>
      </c>
      <c r="I252" t="str">
        <f>"I0096142"</f>
        <v>I0096142</v>
      </c>
      <c r="J252" t="str">
        <f t="shared" si="61"/>
        <v>N138259</v>
      </c>
      <c r="K252" t="str">
        <f t="shared" si="57"/>
        <v>INEI</v>
      </c>
      <c r="L252" t="s">
        <v>1381</v>
      </c>
      <c r="M252">
        <v>471.05</v>
      </c>
    </row>
    <row r="253" spans="1:13" x14ac:dyDescent="0.25">
      <c r="A253" t="str">
        <f t="shared" si="56"/>
        <v>E133</v>
      </c>
      <c r="B253">
        <v>1</v>
      </c>
      <c r="C253" t="str">
        <f t="shared" si="58"/>
        <v>43003</v>
      </c>
      <c r="D253" t="str">
        <f t="shared" si="59"/>
        <v>5740</v>
      </c>
      <c r="E253" t="str">
        <f t="shared" si="60"/>
        <v>850LOS</v>
      </c>
      <c r="F253" t="str">
        <f>""</f>
        <v/>
      </c>
      <c r="G253" t="str">
        <f>""</f>
        <v/>
      </c>
      <c r="H253" s="1">
        <v>40297</v>
      </c>
      <c r="I253" t="str">
        <f>"I0096539"</f>
        <v>I0096539</v>
      </c>
      <c r="J253" t="str">
        <f t="shared" si="61"/>
        <v>N138259</v>
      </c>
      <c r="K253" t="str">
        <f t="shared" si="57"/>
        <v>INEI</v>
      </c>
      <c r="L253" t="s">
        <v>1381</v>
      </c>
      <c r="M253">
        <v>473.14</v>
      </c>
    </row>
    <row r="254" spans="1:13" x14ac:dyDescent="0.25">
      <c r="A254" t="str">
        <f t="shared" si="56"/>
        <v>E133</v>
      </c>
      <c r="B254">
        <v>1</v>
      </c>
      <c r="C254" t="str">
        <f t="shared" si="58"/>
        <v>43003</v>
      </c>
      <c r="D254" t="str">
        <f t="shared" si="59"/>
        <v>5740</v>
      </c>
      <c r="E254" t="str">
        <f t="shared" si="60"/>
        <v>850LOS</v>
      </c>
      <c r="F254" t="str">
        <f>""</f>
        <v/>
      </c>
      <c r="G254" t="str">
        <f>""</f>
        <v/>
      </c>
      <c r="H254" s="1">
        <v>40339</v>
      </c>
      <c r="I254" t="str">
        <f>"I0097045"</f>
        <v>I0097045</v>
      </c>
      <c r="J254" t="str">
        <f t="shared" si="61"/>
        <v>N138259</v>
      </c>
      <c r="K254" t="str">
        <f t="shared" si="57"/>
        <v>INEI</v>
      </c>
      <c r="L254" t="s">
        <v>1381</v>
      </c>
      <c r="M254">
        <v>474.28</v>
      </c>
    </row>
    <row r="255" spans="1:13" x14ac:dyDescent="0.25">
      <c r="A255" t="str">
        <f t="shared" si="56"/>
        <v>E133</v>
      </c>
      <c r="B255">
        <v>1</v>
      </c>
      <c r="C255" t="str">
        <f t="shared" si="58"/>
        <v>43003</v>
      </c>
      <c r="D255" t="str">
        <f t="shared" si="59"/>
        <v>5740</v>
      </c>
      <c r="E255" t="str">
        <f t="shared" si="60"/>
        <v>850LOS</v>
      </c>
      <c r="F255" t="str">
        <f>""</f>
        <v/>
      </c>
      <c r="G255" t="str">
        <f>""</f>
        <v/>
      </c>
      <c r="H255" s="1">
        <v>40355</v>
      </c>
      <c r="I255" t="str">
        <f>"I0097559"</f>
        <v>I0097559</v>
      </c>
      <c r="J255" t="str">
        <f t="shared" si="61"/>
        <v>N138259</v>
      </c>
      <c r="K255" t="str">
        <f t="shared" si="57"/>
        <v>INEI</v>
      </c>
      <c r="L255" t="s">
        <v>1381</v>
      </c>
      <c r="M255">
        <v>474.07</v>
      </c>
    </row>
    <row r="256" spans="1:13" x14ac:dyDescent="0.25">
      <c r="A256" t="str">
        <f t="shared" si="56"/>
        <v>E133</v>
      </c>
      <c r="B256">
        <v>1</v>
      </c>
      <c r="C256" t="str">
        <f t="shared" si="58"/>
        <v>43003</v>
      </c>
      <c r="D256" t="str">
        <f t="shared" si="59"/>
        <v>5740</v>
      </c>
      <c r="E256" t="str">
        <f t="shared" si="60"/>
        <v>850LOS</v>
      </c>
      <c r="F256" t="str">
        <f>""</f>
        <v/>
      </c>
      <c r="G256" t="str">
        <f>""</f>
        <v/>
      </c>
      <c r="H256" s="1">
        <v>40359</v>
      </c>
      <c r="I256" t="str">
        <f>"ACG01981"</f>
        <v>ACG01981</v>
      </c>
      <c r="J256" t="str">
        <f>"I0097784"</f>
        <v>I0097784</v>
      </c>
      <c r="K256" t="str">
        <f>"AS79"</f>
        <v>AS79</v>
      </c>
      <c r="L256" t="s">
        <v>1305</v>
      </c>
      <c r="M256">
        <v>157.78</v>
      </c>
    </row>
    <row r="257" spans="1:13" x14ac:dyDescent="0.25">
      <c r="A257" t="str">
        <f>"E150"</f>
        <v>E150</v>
      </c>
      <c r="B257">
        <v>1</v>
      </c>
      <c r="C257" t="str">
        <f>"14185"</f>
        <v>14185</v>
      </c>
      <c r="D257" t="str">
        <f>"5620"</f>
        <v>5620</v>
      </c>
      <c r="E257" t="str">
        <f>"094OMS"</f>
        <v>094OMS</v>
      </c>
      <c r="F257" t="str">
        <f>""</f>
        <v/>
      </c>
      <c r="G257" t="str">
        <f>""</f>
        <v/>
      </c>
      <c r="H257" s="1">
        <v>40025</v>
      </c>
      <c r="I257" t="str">
        <f>"MPG00363"</f>
        <v>MPG00363</v>
      </c>
      <c r="J257" t="str">
        <f>""</f>
        <v/>
      </c>
      <c r="K257" t="str">
        <f>"AS89"</f>
        <v>AS89</v>
      </c>
      <c r="L257" t="s">
        <v>1380</v>
      </c>
      <c r="M257" s="2">
        <v>41000</v>
      </c>
    </row>
    <row r="258" spans="1:13" x14ac:dyDescent="0.25">
      <c r="A258" t="str">
        <f>"E150"</f>
        <v>E150</v>
      </c>
      <c r="B258">
        <v>1</v>
      </c>
      <c r="C258" t="str">
        <f>"14185"</f>
        <v>14185</v>
      </c>
      <c r="D258" t="str">
        <f>"5620"</f>
        <v>5620</v>
      </c>
      <c r="E258" t="str">
        <f>"094OMS"</f>
        <v>094OMS</v>
      </c>
      <c r="F258" t="str">
        <f>""</f>
        <v/>
      </c>
      <c r="G258" t="str">
        <f>""</f>
        <v/>
      </c>
      <c r="H258" s="1">
        <v>40213</v>
      </c>
      <c r="I258" t="str">
        <f>"138286"</f>
        <v>138286</v>
      </c>
      <c r="J258" t="str">
        <f>""</f>
        <v/>
      </c>
      <c r="K258" t="str">
        <f>"INNI"</f>
        <v>INNI</v>
      </c>
      <c r="L258" t="s">
        <v>92</v>
      </c>
      <c r="M258" s="2">
        <v>1400</v>
      </c>
    </row>
    <row r="259" spans="1:13" x14ac:dyDescent="0.25">
      <c r="A259" t="str">
        <f>"E150"</f>
        <v>E150</v>
      </c>
      <c r="B259">
        <v>1</v>
      </c>
      <c r="C259" t="str">
        <f>"32040"</f>
        <v>32040</v>
      </c>
      <c r="D259" t="str">
        <f>"5610"</f>
        <v>5610</v>
      </c>
      <c r="E259" t="str">
        <f>"850LOS"</f>
        <v>850LOS</v>
      </c>
      <c r="F259" t="str">
        <f>""</f>
        <v/>
      </c>
      <c r="G259" t="str">
        <f>""</f>
        <v/>
      </c>
      <c r="H259" s="1">
        <v>40237</v>
      </c>
      <c r="I259" t="str">
        <f>"MPG00370"</f>
        <v>MPG00370</v>
      </c>
      <c r="J259" t="str">
        <f>""</f>
        <v/>
      </c>
      <c r="K259" t="str">
        <f>"AS89"</f>
        <v>AS89</v>
      </c>
      <c r="L259" t="s">
        <v>1379</v>
      </c>
      <c r="M259" s="2">
        <v>5500</v>
      </c>
    </row>
    <row r="260" spans="1:13" x14ac:dyDescent="0.25">
      <c r="A260" t="str">
        <f>"E150"</f>
        <v>E150</v>
      </c>
      <c r="B260">
        <v>1</v>
      </c>
      <c r="C260" t="str">
        <f>"32040"</f>
        <v>32040</v>
      </c>
      <c r="D260" t="str">
        <f>"5610"</f>
        <v>5610</v>
      </c>
      <c r="E260" t="str">
        <f>"850LOS"</f>
        <v>850LOS</v>
      </c>
      <c r="F260" t="str">
        <f>""</f>
        <v/>
      </c>
      <c r="G260" t="str">
        <f>""</f>
        <v/>
      </c>
      <c r="H260" s="1">
        <v>40359</v>
      </c>
      <c r="I260" t="str">
        <f>"MPG00374"</f>
        <v>MPG00374</v>
      </c>
      <c r="J260" t="str">
        <f>""</f>
        <v/>
      </c>
      <c r="K260" t="str">
        <f>"AS89"</f>
        <v>AS89</v>
      </c>
      <c r="L260" t="s">
        <v>1379</v>
      </c>
      <c r="M260" s="2">
        <v>5500</v>
      </c>
    </row>
    <row r="261" spans="1:13" x14ac:dyDescent="0.25">
      <c r="A261" t="str">
        <f>"E150"</f>
        <v>E150</v>
      </c>
      <c r="B261">
        <v>1</v>
      </c>
      <c r="C261" t="str">
        <f>"43000"</f>
        <v>43000</v>
      </c>
      <c r="D261" t="str">
        <f>"5740"</f>
        <v>5740</v>
      </c>
      <c r="E261" t="str">
        <f>"850PKE"</f>
        <v>850PKE</v>
      </c>
      <c r="F261" t="str">
        <f>""</f>
        <v/>
      </c>
      <c r="G261" t="str">
        <f>""</f>
        <v/>
      </c>
      <c r="H261" s="1">
        <v>40213</v>
      </c>
      <c r="I261" t="str">
        <f>"138286"</f>
        <v>138286</v>
      </c>
      <c r="J261" t="str">
        <f>""</f>
        <v/>
      </c>
      <c r="K261" t="str">
        <f>"INNI"</f>
        <v>INNI</v>
      </c>
      <c r="L261" t="s">
        <v>92</v>
      </c>
      <c r="M261">
        <v>700</v>
      </c>
    </row>
    <row r="262" spans="1:13" x14ac:dyDescent="0.25">
      <c r="A262" t="str">
        <f t="shared" ref="A262:A297" si="62">"E160"</f>
        <v>E160</v>
      </c>
      <c r="B262">
        <v>1</v>
      </c>
      <c r="C262" t="str">
        <f t="shared" ref="C262:C277" si="63">"14185"</f>
        <v>14185</v>
      </c>
      <c r="D262" t="str">
        <f t="shared" ref="D262:D277" si="64">"5620"</f>
        <v>5620</v>
      </c>
      <c r="E262" t="str">
        <f t="shared" ref="E262:E277" si="65">"094OMS"</f>
        <v>094OMS</v>
      </c>
      <c r="F262" t="str">
        <f>""</f>
        <v/>
      </c>
      <c r="G262" t="str">
        <f>""</f>
        <v/>
      </c>
      <c r="H262" s="1">
        <v>39995</v>
      </c>
      <c r="I262" t="str">
        <f>"PHY00509"</f>
        <v>PHY00509</v>
      </c>
      <c r="J262" t="str">
        <f>"W0042474"</f>
        <v>W0042474</v>
      </c>
      <c r="K262" t="str">
        <f t="shared" ref="K262:K300" si="66">"AS89"</f>
        <v>AS89</v>
      </c>
      <c r="L262" t="s">
        <v>1378</v>
      </c>
      <c r="M262">
        <v>135.84</v>
      </c>
    </row>
    <row r="263" spans="1:13" x14ac:dyDescent="0.25">
      <c r="A263" t="str">
        <f t="shared" si="62"/>
        <v>E160</v>
      </c>
      <c r="B263">
        <v>1</v>
      </c>
      <c r="C263" t="str">
        <f t="shared" si="63"/>
        <v>14185</v>
      </c>
      <c r="D263" t="str">
        <f t="shared" si="64"/>
        <v>5620</v>
      </c>
      <c r="E263" t="str">
        <f t="shared" si="65"/>
        <v>094OMS</v>
      </c>
      <c r="F263" t="str">
        <f>""</f>
        <v/>
      </c>
      <c r="G263" t="str">
        <f>""</f>
        <v/>
      </c>
      <c r="H263" s="1">
        <v>40026</v>
      </c>
      <c r="I263" t="str">
        <f>"PHY00511"</f>
        <v>PHY00511</v>
      </c>
      <c r="J263" t="str">
        <f>"W0036764"</f>
        <v>W0036764</v>
      </c>
      <c r="K263" t="str">
        <f t="shared" si="66"/>
        <v>AS89</v>
      </c>
      <c r="L263" t="s">
        <v>1095</v>
      </c>
      <c r="M263">
        <v>167.5</v>
      </c>
    </row>
    <row r="264" spans="1:13" x14ac:dyDescent="0.25">
      <c r="A264" t="str">
        <f t="shared" si="62"/>
        <v>E160</v>
      </c>
      <c r="B264">
        <v>1</v>
      </c>
      <c r="C264" t="str">
        <f t="shared" si="63"/>
        <v>14185</v>
      </c>
      <c r="D264" t="str">
        <f t="shared" si="64"/>
        <v>5620</v>
      </c>
      <c r="E264" t="str">
        <f t="shared" si="65"/>
        <v>094OMS</v>
      </c>
      <c r="F264" t="str">
        <f>""</f>
        <v/>
      </c>
      <c r="G264" t="str">
        <f>""</f>
        <v/>
      </c>
      <c r="H264" s="1">
        <v>40026</v>
      </c>
      <c r="I264" t="str">
        <f>"PHY00511"</f>
        <v>PHY00511</v>
      </c>
      <c r="J264" t="str">
        <f>"W0042474"</f>
        <v>W0042474</v>
      </c>
      <c r="K264" t="str">
        <f t="shared" si="66"/>
        <v>AS89</v>
      </c>
      <c r="L264" t="s">
        <v>1378</v>
      </c>
      <c r="M264">
        <v>530.92999999999995</v>
      </c>
    </row>
    <row r="265" spans="1:13" x14ac:dyDescent="0.25">
      <c r="A265" t="str">
        <f t="shared" si="62"/>
        <v>E160</v>
      </c>
      <c r="B265">
        <v>1</v>
      </c>
      <c r="C265" t="str">
        <f t="shared" si="63"/>
        <v>14185</v>
      </c>
      <c r="D265" t="str">
        <f t="shared" si="64"/>
        <v>5620</v>
      </c>
      <c r="E265" t="str">
        <f t="shared" si="65"/>
        <v>094OMS</v>
      </c>
      <c r="F265" t="str">
        <f>""</f>
        <v/>
      </c>
      <c r="G265" t="str">
        <f>""</f>
        <v/>
      </c>
      <c r="H265" s="1">
        <v>40087</v>
      </c>
      <c r="I265" t="str">
        <f>"PHY00515"</f>
        <v>PHY00515</v>
      </c>
      <c r="J265" t="str">
        <f>"W0048826"</f>
        <v>W0048826</v>
      </c>
      <c r="K265" t="str">
        <f t="shared" si="66"/>
        <v>AS89</v>
      </c>
      <c r="L265" t="s">
        <v>1377</v>
      </c>
      <c r="M265">
        <v>945.05</v>
      </c>
    </row>
    <row r="266" spans="1:13" x14ac:dyDescent="0.25">
      <c r="A266" t="str">
        <f t="shared" si="62"/>
        <v>E160</v>
      </c>
      <c r="B266">
        <v>1</v>
      </c>
      <c r="C266" t="str">
        <f t="shared" si="63"/>
        <v>14185</v>
      </c>
      <c r="D266" t="str">
        <f t="shared" si="64"/>
        <v>5620</v>
      </c>
      <c r="E266" t="str">
        <f t="shared" si="65"/>
        <v>094OMS</v>
      </c>
      <c r="F266" t="str">
        <f>""</f>
        <v/>
      </c>
      <c r="G266" t="str">
        <f>""</f>
        <v/>
      </c>
      <c r="H266" s="1">
        <v>40148</v>
      </c>
      <c r="I266" t="str">
        <f>"PHY00519"</f>
        <v>PHY00519</v>
      </c>
      <c r="J266" t="str">
        <f>"W0002151"</f>
        <v>W0002151</v>
      </c>
      <c r="K266" t="str">
        <f t="shared" si="66"/>
        <v>AS89</v>
      </c>
      <c r="L266" t="s">
        <v>429</v>
      </c>
      <c r="M266">
        <v>679.69</v>
      </c>
    </row>
    <row r="267" spans="1:13" x14ac:dyDescent="0.25">
      <c r="A267" t="str">
        <f t="shared" si="62"/>
        <v>E160</v>
      </c>
      <c r="B267">
        <v>1</v>
      </c>
      <c r="C267" t="str">
        <f t="shared" si="63"/>
        <v>14185</v>
      </c>
      <c r="D267" t="str">
        <f t="shared" si="64"/>
        <v>5620</v>
      </c>
      <c r="E267" t="str">
        <f t="shared" si="65"/>
        <v>094OMS</v>
      </c>
      <c r="F267" t="str">
        <f>""</f>
        <v/>
      </c>
      <c r="G267" t="str">
        <f>""</f>
        <v/>
      </c>
      <c r="H267" s="1">
        <v>40148</v>
      </c>
      <c r="I267" t="str">
        <f>"PHY00519"</f>
        <v>PHY00519</v>
      </c>
      <c r="J267" t="str">
        <f>"W0036764"</f>
        <v>W0036764</v>
      </c>
      <c r="K267" t="str">
        <f t="shared" si="66"/>
        <v>AS89</v>
      </c>
      <c r="L267" t="s">
        <v>1095</v>
      </c>
      <c r="M267">
        <v>440.64</v>
      </c>
    </row>
    <row r="268" spans="1:13" x14ac:dyDescent="0.25">
      <c r="A268" t="str">
        <f t="shared" si="62"/>
        <v>E160</v>
      </c>
      <c r="B268">
        <v>1</v>
      </c>
      <c r="C268" t="str">
        <f t="shared" si="63"/>
        <v>14185</v>
      </c>
      <c r="D268" t="str">
        <f t="shared" si="64"/>
        <v>5620</v>
      </c>
      <c r="E268" t="str">
        <f t="shared" si="65"/>
        <v>094OMS</v>
      </c>
      <c r="F268" t="str">
        <f>""</f>
        <v/>
      </c>
      <c r="G268" t="str">
        <f>""</f>
        <v/>
      </c>
      <c r="H268" s="1">
        <v>40148</v>
      </c>
      <c r="I268" t="str">
        <f>"PHY00519"</f>
        <v>PHY00519</v>
      </c>
      <c r="J268" t="str">
        <f>"W0048826"</f>
        <v>W0048826</v>
      </c>
      <c r="K268" t="str">
        <f t="shared" si="66"/>
        <v>AS89</v>
      </c>
      <c r="L268" t="s">
        <v>1377</v>
      </c>
      <c r="M268" s="2">
        <v>1560.15</v>
      </c>
    </row>
    <row r="269" spans="1:13" x14ac:dyDescent="0.25">
      <c r="A269" t="str">
        <f t="shared" si="62"/>
        <v>E160</v>
      </c>
      <c r="B269">
        <v>1</v>
      </c>
      <c r="C269" t="str">
        <f t="shared" si="63"/>
        <v>14185</v>
      </c>
      <c r="D269" t="str">
        <f t="shared" si="64"/>
        <v>5620</v>
      </c>
      <c r="E269" t="str">
        <f t="shared" si="65"/>
        <v>094OMS</v>
      </c>
      <c r="F269" t="str">
        <f>""</f>
        <v/>
      </c>
      <c r="G269" t="str">
        <f>""</f>
        <v/>
      </c>
      <c r="H269" s="1">
        <v>40148</v>
      </c>
      <c r="I269" t="str">
        <f>"PHY00519"</f>
        <v>PHY00519</v>
      </c>
      <c r="J269" t="str">
        <f>"W0049431"</f>
        <v>W0049431</v>
      </c>
      <c r="K269" t="str">
        <f t="shared" si="66"/>
        <v>AS89</v>
      </c>
      <c r="L269" t="s">
        <v>1376</v>
      </c>
      <c r="M269">
        <v>311.85000000000002</v>
      </c>
    </row>
    <row r="270" spans="1:13" x14ac:dyDescent="0.25">
      <c r="A270" t="str">
        <f t="shared" si="62"/>
        <v>E160</v>
      </c>
      <c r="B270">
        <v>1</v>
      </c>
      <c r="C270" t="str">
        <f t="shared" si="63"/>
        <v>14185</v>
      </c>
      <c r="D270" t="str">
        <f t="shared" si="64"/>
        <v>5620</v>
      </c>
      <c r="E270" t="str">
        <f t="shared" si="65"/>
        <v>094OMS</v>
      </c>
      <c r="F270" t="str">
        <f>""</f>
        <v/>
      </c>
      <c r="G270" t="str">
        <f>""</f>
        <v/>
      </c>
      <c r="H270" s="1">
        <v>40210</v>
      </c>
      <c r="I270" t="str">
        <f>"PHY00523"</f>
        <v>PHY00523</v>
      </c>
      <c r="J270" t="str">
        <f>"W0053108"</f>
        <v>W0053108</v>
      </c>
      <c r="K270" t="str">
        <f t="shared" si="66"/>
        <v>AS89</v>
      </c>
      <c r="L270" t="s">
        <v>1375</v>
      </c>
      <c r="M270">
        <v>512.75</v>
      </c>
    </row>
    <row r="271" spans="1:13" x14ac:dyDescent="0.25">
      <c r="A271" t="str">
        <f t="shared" si="62"/>
        <v>E160</v>
      </c>
      <c r="B271">
        <v>1</v>
      </c>
      <c r="C271" t="str">
        <f t="shared" si="63"/>
        <v>14185</v>
      </c>
      <c r="D271" t="str">
        <f t="shared" si="64"/>
        <v>5620</v>
      </c>
      <c r="E271" t="str">
        <f t="shared" si="65"/>
        <v>094OMS</v>
      </c>
      <c r="F271" t="str">
        <f>""</f>
        <v/>
      </c>
      <c r="G271" t="str">
        <f>""</f>
        <v/>
      </c>
      <c r="H271" s="1">
        <v>40238</v>
      </c>
      <c r="I271" t="str">
        <f>"PHY00525"</f>
        <v>PHY00525</v>
      </c>
      <c r="J271" t="str">
        <f>"W0036764"</f>
        <v>W0036764</v>
      </c>
      <c r="K271" t="str">
        <f t="shared" si="66"/>
        <v>AS89</v>
      </c>
      <c r="L271" t="s">
        <v>1095</v>
      </c>
      <c r="M271">
        <v>962.32</v>
      </c>
    </row>
    <row r="272" spans="1:13" x14ac:dyDescent="0.25">
      <c r="A272" t="str">
        <f t="shared" si="62"/>
        <v>E160</v>
      </c>
      <c r="B272">
        <v>1</v>
      </c>
      <c r="C272" t="str">
        <f t="shared" si="63"/>
        <v>14185</v>
      </c>
      <c r="D272" t="str">
        <f t="shared" si="64"/>
        <v>5620</v>
      </c>
      <c r="E272" t="str">
        <f t="shared" si="65"/>
        <v>094OMS</v>
      </c>
      <c r="F272" t="str">
        <f>""</f>
        <v/>
      </c>
      <c r="G272" t="str">
        <f>""</f>
        <v/>
      </c>
      <c r="H272" s="1">
        <v>40238</v>
      </c>
      <c r="I272" t="str">
        <f>"PHY00525"</f>
        <v>PHY00525</v>
      </c>
      <c r="J272" t="str">
        <f>"W0053108"</f>
        <v>W0053108</v>
      </c>
      <c r="K272" t="str">
        <f t="shared" si="66"/>
        <v>AS89</v>
      </c>
      <c r="L272" t="s">
        <v>1375</v>
      </c>
      <c r="M272">
        <v>181.09</v>
      </c>
    </row>
    <row r="273" spans="1:13" x14ac:dyDescent="0.25">
      <c r="A273" t="str">
        <f t="shared" si="62"/>
        <v>E160</v>
      </c>
      <c r="B273">
        <v>1</v>
      </c>
      <c r="C273" t="str">
        <f t="shared" si="63"/>
        <v>14185</v>
      </c>
      <c r="D273" t="str">
        <f t="shared" si="64"/>
        <v>5620</v>
      </c>
      <c r="E273" t="str">
        <f t="shared" si="65"/>
        <v>094OMS</v>
      </c>
      <c r="F273" t="str">
        <f>""</f>
        <v/>
      </c>
      <c r="G273" t="str">
        <f>""</f>
        <v/>
      </c>
      <c r="H273" s="1">
        <v>40238</v>
      </c>
      <c r="I273" t="str">
        <f>"PHY00525"</f>
        <v>PHY00525</v>
      </c>
      <c r="J273" t="str">
        <f>"W0056224"</f>
        <v>W0056224</v>
      </c>
      <c r="K273" t="str">
        <f t="shared" si="66"/>
        <v>AS89</v>
      </c>
      <c r="L273" t="s">
        <v>1374</v>
      </c>
      <c r="M273">
        <v>425.6</v>
      </c>
    </row>
    <row r="274" spans="1:13" x14ac:dyDescent="0.25">
      <c r="A274" t="str">
        <f t="shared" si="62"/>
        <v>E160</v>
      </c>
      <c r="B274">
        <v>1</v>
      </c>
      <c r="C274" t="str">
        <f t="shared" si="63"/>
        <v>14185</v>
      </c>
      <c r="D274" t="str">
        <f t="shared" si="64"/>
        <v>5620</v>
      </c>
      <c r="E274" t="str">
        <f t="shared" si="65"/>
        <v>094OMS</v>
      </c>
      <c r="F274" t="str">
        <f>""</f>
        <v/>
      </c>
      <c r="G274" t="str">
        <f>""</f>
        <v/>
      </c>
      <c r="H274" s="1">
        <v>40269</v>
      </c>
      <c r="I274" t="str">
        <f>"PHY00527"</f>
        <v>PHY00527</v>
      </c>
      <c r="J274" t="str">
        <f>"W0036764"</f>
        <v>W0036764</v>
      </c>
      <c r="K274" t="str">
        <f t="shared" si="66"/>
        <v>AS89</v>
      </c>
      <c r="L274" t="s">
        <v>1095</v>
      </c>
      <c r="M274">
        <v>441.12</v>
      </c>
    </row>
    <row r="275" spans="1:13" x14ac:dyDescent="0.25">
      <c r="A275" t="str">
        <f t="shared" si="62"/>
        <v>E160</v>
      </c>
      <c r="B275">
        <v>1</v>
      </c>
      <c r="C275" t="str">
        <f t="shared" si="63"/>
        <v>14185</v>
      </c>
      <c r="D275" t="str">
        <f t="shared" si="64"/>
        <v>5620</v>
      </c>
      <c r="E275" t="str">
        <f t="shared" si="65"/>
        <v>094OMS</v>
      </c>
      <c r="F275" t="str">
        <f>""</f>
        <v/>
      </c>
      <c r="G275" t="str">
        <f>""</f>
        <v/>
      </c>
      <c r="H275" s="1">
        <v>40299</v>
      </c>
      <c r="I275" t="str">
        <f>"PHY00528"</f>
        <v>PHY00528</v>
      </c>
      <c r="J275" t="str">
        <f>"W0036764"</f>
        <v>W0036764</v>
      </c>
      <c r="K275" t="str">
        <f t="shared" si="66"/>
        <v>AS89</v>
      </c>
      <c r="L275" t="s">
        <v>1095</v>
      </c>
      <c r="M275">
        <v>161.46</v>
      </c>
    </row>
    <row r="276" spans="1:13" x14ac:dyDescent="0.25">
      <c r="A276" t="str">
        <f t="shared" si="62"/>
        <v>E160</v>
      </c>
      <c r="B276">
        <v>1</v>
      </c>
      <c r="C276" t="str">
        <f t="shared" si="63"/>
        <v>14185</v>
      </c>
      <c r="D276" t="str">
        <f t="shared" si="64"/>
        <v>5620</v>
      </c>
      <c r="E276" t="str">
        <f t="shared" si="65"/>
        <v>094OMS</v>
      </c>
      <c r="F276" t="str">
        <f>""</f>
        <v/>
      </c>
      <c r="G276" t="str">
        <f>""</f>
        <v/>
      </c>
      <c r="H276" s="1">
        <v>40330</v>
      </c>
      <c r="I276" t="str">
        <f>"PHY00530"</f>
        <v>PHY00530</v>
      </c>
      <c r="J276" t="str">
        <f>"W0036764"</f>
        <v>W0036764</v>
      </c>
      <c r="K276" t="str">
        <f t="shared" si="66"/>
        <v>AS89</v>
      </c>
      <c r="L276" t="s">
        <v>1095</v>
      </c>
      <c r="M276">
        <v>375.51</v>
      </c>
    </row>
    <row r="277" spans="1:13" x14ac:dyDescent="0.25">
      <c r="A277" t="str">
        <f t="shared" si="62"/>
        <v>E160</v>
      </c>
      <c r="B277">
        <v>1</v>
      </c>
      <c r="C277" t="str">
        <f t="shared" si="63"/>
        <v>14185</v>
      </c>
      <c r="D277" t="str">
        <f t="shared" si="64"/>
        <v>5620</v>
      </c>
      <c r="E277" t="str">
        <f t="shared" si="65"/>
        <v>094OMS</v>
      </c>
      <c r="F277" t="str">
        <f>""</f>
        <v/>
      </c>
      <c r="G277" t="str">
        <f>""</f>
        <v/>
      </c>
      <c r="H277" s="1">
        <v>40330</v>
      </c>
      <c r="I277" t="str">
        <f>"PHY00532"</f>
        <v>PHY00532</v>
      </c>
      <c r="J277" t="str">
        <f>"W0036764"</f>
        <v>W0036764</v>
      </c>
      <c r="K277" t="str">
        <f t="shared" si="66"/>
        <v>AS89</v>
      </c>
      <c r="L277" t="s">
        <v>1095</v>
      </c>
      <c r="M277">
        <v>858.92</v>
      </c>
    </row>
    <row r="278" spans="1:13" x14ac:dyDescent="0.25">
      <c r="A278" t="str">
        <f t="shared" si="62"/>
        <v>E160</v>
      </c>
      <c r="B278">
        <v>1</v>
      </c>
      <c r="C278" t="str">
        <f>"32040"</f>
        <v>32040</v>
      </c>
      <c r="D278" t="str">
        <f>"5610"</f>
        <v>5610</v>
      </c>
      <c r="E278" t="str">
        <f t="shared" ref="E278:E292" si="67">"850LOS"</f>
        <v>850LOS</v>
      </c>
      <c r="F278" t="str">
        <f>""</f>
        <v/>
      </c>
      <c r="G278" t="str">
        <f>""</f>
        <v/>
      </c>
      <c r="H278" s="1">
        <v>40298</v>
      </c>
      <c r="I278" t="str">
        <f>"MPG00372"</f>
        <v>MPG00372</v>
      </c>
      <c r="J278" t="str">
        <f>""</f>
        <v/>
      </c>
      <c r="K278" t="str">
        <f t="shared" si="66"/>
        <v>AS89</v>
      </c>
      <c r="L278" t="s">
        <v>1373</v>
      </c>
      <c r="M278">
        <v>390.43</v>
      </c>
    </row>
    <row r="279" spans="1:13" x14ac:dyDescent="0.25">
      <c r="A279" t="str">
        <f t="shared" si="62"/>
        <v>E160</v>
      </c>
      <c r="B279">
        <v>1</v>
      </c>
      <c r="C279" t="str">
        <f>"32040"</f>
        <v>32040</v>
      </c>
      <c r="D279" t="str">
        <f>"5610"</f>
        <v>5610</v>
      </c>
      <c r="E279" t="str">
        <f t="shared" si="67"/>
        <v>850LOS</v>
      </c>
      <c r="F279" t="str">
        <f>""</f>
        <v/>
      </c>
      <c r="G279" t="str">
        <f>""</f>
        <v/>
      </c>
      <c r="H279" s="1">
        <v>40330</v>
      </c>
      <c r="I279" t="str">
        <f>"PHY00532"</f>
        <v>PHY00532</v>
      </c>
      <c r="J279" t="str">
        <f>"W0060224"</f>
        <v>W0060224</v>
      </c>
      <c r="K279" t="str">
        <f t="shared" si="66"/>
        <v>AS89</v>
      </c>
      <c r="L279" t="s">
        <v>1372</v>
      </c>
      <c r="M279">
        <v>187.46</v>
      </c>
    </row>
    <row r="280" spans="1:13" x14ac:dyDescent="0.25">
      <c r="A280" t="str">
        <f t="shared" si="62"/>
        <v>E160</v>
      </c>
      <c r="B280">
        <v>1</v>
      </c>
      <c r="C280" t="str">
        <f t="shared" ref="C280:C294" si="68">"43000"</f>
        <v>43000</v>
      </c>
      <c r="D280" t="str">
        <f t="shared" ref="D280:D297" si="69">"5740"</f>
        <v>5740</v>
      </c>
      <c r="E280" t="str">
        <f t="shared" si="67"/>
        <v>850LOS</v>
      </c>
      <c r="F280" t="str">
        <f>""</f>
        <v/>
      </c>
      <c r="G280" t="str">
        <f>""</f>
        <v/>
      </c>
      <c r="H280" s="1">
        <v>40026</v>
      </c>
      <c r="I280" t="str">
        <f>"PHY00511"</f>
        <v>PHY00511</v>
      </c>
      <c r="J280" t="str">
        <f>"W0045070"</f>
        <v>W0045070</v>
      </c>
      <c r="K280" t="str">
        <f t="shared" si="66"/>
        <v>AS89</v>
      </c>
      <c r="L280" t="s">
        <v>1370</v>
      </c>
      <c r="M280">
        <v>216</v>
      </c>
    </row>
    <row r="281" spans="1:13" x14ac:dyDescent="0.25">
      <c r="A281" t="str">
        <f t="shared" si="62"/>
        <v>E160</v>
      </c>
      <c r="B281">
        <v>1</v>
      </c>
      <c r="C281" t="str">
        <f t="shared" si="68"/>
        <v>43000</v>
      </c>
      <c r="D281" t="str">
        <f t="shared" si="69"/>
        <v>5740</v>
      </c>
      <c r="E281" t="str">
        <f t="shared" si="67"/>
        <v>850LOS</v>
      </c>
      <c r="F281" t="str">
        <f>""</f>
        <v/>
      </c>
      <c r="G281" t="str">
        <f>""</f>
        <v/>
      </c>
      <c r="H281" s="1">
        <v>40057</v>
      </c>
      <c r="I281" t="str">
        <f>"PHY00513"</f>
        <v>PHY00513</v>
      </c>
      <c r="J281" t="str">
        <f>"W0045070"</f>
        <v>W0045070</v>
      </c>
      <c r="K281" t="str">
        <f t="shared" si="66"/>
        <v>AS89</v>
      </c>
      <c r="L281" t="s">
        <v>1370</v>
      </c>
      <c r="M281" s="2">
        <v>1756.33</v>
      </c>
    </row>
    <row r="282" spans="1:13" x14ac:dyDescent="0.25">
      <c r="A282" t="str">
        <f t="shared" si="62"/>
        <v>E160</v>
      </c>
      <c r="B282">
        <v>1</v>
      </c>
      <c r="C282" t="str">
        <f t="shared" si="68"/>
        <v>43000</v>
      </c>
      <c r="D282" t="str">
        <f t="shared" si="69"/>
        <v>5740</v>
      </c>
      <c r="E282" t="str">
        <f t="shared" si="67"/>
        <v>850LOS</v>
      </c>
      <c r="F282" t="str">
        <f>""</f>
        <v/>
      </c>
      <c r="G282" t="str">
        <f>""</f>
        <v/>
      </c>
      <c r="H282" s="1">
        <v>40087</v>
      </c>
      <c r="I282" t="str">
        <f>"PHY00515"</f>
        <v>PHY00515</v>
      </c>
      <c r="J282" t="str">
        <f>"W0044792"</f>
        <v>W0044792</v>
      </c>
      <c r="K282" t="str">
        <f t="shared" si="66"/>
        <v>AS89</v>
      </c>
      <c r="L282" t="s">
        <v>1369</v>
      </c>
      <c r="M282">
        <v>424.87</v>
      </c>
    </row>
    <row r="283" spans="1:13" x14ac:dyDescent="0.25">
      <c r="A283" t="str">
        <f t="shared" si="62"/>
        <v>E160</v>
      </c>
      <c r="B283">
        <v>1</v>
      </c>
      <c r="C283" t="str">
        <f t="shared" si="68"/>
        <v>43000</v>
      </c>
      <c r="D283" t="str">
        <f t="shared" si="69"/>
        <v>5740</v>
      </c>
      <c r="E283" t="str">
        <f t="shared" si="67"/>
        <v>850LOS</v>
      </c>
      <c r="F283" t="str">
        <f>""</f>
        <v/>
      </c>
      <c r="G283" t="str">
        <f>""</f>
        <v/>
      </c>
      <c r="H283" s="1">
        <v>40087</v>
      </c>
      <c r="I283" t="str">
        <f>"PHY00515"</f>
        <v>PHY00515</v>
      </c>
      <c r="J283" t="str">
        <f>"W0045840"</f>
        <v>W0045840</v>
      </c>
      <c r="K283" t="str">
        <f t="shared" si="66"/>
        <v>AS89</v>
      </c>
      <c r="L283" t="s">
        <v>1367</v>
      </c>
      <c r="M283">
        <v>141.28</v>
      </c>
    </row>
    <row r="284" spans="1:13" x14ac:dyDescent="0.25">
      <c r="A284" t="str">
        <f t="shared" si="62"/>
        <v>E160</v>
      </c>
      <c r="B284">
        <v>1</v>
      </c>
      <c r="C284" t="str">
        <f t="shared" si="68"/>
        <v>43000</v>
      </c>
      <c r="D284" t="str">
        <f t="shared" si="69"/>
        <v>5740</v>
      </c>
      <c r="E284" t="str">
        <f t="shared" si="67"/>
        <v>850LOS</v>
      </c>
      <c r="F284" t="str">
        <f>""</f>
        <v/>
      </c>
      <c r="G284" t="str">
        <f>""</f>
        <v/>
      </c>
      <c r="H284" s="1">
        <v>40118</v>
      </c>
      <c r="I284" t="str">
        <f>"PHY00517"</f>
        <v>PHY00517</v>
      </c>
      <c r="J284" t="str">
        <f>"W0045840"</f>
        <v>W0045840</v>
      </c>
      <c r="K284" t="str">
        <f t="shared" si="66"/>
        <v>AS89</v>
      </c>
      <c r="L284" t="s">
        <v>1367</v>
      </c>
      <c r="M284">
        <v>203.75</v>
      </c>
    </row>
    <row r="285" spans="1:13" x14ac:dyDescent="0.25">
      <c r="A285" t="str">
        <f t="shared" si="62"/>
        <v>E160</v>
      </c>
      <c r="B285">
        <v>1</v>
      </c>
      <c r="C285" t="str">
        <f t="shared" si="68"/>
        <v>43000</v>
      </c>
      <c r="D285" t="str">
        <f t="shared" si="69"/>
        <v>5740</v>
      </c>
      <c r="E285" t="str">
        <f t="shared" si="67"/>
        <v>850LOS</v>
      </c>
      <c r="F285" t="str">
        <f>""</f>
        <v/>
      </c>
      <c r="G285" t="str">
        <f>""</f>
        <v/>
      </c>
      <c r="H285" s="1">
        <v>40118</v>
      </c>
      <c r="I285" t="str">
        <f>"PHY00517"</f>
        <v>PHY00517</v>
      </c>
      <c r="J285" t="str">
        <f>"W0047799"</f>
        <v>W0047799</v>
      </c>
      <c r="K285" t="str">
        <f t="shared" si="66"/>
        <v>AS89</v>
      </c>
      <c r="L285" t="s">
        <v>1368</v>
      </c>
      <c r="M285">
        <v>161.47999999999999</v>
      </c>
    </row>
    <row r="286" spans="1:13" x14ac:dyDescent="0.25">
      <c r="A286" t="str">
        <f t="shared" si="62"/>
        <v>E160</v>
      </c>
      <c r="B286">
        <v>1</v>
      </c>
      <c r="C286" t="str">
        <f t="shared" si="68"/>
        <v>43000</v>
      </c>
      <c r="D286" t="str">
        <f t="shared" si="69"/>
        <v>5740</v>
      </c>
      <c r="E286" t="str">
        <f t="shared" si="67"/>
        <v>850LOS</v>
      </c>
      <c r="F286" t="str">
        <f>""</f>
        <v/>
      </c>
      <c r="G286" t="str">
        <f>""</f>
        <v/>
      </c>
      <c r="H286" s="1">
        <v>40148</v>
      </c>
      <c r="I286" t="str">
        <f>"PHY00519"</f>
        <v>PHY00519</v>
      </c>
      <c r="J286" t="str">
        <f>"W0049433"</f>
        <v>W0049433</v>
      </c>
      <c r="K286" t="str">
        <f t="shared" si="66"/>
        <v>AS89</v>
      </c>
      <c r="L286" t="s">
        <v>1091</v>
      </c>
      <c r="M286">
        <v>317.33999999999997</v>
      </c>
    </row>
    <row r="287" spans="1:13" x14ac:dyDescent="0.25">
      <c r="A287" t="str">
        <f t="shared" si="62"/>
        <v>E160</v>
      </c>
      <c r="B287">
        <v>1</v>
      </c>
      <c r="C287" t="str">
        <f t="shared" si="68"/>
        <v>43000</v>
      </c>
      <c r="D287" t="str">
        <f t="shared" si="69"/>
        <v>5740</v>
      </c>
      <c r="E287" t="str">
        <f t="shared" si="67"/>
        <v>850LOS</v>
      </c>
      <c r="F287" t="str">
        <f>""</f>
        <v/>
      </c>
      <c r="G287" t="str">
        <f>""</f>
        <v/>
      </c>
      <c r="H287" s="1">
        <v>40148</v>
      </c>
      <c r="I287" t="str">
        <f>"PHY00519"</f>
        <v>PHY00519</v>
      </c>
      <c r="J287" t="str">
        <f>"W0050552"</f>
        <v>W0050552</v>
      </c>
      <c r="K287" t="str">
        <f t="shared" si="66"/>
        <v>AS89</v>
      </c>
      <c r="L287" t="s">
        <v>1366</v>
      </c>
      <c r="M287">
        <v>314.33</v>
      </c>
    </row>
    <row r="288" spans="1:13" x14ac:dyDescent="0.25">
      <c r="A288" t="str">
        <f t="shared" si="62"/>
        <v>E160</v>
      </c>
      <c r="B288">
        <v>1</v>
      </c>
      <c r="C288" t="str">
        <f t="shared" si="68"/>
        <v>43000</v>
      </c>
      <c r="D288" t="str">
        <f t="shared" si="69"/>
        <v>5740</v>
      </c>
      <c r="E288" t="str">
        <f t="shared" si="67"/>
        <v>850LOS</v>
      </c>
      <c r="F288" t="str">
        <f>""</f>
        <v/>
      </c>
      <c r="G288" t="str">
        <f>""</f>
        <v/>
      </c>
      <c r="H288" s="1">
        <v>40179</v>
      </c>
      <c r="I288" t="str">
        <f>"PHY00521"</f>
        <v>PHY00521</v>
      </c>
      <c r="J288" t="str">
        <f>"W0050552"</f>
        <v>W0050552</v>
      </c>
      <c r="K288" t="str">
        <f t="shared" si="66"/>
        <v>AS89</v>
      </c>
      <c r="L288" t="s">
        <v>1366</v>
      </c>
      <c r="M288">
        <v>542.47</v>
      </c>
    </row>
    <row r="289" spans="1:13" x14ac:dyDescent="0.25">
      <c r="A289" t="str">
        <f t="shared" si="62"/>
        <v>E160</v>
      </c>
      <c r="B289">
        <v>1</v>
      </c>
      <c r="C289" t="str">
        <f t="shared" si="68"/>
        <v>43000</v>
      </c>
      <c r="D289" t="str">
        <f t="shared" si="69"/>
        <v>5740</v>
      </c>
      <c r="E289" t="str">
        <f t="shared" si="67"/>
        <v>850LOS</v>
      </c>
      <c r="F289" t="str">
        <f>""</f>
        <v/>
      </c>
      <c r="G289" t="str">
        <f>""</f>
        <v/>
      </c>
      <c r="H289" s="1">
        <v>40210</v>
      </c>
      <c r="I289" t="str">
        <f>"PHY00523"</f>
        <v>PHY00523</v>
      </c>
      <c r="J289" t="str">
        <f>"W0053109"</f>
        <v>W0053109</v>
      </c>
      <c r="K289" t="str">
        <f t="shared" si="66"/>
        <v>AS89</v>
      </c>
      <c r="L289" t="s">
        <v>1365</v>
      </c>
      <c r="M289">
        <v>336.62</v>
      </c>
    </row>
    <row r="290" spans="1:13" x14ac:dyDescent="0.25">
      <c r="A290" t="str">
        <f t="shared" si="62"/>
        <v>E160</v>
      </c>
      <c r="B290">
        <v>1</v>
      </c>
      <c r="C290" t="str">
        <f t="shared" si="68"/>
        <v>43000</v>
      </c>
      <c r="D290" t="str">
        <f t="shared" si="69"/>
        <v>5740</v>
      </c>
      <c r="E290" t="str">
        <f t="shared" si="67"/>
        <v>850LOS</v>
      </c>
      <c r="F290" t="str">
        <f>""</f>
        <v/>
      </c>
      <c r="G290" t="str">
        <f>""</f>
        <v/>
      </c>
      <c r="H290" s="1">
        <v>40238</v>
      </c>
      <c r="I290" t="str">
        <f>"PHY00525"</f>
        <v>PHY00525</v>
      </c>
      <c r="J290" t="str">
        <f>"W0002219"</f>
        <v>W0002219</v>
      </c>
      <c r="K290" t="str">
        <f t="shared" si="66"/>
        <v>AS89</v>
      </c>
      <c r="L290" t="s">
        <v>724</v>
      </c>
      <c r="M290">
        <v>251.86</v>
      </c>
    </row>
    <row r="291" spans="1:13" x14ac:dyDescent="0.25">
      <c r="A291" t="str">
        <f t="shared" si="62"/>
        <v>E160</v>
      </c>
      <c r="B291">
        <v>1</v>
      </c>
      <c r="C291" t="str">
        <f t="shared" si="68"/>
        <v>43000</v>
      </c>
      <c r="D291" t="str">
        <f t="shared" si="69"/>
        <v>5740</v>
      </c>
      <c r="E291" t="str">
        <f t="shared" si="67"/>
        <v>850LOS</v>
      </c>
      <c r="F291" t="str">
        <f>""</f>
        <v/>
      </c>
      <c r="G291" t="str">
        <f>""</f>
        <v/>
      </c>
      <c r="H291" s="1">
        <v>40238</v>
      </c>
      <c r="I291" t="str">
        <f>"PHY00525"</f>
        <v>PHY00525</v>
      </c>
      <c r="J291" t="str">
        <f>"W0056225"</f>
        <v>W0056225</v>
      </c>
      <c r="K291" t="str">
        <f t="shared" si="66"/>
        <v>AS89</v>
      </c>
      <c r="L291" t="s">
        <v>1364</v>
      </c>
      <c r="M291">
        <v>135.41999999999999</v>
      </c>
    </row>
    <row r="292" spans="1:13" x14ac:dyDescent="0.25">
      <c r="A292" t="str">
        <f t="shared" si="62"/>
        <v>E160</v>
      </c>
      <c r="B292">
        <v>1</v>
      </c>
      <c r="C292" t="str">
        <f t="shared" si="68"/>
        <v>43000</v>
      </c>
      <c r="D292" t="str">
        <f t="shared" si="69"/>
        <v>5740</v>
      </c>
      <c r="E292" t="str">
        <f t="shared" si="67"/>
        <v>850LOS</v>
      </c>
      <c r="F292" t="str">
        <f>""</f>
        <v/>
      </c>
      <c r="G292" t="str">
        <f>""</f>
        <v/>
      </c>
      <c r="H292" s="1">
        <v>40299</v>
      </c>
      <c r="I292" t="str">
        <f>"PHY00528"</f>
        <v>PHY00528</v>
      </c>
      <c r="J292" t="str">
        <f>"W0059478"</f>
        <v>W0059478</v>
      </c>
      <c r="K292" t="str">
        <f t="shared" si="66"/>
        <v>AS89</v>
      </c>
      <c r="L292" t="s">
        <v>1363</v>
      </c>
      <c r="M292">
        <v>134.57</v>
      </c>
    </row>
    <row r="293" spans="1:13" x14ac:dyDescent="0.25">
      <c r="A293" t="str">
        <f t="shared" si="62"/>
        <v>E160</v>
      </c>
      <c r="B293">
        <v>1</v>
      </c>
      <c r="C293" t="str">
        <f t="shared" si="68"/>
        <v>43000</v>
      </c>
      <c r="D293" t="str">
        <f t="shared" si="69"/>
        <v>5740</v>
      </c>
      <c r="E293" t="str">
        <f>"850PKC"</f>
        <v>850PKC</v>
      </c>
      <c r="F293" t="str">
        <f>""</f>
        <v/>
      </c>
      <c r="G293" t="str">
        <f>""</f>
        <v/>
      </c>
      <c r="H293" s="1">
        <v>40026</v>
      </c>
      <c r="I293" t="str">
        <f>"PHY00510"</f>
        <v>PHY00510</v>
      </c>
      <c r="J293" t="str">
        <f>"W0039255"</f>
        <v>W0039255</v>
      </c>
      <c r="K293" t="str">
        <f t="shared" si="66"/>
        <v>AS89</v>
      </c>
      <c r="L293" t="s">
        <v>1362</v>
      </c>
      <c r="M293">
        <v>684</v>
      </c>
    </row>
    <row r="294" spans="1:13" x14ac:dyDescent="0.25">
      <c r="A294" t="str">
        <f t="shared" si="62"/>
        <v>E160</v>
      </c>
      <c r="B294">
        <v>1</v>
      </c>
      <c r="C294" t="str">
        <f t="shared" si="68"/>
        <v>43000</v>
      </c>
      <c r="D294" t="str">
        <f t="shared" si="69"/>
        <v>5740</v>
      </c>
      <c r="E294" t="str">
        <f>"850PKE"</f>
        <v>850PKE</v>
      </c>
      <c r="F294" t="str">
        <f>""</f>
        <v/>
      </c>
      <c r="G294" t="str">
        <f>""</f>
        <v/>
      </c>
      <c r="H294" s="1">
        <v>40299</v>
      </c>
      <c r="I294" t="str">
        <f>"PHY00528"</f>
        <v>PHY00528</v>
      </c>
      <c r="J294" t="str">
        <f>"W0059827"</f>
        <v>W0059827</v>
      </c>
      <c r="K294" t="str">
        <f t="shared" si="66"/>
        <v>AS89</v>
      </c>
      <c r="L294" t="s">
        <v>1361</v>
      </c>
      <c r="M294">
        <v>134.55000000000001</v>
      </c>
    </row>
    <row r="295" spans="1:13" x14ac:dyDescent="0.25">
      <c r="A295" t="str">
        <f t="shared" si="62"/>
        <v>E160</v>
      </c>
      <c r="B295">
        <v>1</v>
      </c>
      <c r="C295" t="str">
        <f>"43003"</f>
        <v>43003</v>
      </c>
      <c r="D295" t="str">
        <f t="shared" si="69"/>
        <v>5740</v>
      </c>
      <c r="E295" t="str">
        <f>"850LOS"</f>
        <v>850LOS</v>
      </c>
      <c r="F295" t="str">
        <f>""</f>
        <v/>
      </c>
      <c r="G295" t="str">
        <f>""</f>
        <v/>
      </c>
      <c r="H295" s="1">
        <v>40057</v>
      </c>
      <c r="I295" t="str">
        <f>"PHY00513"</f>
        <v>PHY00513</v>
      </c>
      <c r="J295" t="str">
        <f>"W0046499"</f>
        <v>W0046499</v>
      </c>
      <c r="K295" t="str">
        <f t="shared" si="66"/>
        <v>AS89</v>
      </c>
      <c r="L295" t="s">
        <v>1360</v>
      </c>
      <c r="M295">
        <v>104.3</v>
      </c>
    </row>
    <row r="296" spans="1:13" x14ac:dyDescent="0.25">
      <c r="A296" t="str">
        <f t="shared" si="62"/>
        <v>E160</v>
      </c>
      <c r="B296">
        <v>1</v>
      </c>
      <c r="C296" t="str">
        <f>"43003"</f>
        <v>43003</v>
      </c>
      <c r="D296" t="str">
        <f t="shared" si="69"/>
        <v>5740</v>
      </c>
      <c r="E296" t="str">
        <f>"850LOS"</f>
        <v>850LOS</v>
      </c>
      <c r="F296" t="str">
        <f>""</f>
        <v/>
      </c>
      <c r="G296" t="str">
        <f>""</f>
        <v/>
      </c>
      <c r="H296" s="1">
        <v>40087</v>
      </c>
      <c r="I296" t="str">
        <f>"PHY00515"</f>
        <v>PHY00515</v>
      </c>
      <c r="J296" t="str">
        <f>"W0048604"</f>
        <v>W0048604</v>
      </c>
      <c r="K296" t="str">
        <f t="shared" si="66"/>
        <v>AS89</v>
      </c>
      <c r="L296" t="s">
        <v>1359</v>
      </c>
      <c r="M296">
        <v>484.35</v>
      </c>
    </row>
    <row r="297" spans="1:13" x14ac:dyDescent="0.25">
      <c r="A297" t="str">
        <f t="shared" si="62"/>
        <v>E160</v>
      </c>
      <c r="B297">
        <v>1</v>
      </c>
      <c r="C297" t="str">
        <f>"43003"</f>
        <v>43003</v>
      </c>
      <c r="D297" t="str">
        <f t="shared" si="69"/>
        <v>5740</v>
      </c>
      <c r="E297" t="str">
        <f>"850LOS"</f>
        <v>850LOS</v>
      </c>
      <c r="F297" t="str">
        <f>""</f>
        <v/>
      </c>
      <c r="G297" t="str">
        <f>""</f>
        <v/>
      </c>
      <c r="H297" s="1">
        <v>40210</v>
      </c>
      <c r="I297" t="str">
        <f>"PHY00523"</f>
        <v>PHY00523</v>
      </c>
      <c r="J297" t="str">
        <f>"W0054336"</f>
        <v>W0054336</v>
      </c>
      <c r="K297" t="str">
        <f t="shared" si="66"/>
        <v>AS89</v>
      </c>
      <c r="L297" t="s">
        <v>1358</v>
      </c>
      <c r="M297">
        <v>376.76</v>
      </c>
    </row>
    <row r="298" spans="1:13" x14ac:dyDescent="0.25">
      <c r="A298" t="str">
        <f t="shared" ref="A298:A304" si="70">"E162"</f>
        <v>E162</v>
      </c>
      <c r="B298">
        <v>1</v>
      </c>
      <c r="C298" t="str">
        <f>"14185"</f>
        <v>14185</v>
      </c>
      <c r="D298" t="str">
        <f>"5620"</f>
        <v>5620</v>
      </c>
      <c r="E298" t="str">
        <f>"094OMS"</f>
        <v>094OMS</v>
      </c>
      <c r="F298" t="str">
        <f>""</f>
        <v/>
      </c>
      <c r="G298" t="str">
        <f>""</f>
        <v/>
      </c>
      <c r="H298" s="1">
        <v>40119</v>
      </c>
      <c r="I298" t="str">
        <f>"PCD00393"</f>
        <v>PCD00393</v>
      </c>
      <c r="J298" t="str">
        <f>"107068"</f>
        <v>107068</v>
      </c>
      <c r="K298" t="str">
        <f t="shared" si="66"/>
        <v>AS89</v>
      </c>
      <c r="L298" t="s">
        <v>1357</v>
      </c>
      <c r="M298">
        <v>379.75</v>
      </c>
    </row>
    <row r="299" spans="1:13" x14ac:dyDescent="0.25">
      <c r="A299" t="str">
        <f t="shared" si="70"/>
        <v>E162</v>
      </c>
      <c r="B299">
        <v>1</v>
      </c>
      <c r="C299" t="str">
        <f>"14185"</f>
        <v>14185</v>
      </c>
      <c r="D299" t="str">
        <f>"5620"</f>
        <v>5620</v>
      </c>
      <c r="E299" t="str">
        <f>"094OMS"</f>
        <v>094OMS</v>
      </c>
      <c r="F299" t="str">
        <f>""</f>
        <v/>
      </c>
      <c r="G299" t="str">
        <f>""</f>
        <v/>
      </c>
      <c r="H299" s="1">
        <v>40119</v>
      </c>
      <c r="I299" t="str">
        <f>"PCD00393"</f>
        <v>PCD00393</v>
      </c>
      <c r="J299" t="str">
        <f>"108447"</f>
        <v>108447</v>
      </c>
      <c r="K299" t="str">
        <f t="shared" si="66"/>
        <v>AS89</v>
      </c>
      <c r="L299" t="s">
        <v>1356</v>
      </c>
      <c r="M299">
        <v>797.48</v>
      </c>
    </row>
    <row r="300" spans="1:13" x14ac:dyDescent="0.25">
      <c r="A300" t="str">
        <f t="shared" si="70"/>
        <v>E162</v>
      </c>
      <c r="B300">
        <v>1</v>
      </c>
      <c r="C300" t="str">
        <f>"32040"</f>
        <v>32040</v>
      </c>
      <c r="D300" t="str">
        <f>"5610"</f>
        <v>5610</v>
      </c>
      <c r="E300" t="str">
        <f>"850LOS"</f>
        <v>850LOS</v>
      </c>
      <c r="F300" t="str">
        <f>""</f>
        <v/>
      </c>
      <c r="G300" t="str">
        <f>""</f>
        <v/>
      </c>
      <c r="H300" s="1">
        <v>40088</v>
      </c>
      <c r="I300" t="str">
        <f>"PCD00388"</f>
        <v>PCD00388</v>
      </c>
      <c r="J300" t="str">
        <f>"106847"</f>
        <v>106847</v>
      </c>
      <c r="K300" t="str">
        <f t="shared" si="66"/>
        <v>AS89</v>
      </c>
      <c r="L300" t="s">
        <v>1355</v>
      </c>
      <c r="M300">
        <v>228.12</v>
      </c>
    </row>
    <row r="301" spans="1:13" x14ac:dyDescent="0.25">
      <c r="A301" t="str">
        <f t="shared" si="70"/>
        <v>E162</v>
      </c>
      <c r="B301">
        <v>1</v>
      </c>
      <c r="C301" t="str">
        <f>"43000"</f>
        <v>43000</v>
      </c>
      <c r="D301" t="str">
        <f>"5740"</f>
        <v>5740</v>
      </c>
      <c r="E301" t="str">
        <f>"850LOS"</f>
        <v>850LOS</v>
      </c>
      <c r="F301" t="str">
        <f>""</f>
        <v/>
      </c>
      <c r="G301" t="str">
        <f>""</f>
        <v/>
      </c>
      <c r="H301" s="1">
        <v>40086</v>
      </c>
      <c r="I301" t="str">
        <f>"G1003084"</f>
        <v>G1003084</v>
      </c>
      <c r="J301" t="str">
        <f>""</f>
        <v/>
      </c>
      <c r="K301" t="str">
        <f>"J096"</f>
        <v>J096</v>
      </c>
      <c r="L301" t="s">
        <v>1354</v>
      </c>
      <c r="M301">
        <v>900</v>
      </c>
    </row>
    <row r="302" spans="1:13" x14ac:dyDescent="0.25">
      <c r="A302" t="str">
        <f t="shared" si="70"/>
        <v>E162</v>
      </c>
      <c r="B302">
        <v>1</v>
      </c>
      <c r="C302" t="str">
        <f>"43000"</f>
        <v>43000</v>
      </c>
      <c r="D302" t="str">
        <f>"5740"</f>
        <v>5740</v>
      </c>
      <c r="E302" t="str">
        <f>"850LOS"</f>
        <v>850LOS</v>
      </c>
      <c r="F302" t="str">
        <f>""</f>
        <v/>
      </c>
      <c r="G302" t="str">
        <f>""</f>
        <v/>
      </c>
      <c r="H302" s="1">
        <v>40129</v>
      </c>
      <c r="I302" t="str">
        <f>"G1005048"</f>
        <v>G1005048</v>
      </c>
      <c r="J302" t="str">
        <f>""</f>
        <v/>
      </c>
      <c r="K302" t="str">
        <f>"J096"</f>
        <v>J096</v>
      </c>
      <c r="L302" t="s">
        <v>1353</v>
      </c>
      <c r="M302">
        <v>900</v>
      </c>
    </row>
    <row r="303" spans="1:13" x14ac:dyDescent="0.25">
      <c r="A303" t="str">
        <f t="shared" si="70"/>
        <v>E162</v>
      </c>
      <c r="B303">
        <v>1</v>
      </c>
      <c r="C303" t="str">
        <f>"43000"</f>
        <v>43000</v>
      </c>
      <c r="D303" t="str">
        <f>"5740"</f>
        <v>5740</v>
      </c>
      <c r="E303" t="str">
        <f>"850LOS"</f>
        <v>850LOS</v>
      </c>
      <c r="F303" t="str">
        <f>""</f>
        <v/>
      </c>
      <c r="G303" t="str">
        <f>""</f>
        <v/>
      </c>
      <c r="H303" s="1">
        <v>40197</v>
      </c>
      <c r="I303" t="str">
        <f>"G1007069"</f>
        <v>G1007069</v>
      </c>
      <c r="J303" t="str">
        <f>""</f>
        <v/>
      </c>
      <c r="K303" t="str">
        <f>"J096"</f>
        <v>J096</v>
      </c>
      <c r="L303" t="s">
        <v>1352</v>
      </c>
      <c r="M303">
        <v>900</v>
      </c>
    </row>
    <row r="304" spans="1:13" x14ac:dyDescent="0.25">
      <c r="A304" t="str">
        <f t="shared" si="70"/>
        <v>E162</v>
      </c>
      <c r="B304">
        <v>1</v>
      </c>
      <c r="C304" t="str">
        <f>"43000"</f>
        <v>43000</v>
      </c>
      <c r="D304" t="str">
        <f>"5740"</f>
        <v>5740</v>
      </c>
      <c r="E304" t="str">
        <f>"850LOS"</f>
        <v>850LOS</v>
      </c>
      <c r="F304" t="str">
        <f>""</f>
        <v/>
      </c>
      <c r="G304" t="str">
        <f>""</f>
        <v/>
      </c>
      <c r="H304" s="1">
        <v>40291</v>
      </c>
      <c r="I304" t="str">
        <f>"G1010027"</f>
        <v>G1010027</v>
      </c>
      <c r="J304" t="str">
        <f>""</f>
        <v/>
      </c>
      <c r="K304" t="str">
        <f>"J096"</f>
        <v>J096</v>
      </c>
      <c r="L304" t="s">
        <v>1352</v>
      </c>
      <c r="M304">
        <v>900</v>
      </c>
    </row>
    <row r="305" spans="1:13" x14ac:dyDescent="0.25">
      <c r="A305" t="str">
        <f>"E163"</f>
        <v>E163</v>
      </c>
      <c r="B305">
        <v>1</v>
      </c>
      <c r="C305" t="str">
        <f>"14185"</f>
        <v>14185</v>
      </c>
      <c r="D305" t="str">
        <f>"5620"</f>
        <v>5620</v>
      </c>
      <c r="E305" t="str">
        <f>"094OMS"</f>
        <v>094OMS</v>
      </c>
      <c r="F305" t="str">
        <f>""</f>
        <v/>
      </c>
      <c r="G305" t="str">
        <f>""</f>
        <v/>
      </c>
      <c r="H305" s="1">
        <v>40045</v>
      </c>
      <c r="I305" t="str">
        <f>"138257"</f>
        <v>138257</v>
      </c>
      <c r="J305" t="str">
        <f>""</f>
        <v/>
      </c>
      <c r="K305" t="str">
        <f>"INNI"</f>
        <v>INNI</v>
      </c>
      <c r="L305" t="s">
        <v>1351</v>
      </c>
      <c r="M305">
        <v>108.5</v>
      </c>
    </row>
    <row r="306" spans="1:13" x14ac:dyDescent="0.25">
      <c r="A306" t="str">
        <f>"E163"</f>
        <v>E163</v>
      </c>
      <c r="B306">
        <v>1</v>
      </c>
      <c r="C306" t="str">
        <f>"43000"</f>
        <v>43000</v>
      </c>
      <c r="D306" t="str">
        <f>"5740"</f>
        <v>5740</v>
      </c>
      <c r="E306" t="str">
        <f>"850LOS"</f>
        <v>850LOS</v>
      </c>
      <c r="F306" t="str">
        <f>""</f>
        <v/>
      </c>
      <c r="G306" t="str">
        <f>""</f>
        <v/>
      </c>
      <c r="H306" s="1">
        <v>40297</v>
      </c>
      <c r="I306" t="str">
        <f>"OMS00217"</f>
        <v>OMS00217</v>
      </c>
      <c r="J306" t="str">
        <f>"RO10881"</f>
        <v>RO10881</v>
      </c>
      <c r="K306" t="str">
        <f>"OM01"</f>
        <v>OM01</v>
      </c>
      <c r="L306" t="s">
        <v>1349</v>
      </c>
      <c r="M306">
        <v>141.66999999999999</v>
      </c>
    </row>
    <row r="307" spans="1:13" x14ac:dyDescent="0.25">
      <c r="A307" t="str">
        <f t="shared" ref="A307:A316" si="71">"E164"</f>
        <v>E164</v>
      </c>
      <c r="B307">
        <v>1</v>
      </c>
      <c r="C307" t="str">
        <f t="shared" ref="C307:C316" si="72">"14185"</f>
        <v>14185</v>
      </c>
      <c r="D307" t="str">
        <f t="shared" ref="D307:D316" si="73">"5620"</f>
        <v>5620</v>
      </c>
      <c r="E307" t="str">
        <f t="shared" ref="E307:E316" si="74">"094OMS"</f>
        <v>094OMS</v>
      </c>
      <c r="F307" t="str">
        <f>""</f>
        <v/>
      </c>
      <c r="G307" t="str">
        <f>""</f>
        <v/>
      </c>
      <c r="H307" s="1">
        <v>40025</v>
      </c>
      <c r="I307" t="str">
        <f>"LKS00165"</f>
        <v>LKS00165</v>
      </c>
      <c r="J307" t="str">
        <f>"L68192"</f>
        <v>L68192</v>
      </c>
      <c r="K307" t="str">
        <f t="shared" ref="K307:K313" si="75">"LKW1"</f>
        <v>LKW1</v>
      </c>
      <c r="L307" t="s">
        <v>1348</v>
      </c>
      <c r="M307">
        <v>139.66999999999999</v>
      </c>
    </row>
    <row r="308" spans="1:13" x14ac:dyDescent="0.25">
      <c r="A308" t="str">
        <f t="shared" si="71"/>
        <v>E164</v>
      </c>
      <c r="B308">
        <v>1</v>
      </c>
      <c r="C308" t="str">
        <f t="shared" si="72"/>
        <v>14185</v>
      </c>
      <c r="D308" t="str">
        <f t="shared" si="73"/>
        <v>5620</v>
      </c>
      <c r="E308" t="str">
        <f t="shared" si="74"/>
        <v>094OMS</v>
      </c>
      <c r="F308" t="str">
        <f>""</f>
        <v/>
      </c>
      <c r="G308" t="str">
        <f>""</f>
        <v/>
      </c>
      <c r="H308" s="1">
        <v>40117</v>
      </c>
      <c r="I308" t="str">
        <f>"LKS00168"</f>
        <v>LKS00168</v>
      </c>
      <c r="J308" t="str">
        <f t="shared" ref="J308:J313" si="76">"L30034"</f>
        <v>L30034</v>
      </c>
      <c r="K308" t="str">
        <f t="shared" si="75"/>
        <v>LKW1</v>
      </c>
      <c r="L308" t="s">
        <v>133</v>
      </c>
      <c r="M308">
        <v>141.4</v>
      </c>
    </row>
    <row r="309" spans="1:13" x14ac:dyDescent="0.25">
      <c r="A309" t="str">
        <f t="shared" si="71"/>
        <v>E164</v>
      </c>
      <c r="B309">
        <v>1</v>
      </c>
      <c r="C309" t="str">
        <f t="shared" si="72"/>
        <v>14185</v>
      </c>
      <c r="D309" t="str">
        <f t="shared" si="73"/>
        <v>5620</v>
      </c>
      <c r="E309" t="str">
        <f t="shared" si="74"/>
        <v>094OMS</v>
      </c>
      <c r="F309" t="str">
        <f>""</f>
        <v/>
      </c>
      <c r="G309" t="str">
        <f>""</f>
        <v/>
      </c>
      <c r="H309" s="1">
        <v>40177</v>
      </c>
      <c r="I309" t="str">
        <f>"LKS00170"</f>
        <v>LKS00170</v>
      </c>
      <c r="J309" t="str">
        <f t="shared" si="76"/>
        <v>L30034</v>
      </c>
      <c r="K309" t="str">
        <f t="shared" si="75"/>
        <v>LKW1</v>
      </c>
      <c r="L309" t="s">
        <v>133</v>
      </c>
      <c r="M309">
        <v>154.12</v>
      </c>
    </row>
    <row r="310" spans="1:13" x14ac:dyDescent="0.25">
      <c r="A310" t="str">
        <f t="shared" si="71"/>
        <v>E164</v>
      </c>
      <c r="B310">
        <v>1</v>
      </c>
      <c r="C310" t="str">
        <f t="shared" si="72"/>
        <v>14185</v>
      </c>
      <c r="D310" t="str">
        <f t="shared" si="73"/>
        <v>5620</v>
      </c>
      <c r="E310" t="str">
        <f t="shared" si="74"/>
        <v>094OMS</v>
      </c>
      <c r="F310" t="str">
        <f>""</f>
        <v/>
      </c>
      <c r="G310" t="str">
        <f>""</f>
        <v/>
      </c>
      <c r="H310" s="1">
        <v>40209</v>
      </c>
      <c r="I310" t="str">
        <f>"LKS00171"</f>
        <v>LKS00171</v>
      </c>
      <c r="J310" t="str">
        <f t="shared" si="76"/>
        <v>L30034</v>
      </c>
      <c r="K310" t="str">
        <f t="shared" si="75"/>
        <v>LKW1</v>
      </c>
      <c r="L310" t="s">
        <v>133</v>
      </c>
      <c r="M310">
        <v>514.53</v>
      </c>
    </row>
    <row r="311" spans="1:13" x14ac:dyDescent="0.25">
      <c r="A311" t="str">
        <f t="shared" si="71"/>
        <v>E164</v>
      </c>
      <c r="B311">
        <v>1</v>
      </c>
      <c r="C311" t="str">
        <f t="shared" si="72"/>
        <v>14185</v>
      </c>
      <c r="D311" t="str">
        <f t="shared" si="73"/>
        <v>5620</v>
      </c>
      <c r="E311" t="str">
        <f t="shared" si="74"/>
        <v>094OMS</v>
      </c>
      <c r="F311" t="str">
        <f>""</f>
        <v/>
      </c>
      <c r="G311" t="str">
        <f>""</f>
        <v/>
      </c>
      <c r="H311" s="1">
        <v>40237</v>
      </c>
      <c r="I311" t="str">
        <f>"LKS00172"</f>
        <v>LKS00172</v>
      </c>
      <c r="J311" t="str">
        <f t="shared" si="76"/>
        <v>L30034</v>
      </c>
      <c r="K311" t="str">
        <f t="shared" si="75"/>
        <v>LKW1</v>
      </c>
      <c r="L311" t="s">
        <v>133</v>
      </c>
      <c r="M311">
        <v>231.74</v>
      </c>
    </row>
    <row r="312" spans="1:13" x14ac:dyDescent="0.25">
      <c r="A312" t="str">
        <f t="shared" si="71"/>
        <v>E164</v>
      </c>
      <c r="B312">
        <v>1</v>
      </c>
      <c r="C312" t="str">
        <f t="shared" si="72"/>
        <v>14185</v>
      </c>
      <c r="D312" t="str">
        <f t="shared" si="73"/>
        <v>5620</v>
      </c>
      <c r="E312" t="str">
        <f t="shared" si="74"/>
        <v>094OMS</v>
      </c>
      <c r="F312" t="str">
        <f>""</f>
        <v/>
      </c>
      <c r="G312" t="str">
        <f>""</f>
        <v/>
      </c>
      <c r="H312" s="1">
        <v>40268</v>
      </c>
      <c r="I312" t="str">
        <f>"LKS00173"</f>
        <v>LKS00173</v>
      </c>
      <c r="J312" t="str">
        <f t="shared" si="76"/>
        <v>L30034</v>
      </c>
      <c r="K312" t="str">
        <f t="shared" si="75"/>
        <v>LKW1</v>
      </c>
      <c r="L312" t="s">
        <v>133</v>
      </c>
      <c r="M312">
        <v>163.08000000000001</v>
      </c>
    </row>
    <row r="313" spans="1:13" x14ac:dyDescent="0.25">
      <c r="A313" t="str">
        <f t="shared" si="71"/>
        <v>E164</v>
      </c>
      <c r="B313">
        <v>1</v>
      </c>
      <c r="C313" t="str">
        <f t="shared" si="72"/>
        <v>14185</v>
      </c>
      <c r="D313" t="str">
        <f t="shared" si="73"/>
        <v>5620</v>
      </c>
      <c r="E313" t="str">
        <f t="shared" si="74"/>
        <v>094OMS</v>
      </c>
      <c r="F313" t="str">
        <f>""</f>
        <v/>
      </c>
      <c r="G313" t="str">
        <f>""</f>
        <v/>
      </c>
      <c r="H313" s="1">
        <v>40328</v>
      </c>
      <c r="I313" t="str">
        <f>"LKS00175"</f>
        <v>LKS00175</v>
      </c>
      <c r="J313" t="str">
        <f t="shared" si="76"/>
        <v>L30034</v>
      </c>
      <c r="K313" t="str">
        <f t="shared" si="75"/>
        <v>LKW1</v>
      </c>
      <c r="L313" t="s">
        <v>133</v>
      </c>
      <c r="M313">
        <v>190.79</v>
      </c>
    </row>
    <row r="314" spans="1:13" x14ac:dyDescent="0.25">
      <c r="A314" t="str">
        <f t="shared" si="71"/>
        <v>E164</v>
      </c>
      <c r="B314">
        <v>1</v>
      </c>
      <c r="C314" t="str">
        <f t="shared" si="72"/>
        <v>14185</v>
      </c>
      <c r="D314" t="str">
        <f t="shared" si="73"/>
        <v>5620</v>
      </c>
      <c r="E314" t="str">
        <f t="shared" si="74"/>
        <v>094OMS</v>
      </c>
      <c r="F314" t="str">
        <f>""</f>
        <v/>
      </c>
      <c r="G314" t="str">
        <f>""</f>
        <v/>
      </c>
      <c r="H314" s="1">
        <v>40330</v>
      </c>
      <c r="I314" t="str">
        <f>"PHY00532"</f>
        <v>PHY00532</v>
      </c>
      <c r="J314" t="str">
        <f>"W0062002"</f>
        <v>W0062002</v>
      </c>
      <c r="K314" t="str">
        <f>"AS89"</f>
        <v>AS89</v>
      </c>
      <c r="L314" t="s">
        <v>1347</v>
      </c>
      <c r="M314" s="2">
        <v>1023.09</v>
      </c>
    </row>
    <row r="315" spans="1:13" x14ac:dyDescent="0.25">
      <c r="A315" t="str">
        <f t="shared" si="71"/>
        <v>E164</v>
      </c>
      <c r="B315">
        <v>1</v>
      </c>
      <c r="C315" t="str">
        <f t="shared" si="72"/>
        <v>14185</v>
      </c>
      <c r="D315" t="str">
        <f t="shared" si="73"/>
        <v>5620</v>
      </c>
      <c r="E315" t="str">
        <f t="shared" si="74"/>
        <v>094OMS</v>
      </c>
      <c r="F315" t="str">
        <f>""</f>
        <v/>
      </c>
      <c r="G315" t="str">
        <f>""</f>
        <v/>
      </c>
      <c r="H315" s="1">
        <v>40359</v>
      </c>
      <c r="I315" t="str">
        <f>"LKS00176"</f>
        <v>LKS00176</v>
      </c>
      <c r="J315" t="str">
        <f>"L30034"</f>
        <v>L30034</v>
      </c>
      <c r="K315" t="str">
        <f>"LKW1"</f>
        <v>LKW1</v>
      </c>
      <c r="L315" t="s">
        <v>133</v>
      </c>
      <c r="M315">
        <v>320.22000000000003</v>
      </c>
    </row>
    <row r="316" spans="1:13" x14ac:dyDescent="0.25">
      <c r="A316" t="str">
        <f t="shared" si="71"/>
        <v>E164</v>
      </c>
      <c r="B316">
        <v>1</v>
      </c>
      <c r="C316" t="str">
        <f t="shared" si="72"/>
        <v>14185</v>
      </c>
      <c r="D316" t="str">
        <f t="shared" si="73"/>
        <v>5620</v>
      </c>
      <c r="E316" t="str">
        <f t="shared" si="74"/>
        <v>094OMS</v>
      </c>
      <c r="F316" t="str">
        <f>""</f>
        <v/>
      </c>
      <c r="G316" t="str">
        <f>""</f>
        <v/>
      </c>
      <c r="H316" s="1">
        <v>40359</v>
      </c>
      <c r="I316" t="str">
        <f>"PCD00427"</f>
        <v>PCD00427</v>
      </c>
      <c r="J316" t="str">
        <f>"123716"</f>
        <v>123716</v>
      </c>
      <c r="K316" t="str">
        <f>"AS89"</f>
        <v>AS89</v>
      </c>
      <c r="L316" t="s">
        <v>1346</v>
      </c>
      <c r="M316">
        <v>124.78</v>
      </c>
    </row>
    <row r="317" spans="1:13" x14ac:dyDescent="0.25">
      <c r="A317" t="str">
        <f>"E165"</f>
        <v>E165</v>
      </c>
      <c r="B317">
        <v>1</v>
      </c>
      <c r="C317" t="str">
        <f t="shared" ref="C317:C328" si="77">"43000"</f>
        <v>43000</v>
      </c>
      <c r="D317" t="str">
        <f t="shared" ref="D317:D328" si="78">"5740"</f>
        <v>5740</v>
      </c>
      <c r="E317" t="str">
        <f>"850PKC"</f>
        <v>850PKC</v>
      </c>
      <c r="F317" t="str">
        <f>""</f>
        <v/>
      </c>
      <c r="G317" t="str">
        <f>""</f>
        <v/>
      </c>
      <c r="H317" s="1">
        <v>40031</v>
      </c>
      <c r="I317" t="str">
        <f>"73702B"</f>
        <v>73702B</v>
      </c>
      <c r="J317" t="str">
        <f>"B113824A"</f>
        <v>B113824A</v>
      </c>
      <c r="K317" t="str">
        <f>"INNI"</f>
        <v>INNI</v>
      </c>
      <c r="L317" t="s">
        <v>882</v>
      </c>
      <c r="M317">
        <v>281.56</v>
      </c>
    </row>
    <row r="318" spans="1:13" x14ac:dyDescent="0.25">
      <c r="A318" t="str">
        <f>"E165"</f>
        <v>E165</v>
      </c>
      <c r="B318">
        <v>1</v>
      </c>
      <c r="C318" t="str">
        <f t="shared" si="77"/>
        <v>43000</v>
      </c>
      <c r="D318" t="str">
        <f t="shared" si="78"/>
        <v>5740</v>
      </c>
      <c r="E318" t="str">
        <f>"850PKC"</f>
        <v>850PKC</v>
      </c>
      <c r="F318" t="str">
        <f>""</f>
        <v/>
      </c>
      <c r="G318" t="str">
        <f>""</f>
        <v/>
      </c>
      <c r="H318" s="1">
        <v>40044</v>
      </c>
      <c r="I318" t="str">
        <f>"ACG01865"</f>
        <v>ACG01865</v>
      </c>
      <c r="J318" t="str">
        <f>"73702B"</f>
        <v>73702B</v>
      </c>
      <c r="K318" t="str">
        <f>"AS96"</f>
        <v>AS96</v>
      </c>
      <c r="L318" t="s">
        <v>1193</v>
      </c>
      <c r="M318">
        <v>281.56</v>
      </c>
    </row>
    <row r="319" spans="1:13" x14ac:dyDescent="0.25">
      <c r="A319" t="str">
        <f>"E165"</f>
        <v>E165</v>
      </c>
      <c r="B319">
        <v>1</v>
      </c>
      <c r="C319" t="str">
        <f t="shared" si="77"/>
        <v>43000</v>
      </c>
      <c r="D319" t="str">
        <f t="shared" si="78"/>
        <v>5740</v>
      </c>
      <c r="E319" t="str">
        <f>"850PKC"</f>
        <v>850PKC</v>
      </c>
      <c r="F319" t="str">
        <f>""</f>
        <v/>
      </c>
      <c r="G319" t="str">
        <f>""</f>
        <v/>
      </c>
      <c r="H319" s="1">
        <v>40102</v>
      </c>
      <c r="I319" t="str">
        <f>"77692"</f>
        <v>77692</v>
      </c>
      <c r="J319" t="str">
        <f>"N113824B"</f>
        <v>N113824B</v>
      </c>
      <c r="K319" t="str">
        <f>"INEI"</f>
        <v>INEI</v>
      </c>
      <c r="L319" t="s">
        <v>882</v>
      </c>
      <c r="M319">
        <v>716.1</v>
      </c>
    </row>
    <row r="320" spans="1:13" x14ac:dyDescent="0.25">
      <c r="A320" t="str">
        <f t="shared" ref="A320:A328" si="79">"E166"</f>
        <v>E166</v>
      </c>
      <c r="B320">
        <v>1</v>
      </c>
      <c r="C320" t="str">
        <f t="shared" si="77"/>
        <v>43000</v>
      </c>
      <c r="D320" t="str">
        <f t="shared" si="78"/>
        <v>5740</v>
      </c>
      <c r="E320" t="str">
        <f t="shared" ref="E320:E328" si="80">"850LOS"</f>
        <v>850LOS</v>
      </c>
      <c r="F320" t="str">
        <f t="shared" ref="F320:F328" si="81">"PKOLOT"</f>
        <v>PKOLOT</v>
      </c>
      <c r="G320" t="str">
        <f>""</f>
        <v/>
      </c>
      <c r="H320" s="1">
        <v>40214</v>
      </c>
      <c r="I320" t="str">
        <f>"101599"</f>
        <v>101599</v>
      </c>
      <c r="J320" t="str">
        <f>"N076383D"</f>
        <v>N076383D</v>
      </c>
      <c r="K320" t="str">
        <f>"INEI"</f>
        <v>INEI</v>
      </c>
      <c r="L320" t="s">
        <v>140</v>
      </c>
      <c r="M320">
        <v>556.05999999999995</v>
      </c>
    </row>
    <row r="321" spans="1:13" x14ac:dyDescent="0.25">
      <c r="A321" t="str">
        <f t="shared" si="79"/>
        <v>E166</v>
      </c>
      <c r="B321">
        <v>1</v>
      </c>
      <c r="C321" t="str">
        <f t="shared" si="77"/>
        <v>43000</v>
      </c>
      <c r="D321" t="str">
        <f t="shared" si="78"/>
        <v>5740</v>
      </c>
      <c r="E321" t="str">
        <f t="shared" si="80"/>
        <v>850LOS</v>
      </c>
      <c r="F321" t="str">
        <f t="shared" si="81"/>
        <v>PKOLOT</v>
      </c>
      <c r="G321" t="str">
        <f>""</f>
        <v/>
      </c>
      <c r="H321" s="1">
        <v>40214</v>
      </c>
      <c r="I321" t="str">
        <f>"PCD00406"</f>
        <v>PCD00406</v>
      </c>
      <c r="J321" t="str">
        <f>"113905"</f>
        <v>113905</v>
      </c>
      <c r="K321" t="str">
        <f>"AS89"</f>
        <v>AS89</v>
      </c>
      <c r="L321" t="s">
        <v>1345</v>
      </c>
      <c r="M321">
        <v>123.26</v>
      </c>
    </row>
    <row r="322" spans="1:13" x14ac:dyDescent="0.25">
      <c r="A322" t="str">
        <f t="shared" si="79"/>
        <v>E166</v>
      </c>
      <c r="B322">
        <v>1</v>
      </c>
      <c r="C322" t="str">
        <f t="shared" si="77"/>
        <v>43000</v>
      </c>
      <c r="D322" t="str">
        <f t="shared" si="78"/>
        <v>5740</v>
      </c>
      <c r="E322" t="str">
        <f t="shared" si="80"/>
        <v>850LOS</v>
      </c>
      <c r="F322" t="str">
        <f t="shared" si="81"/>
        <v>PKOLOT</v>
      </c>
      <c r="G322" t="str">
        <f>""</f>
        <v/>
      </c>
      <c r="H322" s="1">
        <v>40238</v>
      </c>
      <c r="I322" t="str">
        <f>"102055A"</f>
        <v>102055A</v>
      </c>
      <c r="J322" t="str">
        <f>"N076383D"</f>
        <v>N076383D</v>
      </c>
      <c r="K322" t="str">
        <f>"INEI"</f>
        <v>INEI</v>
      </c>
      <c r="L322" t="s">
        <v>140</v>
      </c>
      <c r="M322">
        <v>760.86</v>
      </c>
    </row>
    <row r="323" spans="1:13" x14ac:dyDescent="0.25">
      <c r="A323" t="str">
        <f t="shared" si="79"/>
        <v>E166</v>
      </c>
      <c r="B323">
        <v>1</v>
      </c>
      <c r="C323" t="str">
        <f t="shared" si="77"/>
        <v>43000</v>
      </c>
      <c r="D323" t="str">
        <f t="shared" si="78"/>
        <v>5740</v>
      </c>
      <c r="E323" t="str">
        <f t="shared" si="80"/>
        <v>850LOS</v>
      </c>
      <c r="F323" t="str">
        <f t="shared" si="81"/>
        <v>PKOLOT</v>
      </c>
      <c r="G323" t="str">
        <f>""</f>
        <v/>
      </c>
      <c r="H323" s="1">
        <v>40242</v>
      </c>
      <c r="I323" t="str">
        <f>"PCD00410"</f>
        <v>PCD00410</v>
      </c>
      <c r="J323" t="str">
        <f>"115549"</f>
        <v>115549</v>
      </c>
      <c r="K323" t="str">
        <f>"AS89"</f>
        <v>AS89</v>
      </c>
      <c r="L323" t="s">
        <v>1344</v>
      </c>
      <c r="M323">
        <v>239.18</v>
      </c>
    </row>
    <row r="324" spans="1:13" x14ac:dyDescent="0.25">
      <c r="A324" t="str">
        <f t="shared" si="79"/>
        <v>E166</v>
      </c>
      <c r="B324">
        <v>1</v>
      </c>
      <c r="C324" t="str">
        <f t="shared" si="77"/>
        <v>43000</v>
      </c>
      <c r="D324" t="str">
        <f t="shared" si="78"/>
        <v>5740</v>
      </c>
      <c r="E324" t="str">
        <f t="shared" si="80"/>
        <v>850LOS</v>
      </c>
      <c r="F324" t="str">
        <f t="shared" si="81"/>
        <v>PKOLOT</v>
      </c>
      <c r="G324" t="str">
        <f>""</f>
        <v/>
      </c>
      <c r="H324" s="1">
        <v>40262</v>
      </c>
      <c r="I324" t="str">
        <f>"102983"</f>
        <v>102983</v>
      </c>
      <c r="J324" t="str">
        <f>"N076383D"</f>
        <v>N076383D</v>
      </c>
      <c r="K324" t="str">
        <f>"INEI"</f>
        <v>INEI</v>
      </c>
      <c r="L324" t="s">
        <v>140</v>
      </c>
      <c r="M324">
        <v>556.05999999999995</v>
      </c>
    </row>
    <row r="325" spans="1:13" x14ac:dyDescent="0.25">
      <c r="A325" t="str">
        <f t="shared" si="79"/>
        <v>E166</v>
      </c>
      <c r="B325">
        <v>1</v>
      </c>
      <c r="C325" t="str">
        <f t="shared" si="77"/>
        <v>43000</v>
      </c>
      <c r="D325" t="str">
        <f t="shared" si="78"/>
        <v>5740</v>
      </c>
      <c r="E325" t="str">
        <f t="shared" si="80"/>
        <v>850LOS</v>
      </c>
      <c r="F325" t="str">
        <f t="shared" si="81"/>
        <v>PKOLOT</v>
      </c>
      <c r="G325" t="str">
        <f>""</f>
        <v/>
      </c>
      <c r="H325" s="1">
        <v>40296</v>
      </c>
      <c r="I325" t="str">
        <f>"103844C"</f>
        <v>103844C</v>
      </c>
      <c r="J325" t="str">
        <f>"N076383D"</f>
        <v>N076383D</v>
      </c>
      <c r="K325" t="str">
        <f>"INEI"</f>
        <v>INEI</v>
      </c>
      <c r="L325" t="s">
        <v>140</v>
      </c>
      <c r="M325">
        <v>501.81</v>
      </c>
    </row>
    <row r="326" spans="1:13" x14ac:dyDescent="0.25">
      <c r="A326" t="str">
        <f t="shared" si="79"/>
        <v>E166</v>
      </c>
      <c r="B326">
        <v>1</v>
      </c>
      <c r="C326" t="str">
        <f t="shared" si="77"/>
        <v>43000</v>
      </c>
      <c r="D326" t="str">
        <f t="shared" si="78"/>
        <v>5740</v>
      </c>
      <c r="E326" t="str">
        <f t="shared" si="80"/>
        <v>850LOS</v>
      </c>
      <c r="F326" t="str">
        <f t="shared" si="81"/>
        <v>PKOLOT</v>
      </c>
      <c r="G326" t="str">
        <f>""</f>
        <v/>
      </c>
      <c r="H326" s="1">
        <v>40357</v>
      </c>
      <c r="I326" t="str">
        <f>"105774"</f>
        <v>105774</v>
      </c>
      <c r="J326" t="str">
        <f>"N076383D"</f>
        <v>N076383D</v>
      </c>
      <c r="K326" t="str">
        <f>"INEI"</f>
        <v>INEI</v>
      </c>
      <c r="L326" t="s">
        <v>140</v>
      </c>
      <c r="M326">
        <v>556.05999999999995</v>
      </c>
    </row>
    <row r="327" spans="1:13" x14ac:dyDescent="0.25">
      <c r="A327" t="str">
        <f t="shared" si="79"/>
        <v>E166</v>
      </c>
      <c r="B327">
        <v>1</v>
      </c>
      <c r="C327" t="str">
        <f t="shared" si="77"/>
        <v>43000</v>
      </c>
      <c r="D327" t="str">
        <f t="shared" si="78"/>
        <v>5740</v>
      </c>
      <c r="E327" t="str">
        <f t="shared" si="80"/>
        <v>850LOS</v>
      </c>
      <c r="F327" t="str">
        <f t="shared" si="81"/>
        <v>PKOLOT</v>
      </c>
      <c r="G327" t="str">
        <f>""</f>
        <v/>
      </c>
      <c r="H327" s="1">
        <v>40358</v>
      </c>
      <c r="I327" t="str">
        <f>"106295B"</f>
        <v>106295B</v>
      </c>
      <c r="J327" t="str">
        <f>"N076383D"</f>
        <v>N076383D</v>
      </c>
      <c r="K327" t="str">
        <f>"INEI"</f>
        <v>INEI</v>
      </c>
      <c r="L327" t="s">
        <v>140</v>
      </c>
      <c r="M327">
        <v>556.05999999999995</v>
      </c>
    </row>
    <row r="328" spans="1:13" x14ac:dyDescent="0.25">
      <c r="A328" t="str">
        <f t="shared" si="79"/>
        <v>E166</v>
      </c>
      <c r="B328">
        <v>1</v>
      </c>
      <c r="C328" t="str">
        <f t="shared" si="77"/>
        <v>43000</v>
      </c>
      <c r="D328" t="str">
        <f t="shared" si="78"/>
        <v>5740</v>
      </c>
      <c r="E328" t="str">
        <f t="shared" si="80"/>
        <v>850LOS</v>
      </c>
      <c r="F328" t="str">
        <f t="shared" si="81"/>
        <v>PKOLOT</v>
      </c>
      <c r="G328" t="str">
        <f>""</f>
        <v/>
      </c>
      <c r="H328" s="1">
        <v>40358</v>
      </c>
      <c r="I328" t="str">
        <f>"106296A"</f>
        <v>106296A</v>
      </c>
      <c r="J328" t="str">
        <f>"N076383D"</f>
        <v>N076383D</v>
      </c>
      <c r="K328" t="str">
        <f>"INEI"</f>
        <v>INEI</v>
      </c>
      <c r="L328" t="s">
        <v>140</v>
      </c>
      <c r="M328" s="2">
        <v>1067.6400000000001</v>
      </c>
    </row>
    <row r="329" spans="1:13" x14ac:dyDescent="0.25">
      <c r="A329" t="str">
        <f t="shared" ref="A329:A337" si="82">"E171"</f>
        <v>E171</v>
      </c>
      <c r="B329">
        <v>1</v>
      </c>
      <c r="C329" t="str">
        <f>"14185"</f>
        <v>14185</v>
      </c>
      <c r="D329" t="str">
        <f>"5620"</f>
        <v>5620</v>
      </c>
      <c r="E329" t="str">
        <f>"094OMS"</f>
        <v>094OMS</v>
      </c>
      <c r="F329" t="str">
        <f>""</f>
        <v/>
      </c>
      <c r="G329" t="str">
        <f>""</f>
        <v/>
      </c>
      <c r="H329" s="1">
        <v>40185</v>
      </c>
      <c r="I329" t="str">
        <f>"138270"</f>
        <v>138270</v>
      </c>
      <c r="J329" t="str">
        <f>""</f>
        <v/>
      </c>
      <c r="K329" t="str">
        <f>"INNI"</f>
        <v>INNI</v>
      </c>
      <c r="L329" t="s">
        <v>1342</v>
      </c>
      <c r="M329">
        <v>350.83</v>
      </c>
    </row>
    <row r="330" spans="1:13" x14ac:dyDescent="0.25">
      <c r="A330" t="str">
        <f t="shared" si="82"/>
        <v>E171</v>
      </c>
      <c r="B330">
        <v>1</v>
      </c>
      <c r="C330" t="str">
        <f>"14185"</f>
        <v>14185</v>
      </c>
      <c r="D330" t="str">
        <f>"5620"</f>
        <v>5620</v>
      </c>
      <c r="E330" t="str">
        <f>"094OMS"</f>
        <v>094OMS</v>
      </c>
      <c r="F330" t="str">
        <f>""</f>
        <v/>
      </c>
      <c r="G330" t="str">
        <f>""</f>
        <v/>
      </c>
      <c r="H330" s="1">
        <v>40209</v>
      </c>
      <c r="I330" t="str">
        <f>"PRT00285"</f>
        <v>PRT00285</v>
      </c>
      <c r="J330" t="str">
        <f>"481107"</f>
        <v>481107</v>
      </c>
      <c r="K330" t="str">
        <f>"PR01"</f>
        <v>PR01</v>
      </c>
      <c r="L330" t="s">
        <v>1343</v>
      </c>
      <c r="M330">
        <v>567.67999999999995</v>
      </c>
    </row>
    <row r="331" spans="1:13" x14ac:dyDescent="0.25">
      <c r="A331" t="str">
        <f t="shared" si="82"/>
        <v>E171</v>
      </c>
      <c r="B331">
        <v>1</v>
      </c>
      <c r="C331" t="str">
        <f>"14185"</f>
        <v>14185</v>
      </c>
      <c r="D331" t="str">
        <f>"5620"</f>
        <v>5620</v>
      </c>
      <c r="E331" t="str">
        <f>"094OMS"</f>
        <v>094OMS</v>
      </c>
      <c r="F331" t="str">
        <f>""</f>
        <v/>
      </c>
      <c r="G331" t="str">
        <f>""</f>
        <v/>
      </c>
      <c r="H331" s="1">
        <v>40232</v>
      </c>
      <c r="I331" t="str">
        <f>"138270A"</f>
        <v>138270A</v>
      </c>
      <c r="J331" t="str">
        <f>""</f>
        <v/>
      </c>
      <c r="K331" t="str">
        <f>"INNI"</f>
        <v>INNI</v>
      </c>
      <c r="L331" t="s">
        <v>1342</v>
      </c>
      <c r="M331">
        <v>350.03</v>
      </c>
    </row>
    <row r="332" spans="1:13" x14ac:dyDescent="0.25">
      <c r="A332" t="str">
        <f t="shared" si="82"/>
        <v>E171</v>
      </c>
      <c r="B332">
        <v>1</v>
      </c>
      <c r="C332" t="str">
        <f>"14185"</f>
        <v>14185</v>
      </c>
      <c r="D332" t="str">
        <f>"5620"</f>
        <v>5620</v>
      </c>
      <c r="E332" t="str">
        <f>"094OMS"</f>
        <v>094OMS</v>
      </c>
      <c r="F332" t="str">
        <f>""</f>
        <v/>
      </c>
      <c r="G332" t="str">
        <f>""</f>
        <v/>
      </c>
      <c r="H332" s="1">
        <v>40298</v>
      </c>
      <c r="I332" t="str">
        <f>"PRT00291"</f>
        <v>PRT00291</v>
      </c>
      <c r="J332" t="str">
        <f>"496677"</f>
        <v>496677</v>
      </c>
      <c r="K332" t="str">
        <f t="shared" ref="K332:K337" si="83">"PR01"</f>
        <v>PR01</v>
      </c>
      <c r="L332" t="s">
        <v>1341</v>
      </c>
      <c r="M332">
        <v>147.83000000000001</v>
      </c>
    </row>
    <row r="333" spans="1:13" x14ac:dyDescent="0.25">
      <c r="A333" t="str">
        <f t="shared" si="82"/>
        <v>E171</v>
      </c>
      <c r="B333">
        <v>1</v>
      </c>
      <c r="C333" t="str">
        <f>"14185"</f>
        <v>14185</v>
      </c>
      <c r="D333" t="str">
        <f>"5620"</f>
        <v>5620</v>
      </c>
      <c r="E333" t="str">
        <f>"094OMS"</f>
        <v>094OMS</v>
      </c>
      <c r="F333" t="str">
        <f>""</f>
        <v/>
      </c>
      <c r="G333" t="str">
        <f>""</f>
        <v/>
      </c>
      <c r="H333" s="1">
        <v>40329</v>
      </c>
      <c r="I333" t="str">
        <f>"PRT00293"</f>
        <v>PRT00293</v>
      </c>
      <c r="J333" t="str">
        <f>"508982"</f>
        <v>508982</v>
      </c>
      <c r="K333" t="str">
        <f t="shared" si="83"/>
        <v>PR01</v>
      </c>
      <c r="L333" t="s">
        <v>1339</v>
      </c>
      <c r="M333">
        <v>142.16</v>
      </c>
    </row>
    <row r="334" spans="1:13" x14ac:dyDescent="0.25">
      <c r="A334" t="str">
        <f t="shared" si="82"/>
        <v>E171</v>
      </c>
      <c r="B334">
        <v>1</v>
      </c>
      <c r="C334" t="str">
        <f>"32040"</f>
        <v>32040</v>
      </c>
      <c r="D334" t="str">
        <f>"5610"</f>
        <v>5610</v>
      </c>
      <c r="E334" t="str">
        <f>"850LOS"</f>
        <v>850LOS</v>
      </c>
      <c r="F334" t="str">
        <f>""</f>
        <v/>
      </c>
      <c r="G334" t="str">
        <f>""</f>
        <v/>
      </c>
      <c r="H334" s="1">
        <v>40147</v>
      </c>
      <c r="I334" t="str">
        <f>"PRT00282"</f>
        <v>PRT00282</v>
      </c>
      <c r="J334" t="str">
        <f>"464233"</f>
        <v>464233</v>
      </c>
      <c r="K334" t="str">
        <f t="shared" si="83"/>
        <v>PR01</v>
      </c>
      <c r="L334" t="s">
        <v>412</v>
      </c>
      <c r="M334">
        <v>577.09</v>
      </c>
    </row>
    <row r="335" spans="1:13" x14ac:dyDescent="0.25">
      <c r="A335" t="str">
        <f t="shared" si="82"/>
        <v>E171</v>
      </c>
      <c r="B335">
        <v>1</v>
      </c>
      <c r="C335" t="str">
        <f>"43000"</f>
        <v>43000</v>
      </c>
      <c r="D335" t="str">
        <f>"5740"</f>
        <v>5740</v>
      </c>
      <c r="E335" t="str">
        <f>"850LOS"</f>
        <v>850LOS</v>
      </c>
      <c r="F335" t="str">
        <f>""</f>
        <v/>
      </c>
      <c r="G335" t="str">
        <f>""</f>
        <v/>
      </c>
      <c r="H335" s="1">
        <v>40086</v>
      </c>
      <c r="I335" t="str">
        <f>"PRT00278"</f>
        <v>PRT00278</v>
      </c>
      <c r="J335" t="str">
        <f>"447814"</f>
        <v>447814</v>
      </c>
      <c r="K335" t="str">
        <f t="shared" si="83"/>
        <v>PR01</v>
      </c>
      <c r="L335" t="s">
        <v>146</v>
      </c>
      <c r="M335">
        <v>895.11</v>
      </c>
    </row>
    <row r="336" spans="1:13" x14ac:dyDescent="0.25">
      <c r="A336" t="str">
        <f t="shared" si="82"/>
        <v>E171</v>
      </c>
      <c r="B336">
        <v>1</v>
      </c>
      <c r="C336" t="str">
        <f>"43000"</f>
        <v>43000</v>
      </c>
      <c r="D336" t="str">
        <f>"5740"</f>
        <v>5740</v>
      </c>
      <c r="E336" t="str">
        <f>"850LOS"</f>
        <v>850LOS</v>
      </c>
      <c r="F336" t="str">
        <f>""</f>
        <v/>
      </c>
      <c r="G336" t="str">
        <f>""</f>
        <v/>
      </c>
      <c r="H336" s="1">
        <v>40268</v>
      </c>
      <c r="I336" t="str">
        <f>"PRT00289"</f>
        <v>PRT00289</v>
      </c>
      <c r="J336" t="str">
        <f>"491177"</f>
        <v>491177</v>
      </c>
      <c r="K336" t="str">
        <f t="shared" si="83"/>
        <v>PR01</v>
      </c>
      <c r="L336" t="s">
        <v>1340</v>
      </c>
      <c r="M336">
        <v>589.02</v>
      </c>
    </row>
    <row r="337" spans="1:13" x14ac:dyDescent="0.25">
      <c r="A337" t="str">
        <f t="shared" si="82"/>
        <v>E171</v>
      </c>
      <c r="B337">
        <v>1</v>
      </c>
      <c r="C337" t="str">
        <f>"43000"</f>
        <v>43000</v>
      </c>
      <c r="D337" t="str">
        <f>"5740"</f>
        <v>5740</v>
      </c>
      <c r="E337" t="str">
        <f>"850LOS"</f>
        <v>850LOS</v>
      </c>
      <c r="F337" t="str">
        <f>""</f>
        <v/>
      </c>
      <c r="G337" t="str">
        <f>""</f>
        <v/>
      </c>
      <c r="H337" s="1">
        <v>40298</v>
      </c>
      <c r="I337" t="str">
        <f>"PRT00291"</f>
        <v>PRT00291</v>
      </c>
      <c r="J337" t="str">
        <f>"496687"</f>
        <v>496687</v>
      </c>
      <c r="K337" t="str">
        <f t="shared" si="83"/>
        <v>PR01</v>
      </c>
      <c r="L337" t="s">
        <v>1339</v>
      </c>
      <c r="M337">
        <v>253.16</v>
      </c>
    </row>
    <row r="338" spans="1:13" x14ac:dyDescent="0.25">
      <c r="A338" t="str">
        <f t="shared" ref="A338:A351" si="84">"E172"</f>
        <v>E172</v>
      </c>
      <c r="B338">
        <v>1</v>
      </c>
      <c r="C338" t="str">
        <f>"14185"</f>
        <v>14185</v>
      </c>
      <c r="D338" t="str">
        <f>"5620"</f>
        <v>5620</v>
      </c>
      <c r="E338" t="str">
        <f>"094OMS"</f>
        <v>094OMS</v>
      </c>
      <c r="F338" t="str">
        <f>""</f>
        <v/>
      </c>
      <c r="G338" t="str">
        <f>""</f>
        <v/>
      </c>
      <c r="H338" s="1">
        <v>40169</v>
      </c>
      <c r="I338" t="str">
        <f>"COP00233"</f>
        <v>COP00233</v>
      </c>
      <c r="J338" t="str">
        <f t="shared" ref="J338:J351" si="85">"JOB ORDR"</f>
        <v>JOB ORDR</v>
      </c>
      <c r="K338" t="str">
        <f t="shared" ref="K338:K367" si="86">"AS89"</f>
        <v>AS89</v>
      </c>
      <c r="L338" t="s">
        <v>1332</v>
      </c>
      <c r="M338">
        <v>505.5</v>
      </c>
    </row>
    <row r="339" spans="1:13" x14ac:dyDescent="0.25">
      <c r="A339" t="str">
        <f t="shared" si="84"/>
        <v>E172</v>
      </c>
      <c r="B339">
        <v>1</v>
      </c>
      <c r="C339" t="str">
        <f>"14185"</f>
        <v>14185</v>
      </c>
      <c r="D339" t="str">
        <f>"5620"</f>
        <v>5620</v>
      </c>
      <c r="E339" t="str">
        <f>"094OMS"</f>
        <v>094OMS</v>
      </c>
      <c r="F339" t="str">
        <f>""</f>
        <v/>
      </c>
      <c r="G339" t="str">
        <f>""</f>
        <v/>
      </c>
      <c r="H339" s="1">
        <v>40205</v>
      </c>
      <c r="I339" t="str">
        <f>"COP00234"</f>
        <v>COP00234</v>
      </c>
      <c r="J339" t="str">
        <f t="shared" si="85"/>
        <v>JOB ORDR</v>
      </c>
      <c r="K339" t="str">
        <f t="shared" si="86"/>
        <v>AS89</v>
      </c>
      <c r="L339" t="s">
        <v>1335</v>
      </c>
      <c r="M339">
        <v>141.1</v>
      </c>
    </row>
    <row r="340" spans="1:13" x14ac:dyDescent="0.25">
      <c r="A340" t="str">
        <f t="shared" si="84"/>
        <v>E172</v>
      </c>
      <c r="B340">
        <v>1</v>
      </c>
      <c r="C340" t="str">
        <f t="shared" ref="C340:C348" si="87">"43000"</f>
        <v>43000</v>
      </c>
      <c r="D340" t="str">
        <f t="shared" ref="D340:D348" si="88">"5740"</f>
        <v>5740</v>
      </c>
      <c r="E340" t="str">
        <f t="shared" ref="E340:E347" si="89">"850LOS"</f>
        <v>850LOS</v>
      </c>
      <c r="F340" t="str">
        <f>""</f>
        <v/>
      </c>
      <c r="G340" t="str">
        <f>""</f>
        <v/>
      </c>
      <c r="H340" s="1">
        <v>40052</v>
      </c>
      <c r="I340" t="str">
        <f>"COP00229"</f>
        <v>COP00229</v>
      </c>
      <c r="J340" t="str">
        <f t="shared" si="85"/>
        <v>JOB ORDR</v>
      </c>
      <c r="K340" t="str">
        <f t="shared" si="86"/>
        <v>AS89</v>
      </c>
      <c r="L340" t="s">
        <v>1331</v>
      </c>
      <c r="M340">
        <v>699.3</v>
      </c>
    </row>
    <row r="341" spans="1:13" x14ac:dyDescent="0.25">
      <c r="A341" t="str">
        <f t="shared" si="84"/>
        <v>E172</v>
      </c>
      <c r="B341">
        <v>1</v>
      </c>
      <c r="C341" t="str">
        <f t="shared" si="87"/>
        <v>43000</v>
      </c>
      <c r="D341" t="str">
        <f t="shared" si="88"/>
        <v>5740</v>
      </c>
      <c r="E341" t="str">
        <f t="shared" si="89"/>
        <v>850LOS</v>
      </c>
      <c r="F341" t="str">
        <f>""</f>
        <v/>
      </c>
      <c r="G341" t="str">
        <f>""</f>
        <v/>
      </c>
      <c r="H341" s="1">
        <v>40085</v>
      </c>
      <c r="I341" t="str">
        <f>"COP00230"</f>
        <v>COP00230</v>
      </c>
      <c r="J341" t="str">
        <f t="shared" si="85"/>
        <v>JOB ORDR</v>
      </c>
      <c r="K341" t="str">
        <f t="shared" si="86"/>
        <v>AS89</v>
      </c>
      <c r="L341" t="s">
        <v>1338</v>
      </c>
      <c r="M341" s="2">
        <v>1265.75</v>
      </c>
    </row>
    <row r="342" spans="1:13" x14ac:dyDescent="0.25">
      <c r="A342" t="str">
        <f t="shared" si="84"/>
        <v>E172</v>
      </c>
      <c r="B342">
        <v>1</v>
      </c>
      <c r="C342" t="str">
        <f t="shared" si="87"/>
        <v>43000</v>
      </c>
      <c r="D342" t="str">
        <f t="shared" si="88"/>
        <v>5740</v>
      </c>
      <c r="E342" t="str">
        <f t="shared" si="89"/>
        <v>850LOS</v>
      </c>
      <c r="F342" t="str">
        <f>""</f>
        <v/>
      </c>
      <c r="G342" t="str">
        <f>""</f>
        <v/>
      </c>
      <c r="H342" s="1">
        <v>40115</v>
      </c>
      <c r="I342" t="str">
        <f>"COP00231"</f>
        <v>COP00231</v>
      </c>
      <c r="J342" t="str">
        <f t="shared" si="85"/>
        <v>JOB ORDR</v>
      </c>
      <c r="K342" t="str">
        <f t="shared" si="86"/>
        <v>AS89</v>
      </c>
      <c r="L342" t="s">
        <v>1329</v>
      </c>
      <c r="M342">
        <v>182.94</v>
      </c>
    </row>
    <row r="343" spans="1:13" x14ac:dyDescent="0.25">
      <c r="A343" t="str">
        <f t="shared" si="84"/>
        <v>E172</v>
      </c>
      <c r="B343">
        <v>1</v>
      </c>
      <c r="C343" t="str">
        <f t="shared" si="87"/>
        <v>43000</v>
      </c>
      <c r="D343" t="str">
        <f t="shared" si="88"/>
        <v>5740</v>
      </c>
      <c r="E343" t="str">
        <f t="shared" si="89"/>
        <v>850LOS</v>
      </c>
      <c r="F343" t="str">
        <f>""</f>
        <v/>
      </c>
      <c r="G343" t="str">
        <f>""</f>
        <v/>
      </c>
      <c r="H343" s="1">
        <v>40205</v>
      </c>
      <c r="I343" t="str">
        <f>"COP00234"</f>
        <v>COP00234</v>
      </c>
      <c r="J343" t="str">
        <f t="shared" si="85"/>
        <v>JOB ORDR</v>
      </c>
      <c r="K343" t="str">
        <f t="shared" si="86"/>
        <v>AS89</v>
      </c>
      <c r="L343" t="s">
        <v>1335</v>
      </c>
      <c r="M343">
        <v>229.92</v>
      </c>
    </row>
    <row r="344" spans="1:13" x14ac:dyDescent="0.25">
      <c r="A344" t="str">
        <f t="shared" si="84"/>
        <v>E172</v>
      </c>
      <c r="B344">
        <v>1</v>
      </c>
      <c r="C344" t="str">
        <f t="shared" si="87"/>
        <v>43000</v>
      </c>
      <c r="D344" t="str">
        <f t="shared" si="88"/>
        <v>5740</v>
      </c>
      <c r="E344" t="str">
        <f t="shared" si="89"/>
        <v>850LOS</v>
      </c>
      <c r="F344" t="str">
        <f>""</f>
        <v/>
      </c>
      <c r="G344" t="str">
        <f>""</f>
        <v/>
      </c>
      <c r="H344" s="1">
        <v>40268</v>
      </c>
      <c r="I344" t="str">
        <f>"COP00236"</f>
        <v>COP00236</v>
      </c>
      <c r="J344" t="str">
        <f t="shared" si="85"/>
        <v>JOB ORDR</v>
      </c>
      <c r="K344" t="str">
        <f t="shared" si="86"/>
        <v>AS89</v>
      </c>
      <c r="L344" t="s">
        <v>1328</v>
      </c>
      <c r="M344">
        <v>589.41999999999996</v>
      </c>
    </row>
    <row r="345" spans="1:13" x14ac:dyDescent="0.25">
      <c r="A345" t="str">
        <f t="shared" si="84"/>
        <v>E172</v>
      </c>
      <c r="B345">
        <v>1</v>
      </c>
      <c r="C345" t="str">
        <f t="shared" si="87"/>
        <v>43000</v>
      </c>
      <c r="D345" t="str">
        <f t="shared" si="88"/>
        <v>5740</v>
      </c>
      <c r="E345" t="str">
        <f t="shared" si="89"/>
        <v>850LOS</v>
      </c>
      <c r="F345" t="str">
        <f>""</f>
        <v/>
      </c>
      <c r="G345" t="str">
        <f>""</f>
        <v/>
      </c>
      <c r="H345" s="1">
        <v>40297</v>
      </c>
      <c r="I345" t="str">
        <f>"COP00237"</f>
        <v>COP00237</v>
      </c>
      <c r="J345" t="str">
        <f t="shared" si="85"/>
        <v>JOB ORDR</v>
      </c>
      <c r="K345" t="str">
        <f t="shared" si="86"/>
        <v>AS89</v>
      </c>
      <c r="L345" t="s">
        <v>1337</v>
      </c>
      <c r="M345">
        <v>182.17</v>
      </c>
    </row>
    <row r="346" spans="1:13" x14ac:dyDescent="0.25">
      <c r="A346" t="str">
        <f t="shared" si="84"/>
        <v>E172</v>
      </c>
      <c r="B346">
        <v>1</v>
      </c>
      <c r="C346" t="str">
        <f t="shared" si="87"/>
        <v>43000</v>
      </c>
      <c r="D346" t="str">
        <f t="shared" si="88"/>
        <v>5740</v>
      </c>
      <c r="E346" t="str">
        <f t="shared" si="89"/>
        <v>850LOS</v>
      </c>
      <c r="F346" t="str">
        <f>""</f>
        <v/>
      </c>
      <c r="G346" t="str">
        <f>""</f>
        <v/>
      </c>
      <c r="H346" s="1">
        <v>40325</v>
      </c>
      <c r="I346" t="str">
        <f>"COP00238"</f>
        <v>COP00238</v>
      </c>
      <c r="J346" t="str">
        <f t="shared" si="85"/>
        <v>JOB ORDR</v>
      </c>
      <c r="K346" t="str">
        <f t="shared" si="86"/>
        <v>AS89</v>
      </c>
      <c r="L346" t="s">
        <v>1336</v>
      </c>
      <c r="M346">
        <v>297.87</v>
      </c>
    </row>
    <row r="347" spans="1:13" x14ac:dyDescent="0.25">
      <c r="A347" t="str">
        <f t="shared" si="84"/>
        <v>E172</v>
      </c>
      <c r="B347">
        <v>1</v>
      </c>
      <c r="C347" t="str">
        <f t="shared" si="87"/>
        <v>43000</v>
      </c>
      <c r="D347" t="str">
        <f t="shared" si="88"/>
        <v>5740</v>
      </c>
      <c r="E347" t="str">
        <f t="shared" si="89"/>
        <v>850LOS</v>
      </c>
      <c r="F347" t="str">
        <f>""</f>
        <v/>
      </c>
      <c r="G347" t="str">
        <f>""</f>
        <v/>
      </c>
      <c r="H347" s="1">
        <v>40359</v>
      </c>
      <c r="I347" t="str">
        <f>"COP00239"</f>
        <v>COP00239</v>
      </c>
      <c r="J347" t="str">
        <f t="shared" si="85"/>
        <v>JOB ORDR</v>
      </c>
      <c r="K347" t="str">
        <f t="shared" si="86"/>
        <v>AS89</v>
      </c>
      <c r="L347" t="s">
        <v>1334</v>
      </c>
      <c r="M347">
        <v>535.83000000000004</v>
      </c>
    </row>
    <row r="348" spans="1:13" x14ac:dyDescent="0.25">
      <c r="A348" t="str">
        <f t="shared" si="84"/>
        <v>E172</v>
      </c>
      <c r="B348">
        <v>1</v>
      </c>
      <c r="C348" t="str">
        <f t="shared" si="87"/>
        <v>43000</v>
      </c>
      <c r="D348" t="str">
        <f t="shared" si="88"/>
        <v>5740</v>
      </c>
      <c r="E348" t="str">
        <f>"850PKE"</f>
        <v>850PKE</v>
      </c>
      <c r="F348" t="str">
        <f>""</f>
        <v/>
      </c>
      <c r="G348" t="str">
        <f>""</f>
        <v/>
      </c>
      <c r="H348" s="1">
        <v>40205</v>
      </c>
      <c r="I348" t="str">
        <f>"COP00234"</f>
        <v>COP00234</v>
      </c>
      <c r="J348" t="str">
        <f t="shared" si="85"/>
        <v>JOB ORDR</v>
      </c>
      <c r="K348" t="str">
        <f t="shared" si="86"/>
        <v>AS89</v>
      </c>
      <c r="L348" t="s">
        <v>1335</v>
      </c>
      <c r="M348">
        <v>728.8</v>
      </c>
    </row>
    <row r="349" spans="1:13" x14ac:dyDescent="0.25">
      <c r="A349" t="str">
        <f t="shared" si="84"/>
        <v>E172</v>
      </c>
      <c r="B349">
        <v>1</v>
      </c>
      <c r="C349" t="str">
        <f>"43001"</f>
        <v>43001</v>
      </c>
      <c r="D349" t="str">
        <f>"5741"</f>
        <v>5741</v>
      </c>
      <c r="E349" t="str">
        <f>"850LOS"</f>
        <v>850LOS</v>
      </c>
      <c r="F349" t="str">
        <f>""</f>
        <v/>
      </c>
      <c r="G349" t="str">
        <f>""</f>
        <v/>
      </c>
      <c r="H349" s="1">
        <v>40359</v>
      </c>
      <c r="I349" t="str">
        <f>"COP00239"</f>
        <v>COP00239</v>
      </c>
      <c r="J349" t="str">
        <f t="shared" si="85"/>
        <v>JOB ORDR</v>
      </c>
      <c r="K349" t="str">
        <f t="shared" si="86"/>
        <v>AS89</v>
      </c>
      <c r="L349" t="s">
        <v>1334</v>
      </c>
      <c r="M349">
        <v>334.72</v>
      </c>
    </row>
    <row r="350" spans="1:13" x14ac:dyDescent="0.25">
      <c r="A350" t="str">
        <f t="shared" si="84"/>
        <v>E172</v>
      </c>
      <c r="B350">
        <v>1</v>
      </c>
      <c r="C350" t="str">
        <f>"43003"</f>
        <v>43003</v>
      </c>
      <c r="D350" t="str">
        <f t="shared" ref="D350:D355" si="90">"5740"</f>
        <v>5740</v>
      </c>
      <c r="E350" t="str">
        <f>"850LOS"</f>
        <v>850LOS</v>
      </c>
      <c r="F350" t="str">
        <f>""</f>
        <v/>
      </c>
      <c r="G350" t="str">
        <f>""</f>
        <v/>
      </c>
      <c r="H350" s="1">
        <v>40234</v>
      </c>
      <c r="I350" t="str">
        <f>"COP00235"</f>
        <v>COP00235</v>
      </c>
      <c r="J350" t="str">
        <f t="shared" si="85"/>
        <v>JOB ORDR</v>
      </c>
      <c r="K350" t="str">
        <f t="shared" si="86"/>
        <v>AS89</v>
      </c>
      <c r="L350" t="s">
        <v>1333</v>
      </c>
      <c r="M350">
        <v>147.6</v>
      </c>
    </row>
    <row r="351" spans="1:13" x14ac:dyDescent="0.25">
      <c r="A351" t="str">
        <f t="shared" si="84"/>
        <v>E172</v>
      </c>
      <c r="B351">
        <v>1</v>
      </c>
      <c r="C351" t="str">
        <f>"43007"</f>
        <v>43007</v>
      </c>
      <c r="D351" t="str">
        <f t="shared" si="90"/>
        <v>5740</v>
      </c>
      <c r="E351" t="str">
        <f>"850GAR"</f>
        <v>850GAR</v>
      </c>
      <c r="F351" t="str">
        <f>""</f>
        <v/>
      </c>
      <c r="G351" t="str">
        <f>""</f>
        <v/>
      </c>
      <c r="H351" s="1">
        <v>40169</v>
      </c>
      <c r="I351" t="str">
        <f>"COP00233"</f>
        <v>COP00233</v>
      </c>
      <c r="J351" t="str">
        <f t="shared" si="85"/>
        <v>JOB ORDR</v>
      </c>
      <c r="K351" t="str">
        <f t="shared" si="86"/>
        <v>AS89</v>
      </c>
      <c r="L351" t="s">
        <v>1332</v>
      </c>
      <c r="M351">
        <v>500.43</v>
      </c>
    </row>
    <row r="352" spans="1:13" x14ac:dyDescent="0.25">
      <c r="A352" t="str">
        <f>"E173"</f>
        <v>E173</v>
      </c>
      <c r="B352">
        <v>1</v>
      </c>
      <c r="C352" t="str">
        <f>"43000"</f>
        <v>43000</v>
      </c>
      <c r="D352" t="str">
        <f t="shared" si="90"/>
        <v>5740</v>
      </c>
      <c r="E352" t="str">
        <f>"850LOS"</f>
        <v>850LOS</v>
      </c>
      <c r="F352" t="str">
        <f>""</f>
        <v/>
      </c>
      <c r="G352" t="str">
        <f>""</f>
        <v/>
      </c>
      <c r="H352" s="1">
        <v>40086</v>
      </c>
      <c r="I352" t="str">
        <f>"CSS00108"</f>
        <v>CSS00108</v>
      </c>
      <c r="J352" t="str">
        <f>"AUDITRON"</f>
        <v>AUDITRON</v>
      </c>
      <c r="K352" t="str">
        <f t="shared" si="86"/>
        <v>AS89</v>
      </c>
      <c r="L352" t="s">
        <v>1330</v>
      </c>
      <c r="M352">
        <v>129.9</v>
      </c>
    </row>
    <row r="353" spans="1:13" x14ac:dyDescent="0.25">
      <c r="A353" t="str">
        <f>"E173"</f>
        <v>E173</v>
      </c>
      <c r="B353">
        <v>1</v>
      </c>
      <c r="C353" t="str">
        <f>"43000"</f>
        <v>43000</v>
      </c>
      <c r="D353" t="str">
        <f t="shared" si="90"/>
        <v>5740</v>
      </c>
      <c r="E353" t="str">
        <f>"850LOS"</f>
        <v>850LOS</v>
      </c>
      <c r="F353" t="str">
        <f>""</f>
        <v/>
      </c>
      <c r="G353" t="str">
        <f>""</f>
        <v/>
      </c>
      <c r="H353" s="1">
        <v>40329</v>
      </c>
      <c r="I353" t="str">
        <f>"CSS00116"</f>
        <v>CSS00116</v>
      </c>
      <c r="J353" t="str">
        <f>"AUDITRON"</f>
        <v>AUDITRON</v>
      </c>
      <c r="K353" t="str">
        <f t="shared" si="86"/>
        <v>AS89</v>
      </c>
      <c r="L353" t="s">
        <v>1327</v>
      </c>
      <c r="M353">
        <v>120.65</v>
      </c>
    </row>
    <row r="354" spans="1:13" x14ac:dyDescent="0.25">
      <c r="A354" t="str">
        <f>"E173"</f>
        <v>E173</v>
      </c>
      <c r="B354">
        <v>1</v>
      </c>
      <c r="C354" t="str">
        <f>"43000"</f>
        <v>43000</v>
      </c>
      <c r="D354" t="str">
        <f t="shared" si="90"/>
        <v>5740</v>
      </c>
      <c r="E354" t="str">
        <f>"850LOS"</f>
        <v>850LOS</v>
      </c>
      <c r="F354" t="str">
        <f>""</f>
        <v/>
      </c>
      <c r="G354" t="str">
        <f>""</f>
        <v/>
      </c>
      <c r="H354" s="1">
        <v>40357</v>
      </c>
      <c r="I354" t="str">
        <f>"CSS00117"</f>
        <v>CSS00117</v>
      </c>
      <c r="J354" t="str">
        <f>"AUDITRON"</f>
        <v>AUDITRON</v>
      </c>
      <c r="K354" t="str">
        <f t="shared" si="86"/>
        <v>AS89</v>
      </c>
      <c r="L354" t="s">
        <v>1326</v>
      </c>
      <c r="M354">
        <v>100.3</v>
      </c>
    </row>
    <row r="355" spans="1:13" x14ac:dyDescent="0.25">
      <c r="A355" t="str">
        <f>"E190"</f>
        <v>E190</v>
      </c>
      <c r="B355">
        <v>1</v>
      </c>
      <c r="C355" t="str">
        <f>"43000"</f>
        <v>43000</v>
      </c>
      <c r="D355" t="str">
        <f t="shared" si="90"/>
        <v>5740</v>
      </c>
      <c r="E355" t="str">
        <f>"850LOS"</f>
        <v>850LOS</v>
      </c>
      <c r="F355" t="str">
        <f>""</f>
        <v/>
      </c>
      <c r="G355" t="str">
        <f>""</f>
        <v/>
      </c>
      <c r="H355" s="1">
        <v>40333</v>
      </c>
      <c r="I355" t="str">
        <f>"PCD00423"</f>
        <v>PCD00423</v>
      </c>
      <c r="J355" t="str">
        <f>"122067"</f>
        <v>122067</v>
      </c>
      <c r="K355" t="str">
        <f t="shared" si="86"/>
        <v>AS89</v>
      </c>
      <c r="L355" t="s">
        <v>1325</v>
      </c>
      <c r="M355">
        <v>895.13</v>
      </c>
    </row>
    <row r="356" spans="1:13" x14ac:dyDescent="0.25">
      <c r="A356" t="str">
        <f t="shared" ref="A356:A363" si="91">"E191"</f>
        <v>E191</v>
      </c>
      <c r="B356">
        <v>1</v>
      </c>
      <c r="C356" t="str">
        <f>"14185"</f>
        <v>14185</v>
      </c>
      <c r="D356" t="str">
        <f>"5620"</f>
        <v>5620</v>
      </c>
      <c r="E356" t="str">
        <f>"094OMS"</f>
        <v>094OMS</v>
      </c>
      <c r="F356" t="str">
        <f>""</f>
        <v/>
      </c>
      <c r="G356" t="str">
        <f>""</f>
        <v/>
      </c>
      <c r="H356" s="1">
        <v>40277</v>
      </c>
      <c r="I356" t="str">
        <f>"PCD00415"</f>
        <v>PCD00415</v>
      </c>
      <c r="J356" t="str">
        <f>"118978"</f>
        <v>118978</v>
      </c>
      <c r="K356" t="str">
        <f t="shared" si="86"/>
        <v>AS89</v>
      </c>
      <c r="L356" t="s">
        <v>1323</v>
      </c>
      <c r="M356">
        <v>198</v>
      </c>
    </row>
    <row r="357" spans="1:13" x14ac:dyDescent="0.25">
      <c r="A357" t="str">
        <f t="shared" si="91"/>
        <v>E191</v>
      </c>
      <c r="B357">
        <v>1</v>
      </c>
      <c r="C357" t="str">
        <f>"14185"</f>
        <v>14185</v>
      </c>
      <c r="D357" t="str">
        <f>"5620"</f>
        <v>5620</v>
      </c>
      <c r="E357" t="str">
        <f>"094OMS"</f>
        <v>094OMS</v>
      </c>
      <c r="F357" t="str">
        <f>""</f>
        <v/>
      </c>
      <c r="G357" t="str">
        <f>""</f>
        <v/>
      </c>
      <c r="H357" s="1">
        <v>40305</v>
      </c>
      <c r="I357" t="str">
        <f>"PCD00419"</f>
        <v>PCD00419</v>
      </c>
      <c r="J357" t="str">
        <f>"119763"</f>
        <v>119763</v>
      </c>
      <c r="K357" t="str">
        <f t="shared" si="86"/>
        <v>AS89</v>
      </c>
      <c r="L357" t="s">
        <v>1322</v>
      </c>
      <c r="M357">
        <v>840</v>
      </c>
    </row>
    <row r="358" spans="1:13" x14ac:dyDescent="0.25">
      <c r="A358" t="str">
        <f t="shared" si="91"/>
        <v>E191</v>
      </c>
      <c r="B358">
        <v>1</v>
      </c>
      <c r="C358" t="str">
        <f>"14185"</f>
        <v>14185</v>
      </c>
      <c r="D358" t="str">
        <f>"5620"</f>
        <v>5620</v>
      </c>
      <c r="E358" t="str">
        <f>"094OMS"</f>
        <v>094OMS</v>
      </c>
      <c r="F358" t="str">
        <f>""</f>
        <v/>
      </c>
      <c r="G358" t="str">
        <f>""</f>
        <v/>
      </c>
      <c r="H358" s="1">
        <v>40333</v>
      </c>
      <c r="I358" t="str">
        <f>"PCD00423"</f>
        <v>PCD00423</v>
      </c>
      <c r="J358" t="str">
        <f>"122338"</f>
        <v>122338</v>
      </c>
      <c r="K358" t="str">
        <f t="shared" si="86"/>
        <v>AS89</v>
      </c>
      <c r="L358" t="s">
        <v>1321</v>
      </c>
      <c r="M358">
        <v>209</v>
      </c>
    </row>
    <row r="359" spans="1:13" x14ac:dyDescent="0.25">
      <c r="A359" t="str">
        <f t="shared" si="91"/>
        <v>E191</v>
      </c>
      <c r="B359">
        <v>1</v>
      </c>
      <c r="C359" t="str">
        <f>"14185"</f>
        <v>14185</v>
      </c>
      <c r="D359" t="str">
        <f>"5620"</f>
        <v>5620</v>
      </c>
      <c r="E359" t="str">
        <f>"094OMS"</f>
        <v>094OMS</v>
      </c>
      <c r="F359" t="str">
        <f>""</f>
        <v/>
      </c>
      <c r="G359" t="str">
        <f>""</f>
        <v/>
      </c>
      <c r="H359" s="1">
        <v>40359</v>
      </c>
      <c r="I359" t="str">
        <f>"PCD00427"</f>
        <v>PCD00427</v>
      </c>
      <c r="J359" t="str">
        <f>"123590"</f>
        <v>123590</v>
      </c>
      <c r="K359" t="str">
        <f t="shared" si="86"/>
        <v>AS89</v>
      </c>
      <c r="L359" t="s">
        <v>1317</v>
      </c>
      <c r="M359">
        <v>387</v>
      </c>
    </row>
    <row r="360" spans="1:13" x14ac:dyDescent="0.25">
      <c r="A360" t="str">
        <f t="shared" si="91"/>
        <v>E191</v>
      </c>
      <c r="B360">
        <v>1</v>
      </c>
      <c r="C360" t="str">
        <f>"43000"</f>
        <v>43000</v>
      </c>
      <c r="D360" t="str">
        <f>"5740"</f>
        <v>5740</v>
      </c>
      <c r="E360" t="str">
        <f>"850LOS"</f>
        <v>850LOS</v>
      </c>
      <c r="F360" t="str">
        <f>""</f>
        <v/>
      </c>
      <c r="G360" t="str">
        <f>""</f>
        <v/>
      </c>
      <c r="H360" s="1">
        <v>40095</v>
      </c>
      <c r="I360" t="str">
        <f>"PCD00389"</f>
        <v>PCD00389</v>
      </c>
      <c r="J360" t="str">
        <f>"106939"</f>
        <v>106939</v>
      </c>
      <c r="K360" t="str">
        <f t="shared" si="86"/>
        <v>AS89</v>
      </c>
      <c r="L360" t="s">
        <v>1320</v>
      </c>
      <c r="M360">
        <v>199</v>
      </c>
    </row>
    <row r="361" spans="1:13" x14ac:dyDescent="0.25">
      <c r="A361" t="str">
        <f t="shared" si="91"/>
        <v>E191</v>
      </c>
      <c r="B361">
        <v>1</v>
      </c>
      <c r="C361" t="str">
        <f>"43000"</f>
        <v>43000</v>
      </c>
      <c r="D361" t="str">
        <f>"5740"</f>
        <v>5740</v>
      </c>
      <c r="E361" t="str">
        <f>"850LOS"</f>
        <v>850LOS</v>
      </c>
      <c r="F361" t="str">
        <f>""</f>
        <v/>
      </c>
      <c r="G361" t="str">
        <f>""</f>
        <v/>
      </c>
      <c r="H361" s="1">
        <v>40123</v>
      </c>
      <c r="I361" t="str">
        <f>"PCD00394"</f>
        <v>PCD00394</v>
      </c>
      <c r="J361" t="str">
        <f>"108309"</f>
        <v>108309</v>
      </c>
      <c r="K361" t="str">
        <f t="shared" si="86"/>
        <v>AS89</v>
      </c>
      <c r="L361" t="s">
        <v>1319</v>
      </c>
      <c r="M361">
        <v>100</v>
      </c>
    </row>
    <row r="362" spans="1:13" x14ac:dyDescent="0.25">
      <c r="A362" t="str">
        <f t="shared" si="91"/>
        <v>E191</v>
      </c>
      <c r="B362">
        <v>1</v>
      </c>
      <c r="C362" t="str">
        <f>"43000"</f>
        <v>43000</v>
      </c>
      <c r="D362" t="str">
        <f>"5740"</f>
        <v>5740</v>
      </c>
      <c r="E362" t="str">
        <f>"850LOS"</f>
        <v>850LOS</v>
      </c>
      <c r="F362" t="str">
        <f>""</f>
        <v/>
      </c>
      <c r="G362" t="str">
        <f>""</f>
        <v/>
      </c>
      <c r="H362" s="1">
        <v>40277</v>
      </c>
      <c r="I362" t="str">
        <f>"PCD00415"</f>
        <v>PCD00415</v>
      </c>
      <c r="J362" t="str">
        <f>"117807"</f>
        <v>117807</v>
      </c>
      <c r="K362" t="str">
        <f t="shared" si="86"/>
        <v>AS89</v>
      </c>
      <c r="L362" t="s">
        <v>1318</v>
      </c>
      <c r="M362">
        <v>395</v>
      </c>
    </row>
    <row r="363" spans="1:13" x14ac:dyDescent="0.25">
      <c r="A363" t="str">
        <f t="shared" si="91"/>
        <v>E191</v>
      </c>
      <c r="B363">
        <v>1</v>
      </c>
      <c r="C363" t="str">
        <f>"43000"</f>
        <v>43000</v>
      </c>
      <c r="D363" t="str">
        <f>"5740"</f>
        <v>5740</v>
      </c>
      <c r="E363" t="str">
        <f>"850LOS"</f>
        <v>850LOS</v>
      </c>
      <c r="F363" t="str">
        <f>""</f>
        <v/>
      </c>
      <c r="G363" t="str">
        <f>""</f>
        <v/>
      </c>
      <c r="H363" s="1">
        <v>40359</v>
      </c>
      <c r="I363" t="str">
        <f>"PCD00427"</f>
        <v>PCD00427</v>
      </c>
      <c r="J363" t="str">
        <f>"123591"</f>
        <v>123591</v>
      </c>
      <c r="K363" t="str">
        <f t="shared" si="86"/>
        <v>AS89</v>
      </c>
      <c r="L363" t="s">
        <v>1317</v>
      </c>
      <c r="M363">
        <v>387</v>
      </c>
    </row>
    <row r="364" spans="1:13" x14ac:dyDescent="0.25">
      <c r="A364" t="str">
        <f>"E192"</f>
        <v>E192</v>
      </c>
      <c r="B364">
        <v>1</v>
      </c>
      <c r="C364" t="str">
        <f>"14185"</f>
        <v>14185</v>
      </c>
      <c r="D364" t="str">
        <f>"5620"</f>
        <v>5620</v>
      </c>
      <c r="E364" t="str">
        <f>"094OMS"</f>
        <v>094OMS</v>
      </c>
      <c r="F364" t="str">
        <f>""</f>
        <v/>
      </c>
      <c r="G364" t="str">
        <f>""</f>
        <v/>
      </c>
      <c r="H364" s="1">
        <v>40242</v>
      </c>
      <c r="I364" t="str">
        <f>"PCD00410"</f>
        <v>PCD00410</v>
      </c>
      <c r="J364" t="str">
        <f>"116536"</f>
        <v>116536</v>
      </c>
      <c r="K364" t="str">
        <f t="shared" si="86"/>
        <v>AS89</v>
      </c>
      <c r="L364" t="s">
        <v>1316</v>
      </c>
      <c r="M364">
        <v>180</v>
      </c>
    </row>
    <row r="365" spans="1:13" x14ac:dyDescent="0.25">
      <c r="A365" t="str">
        <f>"E193"</f>
        <v>E193</v>
      </c>
      <c r="B365">
        <v>1</v>
      </c>
      <c r="C365" t="str">
        <f>"14185"</f>
        <v>14185</v>
      </c>
      <c r="D365" t="str">
        <f>"5620"</f>
        <v>5620</v>
      </c>
      <c r="E365" t="str">
        <f>"094OMS"</f>
        <v>094OMS</v>
      </c>
      <c r="F365" t="str">
        <f>""</f>
        <v/>
      </c>
      <c r="G365" t="str">
        <f>""</f>
        <v/>
      </c>
      <c r="H365" s="1">
        <v>40189</v>
      </c>
      <c r="I365" t="str">
        <f>"PCD00402"</f>
        <v>PCD00402</v>
      </c>
      <c r="J365" t="str">
        <f>"111058"</f>
        <v>111058</v>
      </c>
      <c r="K365" t="str">
        <f t="shared" si="86"/>
        <v>AS89</v>
      </c>
      <c r="L365" t="s">
        <v>1315</v>
      </c>
      <c r="M365">
        <v>325</v>
      </c>
    </row>
    <row r="366" spans="1:13" x14ac:dyDescent="0.25">
      <c r="A366" t="str">
        <f>"E193"</f>
        <v>E193</v>
      </c>
      <c r="B366">
        <v>1</v>
      </c>
      <c r="C366" t="str">
        <f>"14185"</f>
        <v>14185</v>
      </c>
      <c r="D366" t="str">
        <f>"5620"</f>
        <v>5620</v>
      </c>
      <c r="E366" t="str">
        <f>"094OMS"</f>
        <v>094OMS</v>
      </c>
      <c r="F366" t="str">
        <f>""</f>
        <v/>
      </c>
      <c r="G366" t="str">
        <f>""</f>
        <v/>
      </c>
      <c r="H366" s="1">
        <v>40277</v>
      </c>
      <c r="I366" t="str">
        <f>"PCD00415"</f>
        <v>PCD00415</v>
      </c>
      <c r="J366" t="str">
        <f>"117148"</f>
        <v>117148</v>
      </c>
      <c r="K366" t="str">
        <f t="shared" si="86"/>
        <v>AS89</v>
      </c>
      <c r="L366" t="s">
        <v>1314</v>
      </c>
      <c r="M366">
        <v>300</v>
      </c>
    </row>
    <row r="367" spans="1:13" x14ac:dyDescent="0.25">
      <c r="A367" t="str">
        <f>"E193"</f>
        <v>E193</v>
      </c>
      <c r="B367">
        <v>1</v>
      </c>
      <c r="C367" t="str">
        <f>"14185"</f>
        <v>14185</v>
      </c>
      <c r="D367" t="str">
        <f>"5620"</f>
        <v>5620</v>
      </c>
      <c r="E367" t="str">
        <f>"094OMS"</f>
        <v>094OMS</v>
      </c>
      <c r="F367" t="str">
        <f>""</f>
        <v/>
      </c>
      <c r="G367" t="str">
        <f>""</f>
        <v/>
      </c>
      <c r="H367" s="1">
        <v>40359</v>
      </c>
      <c r="I367" t="str">
        <f>"PCD00427"</f>
        <v>PCD00427</v>
      </c>
      <c r="J367" t="str">
        <f>"125313"</f>
        <v>125313</v>
      </c>
      <c r="K367" t="str">
        <f t="shared" si="86"/>
        <v>AS89</v>
      </c>
      <c r="L367" t="s">
        <v>1313</v>
      </c>
      <c r="M367">
        <v>300</v>
      </c>
    </row>
    <row r="368" spans="1:13" x14ac:dyDescent="0.25">
      <c r="A368" t="str">
        <f>"E194"</f>
        <v>E194</v>
      </c>
      <c r="B368">
        <v>1</v>
      </c>
      <c r="C368" t="str">
        <f>"54551"</f>
        <v>54551</v>
      </c>
      <c r="D368" t="str">
        <f>"5740"</f>
        <v>5740</v>
      </c>
      <c r="E368" t="str">
        <f>"111ZAA"</f>
        <v>111ZAA</v>
      </c>
      <c r="F368" t="str">
        <f>""</f>
        <v/>
      </c>
      <c r="G368" t="str">
        <f>""</f>
        <v/>
      </c>
      <c r="H368" s="1">
        <v>40219</v>
      </c>
      <c r="I368" t="str">
        <f>"141120A"</f>
        <v>141120A</v>
      </c>
      <c r="J368" t="str">
        <f>""</f>
        <v/>
      </c>
      <c r="K368" t="str">
        <f>"INNI"</f>
        <v>INNI</v>
      </c>
      <c r="L368" t="s">
        <v>92</v>
      </c>
      <c r="M368" s="2">
        <v>2731.3</v>
      </c>
    </row>
    <row r="369" spans="1:13" x14ac:dyDescent="0.25">
      <c r="A369" t="str">
        <f t="shared" ref="A369:A377" si="92">"E210"</f>
        <v>E210</v>
      </c>
      <c r="B369">
        <v>1</v>
      </c>
      <c r="C369" t="str">
        <f>"14185"</f>
        <v>14185</v>
      </c>
      <c r="D369" t="str">
        <f t="shared" ref="D369:D374" si="93">"5620"</f>
        <v>5620</v>
      </c>
      <c r="E369" t="str">
        <f t="shared" ref="E369:E374" si="94">"094OMS"</f>
        <v>094OMS</v>
      </c>
      <c r="F369" t="str">
        <f>""</f>
        <v/>
      </c>
      <c r="G369" t="str">
        <f>""</f>
        <v/>
      </c>
      <c r="H369" s="1">
        <v>40119</v>
      </c>
      <c r="I369" t="str">
        <f>"PCD00393"</f>
        <v>PCD00393</v>
      </c>
      <c r="J369" t="str">
        <f>"108300"</f>
        <v>108300</v>
      </c>
      <c r="K369" t="str">
        <f>"AS89"</f>
        <v>AS89</v>
      </c>
      <c r="L369" t="s">
        <v>1312</v>
      </c>
      <c r="M369">
        <v>239.55</v>
      </c>
    </row>
    <row r="370" spans="1:13" x14ac:dyDescent="0.25">
      <c r="A370" t="str">
        <f t="shared" si="92"/>
        <v>E210</v>
      </c>
      <c r="B370">
        <v>1</v>
      </c>
      <c r="C370" t="str">
        <f>"14185"</f>
        <v>14185</v>
      </c>
      <c r="D370" t="str">
        <f t="shared" si="93"/>
        <v>5620</v>
      </c>
      <c r="E370" t="str">
        <f t="shared" si="94"/>
        <v>094OMS</v>
      </c>
      <c r="F370" t="str">
        <f>""</f>
        <v/>
      </c>
      <c r="G370" t="str">
        <f>""</f>
        <v/>
      </c>
      <c r="H370" s="1">
        <v>40189</v>
      </c>
      <c r="I370" t="str">
        <f>"PCD00402"</f>
        <v>PCD00402</v>
      </c>
      <c r="J370" t="str">
        <f>"111351"</f>
        <v>111351</v>
      </c>
      <c r="K370" t="str">
        <f>"AS89"</f>
        <v>AS89</v>
      </c>
      <c r="L370" t="s">
        <v>1311</v>
      </c>
      <c r="M370">
        <v>461.13</v>
      </c>
    </row>
    <row r="371" spans="1:13" x14ac:dyDescent="0.25">
      <c r="A371" t="str">
        <f t="shared" si="92"/>
        <v>E210</v>
      </c>
      <c r="B371">
        <v>1</v>
      </c>
      <c r="C371" t="str">
        <f>"14185"</f>
        <v>14185</v>
      </c>
      <c r="D371" t="str">
        <f t="shared" si="93"/>
        <v>5620</v>
      </c>
      <c r="E371" t="str">
        <f t="shared" si="94"/>
        <v>094OMS</v>
      </c>
      <c r="F371" t="str">
        <f>""</f>
        <v/>
      </c>
      <c r="G371" t="str">
        <f>""</f>
        <v/>
      </c>
      <c r="H371" s="1">
        <v>40214</v>
      </c>
      <c r="I371" t="str">
        <f>"PCD00406"</f>
        <v>PCD00406</v>
      </c>
      <c r="J371" t="str">
        <f>"112952"</f>
        <v>112952</v>
      </c>
      <c r="K371" t="str">
        <f>"AS89"</f>
        <v>AS89</v>
      </c>
      <c r="L371" t="s">
        <v>1310</v>
      </c>
      <c r="M371">
        <v>415.1</v>
      </c>
    </row>
    <row r="372" spans="1:13" x14ac:dyDescent="0.25">
      <c r="A372" t="str">
        <f t="shared" si="92"/>
        <v>E210</v>
      </c>
      <c r="B372">
        <v>1</v>
      </c>
      <c r="C372" t="str">
        <f>"14185"</f>
        <v>14185</v>
      </c>
      <c r="D372" t="str">
        <f t="shared" si="93"/>
        <v>5620</v>
      </c>
      <c r="E372" t="str">
        <f t="shared" si="94"/>
        <v>094OMS</v>
      </c>
      <c r="F372" t="str">
        <f>""</f>
        <v/>
      </c>
      <c r="G372" t="str">
        <f>""</f>
        <v/>
      </c>
      <c r="H372" s="1">
        <v>40280</v>
      </c>
      <c r="I372" t="str">
        <f>"I0096136"</f>
        <v>I0096136</v>
      </c>
      <c r="J372" t="str">
        <f>"F138283"</f>
        <v>F138283</v>
      </c>
      <c r="K372" t="str">
        <f>"INEI"</f>
        <v>INEI</v>
      </c>
      <c r="L372" t="s">
        <v>179</v>
      </c>
      <c r="M372" s="2">
        <v>5025</v>
      </c>
    </row>
    <row r="373" spans="1:13" x14ac:dyDescent="0.25">
      <c r="A373" t="str">
        <f t="shared" si="92"/>
        <v>E210</v>
      </c>
      <c r="B373">
        <v>1</v>
      </c>
      <c r="C373" t="str">
        <f>"14185"</f>
        <v>14185</v>
      </c>
      <c r="D373" t="str">
        <f t="shared" si="93"/>
        <v>5620</v>
      </c>
      <c r="E373" t="str">
        <f t="shared" si="94"/>
        <v>094OMS</v>
      </c>
      <c r="F373" t="str">
        <f>""</f>
        <v/>
      </c>
      <c r="G373" t="str">
        <f>""</f>
        <v/>
      </c>
      <c r="H373" s="1">
        <v>40359</v>
      </c>
      <c r="I373" t="str">
        <f>"G1014061"</f>
        <v>G1014061</v>
      </c>
      <c r="J373" t="str">
        <f>""</f>
        <v/>
      </c>
      <c r="K373" t="str">
        <f>"J096"</f>
        <v>J096</v>
      </c>
      <c r="L373" t="s">
        <v>1309</v>
      </c>
      <c r="M373">
        <v>540</v>
      </c>
    </row>
    <row r="374" spans="1:13" x14ac:dyDescent="0.25">
      <c r="A374" t="str">
        <f t="shared" si="92"/>
        <v>E210</v>
      </c>
      <c r="B374">
        <v>1</v>
      </c>
      <c r="C374" t="str">
        <f>"31040"</f>
        <v>31040</v>
      </c>
      <c r="D374" t="str">
        <f t="shared" si="93"/>
        <v>5620</v>
      </c>
      <c r="E374" t="str">
        <f t="shared" si="94"/>
        <v>094OMS</v>
      </c>
      <c r="F374" t="str">
        <f>""</f>
        <v/>
      </c>
      <c r="G374" t="str">
        <f>""</f>
        <v/>
      </c>
      <c r="H374" s="1">
        <v>40338</v>
      </c>
      <c r="I374" t="str">
        <f>"183014"</f>
        <v>183014</v>
      </c>
      <c r="J374" t="str">
        <f>""</f>
        <v/>
      </c>
      <c r="K374" t="str">
        <f>"INNI"</f>
        <v>INNI</v>
      </c>
      <c r="L374" t="s">
        <v>4</v>
      </c>
      <c r="M374">
        <v>175</v>
      </c>
    </row>
    <row r="375" spans="1:13" x14ac:dyDescent="0.25">
      <c r="A375" t="str">
        <f t="shared" si="92"/>
        <v>E210</v>
      </c>
      <c r="B375">
        <v>1</v>
      </c>
      <c r="C375" t="str">
        <f t="shared" ref="C375:C382" si="95">"43000"</f>
        <v>43000</v>
      </c>
      <c r="D375" t="str">
        <f t="shared" ref="D375:D382" si="96">"5740"</f>
        <v>5740</v>
      </c>
      <c r="E375" t="str">
        <f>"850LOS"</f>
        <v>850LOS</v>
      </c>
      <c r="F375" t="str">
        <f>""</f>
        <v/>
      </c>
      <c r="G375" t="str">
        <f>""</f>
        <v/>
      </c>
      <c r="H375" s="1">
        <v>40126</v>
      </c>
      <c r="I375" t="str">
        <f>"138266A"</f>
        <v>138266A</v>
      </c>
      <c r="J375" t="str">
        <f>""</f>
        <v/>
      </c>
      <c r="K375" t="str">
        <f>"INNI"</f>
        <v>INNI</v>
      </c>
      <c r="L375" t="s">
        <v>92</v>
      </c>
      <c r="M375" s="2">
        <v>16500</v>
      </c>
    </row>
    <row r="376" spans="1:13" x14ac:dyDescent="0.25">
      <c r="A376" t="str">
        <f t="shared" si="92"/>
        <v>E210</v>
      </c>
      <c r="B376">
        <v>1</v>
      </c>
      <c r="C376" t="str">
        <f t="shared" si="95"/>
        <v>43000</v>
      </c>
      <c r="D376" t="str">
        <f t="shared" si="96"/>
        <v>5740</v>
      </c>
      <c r="E376" t="str">
        <f>"850LOS"</f>
        <v>850LOS</v>
      </c>
      <c r="F376" t="str">
        <f>""</f>
        <v/>
      </c>
      <c r="G376" t="str">
        <f>""</f>
        <v/>
      </c>
      <c r="H376" s="1">
        <v>40240</v>
      </c>
      <c r="I376" t="str">
        <f>"12859A"</f>
        <v>12859A</v>
      </c>
      <c r="J376" t="str">
        <f>"N138267"</f>
        <v>N138267</v>
      </c>
      <c r="K376" t="str">
        <f>"INEI"</f>
        <v>INEI</v>
      </c>
      <c r="L376" t="s">
        <v>3</v>
      </c>
      <c r="M376" s="2">
        <v>12500</v>
      </c>
    </row>
    <row r="377" spans="1:13" x14ac:dyDescent="0.25">
      <c r="A377" t="str">
        <f t="shared" si="92"/>
        <v>E210</v>
      </c>
      <c r="B377">
        <v>1</v>
      </c>
      <c r="C377" t="str">
        <f t="shared" si="95"/>
        <v>43000</v>
      </c>
      <c r="D377" t="str">
        <f t="shared" si="96"/>
        <v>5740</v>
      </c>
      <c r="E377" t="str">
        <f>"850LOS"</f>
        <v>850LOS</v>
      </c>
      <c r="F377" t="str">
        <f>""</f>
        <v/>
      </c>
      <c r="G377" t="str">
        <f>""</f>
        <v/>
      </c>
      <c r="H377" s="1">
        <v>40359</v>
      </c>
      <c r="I377" t="str">
        <f>"G1012337"</f>
        <v>G1012337</v>
      </c>
      <c r="J377" t="str">
        <f>"125342"</f>
        <v>125342</v>
      </c>
      <c r="K377" t="str">
        <f>"J079"</f>
        <v>J079</v>
      </c>
      <c r="L377" t="s">
        <v>1308</v>
      </c>
      <c r="M377" s="2">
        <v>6084</v>
      </c>
    </row>
    <row r="378" spans="1:13" x14ac:dyDescent="0.25">
      <c r="A378" t="str">
        <f>"E213"</f>
        <v>E213</v>
      </c>
      <c r="B378">
        <v>1</v>
      </c>
      <c r="C378" t="str">
        <f t="shared" si="95"/>
        <v>43000</v>
      </c>
      <c r="D378" t="str">
        <f t="shared" si="96"/>
        <v>5740</v>
      </c>
      <c r="E378" t="str">
        <f>"850PKE"</f>
        <v>850PKE</v>
      </c>
      <c r="F378" t="str">
        <f>""</f>
        <v/>
      </c>
      <c r="G378" t="str">
        <f>""</f>
        <v/>
      </c>
      <c r="H378" s="1">
        <v>40273</v>
      </c>
      <c r="I378" t="str">
        <f>"0002830A"</f>
        <v>0002830A</v>
      </c>
      <c r="J378" t="str">
        <f>"B125379"</f>
        <v>B125379</v>
      </c>
      <c r="K378" t="str">
        <f>"INNI"</f>
        <v>INNI</v>
      </c>
      <c r="L378" t="s">
        <v>225</v>
      </c>
      <c r="M378">
        <v>127.15</v>
      </c>
    </row>
    <row r="379" spans="1:13" x14ac:dyDescent="0.25">
      <c r="A379" t="str">
        <f>"E213"</f>
        <v>E213</v>
      </c>
      <c r="B379">
        <v>1</v>
      </c>
      <c r="C379" t="str">
        <f t="shared" si="95"/>
        <v>43000</v>
      </c>
      <c r="D379" t="str">
        <f t="shared" si="96"/>
        <v>5740</v>
      </c>
      <c r="E379" t="str">
        <f>"850PKE"</f>
        <v>850PKE</v>
      </c>
      <c r="F379" t="str">
        <f>""</f>
        <v/>
      </c>
      <c r="G379" t="str">
        <f>""</f>
        <v/>
      </c>
      <c r="H379" s="1">
        <v>40273</v>
      </c>
      <c r="I379" t="str">
        <f>"00002845"</f>
        <v>00002845</v>
      </c>
      <c r="J379" t="str">
        <f>"B125379"</f>
        <v>B125379</v>
      </c>
      <c r="K379" t="str">
        <f>"INNI"</f>
        <v>INNI</v>
      </c>
      <c r="L379" t="s">
        <v>225</v>
      </c>
      <c r="M379">
        <v>127.15</v>
      </c>
    </row>
    <row r="380" spans="1:13" x14ac:dyDescent="0.25">
      <c r="A380" t="str">
        <f>"E213"</f>
        <v>E213</v>
      </c>
      <c r="B380">
        <v>1</v>
      </c>
      <c r="C380" t="str">
        <f t="shared" si="95"/>
        <v>43000</v>
      </c>
      <c r="D380" t="str">
        <f t="shared" si="96"/>
        <v>5740</v>
      </c>
      <c r="E380" t="str">
        <f>"850PKE"</f>
        <v>850PKE</v>
      </c>
      <c r="F380" t="str">
        <f>""</f>
        <v/>
      </c>
      <c r="G380" t="str">
        <f>""</f>
        <v/>
      </c>
      <c r="H380" s="1">
        <v>40273</v>
      </c>
      <c r="I380" t="str">
        <f>"00002828"</f>
        <v>00002828</v>
      </c>
      <c r="J380" t="str">
        <f>"B125379"</f>
        <v>B125379</v>
      </c>
      <c r="K380" t="str">
        <f>"INNI"</f>
        <v>INNI</v>
      </c>
      <c r="L380" t="s">
        <v>225</v>
      </c>
      <c r="M380">
        <v>127.15</v>
      </c>
    </row>
    <row r="381" spans="1:13" x14ac:dyDescent="0.25">
      <c r="A381" t="str">
        <f>"E213"</f>
        <v>E213</v>
      </c>
      <c r="B381">
        <v>1</v>
      </c>
      <c r="C381" t="str">
        <f t="shared" si="95"/>
        <v>43000</v>
      </c>
      <c r="D381" t="str">
        <f t="shared" si="96"/>
        <v>5740</v>
      </c>
      <c r="E381" t="str">
        <f>"850PKE"</f>
        <v>850PKE</v>
      </c>
      <c r="F381" t="str">
        <f>""</f>
        <v/>
      </c>
      <c r="G381" t="str">
        <f>""</f>
        <v/>
      </c>
      <c r="H381" s="1">
        <v>40343</v>
      </c>
      <c r="I381" t="str">
        <f>"DOLK1586"</f>
        <v>DOLK1586</v>
      </c>
      <c r="J381" t="str">
        <f>"B125379"</f>
        <v>B125379</v>
      </c>
      <c r="K381" t="str">
        <f>"INNI"</f>
        <v>INNI</v>
      </c>
      <c r="L381" t="s">
        <v>225</v>
      </c>
      <c r="M381">
        <v>127.15</v>
      </c>
    </row>
    <row r="382" spans="1:13" x14ac:dyDescent="0.25">
      <c r="A382" t="str">
        <f>"E213"</f>
        <v>E213</v>
      </c>
      <c r="B382">
        <v>1</v>
      </c>
      <c r="C382" t="str">
        <f t="shared" si="95"/>
        <v>43000</v>
      </c>
      <c r="D382" t="str">
        <f t="shared" si="96"/>
        <v>5740</v>
      </c>
      <c r="E382" t="str">
        <f>"850PKE"</f>
        <v>850PKE</v>
      </c>
      <c r="F382" t="str">
        <f>""</f>
        <v/>
      </c>
      <c r="G382" t="str">
        <f>""</f>
        <v/>
      </c>
      <c r="H382" s="1">
        <v>40358</v>
      </c>
      <c r="I382" t="str">
        <f>"00002934"</f>
        <v>00002934</v>
      </c>
      <c r="J382" t="str">
        <f>"B125379"</f>
        <v>B125379</v>
      </c>
      <c r="K382" t="str">
        <f>"INNI"</f>
        <v>INNI</v>
      </c>
      <c r="L382" t="s">
        <v>225</v>
      </c>
      <c r="M382">
        <v>127.15</v>
      </c>
    </row>
    <row r="383" spans="1:13" x14ac:dyDescent="0.25">
      <c r="A383" t="str">
        <f t="shared" ref="A383:A412" si="97">"E216"</f>
        <v>E216</v>
      </c>
      <c r="B383">
        <v>1</v>
      </c>
      <c r="C383" t="str">
        <f>"14185"</f>
        <v>14185</v>
      </c>
      <c r="D383" t="str">
        <f>"5620"</f>
        <v>5620</v>
      </c>
      <c r="E383" t="str">
        <f>"094OMS"</f>
        <v>094OMS</v>
      </c>
      <c r="F383" t="str">
        <f>""</f>
        <v/>
      </c>
      <c r="G383" t="str">
        <f>""</f>
        <v/>
      </c>
      <c r="H383" s="1">
        <v>40001</v>
      </c>
      <c r="I383" t="str">
        <f>"0900724"</f>
        <v>0900724</v>
      </c>
      <c r="J383" t="str">
        <f>"N076270E"</f>
        <v>N076270E</v>
      </c>
      <c r="K383" t="str">
        <f>"INEI"</f>
        <v>INEI</v>
      </c>
      <c r="L383" t="s">
        <v>226</v>
      </c>
      <c r="M383" s="2">
        <v>4611.25</v>
      </c>
    </row>
    <row r="384" spans="1:13" x14ac:dyDescent="0.25">
      <c r="A384" t="str">
        <f t="shared" si="97"/>
        <v>E216</v>
      </c>
      <c r="B384">
        <v>1</v>
      </c>
      <c r="C384" t="str">
        <f>"14185"</f>
        <v>14185</v>
      </c>
      <c r="D384" t="str">
        <f>"5620"</f>
        <v>5620</v>
      </c>
      <c r="E384" t="str">
        <f>"094OMS"</f>
        <v>094OMS</v>
      </c>
      <c r="F384" t="str">
        <f>""</f>
        <v/>
      </c>
      <c r="G384" t="str">
        <f>""</f>
        <v/>
      </c>
      <c r="H384" s="1">
        <v>40001</v>
      </c>
      <c r="I384" t="str">
        <f>"0900724A"</f>
        <v>0900724A</v>
      </c>
      <c r="J384" t="str">
        <f>"N076270E"</f>
        <v>N076270E</v>
      </c>
      <c r="K384" t="str">
        <f>"INEI"</f>
        <v>INEI</v>
      </c>
      <c r="L384" t="s">
        <v>226</v>
      </c>
      <c r="M384" s="2">
        <v>4611.25</v>
      </c>
    </row>
    <row r="385" spans="1:13" x14ac:dyDescent="0.25">
      <c r="A385" t="str">
        <f t="shared" si="97"/>
        <v>E216</v>
      </c>
      <c r="B385">
        <v>1</v>
      </c>
      <c r="C385" t="str">
        <f>"14185"</f>
        <v>14185</v>
      </c>
      <c r="D385" t="str">
        <f>"5620"</f>
        <v>5620</v>
      </c>
      <c r="E385" t="str">
        <f>"094OMS"</f>
        <v>094OMS</v>
      </c>
      <c r="F385" t="str">
        <f>""</f>
        <v/>
      </c>
      <c r="G385" t="str">
        <f>""</f>
        <v/>
      </c>
      <c r="H385" s="1">
        <v>40108</v>
      </c>
      <c r="I385" t="str">
        <f>"2320H"</f>
        <v>2320H</v>
      </c>
      <c r="J385" t="str">
        <f>"N113831B"</f>
        <v>N113831B</v>
      </c>
      <c r="K385" t="str">
        <f>"INEI"</f>
        <v>INEI</v>
      </c>
      <c r="L385" t="s">
        <v>33</v>
      </c>
      <c r="M385" s="2">
        <v>1757.7</v>
      </c>
    </row>
    <row r="386" spans="1:13" x14ac:dyDescent="0.25">
      <c r="A386" t="str">
        <f t="shared" si="97"/>
        <v>E216</v>
      </c>
      <c r="B386">
        <v>1</v>
      </c>
      <c r="C386" t="str">
        <f>"31040"</f>
        <v>31040</v>
      </c>
      <c r="D386" t="str">
        <f>"5620"</f>
        <v>5620</v>
      </c>
      <c r="E386" t="str">
        <f>"094OMS"</f>
        <v>094OMS</v>
      </c>
      <c r="F386" t="str">
        <f>""</f>
        <v/>
      </c>
      <c r="G386" t="str">
        <f>""</f>
        <v/>
      </c>
      <c r="H386" s="1">
        <v>40133</v>
      </c>
      <c r="I386" t="str">
        <f>"G1005055"</f>
        <v>G1005055</v>
      </c>
      <c r="J386" t="str">
        <f>"N124193B"</f>
        <v>N124193B</v>
      </c>
      <c r="K386" t="str">
        <f>"J096"</f>
        <v>J096</v>
      </c>
      <c r="L386" t="s">
        <v>1306</v>
      </c>
      <c r="M386">
        <v>250</v>
      </c>
    </row>
    <row r="387" spans="1:13" x14ac:dyDescent="0.25">
      <c r="A387" t="str">
        <f t="shared" si="97"/>
        <v>E216</v>
      </c>
      <c r="B387">
        <v>1</v>
      </c>
      <c r="C387" t="str">
        <f>"43000"</f>
        <v>43000</v>
      </c>
      <c r="D387" t="str">
        <f t="shared" ref="D387:D426" si="98">"5740"</f>
        <v>5740</v>
      </c>
      <c r="E387" t="str">
        <f t="shared" ref="E387:E402" si="99">"850LOS"</f>
        <v>850LOS</v>
      </c>
      <c r="F387" t="str">
        <f>""</f>
        <v/>
      </c>
      <c r="G387" t="str">
        <f>""</f>
        <v/>
      </c>
      <c r="H387" s="1">
        <v>40002</v>
      </c>
      <c r="I387" t="str">
        <f>"G1001018"</f>
        <v>G1001018</v>
      </c>
      <c r="J387" t="str">
        <f>""</f>
        <v/>
      </c>
      <c r="K387" t="str">
        <f>"J079"</f>
        <v>J079</v>
      </c>
      <c r="L387" t="s">
        <v>1307</v>
      </c>
      <c r="M387" s="2">
        <v>12146.24</v>
      </c>
    </row>
    <row r="388" spans="1:13" x14ac:dyDescent="0.25">
      <c r="A388" t="str">
        <f t="shared" si="97"/>
        <v>E216</v>
      </c>
      <c r="B388">
        <v>1</v>
      </c>
      <c r="C388" t="str">
        <f>"43000"</f>
        <v>43000</v>
      </c>
      <c r="D388" t="str">
        <f t="shared" si="98"/>
        <v>5740</v>
      </c>
      <c r="E388" t="str">
        <f t="shared" si="99"/>
        <v>850LOS</v>
      </c>
      <c r="F388" t="str">
        <f>""</f>
        <v/>
      </c>
      <c r="G388" t="str">
        <f>""</f>
        <v/>
      </c>
      <c r="H388" s="1">
        <v>40133</v>
      </c>
      <c r="I388" t="str">
        <f>"G1005055"</f>
        <v>G1005055</v>
      </c>
      <c r="J388" t="str">
        <f>"N124193B"</f>
        <v>N124193B</v>
      </c>
      <c r="K388" t="str">
        <f>"J096"</f>
        <v>J096</v>
      </c>
      <c r="L388" t="s">
        <v>1306</v>
      </c>
      <c r="M388">
        <v>250</v>
      </c>
    </row>
    <row r="389" spans="1:13" x14ac:dyDescent="0.25">
      <c r="A389" t="str">
        <f t="shared" si="97"/>
        <v>E216</v>
      </c>
      <c r="B389">
        <v>1</v>
      </c>
      <c r="C389" t="str">
        <f>"43000"</f>
        <v>43000</v>
      </c>
      <c r="D389" t="str">
        <f t="shared" si="98"/>
        <v>5740</v>
      </c>
      <c r="E389" t="str">
        <f t="shared" si="99"/>
        <v>850LOS</v>
      </c>
      <c r="F389" t="str">
        <f>""</f>
        <v/>
      </c>
      <c r="G389" t="str">
        <f>""</f>
        <v/>
      </c>
      <c r="H389" s="1">
        <v>40359</v>
      </c>
      <c r="I389" t="str">
        <f>"ACG01983"</f>
        <v>ACG01983</v>
      </c>
      <c r="J389" t="str">
        <f>"M001056"</f>
        <v>M001056</v>
      </c>
      <c r="K389" t="str">
        <f>"AS89"</f>
        <v>AS89</v>
      </c>
      <c r="L389" t="s">
        <v>1305</v>
      </c>
      <c r="M389">
        <v>201.89</v>
      </c>
    </row>
    <row r="390" spans="1:13" x14ac:dyDescent="0.25">
      <c r="A390" t="str">
        <f t="shared" si="97"/>
        <v>E216</v>
      </c>
      <c r="B390">
        <v>1</v>
      </c>
      <c r="C390" t="str">
        <f t="shared" ref="C390:C402" si="100">"43003"</f>
        <v>43003</v>
      </c>
      <c r="D390" t="str">
        <f t="shared" si="98"/>
        <v>5740</v>
      </c>
      <c r="E390" t="str">
        <f t="shared" si="99"/>
        <v>850LOS</v>
      </c>
      <c r="F390" t="str">
        <f>""</f>
        <v/>
      </c>
      <c r="G390" t="str">
        <f>""</f>
        <v/>
      </c>
      <c r="H390" s="1">
        <v>40164</v>
      </c>
      <c r="I390" t="str">
        <f>"127102A"</f>
        <v>127102A</v>
      </c>
      <c r="J390" t="str">
        <f t="shared" ref="J390:J395" si="101">"N125316"</f>
        <v>N125316</v>
      </c>
      <c r="K390" t="str">
        <f t="shared" ref="K390:K400" si="102">"INEI"</f>
        <v>INEI</v>
      </c>
      <c r="L390" t="s">
        <v>1189</v>
      </c>
      <c r="M390" s="2">
        <v>1300</v>
      </c>
    </row>
    <row r="391" spans="1:13" x14ac:dyDescent="0.25">
      <c r="A391" t="str">
        <f t="shared" si="97"/>
        <v>E216</v>
      </c>
      <c r="B391">
        <v>1</v>
      </c>
      <c r="C391" t="str">
        <f t="shared" si="100"/>
        <v>43003</v>
      </c>
      <c r="D391" t="str">
        <f t="shared" si="98"/>
        <v>5740</v>
      </c>
      <c r="E391" t="str">
        <f t="shared" si="99"/>
        <v>850LOS</v>
      </c>
      <c r="F391" t="str">
        <f>""</f>
        <v/>
      </c>
      <c r="G391" t="str">
        <f>""</f>
        <v/>
      </c>
      <c r="H391" s="1">
        <v>40164</v>
      </c>
      <c r="I391" t="str">
        <f>"128507B"</f>
        <v>128507B</v>
      </c>
      <c r="J391" t="str">
        <f t="shared" si="101"/>
        <v>N125316</v>
      </c>
      <c r="K391" t="str">
        <f t="shared" si="102"/>
        <v>INEI</v>
      </c>
      <c r="L391" t="s">
        <v>1189</v>
      </c>
      <c r="M391">
        <v>825</v>
      </c>
    </row>
    <row r="392" spans="1:13" x14ac:dyDescent="0.25">
      <c r="A392" t="str">
        <f t="shared" si="97"/>
        <v>E216</v>
      </c>
      <c r="B392">
        <v>1</v>
      </c>
      <c r="C392" t="str">
        <f t="shared" si="100"/>
        <v>43003</v>
      </c>
      <c r="D392" t="str">
        <f t="shared" si="98"/>
        <v>5740</v>
      </c>
      <c r="E392" t="str">
        <f t="shared" si="99"/>
        <v>850LOS</v>
      </c>
      <c r="F392" t="str">
        <f>""</f>
        <v/>
      </c>
      <c r="G392" t="str">
        <f>""</f>
        <v/>
      </c>
      <c r="H392" s="1">
        <v>40171</v>
      </c>
      <c r="I392" t="str">
        <f>"129290A"</f>
        <v>129290A</v>
      </c>
      <c r="J392" t="str">
        <f t="shared" si="101"/>
        <v>N125316</v>
      </c>
      <c r="K392" t="str">
        <f t="shared" si="102"/>
        <v>INEI</v>
      </c>
      <c r="L392" t="s">
        <v>1189</v>
      </c>
      <c r="M392">
        <v>825</v>
      </c>
    </row>
    <row r="393" spans="1:13" x14ac:dyDescent="0.25">
      <c r="A393" t="str">
        <f t="shared" si="97"/>
        <v>E216</v>
      </c>
      <c r="B393">
        <v>1</v>
      </c>
      <c r="C393" t="str">
        <f t="shared" si="100"/>
        <v>43003</v>
      </c>
      <c r="D393" t="str">
        <f t="shared" si="98"/>
        <v>5740</v>
      </c>
      <c r="E393" t="str">
        <f t="shared" si="99"/>
        <v>850LOS</v>
      </c>
      <c r="F393" t="str">
        <f>""</f>
        <v/>
      </c>
      <c r="G393" t="str">
        <f>""</f>
        <v/>
      </c>
      <c r="H393" s="1">
        <v>40207</v>
      </c>
      <c r="I393" t="str">
        <f>"130108"</f>
        <v>130108</v>
      </c>
      <c r="J393" t="str">
        <f t="shared" si="101"/>
        <v>N125316</v>
      </c>
      <c r="K393" t="str">
        <f t="shared" si="102"/>
        <v>INEI</v>
      </c>
      <c r="L393" t="s">
        <v>1189</v>
      </c>
      <c r="M393">
        <v>825</v>
      </c>
    </row>
    <row r="394" spans="1:13" x14ac:dyDescent="0.25">
      <c r="A394" t="str">
        <f t="shared" si="97"/>
        <v>E216</v>
      </c>
      <c r="B394">
        <v>1</v>
      </c>
      <c r="C394" t="str">
        <f t="shared" si="100"/>
        <v>43003</v>
      </c>
      <c r="D394" t="str">
        <f t="shared" si="98"/>
        <v>5740</v>
      </c>
      <c r="E394" t="str">
        <f t="shared" si="99"/>
        <v>850LOS</v>
      </c>
      <c r="F394" t="str">
        <f>""</f>
        <v/>
      </c>
      <c r="G394" t="str">
        <f>""</f>
        <v/>
      </c>
      <c r="H394" s="1">
        <v>40249</v>
      </c>
      <c r="I394" t="str">
        <f>"130948"</f>
        <v>130948</v>
      </c>
      <c r="J394" t="str">
        <f t="shared" si="101"/>
        <v>N125316</v>
      </c>
      <c r="K394" t="str">
        <f t="shared" si="102"/>
        <v>INEI</v>
      </c>
      <c r="L394" t="s">
        <v>1189</v>
      </c>
      <c r="M394">
        <v>825</v>
      </c>
    </row>
    <row r="395" spans="1:13" x14ac:dyDescent="0.25">
      <c r="A395" t="str">
        <f t="shared" si="97"/>
        <v>E216</v>
      </c>
      <c r="B395">
        <v>1</v>
      </c>
      <c r="C395" t="str">
        <f t="shared" si="100"/>
        <v>43003</v>
      </c>
      <c r="D395" t="str">
        <f t="shared" si="98"/>
        <v>5740</v>
      </c>
      <c r="E395" t="str">
        <f t="shared" si="99"/>
        <v>850LOS</v>
      </c>
      <c r="F395" t="str">
        <f>""</f>
        <v/>
      </c>
      <c r="G395" t="str">
        <f>""</f>
        <v/>
      </c>
      <c r="H395" s="1">
        <v>40281</v>
      </c>
      <c r="I395" t="str">
        <f>"131917A"</f>
        <v>131917A</v>
      </c>
      <c r="J395" t="str">
        <f t="shared" si="101"/>
        <v>N125316</v>
      </c>
      <c r="K395" t="str">
        <f t="shared" si="102"/>
        <v>INEI</v>
      </c>
      <c r="L395" t="s">
        <v>1189</v>
      </c>
      <c r="M395">
        <v>825</v>
      </c>
    </row>
    <row r="396" spans="1:13" x14ac:dyDescent="0.25">
      <c r="A396" t="str">
        <f t="shared" si="97"/>
        <v>E216</v>
      </c>
      <c r="B396">
        <v>1</v>
      </c>
      <c r="C396" t="str">
        <f t="shared" si="100"/>
        <v>43003</v>
      </c>
      <c r="D396" t="str">
        <f t="shared" si="98"/>
        <v>5740</v>
      </c>
      <c r="E396" t="str">
        <f t="shared" si="99"/>
        <v>850LOS</v>
      </c>
      <c r="F396" t="str">
        <f>""</f>
        <v/>
      </c>
      <c r="G396" t="str">
        <f>""</f>
        <v/>
      </c>
      <c r="H396" s="1">
        <v>40283</v>
      </c>
      <c r="I396" t="str">
        <f>"N4130953"</f>
        <v>N4130953</v>
      </c>
      <c r="J396" t="str">
        <f>"N183002"</f>
        <v>N183002</v>
      </c>
      <c r="K396" t="str">
        <f t="shared" si="102"/>
        <v>INEI</v>
      </c>
      <c r="L396" t="s">
        <v>1304</v>
      </c>
      <c r="M396">
        <v>650</v>
      </c>
    </row>
    <row r="397" spans="1:13" x14ac:dyDescent="0.25">
      <c r="A397" t="str">
        <f t="shared" si="97"/>
        <v>E216</v>
      </c>
      <c r="B397">
        <v>1</v>
      </c>
      <c r="C397" t="str">
        <f t="shared" si="100"/>
        <v>43003</v>
      </c>
      <c r="D397" t="str">
        <f t="shared" si="98"/>
        <v>5740</v>
      </c>
      <c r="E397" t="str">
        <f t="shared" si="99"/>
        <v>850LOS</v>
      </c>
      <c r="F397" t="str">
        <f>""</f>
        <v/>
      </c>
      <c r="G397" t="str">
        <f>""</f>
        <v/>
      </c>
      <c r="H397" s="1">
        <v>40291</v>
      </c>
      <c r="I397" t="str">
        <f>"132444"</f>
        <v>132444</v>
      </c>
      <c r="J397" t="str">
        <f>"N125316"</f>
        <v>N125316</v>
      </c>
      <c r="K397" t="str">
        <f t="shared" si="102"/>
        <v>INEI</v>
      </c>
      <c r="L397" t="s">
        <v>1189</v>
      </c>
      <c r="M397">
        <v>825</v>
      </c>
    </row>
    <row r="398" spans="1:13" x14ac:dyDescent="0.25">
      <c r="A398" t="str">
        <f t="shared" si="97"/>
        <v>E216</v>
      </c>
      <c r="B398">
        <v>1</v>
      </c>
      <c r="C398" t="str">
        <f t="shared" si="100"/>
        <v>43003</v>
      </c>
      <c r="D398" t="str">
        <f t="shared" si="98"/>
        <v>5740</v>
      </c>
      <c r="E398" t="str">
        <f t="shared" si="99"/>
        <v>850LOS</v>
      </c>
      <c r="F398" t="str">
        <f>""</f>
        <v/>
      </c>
      <c r="G398" t="str">
        <f>""</f>
        <v/>
      </c>
      <c r="H398" s="1">
        <v>40305</v>
      </c>
      <c r="I398" t="str">
        <f>"133409"</f>
        <v>133409</v>
      </c>
      <c r="J398" t="str">
        <f>"N125316"</f>
        <v>N125316</v>
      </c>
      <c r="K398" t="str">
        <f t="shared" si="102"/>
        <v>INEI</v>
      </c>
      <c r="L398" t="s">
        <v>1189</v>
      </c>
      <c r="M398">
        <v>825</v>
      </c>
    </row>
    <row r="399" spans="1:13" x14ac:dyDescent="0.25">
      <c r="A399" t="str">
        <f t="shared" si="97"/>
        <v>E216</v>
      </c>
      <c r="B399">
        <v>1</v>
      </c>
      <c r="C399" t="str">
        <f t="shared" si="100"/>
        <v>43003</v>
      </c>
      <c r="D399" t="str">
        <f t="shared" si="98"/>
        <v>5740</v>
      </c>
      <c r="E399" t="str">
        <f t="shared" si="99"/>
        <v>850LOS</v>
      </c>
      <c r="F399" t="str">
        <f>""</f>
        <v/>
      </c>
      <c r="G399" t="str">
        <f>""</f>
        <v/>
      </c>
      <c r="H399" s="1">
        <v>40339</v>
      </c>
      <c r="I399" t="str">
        <f>"134265A"</f>
        <v>134265A</v>
      </c>
      <c r="J399" t="str">
        <f>"N125316"</f>
        <v>N125316</v>
      </c>
      <c r="K399" t="str">
        <f t="shared" si="102"/>
        <v>INEI</v>
      </c>
      <c r="L399" t="s">
        <v>1189</v>
      </c>
      <c r="M399">
        <v>825</v>
      </c>
    </row>
    <row r="400" spans="1:13" x14ac:dyDescent="0.25">
      <c r="A400" t="str">
        <f t="shared" si="97"/>
        <v>E216</v>
      </c>
      <c r="B400">
        <v>1</v>
      </c>
      <c r="C400" t="str">
        <f t="shared" si="100"/>
        <v>43003</v>
      </c>
      <c r="D400" t="str">
        <f t="shared" si="98"/>
        <v>5740</v>
      </c>
      <c r="E400" t="str">
        <f t="shared" si="99"/>
        <v>850LOS</v>
      </c>
      <c r="F400" t="str">
        <f>""</f>
        <v/>
      </c>
      <c r="G400" t="str">
        <f>""</f>
        <v/>
      </c>
      <c r="H400" s="1">
        <v>40359</v>
      </c>
      <c r="I400" t="str">
        <f>"135198"</f>
        <v>135198</v>
      </c>
      <c r="J400" t="str">
        <f>"N125316"</f>
        <v>N125316</v>
      </c>
      <c r="K400" t="str">
        <f t="shared" si="102"/>
        <v>INEI</v>
      </c>
      <c r="L400" t="s">
        <v>1189</v>
      </c>
      <c r="M400">
        <v>875</v>
      </c>
    </row>
    <row r="401" spans="1:13" x14ac:dyDescent="0.25">
      <c r="A401" t="str">
        <f t="shared" si="97"/>
        <v>E216</v>
      </c>
      <c r="B401">
        <v>1</v>
      </c>
      <c r="C401" t="str">
        <f t="shared" si="100"/>
        <v>43003</v>
      </c>
      <c r="D401" t="str">
        <f t="shared" si="98"/>
        <v>5740</v>
      </c>
      <c r="E401" t="str">
        <f t="shared" si="99"/>
        <v>850LOS</v>
      </c>
      <c r="F401" t="str">
        <f>""</f>
        <v/>
      </c>
      <c r="G401" t="str">
        <f>""</f>
        <v/>
      </c>
      <c r="H401" s="1">
        <v>40359</v>
      </c>
      <c r="I401" t="str">
        <f>"G1014153"</f>
        <v>G1014153</v>
      </c>
      <c r="J401" t="str">
        <f>"128830"</f>
        <v>128830</v>
      </c>
      <c r="K401" t="str">
        <f>"J096"</f>
        <v>J096</v>
      </c>
      <c r="L401" t="s">
        <v>1303</v>
      </c>
      <c r="M401" s="2">
        <v>1500</v>
      </c>
    </row>
    <row r="402" spans="1:13" x14ac:dyDescent="0.25">
      <c r="A402" t="str">
        <f t="shared" si="97"/>
        <v>E216</v>
      </c>
      <c r="B402">
        <v>1</v>
      </c>
      <c r="C402" t="str">
        <f t="shared" si="100"/>
        <v>43003</v>
      </c>
      <c r="D402" t="str">
        <f t="shared" si="98"/>
        <v>5740</v>
      </c>
      <c r="E402" t="str">
        <f t="shared" si="99"/>
        <v>850LOS</v>
      </c>
      <c r="F402" t="str">
        <f>""</f>
        <v/>
      </c>
      <c r="G402" t="str">
        <f>""</f>
        <v/>
      </c>
      <c r="H402" s="1">
        <v>40359</v>
      </c>
      <c r="I402" t="str">
        <f>"G1014153"</f>
        <v>G1014153</v>
      </c>
      <c r="J402" t="str">
        <f>"EIS00117"</f>
        <v>EIS00117</v>
      </c>
      <c r="K402" t="str">
        <f>"J096"</f>
        <v>J096</v>
      </c>
      <c r="L402" t="s">
        <v>1303</v>
      </c>
      <c r="M402" s="2">
        <v>7075</v>
      </c>
    </row>
    <row r="403" spans="1:13" x14ac:dyDescent="0.25">
      <c r="A403" t="str">
        <f t="shared" si="97"/>
        <v>E216</v>
      </c>
      <c r="B403">
        <v>1</v>
      </c>
      <c r="C403" t="str">
        <f t="shared" ref="C403:C408" si="103">"43005"</f>
        <v>43005</v>
      </c>
      <c r="D403" t="str">
        <f t="shared" si="98"/>
        <v>5740</v>
      </c>
      <c r="E403" t="str">
        <f t="shared" ref="E403:E408" si="104">"850REP"</f>
        <v>850REP</v>
      </c>
      <c r="F403" t="str">
        <f>""</f>
        <v/>
      </c>
      <c r="G403" t="str">
        <f>""</f>
        <v/>
      </c>
      <c r="H403" s="1">
        <v>40032</v>
      </c>
      <c r="I403" t="str">
        <f>"P000495"</f>
        <v>P000495</v>
      </c>
      <c r="J403" t="str">
        <f>"N125348"</f>
        <v>N125348</v>
      </c>
      <c r="K403" t="str">
        <f>"INEI"</f>
        <v>INEI</v>
      </c>
      <c r="L403" t="s">
        <v>229</v>
      </c>
      <c r="M403" s="2">
        <v>27975</v>
      </c>
    </row>
    <row r="404" spans="1:13" x14ac:dyDescent="0.25">
      <c r="A404" t="str">
        <f t="shared" si="97"/>
        <v>E216</v>
      </c>
      <c r="B404">
        <v>1</v>
      </c>
      <c r="C404" t="str">
        <f t="shared" si="103"/>
        <v>43005</v>
      </c>
      <c r="D404" t="str">
        <f t="shared" si="98"/>
        <v>5740</v>
      </c>
      <c r="E404" t="str">
        <f t="shared" si="104"/>
        <v>850REP</v>
      </c>
      <c r="F404" t="str">
        <f>""</f>
        <v/>
      </c>
      <c r="G404" t="str">
        <f>""</f>
        <v/>
      </c>
      <c r="H404" s="1">
        <v>40035</v>
      </c>
      <c r="I404" t="str">
        <f>"P000545"</f>
        <v>P000545</v>
      </c>
      <c r="J404" t="str">
        <f>"N125348"</f>
        <v>N125348</v>
      </c>
      <c r="K404" t="str">
        <f>"INEI"</f>
        <v>INEI</v>
      </c>
      <c r="L404" t="s">
        <v>229</v>
      </c>
      <c r="M404" s="2">
        <v>1600</v>
      </c>
    </row>
    <row r="405" spans="1:13" x14ac:dyDescent="0.25">
      <c r="A405" t="str">
        <f t="shared" si="97"/>
        <v>E216</v>
      </c>
      <c r="B405">
        <v>1</v>
      </c>
      <c r="C405" t="str">
        <f t="shared" si="103"/>
        <v>43005</v>
      </c>
      <c r="D405" t="str">
        <f t="shared" si="98"/>
        <v>5740</v>
      </c>
      <c r="E405" t="str">
        <f t="shared" si="104"/>
        <v>850REP</v>
      </c>
      <c r="F405" t="str">
        <f>""</f>
        <v/>
      </c>
      <c r="G405" t="str">
        <f>""</f>
        <v/>
      </c>
      <c r="H405" s="1">
        <v>40044</v>
      </c>
      <c r="I405" t="str">
        <f>"ACG01865"</f>
        <v>ACG01865</v>
      </c>
      <c r="J405" t="str">
        <f>"P000495"</f>
        <v>P000495</v>
      </c>
      <c r="K405" t="str">
        <f>"AS96"</f>
        <v>AS96</v>
      </c>
      <c r="L405" t="s">
        <v>1193</v>
      </c>
      <c r="M405" s="2">
        <v>27975</v>
      </c>
    </row>
    <row r="406" spans="1:13" x14ac:dyDescent="0.25">
      <c r="A406" t="str">
        <f t="shared" si="97"/>
        <v>E216</v>
      </c>
      <c r="B406">
        <v>1</v>
      </c>
      <c r="C406" t="str">
        <f t="shared" si="103"/>
        <v>43005</v>
      </c>
      <c r="D406" t="str">
        <f t="shared" si="98"/>
        <v>5740</v>
      </c>
      <c r="E406" t="str">
        <f t="shared" si="104"/>
        <v>850REP</v>
      </c>
      <c r="F406" t="str">
        <f>""</f>
        <v/>
      </c>
      <c r="G406" t="str">
        <f>""</f>
        <v/>
      </c>
      <c r="H406" s="1">
        <v>40044</v>
      </c>
      <c r="I406" t="str">
        <f>"ACG01865"</f>
        <v>ACG01865</v>
      </c>
      <c r="J406" t="str">
        <f>"P000545"</f>
        <v>P000545</v>
      </c>
      <c r="K406" t="str">
        <f>"AS96"</f>
        <v>AS96</v>
      </c>
      <c r="L406" t="s">
        <v>1193</v>
      </c>
      <c r="M406" s="2">
        <v>1600</v>
      </c>
    </row>
    <row r="407" spans="1:13" x14ac:dyDescent="0.25">
      <c r="A407" t="str">
        <f t="shared" si="97"/>
        <v>E216</v>
      </c>
      <c r="B407">
        <v>1</v>
      </c>
      <c r="C407" t="str">
        <f t="shared" si="103"/>
        <v>43005</v>
      </c>
      <c r="D407" t="str">
        <f t="shared" si="98"/>
        <v>5740</v>
      </c>
      <c r="E407" t="str">
        <f t="shared" si="104"/>
        <v>850REP</v>
      </c>
      <c r="F407" t="str">
        <f>""</f>
        <v/>
      </c>
      <c r="G407" t="str">
        <f>""</f>
        <v/>
      </c>
      <c r="H407" s="1">
        <v>40248</v>
      </c>
      <c r="I407" t="str">
        <f>"P000667"</f>
        <v>P000667</v>
      </c>
      <c r="J407" t="str">
        <f>"N125348"</f>
        <v>N125348</v>
      </c>
      <c r="K407" t="str">
        <f>"INEI"</f>
        <v>INEI</v>
      </c>
      <c r="L407" t="s">
        <v>229</v>
      </c>
      <c r="M407" s="2">
        <v>3243.39</v>
      </c>
    </row>
    <row r="408" spans="1:13" x14ac:dyDescent="0.25">
      <c r="A408" t="str">
        <f t="shared" si="97"/>
        <v>E216</v>
      </c>
      <c r="B408">
        <v>1</v>
      </c>
      <c r="C408" t="str">
        <f t="shared" si="103"/>
        <v>43005</v>
      </c>
      <c r="D408" t="str">
        <f t="shared" si="98"/>
        <v>5740</v>
      </c>
      <c r="E408" t="str">
        <f t="shared" si="104"/>
        <v>850REP</v>
      </c>
      <c r="F408" t="str">
        <f>""</f>
        <v/>
      </c>
      <c r="G408" t="str">
        <f>""</f>
        <v/>
      </c>
      <c r="H408" s="1">
        <v>40269</v>
      </c>
      <c r="I408" t="str">
        <f>"HW000421"</f>
        <v>HW000421</v>
      </c>
      <c r="J408" t="str">
        <f>"N125348"</f>
        <v>N125348</v>
      </c>
      <c r="K408" t="str">
        <f>"INEI"</f>
        <v>INEI</v>
      </c>
      <c r="L408" t="s">
        <v>229</v>
      </c>
      <c r="M408" s="2">
        <v>1410.5</v>
      </c>
    </row>
    <row r="409" spans="1:13" x14ac:dyDescent="0.25">
      <c r="A409" t="str">
        <f t="shared" si="97"/>
        <v>E216</v>
      </c>
      <c r="B409">
        <v>1</v>
      </c>
      <c r="C409" t="str">
        <f>"43007"</f>
        <v>43007</v>
      </c>
      <c r="D409" t="str">
        <f t="shared" si="98"/>
        <v>5740</v>
      </c>
      <c r="E409" t="str">
        <f>"850GAR"</f>
        <v>850GAR</v>
      </c>
      <c r="F409" t="str">
        <f>"PKOEQP"</f>
        <v>PKOEQP</v>
      </c>
      <c r="G409" t="str">
        <f>""</f>
        <v/>
      </c>
      <c r="H409" s="1">
        <v>40298</v>
      </c>
      <c r="I409" t="str">
        <f>"G1010038"</f>
        <v>G1010038</v>
      </c>
      <c r="J409" t="str">
        <f>""</f>
        <v/>
      </c>
      <c r="K409" t="str">
        <f>"J079"</f>
        <v>J079</v>
      </c>
      <c r="L409" t="s">
        <v>1300</v>
      </c>
      <c r="M409" s="2">
        <v>28201.31</v>
      </c>
    </row>
    <row r="410" spans="1:13" x14ac:dyDescent="0.25">
      <c r="A410" t="str">
        <f t="shared" si="97"/>
        <v>E216</v>
      </c>
      <c r="B410">
        <v>1</v>
      </c>
      <c r="C410" t="str">
        <f>"43007"</f>
        <v>43007</v>
      </c>
      <c r="D410" t="str">
        <f t="shared" si="98"/>
        <v>5740</v>
      </c>
      <c r="E410" t="str">
        <f>"850GAR"</f>
        <v>850GAR</v>
      </c>
      <c r="F410" t="str">
        <f>"PKOEQP"</f>
        <v>PKOEQP</v>
      </c>
      <c r="G410" t="str">
        <f>""</f>
        <v/>
      </c>
      <c r="H410" s="1">
        <v>40298</v>
      </c>
      <c r="I410" t="str">
        <f>"G1010038"</f>
        <v>G1010038</v>
      </c>
      <c r="J410" t="str">
        <f>""</f>
        <v/>
      </c>
      <c r="K410" t="str">
        <f>"J079"</f>
        <v>J079</v>
      </c>
      <c r="L410" t="s">
        <v>1301</v>
      </c>
      <c r="M410" s="2">
        <v>3243.39</v>
      </c>
    </row>
    <row r="411" spans="1:13" x14ac:dyDescent="0.25">
      <c r="A411" t="str">
        <f t="shared" si="97"/>
        <v>E216</v>
      </c>
      <c r="B411">
        <v>1</v>
      </c>
      <c r="C411" t="str">
        <f>"43007"</f>
        <v>43007</v>
      </c>
      <c r="D411" t="str">
        <f t="shared" si="98"/>
        <v>5740</v>
      </c>
      <c r="E411" t="str">
        <f t="shared" ref="E411:E426" si="105">"850LOS"</f>
        <v>850LOS</v>
      </c>
      <c r="F411" t="str">
        <f>"PKOEQP"</f>
        <v>PKOEQP</v>
      </c>
      <c r="G411" t="str">
        <f>""</f>
        <v/>
      </c>
      <c r="H411" s="1">
        <v>40266</v>
      </c>
      <c r="I411" t="str">
        <f>"G1009147"</f>
        <v>G1009147</v>
      </c>
      <c r="J411" t="str">
        <f>"P000667"</f>
        <v>P000667</v>
      </c>
      <c r="K411" t="str">
        <f>"J096"</f>
        <v>J096</v>
      </c>
      <c r="L411" t="s">
        <v>1301</v>
      </c>
      <c r="M411" s="2">
        <v>3243.39</v>
      </c>
    </row>
    <row r="412" spans="1:13" x14ac:dyDescent="0.25">
      <c r="A412" t="str">
        <f t="shared" si="97"/>
        <v>E216</v>
      </c>
      <c r="B412">
        <v>1</v>
      </c>
      <c r="C412" t="str">
        <f>"43007"</f>
        <v>43007</v>
      </c>
      <c r="D412" t="str">
        <f t="shared" si="98"/>
        <v>5740</v>
      </c>
      <c r="E412" t="str">
        <f t="shared" si="105"/>
        <v>850LOS</v>
      </c>
      <c r="F412" t="str">
        <f>"PKOEQP"</f>
        <v>PKOEQP</v>
      </c>
      <c r="G412" t="str">
        <f>""</f>
        <v/>
      </c>
      <c r="H412" s="1">
        <v>40266</v>
      </c>
      <c r="I412" t="str">
        <f>"G1009147"</f>
        <v>G1009147</v>
      </c>
      <c r="J412" t="str">
        <f>""</f>
        <v/>
      </c>
      <c r="K412" t="str">
        <f>"J096"</f>
        <v>J096</v>
      </c>
      <c r="L412" t="s">
        <v>1302</v>
      </c>
      <c r="M412" s="2">
        <v>28201.31</v>
      </c>
    </row>
    <row r="413" spans="1:13" x14ac:dyDescent="0.25">
      <c r="A413" t="str">
        <f t="shared" ref="A413:A426" si="106">"E217"</f>
        <v>E217</v>
      </c>
      <c r="B413">
        <v>1</v>
      </c>
      <c r="C413" t="str">
        <f t="shared" ref="C413:C424" si="107">"43000"</f>
        <v>43000</v>
      </c>
      <c r="D413" t="str">
        <f t="shared" si="98"/>
        <v>5740</v>
      </c>
      <c r="E413" t="str">
        <f t="shared" si="105"/>
        <v>850LOS</v>
      </c>
      <c r="F413" t="str">
        <f>""</f>
        <v/>
      </c>
      <c r="G413" t="str">
        <f>""</f>
        <v/>
      </c>
      <c r="H413" s="1">
        <v>40042</v>
      </c>
      <c r="I413" t="str">
        <f>"CMG00609"</f>
        <v>CMG00609</v>
      </c>
      <c r="J413" t="str">
        <f>""</f>
        <v/>
      </c>
      <c r="K413" t="str">
        <f t="shared" ref="K413:K424" si="108">"J089"</f>
        <v>J089</v>
      </c>
      <c r="L413" t="s">
        <v>1299</v>
      </c>
      <c r="M413">
        <v>333.68</v>
      </c>
    </row>
    <row r="414" spans="1:13" x14ac:dyDescent="0.25">
      <c r="A414" t="str">
        <f t="shared" si="106"/>
        <v>E217</v>
      </c>
      <c r="B414">
        <v>1</v>
      </c>
      <c r="C414" t="str">
        <f t="shared" si="107"/>
        <v>43000</v>
      </c>
      <c r="D414" t="str">
        <f t="shared" si="98"/>
        <v>5740</v>
      </c>
      <c r="E414" t="str">
        <f t="shared" si="105"/>
        <v>850LOS</v>
      </c>
      <c r="F414" t="str">
        <f>""</f>
        <v/>
      </c>
      <c r="G414" t="str">
        <f>""</f>
        <v/>
      </c>
      <c r="H414" s="1">
        <v>40086</v>
      </c>
      <c r="I414" t="str">
        <f>"CMG00614"</f>
        <v>CMG00614</v>
      </c>
      <c r="J414" t="str">
        <f>""</f>
        <v/>
      </c>
      <c r="K414" t="str">
        <f t="shared" si="108"/>
        <v>J089</v>
      </c>
      <c r="L414" t="s">
        <v>1298</v>
      </c>
      <c r="M414">
        <v>208.53</v>
      </c>
    </row>
    <row r="415" spans="1:13" x14ac:dyDescent="0.25">
      <c r="A415" t="str">
        <f t="shared" si="106"/>
        <v>E217</v>
      </c>
      <c r="B415">
        <v>1</v>
      </c>
      <c r="C415" t="str">
        <f t="shared" si="107"/>
        <v>43000</v>
      </c>
      <c r="D415" t="str">
        <f t="shared" si="98"/>
        <v>5740</v>
      </c>
      <c r="E415" t="str">
        <f t="shared" si="105"/>
        <v>850LOS</v>
      </c>
      <c r="F415" t="str">
        <f>""</f>
        <v/>
      </c>
      <c r="G415" t="str">
        <f>""</f>
        <v/>
      </c>
      <c r="H415" s="1">
        <v>40106</v>
      </c>
      <c r="I415" t="str">
        <f>"CMG00617"</f>
        <v>CMG00617</v>
      </c>
      <c r="J415" t="str">
        <f>""</f>
        <v/>
      </c>
      <c r="K415" t="str">
        <f t="shared" si="108"/>
        <v>J089</v>
      </c>
      <c r="L415" t="s">
        <v>1297</v>
      </c>
      <c r="M415" s="2">
        <v>4827.54</v>
      </c>
    </row>
    <row r="416" spans="1:13" x14ac:dyDescent="0.25">
      <c r="A416" t="str">
        <f t="shared" si="106"/>
        <v>E217</v>
      </c>
      <c r="B416">
        <v>1</v>
      </c>
      <c r="C416" t="str">
        <f t="shared" si="107"/>
        <v>43000</v>
      </c>
      <c r="D416" t="str">
        <f t="shared" si="98"/>
        <v>5740</v>
      </c>
      <c r="E416" t="str">
        <f t="shared" si="105"/>
        <v>850LOS</v>
      </c>
      <c r="F416" t="str">
        <f>""</f>
        <v/>
      </c>
      <c r="G416" t="str">
        <f>""</f>
        <v/>
      </c>
      <c r="H416" s="1">
        <v>40130</v>
      </c>
      <c r="I416" t="str">
        <f>"CMG00623"</f>
        <v>CMG00623</v>
      </c>
      <c r="J416" t="str">
        <f>""</f>
        <v/>
      </c>
      <c r="K416" t="str">
        <f t="shared" si="108"/>
        <v>J089</v>
      </c>
      <c r="L416" t="s">
        <v>1296</v>
      </c>
      <c r="M416">
        <v>508.81</v>
      </c>
    </row>
    <row r="417" spans="1:13" x14ac:dyDescent="0.25">
      <c r="A417" t="str">
        <f t="shared" si="106"/>
        <v>E217</v>
      </c>
      <c r="B417">
        <v>1</v>
      </c>
      <c r="C417" t="str">
        <f t="shared" si="107"/>
        <v>43000</v>
      </c>
      <c r="D417" t="str">
        <f t="shared" si="98"/>
        <v>5740</v>
      </c>
      <c r="E417" t="str">
        <f t="shared" si="105"/>
        <v>850LOS</v>
      </c>
      <c r="F417" t="str">
        <f>""</f>
        <v/>
      </c>
      <c r="G417" t="str">
        <f>""</f>
        <v/>
      </c>
      <c r="H417" s="1">
        <v>40158</v>
      </c>
      <c r="I417" t="str">
        <f>"CMG00627"</f>
        <v>CMG00627</v>
      </c>
      <c r="J417" t="str">
        <f>""</f>
        <v/>
      </c>
      <c r="K417" t="str">
        <f t="shared" si="108"/>
        <v>J089</v>
      </c>
      <c r="L417" t="s">
        <v>1295</v>
      </c>
      <c r="M417">
        <v>413.38</v>
      </c>
    </row>
    <row r="418" spans="1:13" x14ac:dyDescent="0.25">
      <c r="A418" t="str">
        <f t="shared" si="106"/>
        <v>E217</v>
      </c>
      <c r="B418">
        <v>1</v>
      </c>
      <c r="C418" t="str">
        <f t="shared" si="107"/>
        <v>43000</v>
      </c>
      <c r="D418" t="str">
        <f t="shared" si="98"/>
        <v>5740</v>
      </c>
      <c r="E418" t="str">
        <f t="shared" si="105"/>
        <v>850LOS</v>
      </c>
      <c r="F418" t="str">
        <f>""</f>
        <v/>
      </c>
      <c r="G418" t="str">
        <f>""</f>
        <v/>
      </c>
      <c r="H418" s="1">
        <v>40191</v>
      </c>
      <c r="I418" t="str">
        <f>"CMG00632"</f>
        <v>CMG00632</v>
      </c>
      <c r="J418" t="str">
        <f>""</f>
        <v/>
      </c>
      <c r="K418" t="str">
        <f t="shared" si="108"/>
        <v>J089</v>
      </c>
      <c r="L418" t="s">
        <v>1288</v>
      </c>
      <c r="M418">
        <v>512.41999999999996</v>
      </c>
    </row>
    <row r="419" spans="1:13" x14ac:dyDescent="0.25">
      <c r="A419" t="str">
        <f t="shared" si="106"/>
        <v>E217</v>
      </c>
      <c r="B419">
        <v>1</v>
      </c>
      <c r="C419" t="str">
        <f t="shared" si="107"/>
        <v>43000</v>
      </c>
      <c r="D419" t="str">
        <f t="shared" si="98"/>
        <v>5740</v>
      </c>
      <c r="E419" t="str">
        <f t="shared" si="105"/>
        <v>850LOS</v>
      </c>
      <c r="F419" t="str">
        <f>""</f>
        <v/>
      </c>
      <c r="G419" t="str">
        <f>""</f>
        <v/>
      </c>
      <c r="H419" s="1">
        <v>40220</v>
      </c>
      <c r="I419" t="str">
        <f>"CMG00637"</f>
        <v>CMG00637</v>
      </c>
      <c r="J419" t="str">
        <f>""</f>
        <v/>
      </c>
      <c r="K419" t="str">
        <f t="shared" si="108"/>
        <v>J089</v>
      </c>
      <c r="L419" t="s">
        <v>1294</v>
      </c>
      <c r="M419" s="2">
        <v>1500.93</v>
      </c>
    </row>
    <row r="420" spans="1:13" x14ac:dyDescent="0.25">
      <c r="A420" t="str">
        <f t="shared" si="106"/>
        <v>E217</v>
      </c>
      <c r="B420">
        <v>1</v>
      </c>
      <c r="C420" t="str">
        <f t="shared" si="107"/>
        <v>43000</v>
      </c>
      <c r="D420" t="str">
        <f t="shared" si="98"/>
        <v>5740</v>
      </c>
      <c r="E420" t="str">
        <f t="shared" si="105"/>
        <v>850LOS</v>
      </c>
      <c r="F420" t="str">
        <f>""</f>
        <v/>
      </c>
      <c r="G420" t="str">
        <f>""</f>
        <v/>
      </c>
      <c r="H420" s="1">
        <v>40252</v>
      </c>
      <c r="I420" t="str">
        <f>"CMG00641"</f>
        <v>CMG00641</v>
      </c>
      <c r="J420" t="str">
        <f>""</f>
        <v/>
      </c>
      <c r="K420" t="str">
        <f t="shared" si="108"/>
        <v>J089</v>
      </c>
      <c r="L420" t="s">
        <v>1293</v>
      </c>
      <c r="M420">
        <v>420.28</v>
      </c>
    </row>
    <row r="421" spans="1:13" x14ac:dyDescent="0.25">
      <c r="A421" t="str">
        <f t="shared" si="106"/>
        <v>E217</v>
      </c>
      <c r="B421">
        <v>1</v>
      </c>
      <c r="C421" t="str">
        <f t="shared" si="107"/>
        <v>43000</v>
      </c>
      <c r="D421" t="str">
        <f t="shared" si="98"/>
        <v>5740</v>
      </c>
      <c r="E421" t="str">
        <f t="shared" si="105"/>
        <v>850LOS</v>
      </c>
      <c r="F421" t="str">
        <f>""</f>
        <v/>
      </c>
      <c r="G421" t="str">
        <f>""</f>
        <v/>
      </c>
      <c r="H421" s="1">
        <v>40281</v>
      </c>
      <c r="I421" t="str">
        <f>"CMG00644"</f>
        <v>CMG00644</v>
      </c>
      <c r="J421" t="str">
        <f>""</f>
        <v/>
      </c>
      <c r="K421" t="str">
        <f t="shared" si="108"/>
        <v>J089</v>
      </c>
      <c r="L421" t="s">
        <v>1292</v>
      </c>
      <c r="M421" s="2">
        <v>1231.58</v>
      </c>
    </row>
    <row r="422" spans="1:13" x14ac:dyDescent="0.25">
      <c r="A422" t="str">
        <f t="shared" si="106"/>
        <v>E217</v>
      </c>
      <c r="B422">
        <v>1</v>
      </c>
      <c r="C422" t="str">
        <f t="shared" si="107"/>
        <v>43000</v>
      </c>
      <c r="D422" t="str">
        <f t="shared" si="98"/>
        <v>5740</v>
      </c>
      <c r="E422" t="str">
        <f t="shared" si="105"/>
        <v>850LOS</v>
      </c>
      <c r="F422" t="str">
        <f>""</f>
        <v/>
      </c>
      <c r="G422" t="str">
        <f>""</f>
        <v/>
      </c>
      <c r="H422" s="1">
        <v>40311</v>
      </c>
      <c r="I422" t="str">
        <f>"CMG00648"</f>
        <v>CMG00648</v>
      </c>
      <c r="J422" t="str">
        <f>""</f>
        <v/>
      </c>
      <c r="K422" t="str">
        <f t="shared" si="108"/>
        <v>J089</v>
      </c>
      <c r="L422" t="s">
        <v>1291</v>
      </c>
      <c r="M422" s="2">
        <v>1078.05</v>
      </c>
    </row>
    <row r="423" spans="1:13" x14ac:dyDescent="0.25">
      <c r="A423" t="str">
        <f t="shared" si="106"/>
        <v>E217</v>
      </c>
      <c r="B423">
        <v>1</v>
      </c>
      <c r="C423" t="str">
        <f t="shared" si="107"/>
        <v>43000</v>
      </c>
      <c r="D423" t="str">
        <f t="shared" si="98"/>
        <v>5740</v>
      </c>
      <c r="E423" t="str">
        <f t="shared" si="105"/>
        <v>850LOS</v>
      </c>
      <c r="F423" t="str">
        <f>""</f>
        <v/>
      </c>
      <c r="G423" t="str">
        <f>""</f>
        <v/>
      </c>
      <c r="H423" s="1">
        <v>40340</v>
      </c>
      <c r="I423" t="str">
        <f>"CMG00653"</f>
        <v>CMG00653</v>
      </c>
      <c r="J423" t="str">
        <f>""</f>
        <v/>
      </c>
      <c r="K423" t="str">
        <f t="shared" si="108"/>
        <v>J089</v>
      </c>
      <c r="L423" t="s">
        <v>1290</v>
      </c>
      <c r="M423">
        <v>641.12</v>
      </c>
    </row>
    <row r="424" spans="1:13" x14ac:dyDescent="0.25">
      <c r="A424" t="str">
        <f t="shared" si="106"/>
        <v>E217</v>
      </c>
      <c r="B424">
        <v>1</v>
      </c>
      <c r="C424" t="str">
        <f t="shared" si="107"/>
        <v>43000</v>
      </c>
      <c r="D424" t="str">
        <f t="shared" si="98"/>
        <v>5740</v>
      </c>
      <c r="E424" t="str">
        <f t="shared" si="105"/>
        <v>850LOS</v>
      </c>
      <c r="F424" t="str">
        <f>""</f>
        <v/>
      </c>
      <c r="G424" t="str">
        <f>""</f>
        <v/>
      </c>
      <c r="H424" s="1">
        <v>40359</v>
      </c>
      <c r="I424" t="str">
        <f>"CMG00656"</f>
        <v>CMG00656</v>
      </c>
      <c r="J424" t="str">
        <f>""</f>
        <v/>
      </c>
      <c r="K424" t="str">
        <f t="shared" si="108"/>
        <v>J089</v>
      </c>
      <c r="L424" t="s">
        <v>1289</v>
      </c>
      <c r="M424" s="2">
        <v>1135.51</v>
      </c>
    </row>
    <row r="425" spans="1:13" x14ac:dyDescent="0.25">
      <c r="A425" t="str">
        <f t="shared" si="106"/>
        <v>E217</v>
      </c>
      <c r="B425">
        <v>1</v>
      </c>
      <c r="C425" t="str">
        <f>"43003"</f>
        <v>43003</v>
      </c>
      <c r="D425" t="str">
        <f t="shared" si="98"/>
        <v>5740</v>
      </c>
      <c r="E425" t="str">
        <f t="shared" si="105"/>
        <v>850LOS</v>
      </c>
      <c r="F425" t="str">
        <f>""</f>
        <v/>
      </c>
      <c r="G425" t="str">
        <f>""</f>
        <v/>
      </c>
      <c r="H425" s="1">
        <v>40359</v>
      </c>
      <c r="I425" t="str">
        <f>"G1012284"</f>
        <v>G1012284</v>
      </c>
      <c r="J425" t="str">
        <f>""</f>
        <v/>
      </c>
      <c r="K425" t="str">
        <f>"J079"</f>
        <v>J079</v>
      </c>
      <c r="L425" t="s">
        <v>1187</v>
      </c>
      <c r="M425" s="2">
        <v>4094.93</v>
      </c>
    </row>
    <row r="426" spans="1:13" x14ac:dyDescent="0.25">
      <c r="A426" t="str">
        <f t="shared" si="106"/>
        <v>E217</v>
      </c>
      <c r="B426">
        <v>1</v>
      </c>
      <c r="C426" t="str">
        <f>"43003"</f>
        <v>43003</v>
      </c>
      <c r="D426" t="str">
        <f t="shared" si="98"/>
        <v>5740</v>
      </c>
      <c r="E426" t="str">
        <f t="shared" si="105"/>
        <v>850LOS</v>
      </c>
      <c r="F426" t="str">
        <f>""</f>
        <v/>
      </c>
      <c r="G426" t="str">
        <f>""</f>
        <v/>
      </c>
      <c r="H426" s="1">
        <v>40359</v>
      </c>
      <c r="I426" t="str">
        <f>"G1012448"</f>
        <v>G1012448</v>
      </c>
      <c r="J426" t="str">
        <f>""</f>
        <v/>
      </c>
      <c r="K426" t="str">
        <f>"J096"</f>
        <v>J096</v>
      </c>
      <c r="L426" t="s">
        <v>1185</v>
      </c>
      <c r="M426">
        <v>144.21</v>
      </c>
    </row>
    <row r="427" spans="1:13" x14ac:dyDescent="0.25">
      <c r="A427" t="str">
        <f t="shared" ref="A427:A435" si="109">"E230"</f>
        <v>E230</v>
      </c>
      <c r="B427">
        <v>1</v>
      </c>
      <c r="C427" t="str">
        <f>"14185"</f>
        <v>14185</v>
      </c>
      <c r="D427" t="str">
        <f>"5620"</f>
        <v>5620</v>
      </c>
      <c r="E427" t="str">
        <f>"094OMS"</f>
        <v>094OMS</v>
      </c>
      <c r="F427" t="str">
        <f>""</f>
        <v/>
      </c>
      <c r="G427" t="str">
        <f>""</f>
        <v/>
      </c>
      <c r="H427" s="1">
        <v>40359</v>
      </c>
      <c r="I427" t="str">
        <f>"PCD00427"</f>
        <v>PCD00427</v>
      </c>
      <c r="J427" t="str">
        <f>"125488"</f>
        <v>125488</v>
      </c>
      <c r="K427" t="str">
        <f t="shared" ref="K427:K446" si="110">"AS89"</f>
        <v>AS89</v>
      </c>
      <c r="L427" t="s">
        <v>1287</v>
      </c>
      <c r="M427">
        <v>457.87</v>
      </c>
    </row>
    <row r="428" spans="1:13" x14ac:dyDescent="0.25">
      <c r="A428" t="str">
        <f t="shared" si="109"/>
        <v>E230</v>
      </c>
      <c r="B428">
        <v>1</v>
      </c>
      <c r="C428" t="str">
        <f t="shared" ref="C428:C435" si="111">"43000"</f>
        <v>43000</v>
      </c>
      <c r="D428" t="str">
        <f t="shared" ref="D428:D435" si="112">"5740"</f>
        <v>5740</v>
      </c>
      <c r="E428" t="str">
        <f t="shared" ref="E428:E435" si="113">"850PKE"</f>
        <v>850PKE</v>
      </c>
      <c r="F428" t="str">
        <f>""</f>
        <v/>
      </c>
      <c r="G428" t="str">
        <f>""</f>
        <v/>
      </c>
      <c r="H428" s="1">
        <v>40026</v>
      </c>
      <c r="I428" t="str">
        <f>"PHY00511"</f>
        <v>PHY00511</v>
      </c>
      <c r="J428" t="str">
        <f>"W0045985"</f>
        <v>W0045985</v>
      </c>
      <c r="K428" t="str">
        <f t="shared" si="110"/>
        <v>AS89</v>
      </c>
      <c r="L428" t="s">
        <v>1286</v>
      </c>
      <c r="M428">
        <v>581.1</v>
      </c>
    </row>
    <row r="429" spans="1:13" x14ac:dyDescent="0.25">
      <c r="A429" t="str">
        <f t="shared" si="109"/>
        <v>E230</v>
      </c>
      <c r="B429">
        <v>1</v>
      </c>
      <c r="C429" t="str">
        <f t="shared" si="111"/>
        <v>43000</v>
      </c>
      <c r="D429" t="str">
        <f t="shared" si="112"/>
        <v>5740</v>
      </c>
      <c r="E429" t="str">
        <f t="shared" si="113"/>
        <v>850PKE</v>
      </c>
      <c r="F429" t="str">
        <f>""</f>
        <v/>
      </c>
      <c r="G429" t="str">
        <f>""</f>
        <v/>
      </c>
      <c r="H429" s="1">
        <v>40026</v>
      </c>
      <c r="I429" t="str">
        <f>"PHY00511"</f>
        <v>PHY00511</v>
      </c>
      <c r="J429" t="str">
        <f>"W0045987"</f>
        <v>W0045987</v>
      </c>
      <c r="K429" t="str">
        <f t="shared" si="110"/>
        <v>AS89</v>
      </c>
      <c r="L429" t="s">
        <v>1285</v>
      </c>
      <c r="M429">
        <v>141.75</v>
      </c>
    </row>
    <row r="430" spans="1:13" x14ac:dyDescent="0.25">
      <c r="A430" t="str">
        <f t="shared" si="109"/>
        <v>E230</v>
      </c>
      <c r="B430">
        <v>1</v>
      </c>
      <c r="C430" t="str">
        <f t="shared" si="111"/>
        <v>43000</v>
      </c>
      <c r="D430" t="str">
        <f t="shared" si="112"/>
        <v>5740</v>
      </c>
      <c r="E430" t="str">
        <f t="shared" si="113"/>
        <v>850PKE</v>
      </c>
      <c r="F430" t="str">
        <f>""</f>
        <v/>
      </c>
      <c r="G430" t="str">
        <f>""</f>
        <v/>
      </c>
      <c r="H430" s="1">
        <v>40026</v>
      </c>
      <c r="I430" t="str">
        <f>"PHY00511"</f>
        <v>PHY00511</v>
      </c>
      <c r="J430" t="str">
        <f>"W0046149"</f>
        <v>W0046149</v>
      </c>
      <c r="K430" t="str">
        <f t="shared" si="110"/>
        <v>AS89</v>
      </c>
      <c r="L430" t="s">
        <v>1284</v>
      </c>
      <c r="M430">
        <v>251.15</v>
      </c>
    </row>
    <row r="431" spans="1:13" x14ac:dyDescent="0.25">
      <c r="A431" t="str">
        <f t="shared" si="109"/>
        <v>E230</v>
      </c>
      <c r="B431">
        <v>1</v>
      </c>
      <c r="C431" t="str">
        <f t="shared" si="111"/>
        <v>43000</v>
      </c>
      <c r="D431" t="str">
        <f t="shared" si="112"/>
        <v>5740</v>
      </c>
      <c r="E431" t="str">
        <f t="shared" si="113"/>
        <v>850PKE</v>
      </c>
      <c r="F431" t="str">
        <f>""</f>
        <v/>
      </c>
      <c r="G431" t="str">
        <f>""</f>
        <v/>
      </c>
      <c r="H431" s="1">
        <v>40057</v>
      </c>
      <c r="I431" t="str">
        <f>"PHY00513"</f>
        <v>PHY00513</v>
      </c>
      <c r="J431" t="str">
        <f>"W0046149"</f>
        <v>W0046149</v>
      </c>
      <c r="K431" t="str">
        <f t="shared" si="110"/>
        <v>AS89</v>
      </c>
      <c r="L431" t="s">
        <v>1284</v>
      </c>
      <c r="M431">
        <v>181.19</v>
      </c>
    </row>
    <row r="432" spans="1:13" x14ac:dyDescent="0.25">
      <c r="A432" t="str">
        <f t="shared" si="109"/>
        <v>E230</v>
      </c>
      <c r="B432">
        <v>1</v>
      </c>
      <c r="C432" t="str">
        <f t="shared" si="111"/>
        <v>43000</v>
      </c>
      <c r="D432" t="str">
        <f t="shared" si="112"/>
        <v>5740</v>
      </c>
      <c r="E432" t="str">
        <f t="shared" si="113"/>
        <v>850PKE</v>
      </c>
      <c r="F432" t="str">
        <f>""</f>
        <v/>
      </c>
      <c r="G432" t="str">
        <f>""</f>
        <v/>
      </c>
      <c r="H432" s="1">
        <v>40118</v>
      </c>
      <c r="I432" t="str">
        <f>"PHY00517"</f>
        <v>PHY00517</v>
      </c>
      <c r="J432" t="str">
        <f>"W0049823"</f>
        <v>W0049823</v>
      </c>
      <c r="K432" t="str">
        <f t="shared" si="110"/>
        <v>AS89</v>
      </c>
      <c r="L432" t="s">
        <v>1283</v>
      </c>
      <c r="M432" s="2">
        <v>1098.8900000000001</v>
      </c>
    </row>
    <row r="433" spans="1:13" x14ac:dyDescent="0.25">
      <c r="A433" t="str">
        <f t="shared" si="109"/>
        <v>E230</v>
      </c>
      <c r="B433">
        <v>1</v>
      </c>
      <c r="C433" t="str">
        <f t="shared" si="111"/>
        <v>43000</v>
      </c>
      <c r="D433" t="str">
        <f t="shared" si="112"/>
        <v>5740</v>
      </c>
      <c r="E433" t="str">
        <f t="shared" si="113"/>
        <v>850PKE</v>
      </c>
      <c r="F433" t="str">
        <f>""</f>
        <v/>
      </c>
      <c r="G433" t="str">
        <f>""</f>
        <v/>
      </c>
      <c r="H433" s="1">
        <v>40179</v>
      </c>
      <c r="I433" t="str">
        <f>"PHY00521"</f>
        <v>PHY00521</v>
      </c>
      <c r="J433" t="str">
        <f>"W0045986"</f>
        <v>W0045986</v>
      </c>
      <c r="K433" t="str">
        <f t="shared" si="110"/>
        <v>AS89</v>
      </c>
      <c r="L433" t="s">
        <v>1282</v>
      </c>
      <c r="M433">
        <v>262.10000000000002</v>
      </c>
    </row>
    <row r="434" spans="1:13" x14ac:dyDescent="0.25">
      <c r="A434" t="str">
        <f t="shared" si="109"/>
        <v>E230</v>
      </c>
      <c r="B434">
        <v>1</v>
      </c>
      <c r="C434" t="str">
        <f t="shared" si="111"/>
        <v>43000</v>
      </c>
      <c r="D434" t="str">
        <f t="shared" si="112"/>
        <v>5740</v>
      </c>
      <c r="E434" t="str">
        <f t="shared" si="113"/>
        <v>850PKE</v>
      </c>
      <c r="F434" t="str">
        <f>""</f>
        <v/>
      </c>
      <c r="G434" t="str">
        <f>""</f>
        <v/>
      </c>
      <c r="H434" s="1">
        <v>40330</v>
      </c>
      <c r="I434" t="str">
        <f>"PHY00530"</f>
        <v>PHY00530</v>
      </c>
      <c r="J434" t="str">
        <f>"W0061158"</f>
        <v>W0061158</v>
      </c>
      <c r="K434" t="str">
        <f t="shared" si="110"/>
        <v>AS89</v>
      </c>
      <c r="L434" t="s">
        <v>1281</v>
      </c>
      <c r="M434">
        <v>184.51</v>
      </c>
    </row>
    <row r="435" spans="1:13" x14ac:dyDescent="0.25">
      <c r="A435" t="str">
        <f t="shared" si="109"/>
        <v>E230</v>
      </c>
      <c r="B435">
        <v>1</v>
      </c>
      <c r="C435" t="str">
        <f t="shared" si="111"/>
        <v>43000</v>
      </c>
      <c r="D435" t="str">
        <f t="shared" si="112"/>
        <v>5740</v>
      </c>
      <c r="E435" t="str">
        <f t="shared" si="113"/>
        <v>850PKE</v>
      </c>
      <c r="F435" t="str">
        <f>""</f>
        <v/>
      </c>
      <c r="G435" t="str">
        <f>""</f>
        <v/>
      </c>
      <c r="H435" s="1">
        <v>40330</v>
      </c>
      <c r="I435" t="str">
        <f>"PHY00532"</f>
        <v>PHY00532</v>
      </c>
      <c r="J435" t="str">
        <f>"W0061158"</f>
        <v>W0061158</v>
      </c>
      <c r="K435" t="str">
        <f t="shared" si="110"/>
        <v>AS89</v>
      </c>
      <c r="L435" t="s">
        <v>1281</v>
      </c>
      <c r="M435" s="2">
        <v>1170.96</v>
      </c>
    </row>
    <row r="436" spans="1:13" x14ac:dyDescent="0.25">
      <c r="A436" t="str">
        <f t="shared" ref="A436:A461" si="114">"E231"</f>
        <v>E231</v>
      </c>
      <c r="B436">
        <v>1</v>
      </c>
      <c r="C436" t="str">
        <f t="shared" ref="C436:C448" si="115">"14185"</f>
        <v>14185</v>
      </c>
      <c r="D436" t="str">
        <f t="shared" ref="D436:D448" si="116">"5620"</f>
        <v>5620</v>
      </c>
      <c r="E436" t="str">
        <f t="shared" ref="E436:E448" si="117">"094OMS"</f>
        <v>094OMS</v>
      </c>
      <c r="F436" t="str">
        <f>""</f>
        <v/>
      </c>
      <c r="G436" t="str">
        <f>""</f>
        <v/>
      </c>
      <c r="H436" s="1">
        <v>40025</v>
      </c>
      <c r="I436" t="str">
        <f>"MPG00363"</f>
        <v>MPG00363</v>
      </c>
      <c r="J436" t="str">
        <f>""</f>
        <v/>
      </c>
      <c r="K436" t="str">
        <f t="shared" si="110"/>
        <v>AS89</v>
      </c>
      <c r="L436" t="s">
        <v>1280</v>
      </c>
      <c r="M436" s="2">
        <v>1158.7</v>
      </c>
    </row>
    <row r="437" spans="1:13" x14ac:dyDescent="0.25">
      <c r="A437" t="str">
        <f t="shared" si="114"/>
        <v>E231</v>
      </c>
      <c r="B437">
        <v>1</v>
      </c>
      <c r="C437" t="str">
        <f t="shared" si="115"/>
        <v>14185</v>
      </c>
      <c r="D437" t="str">
        <f t="shared" si="116"/>
        <v>5620</v>
      </c>
      <c r="E437" t="str">
        <f t="shared" si="117"/>
        <v>094OMS</v>
      </c>
      <c r="F437" t="str">
        <f>""</f>
        <v/>
      </c>
      <c r="G437" t="str">
        <f>""</f>
        <v/>
      </c>
      <c r="H437" s="1">
        <v>40056</v>
      </c>
      <c r="I437" t="str">
        <f>"MPG00364"</f>
        <v>MPG00364</v>
      </c>
      <c r="J437" t="str">
        <f>""</f>
        <v/>
      </c>
      <c r="K437" t="str">
        <f t="shared" si="110"/>
        <v>AS89</v>
      </c>
      <c r="L437" t="s">
        <v>1279</v>
      </c>
      <c r="M437" s="2">
        <v>1434.99</v>
      </c>
    </row>
    <row r="438" spans="1:13" x14ac:dyDescent="0.25">
      <c r="A438" t="str">
        <f t="shared" si="114"/>
        <v>E231</v>
      </c>
      <c r="B438">
        <v>1</v>
      </c>
      <c r="C438" t="str">
        <f t="shared" si="115"/>
        <v>14185</v>
      </c>
      <c r="D438" t="str">
        <f t="shared" si="116"/>
        <v>5620</v>
      </c>
      <c r="E438" t="str">
        <f t="shared" si="117"/>
        <v>094OMS</v>
      </c>
      <c r="F438" t="str">
        <f>""</f>
        <v/>
      </c>
      <c r="G438" t="str">
        <f>""</f>
        <v/>
      </c>
      <c r="H438" s="1">
        <v>40086</v>
      </c>
      <c r="I438" t="str">
        <f>"MPG00365"</f>
        <v>MPG00365</v>
      </c>
      <c r="J438" t="str">
        <f>""</f>
        <v/>
      </c>
      <c r="K438" t="str">
        <f t="shared" si="110"/>
        <v>AS89</v>
      </c>
      <c r="L438" t="s">
        <v>1278</v>
      </c>
      <c r="M438" s="2">
        <v>1425.07</v>
      </c>
    </row>
    <row r="439" spans="1:13" x14ac:dyDescent="0.25">
      <c r="A439" t="str">
        <f t="shared" si="114"/>
        <v>E231</v>
      </c>
      <c r="B439">
        <v>1</v>
      </c>
      <c r="C439" t="str">
        <f t="shared" si="115"/>
        <v>14185</v>
      </c>
      <c r="D439" t="str">
        <f t="shared" si="116"/>
        <v>5620</v>
      </c>
      <c r="E439" t="str">
        <f t="shared" si="117"/>
        <v>094OMS</v>
      </c>
      <c r="F439" t="str">
        <f>""</f>
        <v/>
      </c>
      <c r="G439" t="str">
        <f>""</f>
        <v/>
      </c>
      <c r="H439" s="1">
        <v>40117</v>
      </c>
      <c r="I439" t="str">
        <f>"MPG00366"</f>
        <v>MPG00366</v>
      </c>
      <c r="J439" t="str">
        <f>""</f>
        <v/>
      </c>
      <c r="K439" t="str">
        <f t="shared" si="110"/>
        <v>AS89</v>
      </c>
      <c r="L439" t="s">
        <v>1277</v>
      </c>
      <c r="M439" s="2">
        <v>1824.5</v>
      </c>
    </row>
    <row r="440" spans="1:13" x14ac:dyDescent="0.25">
      <c r="A440" t="str">
        <f t="shared" si="114"/>
        <v>E231</v>
      </c>
      <c r="B440">
        <v>1</v>
      </c>
      <c r="C440" t="str">
        <f t="shared" si="115"/>
        <v>14185</v>
      </c>
      <c r="D440" t="str">
        <f t="shared" si="116"/>
        <v>5620</v>
      </c>
      <c r="E440" t="str">
        <f t="shared" si="117"/>
        <v>094OMS</v>
      </c>
      <c r="F440" t="str">
        <f>""</f>
        <v/>
      </c>
      <c r="G440" t="str">
        <f>""</f>
        <v/>
      </c>
      <c r="H440" s="1">
        <v>40147</v>
      </c>
      <c r="I440" t="str">
        <f>"MPG00367"</f>
        <v>MPG00367</v>
      </c>
      <c r="J440" t="str">
        <f>""</f>
        <v/>
      </c>
      <c r="K440" t="str">
        <f t="shared" si="110"/>
        <v>AS89</v>
      </c>
      <c r="L440" t="s">
        <v>1276</v>
      </c>
      <c r="M440" s="2">
        <v>1918.72</v>
      </c>
    </row>
    <row r="441" spans="1:13" x14ac:dyDescent="0.25">
      <c r="A441" t="str">
        <f t="shared" si="114"/>
        <v>E231</v>
      </c>
      <c r="B441">
        <v>1</v>
      </c>
      <c r="C441" t="str">
        <f t="shared" si="115"/>
        <v>14185</v>
      </c>
      <c r="D441" t="str">
        <f t="shared" si="116"/>
        <v>5620</v>
      </c>
      <c r="E441" t="str">
        <f t="shared" si="117"/>
        <v>094OMS</v>
      </c>
      <c r="F441" t="str">
        <f>""</f>
        <v/>
      </c>
      <c r="G441" t="str">
        <f>""</f>
        <v/>
      </c>
      <c r="H441" s="1">
        <v>40178</v>
      </c>
      <c r="I441" t="str">
        <f>"MPG00368"</f>
        <v>MPG00368</v>
      </c>
      <c r="J441" t="str">
        <f>""</f>
        <v/>
      </c>
      <c r="K441" t="str">
        <f t="shared" si="110"/>
        <v>AS89</v>
      </c>
      <c r="L441" t="s">
        <v>1275</v>
      </c>
      <c r="M441" s="2">
        <v>1623.76</v>
      </c>
    </row>
    <row r="442" spans="1:13" x14ac:dyDescent="0.25">
      <c r="A442" t="str">
        <f t="shared" si="114"/>
        <v>E231</v>
      </c>
      <c r="B442">
        <v>1</v>
      </c>
      <c r="C442" t="str">
        <f t="shared" si="115"/>
        <v>14185</v>
      </c>
      <c r="D442" t="str">
        <f t="shared" si="116"/>
        <v>5620</v>
      </c>
      <c r="E442" t="str">
        <f t="shared" si="117"/>
        <v>094OMS</v>
      </c>
      <c r="F442" t="str">
        <f>""</f>
        <v/>
      </c>
      <c r="G442" t="str">
        <f>""</f>
        <v/>
      </c>
      <c r="H442" s="1">
        <v>40209</v>
      </c>
      <c r="I442" t="str">
        <f>"MPG00369"</f>
        <v>MPG00369</v>
      </c>
      <c r="J442" t="str">
        <f>""</f>
        <v/>
      </c>
      <c r="K442" t="str">
        <f t="shared" si="110"/>
        <v>AS89</v>
      </c>
      <c r="L442" t="s">
        <v>1274</v>
      </c>
      <c r="M442" s="2">
        <v>1990.09</v>
      </c>
    </row>
    <row r="443" spans="1:13" x14ac:dyDescent="0.25">
      <c r="A443" t="str">
        <f t="shared" si="114"/>
        <v>E231</v>
      </c>
      <c r="B443">
        <v>1</v>
      </c>
      <c r="C443" t="str">
        <f t="shared" si="115"/>
        <v>14185</v>
      </c>
      <c r="D443" t="str">
        <f t="shared" si="116"/>
        <v>5620</v>
      </c>
      <c r="E443" t="str">
        <f t="shared" si="117"/>
        <v>094OMS</v>
      </c>
      <c r="F443" t="str">
        <f>""</f>
        <v/>
      </c>
      <c r="G443" t="str">
        <f>""</f>
        <v/>
      </c>
      <c r="H443" s="1">
        <v>40237</v>
      </c>
      <c r="I443" t="str">
        <f>"MPG00370"</f>
        <v>MPG00370</v>
      </c>
      <c r="J443" t="str">
        <f>""</f>
        <v/>
      </c>
      <c r="K443" t="str">
        <f t="shared" si="110"/>
        <v>AS89</v>
      </c>
      <c r="L443" t="s">
        <v>1273</v>
      </c>
      <c r="M443" s="2">
        <v>1490.14</v>
      </c>
    </row>
    <row r="444" spans="1:13" x14ac:dyDescent="0.25">
      <c r="A444" t="str">
        <f t="shared" si="114"/>
        <v>E231</v>
      </c>
      <c r="B444">
        <v>1</v>
      </c>
      <c r="C444" t="str">
        <f t="shared" si="115"/>
        <v>14185</v>
      </c>
      <c r="D444" t="str">
        <f t="shared" si="116"/>
        <v>5620</v>
      </c>
      <c r="E444" t="str">
        <f t="shared" si="117"/>
        <v>094OMS</v>
      </c>
      <c r="F444" t="str">
        <f>""</f>
        <v/>
      </c>
      <c r="G444" t="str">
        <f>""</f>
        <v/>
      </c>
      <c r="H444" s="1">
        <v>40268</v>
      </c>
      <c r="I444" t="str">
        <f>"MPG00371"</f>
        <v>MPG00371</v>
      </c>
      <c r="J444" t="str">
        <f>""</f>
        <v/>
      </c>
      <c r="K444" t="str">
        <f t="shared" si="110"/>
        <v>AS89</v>
      </c>
      <c r="L444" t="s">
        <v>1272</v>
      </c>
      <c r="M444" s="2">
        <v>1802.88</v>
      </c>
    </row>
    <row r="445" spans="1:13" x14ac:dyDescent="0.25">
      <c r="A445" t="str">
        <f t="shared" si="114"/>
        <v>E231</v>
      </c>
      <c r="B445">
        <v>1</v>
      </c>
      <c r="C445" t="str">
        <f t="shared" si="115"/>
        <v>14185</v>
      </c>
      <c r="D445" t="str">
        <f t="shared" si="116"/>
        <v>5620</v>
      </c>
      <c r="E445" t="str">
        <f t="shared" si="117"/>
        <v>094OMS</v>
      </c>
      <c r="F445" t="str">
        <f>""</f>
        <v/>
      </c>
      <c r="G445" t="str">
        <f>""</f>
        <v/>
      </c>
      <c r="H445" s="1">
        <v>40298</v>
      </c>
      <c r="I445" t="str">
        <f>"MPG00372"</f>
        <v>MPG00372</v>
      </c>
      <c r="J445" t="str">
        <f>""</f>
        <v/>
      </c>
      <c r="K445" t="str">
        <f t="shared" si="110"/>
        <v>AS89</v>
      </c>
      <c r="L445" t="s">
        <v>1271</v>
      </c>
      <c r="M445" s="2">
        <v>2073.92</v>
      </c>
    </row>
    <row r="446" spans="1:13" x14ac:dyDescent="0.25">
      <c r="A446" t="str">
        <f t="shared" si="114"/>
        <v>E231</v>
      </c>
      <c r="B446">
        <v>1</v>
      </c>
      <c r="C446" t="str">
        <f t="shared" si="115"/>
        <v>14185</v>
      </c>
      <c r="D446" t="str">
        <f t="shared" si="116"/>
        <v>5620</v>
      </c>
      <c r="E446" t="str">
        <f t="shared" si="117"/>
        <v>094OMS</v>
      </c>
      <c r="F446" t="str">
        <f>""</f>
        <v/>
      </c>
      <c r="G446" t="str">
        <f>""</f>
        <v/>
      </c>
      <c r="H446" s="1">
        <v>40329</v>
      </c>
      <c r="I446" t="str">
        <f>"MPG00373"</f>
        <v>MPG00373</v>
      </c>
      <c r="J446" t="str">
        <f>""</f>
        <v/>
      </c>
      <c r="K446" t="str">
        <f t="shared" si="110"/>
        <v>AS89</v>
      </c>
      <c r="L446" t="s">
        <v>1270</v>
      </c>
      <c r="M446" s="2">
        <v>2056.54</v>
      </c>
    </row>
    <row r="447" spans="1:13" x14ac:dyDescent="0.25">
      <c r="A447" t="str">
        <f t="shared" si="114"/>
        <v>E231</v>
      </c>
      <c r="B447">
        <v>1</v>
      </c>
      <c r="C447" t="str">
        <f t="shared" si="115"/>
        <v>14185</v>
      </c>
      <c r="D447" t="str">
        <f t="shared" si="116"/>
        <v>5620</v>
      </c>
      <c r="E447" t="str">
        <f t="shared" si="117"/>
        <v>094OMS</v>
      </c>
      <c r="F447" t="str">
        <f>""</f>
        <v/>
      </c>
      <c r="G447" t="str">
        <f>""</f>
        <v/>
      </c>
      <c r="H447" s="1">
        <v>40338</v>
      </c>
      <c r="I447" t="str">
        <f>"20119038"</f>
        <v>20119038</v>
      </c>
      <c r="J447" t="str">
        <f>""</f>
        <v/>
      </c>
      <c r="K447" t="str">
        <f>"INNI"</f>
        <v>INNI</v>
      </c>
      <c r="L447" t="s">
        <v>1026</v>
      </c>
      <c r="M447">
        <v>106.95</v>
      </c>
    </row>
    <row r="448" spans="1:13" x14ac:dyDescent="0.25">
      <c r="A448" t="str">
        <f t="shared" si="114"/>
        <v>E231</v>
      </c>
      <c r="B448">
        <v>1</v>
      </c>
      <c r="C448" t="str">
        <f t="shared" si="115"/>
        <v>14185</v>
      </c>
      <c r="D448" t="str">
        <f t="shared" si="116"/>
        <v>5620</v>
      </c>
      <c r="E448" t="str">
        <f t="shared" si="117"/>
        <v>094OMS</v>
      </c>
      <c r="F448" t="str">
        <f>""</f>
        <v/>
      </c>
      <c r="G448" t="str">
        <f>""</f>
        <v/>
      </c>
      <c r="H448" s="1">
        <v>40359</v>
      </c>
      <c r="I448" t="str">
        <f>"MPG00374"</f>
        <v>MPG00374</v>
      </c>
      <c r="J448" t="str">
        <f>"FUEL"</f>
        <v>FUEL</v>
      </c>
      <c r="K448" t="str">
        <f t="shared" ref="K448:K463" si="118">"AS89"</f>
        <v>AS89</v>
      </c>
      <c r="L448" t="s">
        <v>1269</v>
      </c>
      <c r="M448" s="2">
        <v>1847.61</v>
      </c>
    </row>
    <row r="449" spans="1:13" x14ac:dyDescent="0.25">
      <c r="A449" t="str">
        <f t="shared" si="114"/>
        <v>E231</v>
      </c>
      <c r="B449">
        <v>1</v>
      </c>
      <c r="C449" t="str">
        <f>"32040"</f>
        <v>32040</v>
      </c>
      <c r="D449" t="str">
        <f>"5610"</f>
        <v>5610</v>
      </c>
      <c r="E449" t="str">
        <f t="shared" ref="E449:E461" si="119">"850LOS"</f>
        <v>850LOS</v>
      </c>
      <c r="F449" t="str">
        <f>""</f>
        <v/>
      </c>
      <c r="G449" t="str">
        <f>""</f>
        <v/>
      </c>
      <c r="H449" s="1">
        <v>40359</v>
      </c>
      <c r="I449" t="str">
        <f>"MPG00374"</f>
        <v>MPG00374</v>
      </c>
      <c r="J449" t="str">
        <f>"FUEL"</f>
        <v>FUEL</v>
      </c>
      <c r="K449" t="str">
        <f t="shared" si="118"/>
        <v>AS89</v>
      </c>
      <c r="L449" t="s">
        <v>1269</v>
      </c>
      <c r="M449">
        <v>102.47</v>
      </c>
    </row>
    <row r="450" spans="1:13" x14ac:dyDescent="0.25">
      <c r="A450" t="str">
        <f t="shared" si="114"/>
        <v>E231</v>
      </c>
      <c r="B450">
        <v>1</v>
      </c>
      <c r="C450" t="str">
        <f t="shared" ref="C450:C461" si="120">"43000"</f>
        <v>43000</v>
      </c>
      <c r="D450" t="str">
        <f t="shared" ref="D450:D461" si="121">"5740"</f>
        <v>5740</v>
      </c>
      <c r="E450" t="str">
        <f t="shared" si="119"/>
        <v>850LOS</v>
      </c>
      <c r="F450" t="str">
        <f>""</f>
        <v/>
      </c>
      <c r="G450" t="str">
        <f>""</f>
        <v/>
      </c>
      <c r="H450" s="1">
        <v>40025</v>
      </c>
      <c r="I450" t="str">
        <f>"MPG00363"</f>
        <v>MPG00363</v>
      </c>
      <c r="J450" t="str">
        <f>""</f>
        <v/>
      </c>
      <c r="K450" t="str">
        <f t="shared" si="118"/>
        <v>AS89</v>
      </c>
      <c r="L450" t="s">
        <v>1280</v>
      </c>
      <c r="M450">
        <v>336.87</v>
      </c>
    </row>
    <row r="451" spans="1:13" x14ac:dyDescent="0.25">
      <c r="A451" t="str">
        <f t="shared" si="114"/>
        <v>E231</v>
      </c>
      <c r="B451">
        <v>1</v>
      </c>
      <c r="C451" t="str">
        <f t="shared" si="120"/>
        <v>43000</v>
      </c>
      <c r="D451" t="str">
        <f t="shared" si="121"/>
        <v>5740</v>
      </c>
      <c r="E451" t="str">
        <f t="shared" si="119"/>
        <v>850LOS</v>
      </c>
      <c r="F451" t="str">
        <f>""</f>
        <v/>
      </c>
      <c r="G451" t="str">
        <f>""</f>
        <v/>
      </c>
      <c r="H451" s="1">
        <v>40056</v>
      </c>
      <c r="I451" t="str">
        <f>"MPG00364"</f>
        <v>MPG00364</v>
      </c>
      <c r="J451" t="str">
        <f>""</f>
        <v/>
      </c>
      <c r="K451" t="str">
        <f t="shared" si="118"/>
        <v>AS89</v>
      </c>
      <c r="L451" t="s">
        <v>1279</v>
      </c>
      <c r="M451">
        <v>414.75</v>
      </c>
    </row>
    <row r="452" spans="1:13" x14ac:dyDescent="0.25">
      <c r="A452" t="str">
        <f t="shared" si="114"/>
        <v>E231</v>
      </c>
      <c r="B452">
        <v>1</v>
      </c>
      <c r="C452" t="str">
        <f t="shared" si="120"/>
        <v>43000</v>
      </c>
      <c r="D452" t="str">
        <f t="shared" si="121"/>
        <v>5740</v>
      </c>
      <c r="E452" t="str">
        <f t="shared" si="119"/>
        <v>850LOS</v>
      </c>
      <c r="F452" t="str">
        <f>""</f>
        <v/>
      </c>
      <c r="G452" t="str">
        <f>""</f>
        <v/>
      </c>
      <c r="H452" s="1">
        <v>40086</v>
      </c>
      <c r="I452" t="str">
        <f>"MPG00365"</f>
        <v>MPG00365</v>
      </c>
      <c r="J452" t="str">
        <f>""</f>
        <v/>
      </c>
      <c r="K452" t="str">
        <f t="shared" si="118"/>
        <v>AS89</v>
      </c>
      <c r="L452" t="s">
        <v>1278</v>
      </c>
      <c r="M452">
        <v>356.17</v>
      </c>
    </row>
    <row r="453" spans="1:13" x14ac:dyDescent="0.25">
      <c r="A453" t="str">
        <f t="shared" si="114"/>
        <v>E231</v>
      </c>
      <c r="B453">
        <v>1</v>
      </c>
      <c r="C453" t="str">
        <f t="shared" si="120"/>
        <v>43000</v>
      </c>
      <c r="D453" t="str">
        <f t="shared" si="121"/>
        <v>5740</v>
      </c>
      <c r="E453" t="str">
        <f t="shared" si="119"/>
        <v>850LOS</v>
      </c>
      <c r="F453" t="str">
        <f>""</f>
        <v/>
      </c>
      <c r="G453" t="str">
        <f>""</f>
        <v/>
      </c>
      <c r="H453" s="1">
        <v>40117</v>
      </c>
      <c r="I453" t="str">
        <f>"MPG00366"</f>
        <v>MPG00366</v>
      </c>
      <c r="J453" t="str">
        <f>""</f>
        <v/>
      </c>
      <c r="K453" t="str">
        <f t="shared" si="118"/>
        <v>AS89</v>
      </c>
      <c r="L453" t="s">
        <v>1277</v>
      </c>
      <c r="M453">
        <v>492.38</v>
      </c>
    </row>
    <row r="454" spans="1:13" x14ac:dyDescent="0.25">
      <c r="A454" t="str">
        <f t="shared" si="114"/>
        <v>E231</v>
      </c>
      <c r="B454">
        <v>1</v>
      </c>
      <c r="C454" t="str">
        <f t="shared" si="120"/>
        <v>43000</v>
      </c>
      <c r="D454" t="str">
        <f t="shared" si="121"/>
        <v>5740</v>
      </c>
      <c r="E454" t="str">
        <f t="shared" si="119"/>
        <v>850LOS</v>
      </c>
      <c r="F454" t="str">
        <f>""</f>
        <v/>
      </c>
      <c r="G454" t="str">
        <f>""</f>
        <v/>
      </c>
      <c r="H454" s="1">
        <v>40147</v>
      </c>
      <c r="I454" t="str">
        <f>"MPG00367"</f>
        <v>MPG00367</v>
      </c>
      <c r="J454" t="str">
        <f>""</f>
        <v/>
      </c>
      <c r="K454" t="str">
        <f t="shared" si="118"/>
        <v>AS89</v>
      </c>
      <c r="L454" t="s">
        <v>1276</v>
      </c>
      <c r="M454">
        <v>638.30999999999995</v>
      </c>
    </row>
    <row r="455" spans="1:13" x14ac:dyDescent="0.25">
      <c r="A455" t="str">
        <f t="shared" si="114"/>
        <v>E231</v>
      </c>
      <c r="B455">
        <v>1</v>
      </c>
      <c r="C455" t="str">
        <f t="shared" si="120"/>
        <v>43000</v>
      </c>
      <c r="D455" t="str">
        <f t="shared" si="121"/>
        <v>5740</v>
      </c>
      <c r="E455" t="str">
        <f t="shared" si="119"/>
        <v>850LOS</v>
      </c>
      <c r="F455" t="str">
        <f>""</f>
        <v/>
      </c>
      <c r="G455" t="str">
        <f>""</f>
        <v/>
      </c>
      <c r="H455" s="1">
        <v>40178</v>
      </c>
      <c r="I455" t="str">
        <f>"MPG00368"</f>
        <v>MPG00368</v>
      </c>
      <c r="J455" t="str">
        <f>""</f>
        <v/>
      </c>
      <c r="K455" t="str">
        <f t="shared" si="118"/>
        <v>AS89</v>
      </c>
      <c r="L455" t="s">
        <v>1275</v>
      </c>
      <c r="M455">
        <v>742.22</v>
      </c>
    </row>
    <row r="456" spans="1:13" x14ac:dyDescent="0.25">
      <c r="A456" t="str">
        <f t="shared" si="114"/>
        <v>E231</v>
      </c>
      <c r="B456">
        <v>1</v>
      </c>
      <c r="C456" t="str">
        <f t="shared" si="120"/>
        <v>43000</v>
      </c>
      <c r="D456" t="str">
        <f t="shared" si="121"/>
        <v>5740</v>
      </c>
      <c r="E456" t="str">
        <f t="shared" si="119"/>
        <v>850LOS</v>
      </c>
      <c r="F456" t="str">
        <f>""</f>
        <v/>
      </c>
      <c r="G456" t="str">
        <f>""</f>
        <v/>
      </c>
      <c r="H456" s="1">
        <v>40209</v>
      </c>
      <c r="I456" t="str">
        <f>"MPG00369"</f>
        <v>MPG00369</v>
      </c>
      <c r="J456" t="str">
        <f>""</f>
        <v/>
      </c>
      <c r="K456" t="str">
        <f t="shared" si="118"/>
        <v>AS89</v>
      </c>
      <c r="L456" t="s">
        <v>1274</v>
      </c>
      <c r="M456">
        <v>612.24</v>
      </c>
    </row>
    <row r="457" spans="1:13" x14ac:dyDescent="0.25">
      <c r="A457" t="str">
        <f t="shared" si="114"/>
        <v>E231</v>
      </c>
      <c r="B457">
        <v>1</v>
      </c>
      <c r="C457" t="str">
        <f t="shared" si="120"/>
        <v>43000</v>
      </c>
      <c r="D457" t="str">
        <f t="shared" si="121"/>
        <v>5740</v>
      </c>
      <c r="E457" t="str">
        <f t="shared" si="119"/>
        <v>850LOS</v>
      </c>
      <c r="F457" t="str">
        <f>""</f>
        <v/>
      </c>
      <c r="G457" t="str">
        <f>""</f>
        <v/>
      </c>
      <c r="H457" s="1">
        <v>40237</v>
      </c>
      <c r="I457" t="str">
        <f>"MPG00370"</f>
        <v>MPG00370</v>
      </c>
      <c r="J457" t="str">
        <f>""</f>
        <v/>
      </c>
      <c r="K457" t="str">
        <f t="shared" si="118"/>
        <v>AS89</v>
      </c>
      <c r="L457" t="s">
        <v>1273</v>
      </c>
      <c r="M457">
        <v>683.89</v>
      </c>
    </row>
    <row r="458" spans="1:13" x14ac:dyDescent="0.25">
      <c r="A458" t="str">
        <f t="shared" si="114"/>
        <v>E231</v>
      </c>
      <c r="B458">
        <v>1</v>
      </c>
      <c r="C458" t="str">
        <f t="shared" si="120"/>
        <v>43000</v>
      </c>
      <c r="D458" t="str">
        <f t="shared" si="121"/>
        <v>5740</v>
      </c>
      <c r="E458" t="str">
        <f t="shared" si="119"/>
        <v>850LOS</v>
      </c>
      <c r="F458" t="str">
        <f>""</f>
        <v/>
      </c>
      <c r="G458" t="str">
        <f>""</f>
        <v/>
      </c>
      <c r="H458" s="1">
        <v>40268</v>
      </c>
      <c r="I458" t="str">
        <f>"MPG00371"</f>
        <v>MPG00371</v>
      </c>
      <c r="J458" t="str">
        <f>""</f>
        <v/>
      </c>
      <c r="K458" t="str">
        <f t="shared" si="118"/>
        <v>AS89</v>
      </c>
      <c r="L458" t="s">
        <v>1272</v>
      </c>
      <c r="M458" s="2">
        <v>1048.02</v>
      </c>
    </row>
    <row r="459" spans="1:13" x14ac:dyDescent="0.25">
      <c r="A459" t="str">
        <f t="shared" si="114"/>
        <v>E231</v>
      </c>
      <c r="B459">
        <v>1</v>
      </c>
      <c r="C459" t="str">
        <f t="shared" si="120"/>
        <v>43000</v>
      </c>
      <c r="D459" t="str">
        <f t="shared" si="121"/>
        <v>5740</v>
      </c>
      <c r="E459" t="str">
        <f t="shared" si="119"/>
        <v>850LOS</v>
      </c>
      <c r="F459" t="str">
        <f>""</f>
        <v/>
      </c>
      <c r="G459" t="str">
        <f>""</f>
        <v/>
      </c>
      <c r="H459" s="1">
        <v>40298</v>
      </c>
      <c r="I459" t="str">
        <f>"MPG00372"</f>
        <v>MPG00372</v>
      </c>
      <c r="J459" t="str">
        <f>""</f>
        <v/>
      </c>
      <c r="K459" t="str">
        <f t="shared" si="118"/>
        <v>AS89</v>
      </c>
      <c r="L459" t="s">
        <v>1271</v>
      </c>
      <c r="M459">
        <v>923.9</v>
      </c>
    </row>
    <row r="460" spans="1:13" x14ac:dyDescent="0.25">
      <c r="A460" t="str">
        <f t="shared" si="114"/>
        <v>E231</v>
      </c>
      <c r="B460">
        <v>1</v>
      </c>
      <c r="C460" t="str">
        <f t="shared" si="120"/>
        <v>43000</v>
      </c>
      <c r="D460" t="str">
        <f t="shared" si="121"/>
        <v>5740</v>
      </c>
      <c r="E460" t="str">
        <f t="shared" si="119"/>
        <v>850LOS</v>
      </c>
      <c r="F460" t="str">
        <f>""</f>
        <v/>
      </c>
      <c r="G460" t="str">
        <f>""</f>
        <v/>
      </c>
      <c r="H460" s="1">
        <v>40329</v>
      </c>
      <c r="I460" t="str">
        <f>"MPG00373"</f>
        <v>MPG00373</v>
      </c>
      <c r="J460" t="str">
        <f>""</f>
        <v/>
      </c>
      <c r="K460" t="str">
        <f t="shared" si="118"/>
        <v>AS89</v>
      </c>
      <c r="L460" t="s">
        <v>1270</v>
      </c>
      <c r="M460">
        <v>828.13</v>
      </c>
    </row>
    <row r="461" spans="1:13" x14ac:dyDescent="0.25">
      <c r="A461" t="str">
        <f t="shared" si="114"/>
        <v>E231</v>
      </c>
      <c r="B461">
        <v>1</v>
      </c>
      <c r="C461" t="str">
        <f t="shared" si="120"/>
        <v>43000</v>
      </c>
      <c r="D461" t="str">
        <f t="shared" si="121"/>
        <v>5740</v>
      </c>
      <c r="E461" t="str">
        <f t="shared" si="119"/>
        <v>850LOS</v>
      </c>
      <c r="F461" t="str">
        <f>""</f>
        <v/>
      </c>
      <c r="G461" t="str">
        <f>""</f>
        <v/>
      </c>
      <c r="H461" s="1">
        <v>40359</v>
      </c>
      <c r="I461" t="str">
        <f>"MPG00374"</f>
        <v>MPG00374</v>
      </c>
      <c r="J461" t="str">
        <f>"FUEL"</f>
        <v>FUEL</v>
      </c>
      <c r="K461" t="str">
        <f t="shared" si="118"/>
        <v>AS89</v>
      </c>
      <c r="L461" t="s">
        <v>1269</v>
      </c>
      <c r="M461">
        <v>969.6</v>
      </c>
    </row>
    <row r="462" spans="1:13" x14ac:dyDescent="0.25">
      <c r="A462" t="str">
        <f>"E232"</f>
        <v>E232</v>
      </c>
      <c r="B462">
        <v>1</v>
      </c>
      <c r="C462" t="str">
        <f>"14185"</f>
        <v>14185</v>
      </c>
      <c r="D462" t="str">
        <f>"5620"</f>
        <v>5620</v>
      </c>
      <c r="E462" t="str">
        <f>"094OMS"</f>
        <v>094OMS</v>
      </c>
      <c r="F462" t="str">
        <f>""</f>
        <v/>
      </c>
      <c r="G462" t="str">
        <f>""</f>
        <v/>
      </c>
      <c r="H462" s="1">
        <v>40268</v>
      </c>
      <c r="I462" t="str">
        <f>"PRK00058"</f>
        <v>PRK00058</v>
      </c>
      <c r="J462" t="str">
        <f>"71968"</f>
        <v>71968</v>
      </c>
      <c r="K462" t="str">
        <f t="shared" si="118"/>
        <v>AS89</v>
      </c>
      <c r="L462" t="s">
        <v>1184</v>
      </c>
      <c r="M462">
        <v>180</v>
      </c>
    </row>
    <row r="463" spans="1:13" x14ac:dyDescent="0.25">
      <c r="A463" t="str">
        <f>"E240"</f>
        <v>E240</v>
      </c>
      <c r="B463">
        <v>1</v>
      </c>
      <c r="C463" t="str">
        <f>"43000"</f>
        <v>43000</v>
      </c>
      <c r="D463" t="str">
        <f>"5740"</f>
        <v>5740</v>
      </c>
      <c r="E463" t="str">
        <f>"850LOS"</f>
        <v>850LOS</v>
      </c>
      <c r="F463" t="str">
        <f>""</f>
        <v/>
      </c>
      <c r="G463" t="str">
        <f>""</f>
        <v/>
      </c>
      <c r="H463" s="1">
        <v>40333</v>
      </c>
      <c r="I463" t="str">
        <f>"PCD00423"</f>
        <v>PCD00423</v>
      </c>
      <c r="J463" t="str">
        <f>"122752"</f>
        <v>122752</v>
      </c>
      <c r="K463" t="str">
        <f t="shared" si="118"/>
        <v>AS89</v>
      </c>
      <c r="L463" t="s">
        <v>1268</v>
      </c>
      <c r="M463">
        <v>887.96</v>
      </c>
    </row>
    <row r="464" spans="1:13" x14ac:dyDescent="0.25">
      <c r="A464" t="str">
        <f>"E241"</f>
        <v>E241</v>
      </c>
      <c r="B464">
        <v>1</v>
      </c>
      <c r="C464" t="str">
        <f>"43000"</f>
        <v>43000</v>
      </c>
      <c r="D464" t="str">
        <f>"5740"</f>
        <v>5740</v>
      </c>
      <c r="E464" t="str">
        <f>"850LOS"</f>
        <v>850LOS</v>
      </c>
      <c r="F464" t="str">
        <f>""</f>
        <v/>
      </c>
      <c r="G464" t="str">
        <f>""</f>
        <v/>
      </c>
      <c r="H464" s="1">
        <v>40117</v>
      </c>
      <c r="I464" t="str">
        <f>"SPU00099"</f>
        <v>SPU00099</v>
      </c>
      <c r="J464" t="str">
        <f>""</f>
        <v/>
      </c>
      <c r="K464" t="str">
        <f>"AS96"</f>
        <v>AS96</v>
      </c>
      <c r="L464" t="s">
        <v>1267</v>
      </c>
      <c r="M464">
        <v>158.65</v>
      </c>
    </row>
    <row r="465" spans="1:13" x14ac:dyDescent="0.25">
      <c r="A465" t="str">
        <f>"E241"</f>
        <v>E241</v>
      </c>
      <c r="B465">
        <v>1</v>
      </c>
      <c r="C465" t="str">
        <f>"43000"</f>
        <v>43000</v>
      </c>
      <c r="D465" t="str">
        <f>"5740"</f>
        <v>5740</v>
      </c>
      <c r="E465" t="str">
        <f>"850LOS"</f>
        <v>850LOS</v>
      </c>
      <c r="F465" t="str">
        <f>""</f>
        <v/>
      </c>
      <c r="G465" t="str">
        <f>""</f>
        <v/>
      </c>
      <c r="H465" s="1">
        <v>40329</v>
      </c>
      <c r="I465" t="str">
        <f>"SPU00106"</f>
        <v>SPU00106</v>
      </c>
      <c r="J465" t="str">
        <f>""</f>
        <v/>
      </c>
      <c r="K465" t="str">
        <f>"AS96"</f>
        <v>AS96</v>
      </c>
      <c r="L465" t="s">
        <v>1266</v>
      </c>
      <c r="M465">
        <v>141.94999999999999</v>
      </c>
    </row>
    <row r="466" spans="1:13" x14ac:dyDescent="0.25">
      <c r="A466" t="str">
        <f>"E241"</f>
        <v>E241</v>
      </c>
      <c r="B466">
        <v>1</v>
      </c>
      <c r="C466" t="str">
        <f>"43000"</f>
        <v>43000</v>
      </c>
      <c r="D466" t="str">
        <f>"5740"</f>
        <v>5740</v>
      </c>
      <c r="E466" t="str">
        <f>"850LOS"</f>
        <v>850LOS</v>
      </c>
      <c r="F466" t="str">
        <f>""</f>
        <v/>
      </c>
      <c r="G466" t="str">
        <f>""</f>
        <v/>
      </c>
      <c r="H466" s="1">
        <v>40339</v>
      </c>
      <c r="I466" t="str">
        <f>"SPU00107"</f>
        <v>SPU00107</v>
      </c>
      <c r="J466" t="str">
        <f>""</f>
        <v/>
      </c>
      <c r="K466" t="str">
        <f>"AS96"</f>
        <v>AS96</v>
      </c>
      <c r="L466" t="s">
        <v>1265</v>
      </c>
      <c r="M466">
        <v>141.94999999999999</v>
      </c>
    </row>
    <row r="467" spans="1:13" x14ac:dyDescent="0.25">
      <c r="A467" t="str">
        <f t="shared" ref="A467:A479" si="122">"E247"</f>
        <v>E247</v>
      </c>
      <c r="B467">
        <v>1</v>
      </c>
      <c r="C467" t="str">
        <f t="shared" ref="C467:C480" si="123">"14185"</f>
        <v>14185</v>
      </c>
      <c r="D467" t="str">
        <f t="shared" ref="D467:D480" si="124">"5620"</f>
        <v>5620</v>
      </c>
      <c r="E467" t="str">
        <f t="shared" ref="E467:E480" si="125">"094OMS"</f>
        <v>094OMS</v>
      </c>
      <c r="F467" t="str">
        <f>""</f>
        <v/>
      </c>
      <c r="G467" t="str">
        <f>""</f>
        <v/>
      </c>
      <c r="H467" s="1">
        <v>40035</v>
      </c>
      <c r="I467" t="str">
        <f>"I0093279"</f>
        <v>I0093279</v>
      </c>
      <c r="J467" t="str">
        <f>"B125301A"</f>
        <v>B125301A</v>
      </c>
      <c r="K467" t="str">
        <f>"INNI"</f>
        <v>INNI</v>
      </c>
      <c r="L467" t="s">
        <v>838</v>
      </c>
      <c r="M467">
        <v>160.99</v>
      </c>
    </row>
    <row r="468" spans="1:13" x14ac:dyDescent="0.25">
      <c r="A468" t="str">
        <f t="shared" si="122"/>
        <v>E247</v>
      </c>
      <c r="B468">
        <v>1</v>
      </c>
      <c r="C468" t="str">
        <f t="shared" si="123"/>
        <v>14185</v>
      </c>
      <c r="D468" t="str">
        <f t="shared" si="124"/>
        <v>5620</v>
      </c>
      <c r="E468" t="str">
        <f t="shared" si="125"/>
        <v>094OMS</v>
      </c>
      <c r="F468" t="str">
        <f>""</f>
        <v/>
      </c>
      <c r="G468" t="str">
        <f>""</f>
        <v/>
      </c>
      <c r="H468" s="1">
        <v>40072</v>
      </c>
      <c r="I468" t="str">
        <f>"I0093685"</f>
        <v>I0093685</v>
      </c>
      <c r="J468" t="str">
        <f>"B125301A"</f>
        <v>B125301A</v>
      </c>
      <c r="K468" t="str">
        <f>"INNI"</f>
        <v>INNI</v>
      </c>
      <c r="L468" t="s">
        <v>838</v>
      </c>
      <c r="M468">
        <v>175.42</v>
      </c>
    </row>
    <row r="469" spans="1:13" x14ac:dyDescent="0.25">
      <c r="A469" t="str">
        <f t="shared" si="122"/>
        <v>E247</v>
      </c>
      <c r="B469">
        <v>1</v>
      </c>
      <c r="C469" t="str">
        <f t="shared" si="123"/>
        <v>14185</v>
      </c>
      <c r="D469" t="str">
        <f t="shared" si="124"/>
        <v>5620</v>
      </c>
      <c r="E469" t="str">
        <f t="shared" si="125"/>
        <v>094OMS</v>
      </c>
      <c r="F469" t="str">
        <f>""</f>
        <v/>
      </c>
      <c r="G469" t="str">
        <f>""</f>
        <v/>
      </c>
      <c r="H469" s="1">
        <v>40101</v>
      </c>
      <c r="I469" t="str">
        <f>"I0093958"</f>
        <v>I0093958</v>
      </c>
      <c r="J469" t="str">
        <f>"B125301A"</f>
        <v>B125301A</v>
      </c>
      <c r="K469" t="str">
        <f>"INNI"</f>
        <v>INNI</v>
      </c>
      <c r="L469" t="s">
        <v>838</v>
      </c>
      <c r="M469">
        <v>203.64</v>
      </c>
    </row>
    <row r="470" spans="1:13" x14ac:dyDescent="0.25">
      <c r="A470" t="str">
        <f t="shared" si="122"/>
        <v>E247</v>
      </c>
      <c r="B470">
        <v>1</v>
      </c>
      <c r="C470" t="str">
        <f t="shared" si="123"/>
        <v>14185</v>
      </c>
      <c r="D470" t="str">
        <f t="shared" si="124"/>
        <v>5620</v>
      </c>
      <c r="E470" t="str">
        <f t="shared" si="125"/>
        <v>094OMS</v>
      </c>
      <c r="F470" t="str">
        <f>""</f>
        <v/>
      </c>
      <c r="G470" t="str">
        <f>""</f>
        <v/>
      </c>
      <c r="H470" s="1">
        <v>40134</v>
      </c>
      <c r="I470" t="str">
        <f>"I0094251"</f>
        <v>I0094251</v>
      </c>
      <c r="J470" t="str">
        <f>"B125301A"</f>
        <v>B125301A</v>
      </c>
      <c r="K470" t="str">
        <f>"INNI"</f>
        <v>INNI</v>
      </c>
      <c r="L470" t="s">
        <v>838</v>
      </c>
      <c r="M470">
        <v>279.44</v>
      </c>
    </row>
    <row r="471" spans="1:13" x14ac:dyDescent="0.25">
      <c r="A471" t="str">
        <f t="shared" si="122"/>
        <v>E247</v>
      </c>
      <c r="B471">
        <v>1</v>
      </c>
      <c r="C471" t="str">
        <f t="shared" si="123"/>
        <v>14185</v>
      </c>
      <c r="D471" t="str">
        <f t="shared" si="124"/>
        <v>5620</v>
      </c>
      <c r="E471" t="str">
        <f t="shared" si="125"/>
        <v>094OMS</v>
      </c>
      <c r="F471" t="str">
        <f>""</f>
        <v/>
      </c>
      <c r="G471" t="str">
        <f>""</f>
        <v/>
      </c>
      <c r="H471" s="1">
        <v>40161</v>
      </c>
      <c r="I471" t="str">
        <f>"I0094557"</f>
        <v>I0094557</v>
      </c>
      <c r="J471" t="str">
        <f>"B125301A"</f>
        <v>B125301A</v>
      </c>
      <c r="K471" t="str">
        <f>"INNI"</f>
        <v>INNI</v>
      </c>
      <c r="L471" t="s">
        <v>838</v>
      </c>
      <c r="M471">
        <v>210.9</v>
      </c>
    </row>
    <row r="472" spans="1:13" x14ac:dyDescent="0.25">
      <c r="A472" t="str">
        <f t="shared" si="122"/>
        <v>E247</v>
      </c>
      <c r="B472">
        <v>1</v>
      </c>
      <c r="C472" t="str">
        <f t="shared" si="123"/>
        <v>14185</v>
      </c>
      <c r="D472" t="str">
        <f t="shared" si="124"/>
        <v>5620</v>
      </c>
      <c r="E472" t="str">
        <f t="shared" si="125"/>
        <v>094OMS</v>
      </c>
      <c r="F472" t="str">
        <f>""</f>
        <v/>
      </c>
      <c r="G472" t="str">
        <f>""</f>
        <v/>
      </c>
      <c r="H472" s="1">
        <v>40190</v>
      </c>
      <c r="I472" t="str">
        <f>"I0094963"</f>
        <v>I0094963</v>
      </c>
      <c r="J472" t="str">
        <f t="shared" ref="J472:J479" si="126">"N125301B"</f>
        <v>N125301B</v>
      </c>
      <c r="K472" t="str">
        <f t="shared" ref="K472:K479" si="127">"INEI"</f>
        <v>INEI</v>
      </c>
      <c r="L472" t="s">
        <v>838</v>
      </c>
      <c r="M472">
        <v>284.83</v>
      </c>
    </row>
    <row r="473" spans="1:13" x14ac:dyDescent="0.25">
      <c r="A473" t="str">
        <f t="shared" si="122"/>
        <v>E247</v>
      </c>
      <c r="B473">
        <v>1</v>
      </c>
      <c r="C473" t="str">
        <f t="shared" si="123"/>
        <v>14185</v>
      </c>
      <c r="D473" t="str">
        <f t="shared" si="124"/>
        <v>5620</v>
      </c>
      <c r="E473" t="str">
        <f t="shared" si="125"/>
        <v>094OMS</v>
      </c>
      <c r="F473" t="str">
        <f>""</f>
        <v/>
      </c>
      <c r="G473" t="str">
        <f>""</f>
        <v/>
      </c>
      <c r="H473" s="1">
        <v>40232</v>
      </c>
      <c r="I473" t="str">
        <f>"I0095540"</f>
        <v>I0095540</v>
      </c>
      <c r="J473" t="str">
        <f t="shared" si="126"/>
        <v>N125301B</v>
      </c>
      <c r="K473" t="str">
        <f t="shared" si="127"/>
        <v>INEI</v>
      </c>
      <c r="L473" t="s">
        <v>838</v>
      </c>
      <c r="M473">
        <v>248.32</v>
      </c>
    </row>
    <row r="474" spans="1:13" x14ac:dyDescent="0.25">
      <c r="A474" t="str">
        <f t="shared" si="122"/>
        <v>E247</v>
      </c>
      <c r="B474">
        <v>1</v>
      </c>
      <c r="C474" t="str">
        <f t="shared" si="123"/>
        <v>14185</v>
      </c>
      <c r="D474" t="str">
        <f t="shared" si="124"/>
        <v>5620</v>
      </c>
      <c r="E474" t="str">
        <f t="shared" si="125"/>
        <v>094OMS</v>
      </c>
      <c r="F474" t="str">
        <f>""</f>
        <v/>
      </c>
      <c r="G474" t="str">
        <f>""</f>
        <v/>
      </c>
      <c r="H474" s="1">
        <v>40267</v>
      </c>
      <c r="I474" t="str">
        <f>"I0096056"</f>
        <v>I0096056</v>
      </c>
      <c r="J474" t="str">
        <f t="shared" si="126"/>
        <v>N125301B</v>
      </c>
      <c r="K474" t="str">
        <f t="shared" si="127"/>
        <v>INEI</v>
      </c>
      <c r="L474" t="s">
        <v>838</v>
      </c>
      <c r="M474">
        <v>264.92</v>
      </c>
    </row>
    <row r="475" spans="1:13" x14ac:dyDescent="0.25">
      <c r="A475" t="str">
        <f t="shared" si="122"/>
        <v>E247</v>
      </c>
      <c r="B475">
        <v>1</v>
      </c>
      <c r="C475" t="str">
        <f t="shared" si="123"/>
        <v>14185</v>
      </c>
      <c r="D475" t="str">
        <f t="shared" si="124"/>
        <v>5620</v>
      </c>
      <c r="E475" t="str">
        <f t="shared" si="125"/>
        <v>094OMS</v>
      </c>
      <c r="F475" t="str">
        <f>""</f>
        <v/>
      </c>
      <c r="G475" t="str">
        <f>""</f>
        <v/>
      </c>
      <c r="H475" s="1">
        <v>40290</v>
      </c>
      <c r="I475" t="str">
        <f>"I0096429"</f>
        <v>I0096429</v>
      </c>
      <c r="J475" t="str">
        <f t="shared" si="126"/>
        <v>N125301B</v>
      </c>
      <c r="K475" t="str">
        <f t="shared" si="127"/>
        <v>INEI</v>
      </c>
      <c r="L475" t="s">
        <v>838</v>
      </c>
      <c r="M475">
        <v>336.31</v>
      </c>
    </row>
    <row r="476" spans="1:13" x14ac:dyDescent="0.25">
      <c r="A476" t="str">
        <f t="shared" si="122"/>
        <v>E247</v>
      </c>
      <c r="B476">
        <v>1</v>
      </c>
      <c r="C476" t="str">
        <f t="shared" si="123"/>
        <v>14185</v>
      </c>
      <c r="D476" t="str">
        <f t="shared" si="124"/>
        <v>5620</v>
      </c>
      <c r="E476" t="str">
        <f t="shared" si="125"/>
        <v>094OMS</v>
      </c>
      <c r="F476" t="str">
        <f>""</f>
        <v/>
      </c>
      <c r="G476" t="str">
        <f>""</f>
        <v/>
      </c>
      <c r="H476" s="1">
        <v>40319</v>
      </c>
      <c r="I476" t="str">
        <f>"I0096809"</f>
        <v>I0096809</v>
      </c>
      <c r="J476" t="str">
        <f t="shared" si="126"/>
        <v>N125301B</v>
      </c>
      <c r="K476" t="str">
        <f t="shared" si="127"/>
        <v>INEI</v>
      </c>
      <c r="L476" t="s">
        <v>838</v>
      </c>
      <c r="M476">
        <v>339.89</v>
      </c>
    </row>
    <row r="477" spans="1:13" x14ac:dyDescent="0.25">
      <c r="A477" t="str">
        <f t="shared" si="122"/>
        <v>E247</v>
      </c>
      <c r="B477">
        <v>1</v>
      </c>
      <c r="C477" t="str">
        <f t="shared" si="123"/>
        <v>14185</v>
      </c>
      <c r="D477" t="str">
        <f t="shared" si="124"/>
        <v>5620</v>
      </c>
      <c r="E477" t="str">
        <f t="shared" si="125"/>
        <v>094OMS</v>
      </c>
      <c r="F477" t="str">
        <f>""</f>
        <v/>
      </c>
      <c r="G477" t="str">
        <f>""</f>
        <v/>
      </c>
      <c r="H477" s="1">
        <v>40319</v>
      </c>
      <c r="I477" t="str">
        <f>"I0096809"</f>
        <v>I0096809</v>
      </c>
      <c r="J477" t="str">
        <f t="shared" si="126"/>
        <v>N125301B</v>
      </c>
      <c r="K477" t="str">
        <f t="shared" si="127"/>
        <v>INEI</v>
      </c>
      <c r="L477" t="s">
        <v>838</v>
      </c>
      <c r="M477">
        <v>339.89</v>
      </c>
    </row>
    <row r="478" spans="1:13" x14ac:dyDescent="0.25">
      <c r="A478" t="str">
        <f t="shared" si="122"/>
        <v>E247</v>
      </c>
      <c r="B478">
        <v>1</v>
      </c>
      <c r="C478" t="str">
        <f t="shared" si="123"/>
        <v>14185</v>
      </c>
      <c r="D478" t="str">
        <f t="shared" si="124"/>
        <v>5620</v>
      </c>
      <c r="E478" t="str">
        <f t="shared" si="125"/>
        <v>094OMS</v>
      </c>
      <c r="F478" t="str">
        <f>""</f>
        <v/>
      </c>
      <c r="G478" t="str">
        <f>""</f>
        <v/>
      </c>
      <c r="H478" s="1">
        <v>40355</v>
      </c>
      <c r="I478" t="str">
        <f>"I0097646"</f>
        <v>I0097646</v>
      </c>
      <c r="J478" t="str">
        <f t="shared" si="126"/>
        <v>N125301B</v>
      </c>
      <c r="K478" t="str">
        <f t="shared" si="127"/>
        <v>INEI</v>
      </c>
      <c r="L478" t="s">
        <v>838</v>
      </c>
      <c r="M478">
        <v>414.51</v>
      </c>
    </row>
    <row r="479" spans="1:13" x14ac:dyDescent="0.25">
      <c r="A479" t="str">
        <f t="shared" si="122"/>
        <v>E247</v>
      </c>
      <c r="B479">
        <v>1</v>
      </c>
      <c r="C479" t="str">
        <f t="shared" si="123"/>
        <v>14185</v>
      </c>
      <c r="D479" t="str">
        <f t="shared" si="124"/>
        <v>5620</v>
      </c>
      <c r="E479" t="str">
        <f t="shared" si="125"/>
        <v>094OMS</v>
      </c>
      <c r="F479" t="str">
        <f>""</f>
        <v/>
      </c>
      <c r="G479" t="str">
        <f>""</f>
        <v/>
      </c>
      <c r="H479" s="1">
        <v>40358</v>
      </c>
      <c r="I479" t="str">
        <f>"I0097419"</f>
        <v>I0097419</v>
      </c>
      <c r="J479" t="str">
        <f t="shared" si="126"/>
        <v>N125301B</v>
      </c>
      <c r="K479" t="str">
        <f t="shared" si="127"/>
        <v>INEI</v>
      </c>
      <c r="L479" t="s">
        <v>838</v>
      </c>
      <c r="M479">
        <v>275.94</v>
      </c>
    </row>
    <row r="480" spans="1:13" x14ac:dyDescent="0.25">
      <c r="A480" t="str">
        <f>"E255"</f>
        <v>E255</v>
      </c>
      <c r="B480">
        <v>1</v>
      </c>
      <c r="C480" t="str">
        <f t="shared" si="123"/>
        <v>14185</v>
      </c>
      <c r="D480" t="str">
        <f t="shared" si="124"/>
        <v>5620</v>
      </c>
      <c r="E480" t="str">
        <f t="shared" si="125"/>
        <v>094OMS</v>
      </c>
      <c r="F480" t="str">
        <f>""</f>
        <v/>
      </c>
      <c r="G480" t="str">
        <f>""</f>
        <v/>
      </c>
      <c r="H480" s="1">
        <v>40277</v>
      </c>
      <c r="I480" t="str">
        <f>"PCD00415"</f>
        <v>PCD00415</v>
      </c>
      <c r="J480" t="str">
        <f>"117964"</f>
        <v>117964</v>
      </c>
      <c r="K480" t="str">
        <f>"AS89"</f>
        <v>AS89</v>
      </c>
      <c r="L480" t="s">
        <v>1261</v>
      </c>
      <c r="M480">
        <v>116.6</v>
      </c>
    </row>
    <row r="481" spans="1:13" x14ac:dyDescent="0.25">
      <c r="A481" t="str">
        <f>"E255"</f>
        <v>E255</v>
      </c>
      <c r="B481">
        <v>1</v>
      </c>
      <c r="C481" t="str">
        <f>"32040"</f>
        <v>32040</v>
      </c>
      <c r="D481" t="str">
        <f>"5610"</f>
        <v>5610</v>
      </c>
      <c r="E481" t="str">
        <f>"850LOS"</f>
        <v>850LOS</v>
      </c>
      <c r="F481" t="str">
        <f>""</f>
        <v/>
      </c>
      <c r="G481" t="str">
        <f>""</f>
        <v/>
      </c>
      <c r="H481" s="1">
        <v>40189</v>
      </c>
      <c r="I481" t="str">
        <f>"PCD00402"</f>
        <v>PCD00402</v>
      </c>
      <c r="J481" t="str">
        <f>"112052"</f>
        <v>112052</v>
      </c>
      <c r="K481" t="str">
        <f>"AS89"</f>
        <v>AS89</v>
      </c>
      <c r="L481" t="s">
        <v>1264</v>
      </c>
      <c r="M481">
        <v>121.01</v>
      </c>
    </row>
    <row r="482" spans="1:13" x14ac:dyDescent="0.25">
      <c r="A482" t="str">
        <f>"E255"</f>
        <v>E255</v>
      </c>
      <c r="B482">
        <v>1</v>
      </c>
      <c r="C482" t="str">
        <f>"43000"</f>
        <v>43000</v>
      </c>
      <c r="D482" t="str">
        <f>"5740"</f>
        <v>5740</v>
      </c>
      <c r="E482" t="str">
        <f>"850LOS"</f>
        <v>850LOS</v>
      </c>
      <c r="F482" t="str">
        <f>"PKOLOT"</f>
        <v>PKOLOT</v>
      </c>
      <c r="G482" t="str">
        <f>""</f>
        <v/>
      </c>
      <c r="H482" s="1">
        <v>40032</v>
      </c>
      <c r="I482" t="str">
        <f>"PCD00379"</f>
        <v>PCD00379</v>
      </c>
      <c r="J482" t="str">
        <f>"103599"</f>
        <v>103599</v>
      </c>
      <c r="K482" t="str">
        <f>"AS89"</f>
        <v>AS89</v>
      </c>
      <c r="L482" t="s">
        <v>1263</v>
      </c>
      <c r="M482">
        <v>356.97</v>
      </c>
    </row>
    <row r="483" spans="1:13" x14ac:dyDescent="0.25">
      <c r="A483" t="str">
        <f>"E256"</f>
        <v>E256</v>
      </c>
      <c r="B483">
        <v>1</v>
      </c>
      <c r="C483" t="str">
        <f>"43000"</f>
        <v>43000</v>
      </c>
      <c r="D483" t="str">
        <f>"5740"</f>
        <v>5740</v>
      </c>
      <c r="E483" t="str">
        <f>"850LOS"</f>
        <v>850LOS</v>
      </c>
      <c r="F483" t="str">
        <f>""</f>
        <v/>
      </c>
      <c r="G483" t="str">
        <f>""</f>
        <v/>
      </c>
      <c r="H483" s="1">
        <v>40136</v>
      </c>
      <c r="I483" t="str">
        <f>"138268"</f>
        <v>138268</v>
      </c>
      <c r="J483" t="str">
        <f>""</f>
        <v/>
      </c>
      <c r="K483" t="str">
        <f>"INNI"</f>
        <v>INNI</v>
      </c>
      <c r="L483" t="s">
        <v>831</v>
      </c>
      <c r="M483">
        <v>140</v>
      </c>
    </row>
    <row r="484" spans="1:13" x14ac:dyDescent="0.25">
      <c r="A484" t="str">
        <f>"E256"</f>
        <v>E256</v>
      </c>
      <c r="B484">
        <v>1</v>
      </c>
      <c r="C484" t="str">
        <f>"43000"</f>
        <v>43000</v>
      </c>
      <c r="D484" t="str">
        <f>"5740"</f>
        <v>5740</v>
      </c>
      <c r="E484" t="str">
        <f>"850LOS"</f>
        <v>850LOS</v>
      </c>
      <c r="F484" t="str">
        <f>""</f>
        <v/>
      </c>
      <c r="G484" t="str">
        <f>""</f>
        <v/>
      </c>
      <c r="H484" s="1">
        <v>40147</v>
      </c>
      <c r="I484" t="str">
        <f>"138269"</f>
        <v>138269</v>
      </c>
      <c r="J484" t="str">
        <f>""</f>
        <v/>
      </c>
      <c r="K484" t="str">
        <f>"INNI"</f>
        <v>INNI</v>
      </c>
      <c r="L484" t="s">
        <v>831</v>
      </c>
      <c r="M484">
        <v>140</v>
      </c>
    </row>
    <row r="485" spans="1:13" x14ac:dyDescent="0.25">
      <c r="A485" t="str">
        <f t="shared" ref="A485:A508" si="128">"E257"</f>
        <v>E257</v>
      </c>
      <c r="B485">
        <v>1</v>
      </c>
      <c r="C485" t="str">
        <f t="shared" ref="C485:C500" si="129">"14185"</f>
        <v>14185</v>
      </c>
      <c r="D485" t="str">
        <f t="shared" ref="D485:D501" si="130">"5620"</f>
        <v>5620</v>
      </c>
      <c r="E485" t="str">
        <f t="shared" ref="E485:E501" si="131">"094OMS"</f>
        <v>094OMS</v>
      </c>
      <c r="F485" t="str">
        <f>""</f>
        <v/>
      </c>
      <c r="G485" t="str">
        <f>""</f>
        <v/>
      </c>
      <c r="H485" s="1">
        <v>40064</v>
      </c>
      <c r="I485" t="str">
        <f>"PCD00384"</f>
        <v>PCD00384</v>
      </c>
      <c r="J485" t="str">
        <f>"103989"</f>
        <v>103989</v>
      </c>
      <c r="K485" t="str">
        <f t="shared" ref="K485:K500" si="132">"AS89"</f>
        <v>AS89</v>
      </c>
      <c r="L485" t="s">
        <v>1251</v>
      </c>
      <c r="M485">
        <v>699.83</v>
      </c>
    </row>
    <row r="486" spans="1:13" x14ac:dyDescent="0.25">
      <c r="A486" t="str">
        <f t="shared" si="128"/>
        <v>E257</v>
      </c>
      <c r="B486">
        <v>1</v>
      </c>
      <c r="C486" t="str">
        <f t="shared" si="129"/>
        <v>14185</v>
      </c>
      <c r="D486" t="str">
        <f t="shared" si="130"/>
        <v>5620</v>
      </c>
      <c r="E486" t="str">
        <f t="shared" si="131"/>
        <v>094OMS</v>
      </c>
      <c r="F486" t="str">
        <f>""</f>
        <v/>
      </c>
      <c r="G486" t="str">
        <f>""</f>
        <v/>
      </c>
      <c r="H486" s="1">
        <v>40119</v>
      </c>
      <c r="I486" t="str">
        <f>"PCD00393"</f>
        <v>PCD00393</v>
      </c>
      <c r="J486" t="str">
        <f>"107741"</f>
        <v>107741</v>
      </c>
      <c r="K486" t="str">
        <f t="shared" si="132"/>
        <v>AS89</v>
      </c>
      <c r="L486" t="s">
        <v>1250</v>
      </c>
      <c r="M486">
        <v>420.12</v>
      </c>
    </row>
    <row r="487" spans="1:13" x14ac:dyDescent="0.25">
      <c r="A487" t="str">
        <f t="shared" si="128"/>
        <v>E257</v>
      </c>
      <c r="B487">
        <v>1</v>
      </c>
      <c r="C487" t="str">
        <f t="shared" si="129"/>
        <v>14185</v>
      </c>
      <c r="D487" t="str">
        <f t="shared" si="130"/>
        <v>5620</v>
      </c>
      <c r="E487" t="str">
        <f t="shared" si="131"/>
        <v>094OMS</v>
      </c>
      <c r="F487" t="str">
        <f>""</f>
        <v/>
      </c>
      <c r="G487" t="str">
        <f>""</f>
        <v/>
      </c>
      <c r="H487" s="1">
        <v>40119</v>
      </c>
      <c r="I487" t="str">
        <f>"PCD00393"</f>
        <v>PCD00393</v>
      </c>
      <c r="J487" t="str">
        <f>"108214"</f>
        <v>108214</v>
      </c>
      <c r="K487" t="str">
        <f t="shared" si="132"/>
        <v>AS89</v>
      </c>
      <c r="L487" t="s">
        <v>1260</v>
      </c>
      <c r="M487">
        <v>134.54</v>
      </c>
    </row>
    <row r="488" spans="1:13" x14ac:dyDescent="0.25">
      <c r="A488" t="str">
        <f t="shared" si="128"/>
        <v>E257</v>
      </c>
      <c r="B488">
        <v>1</v>
      </c>
      <c r="C488" t="str">
        <f t="shared" si="129"/>
        <v>14185</v>
      </c>
      <c r="D488" t="str">
        <f t="shared" si="130"/>
        <v>5620</v>
      </c>
      <c r="E488" t="str">
        <f t="shared" si="131"/>
        <v>094OMS</v>
      </c>
      <c r="F488" t="str">
        <f>""</f>
        <v/>
      </c>
      <c r="G488" t="str">
        <f>""</f>
        <v/>
      </c>
      <c r="H488" s="1">
        <v>40151</v>
      </c>
      <c r="I488" t="str">
        <f>"PCD00398"</f>
        <v>PCD00398</v>
      </c>
      <c r="J488" t="str">
        <f>"110443"</f>
        <v>110443</v>
      </c>
      <c r="K488" t="str">
        <f t="shared" si="132"/>
        <v>AS89</v>
      </c>
      <c r="L488" t="s">
        <v>1248</v>
      </c>
      <c r="M488">
        <v>140.49</v>
      </c>
    </row>
    <row r="489" spans="1:13" x14ac:dyDescent="0.25">
      <c r="A489" t="str">
        <f t="shared" si="128"/>
        <v>E257</v>
      </c>
      <c r="B489">
        <v>1</v>
      </c>
      <c r="C489" t="str">
        <f t="shared" si="129"/>
        <v>14185</v>
      </c>
      <c r="D489" t="str">
        <f t="shared" si="130"/>
        <v>5620</v>
      </c>
      <c r="E489" t="str">
        <f t="shared" si="131"/>
        <v>094OMS</v>
      </c>
      <c r="F489" t="str">
        <f>""</f>
        <v/>
      </c>
      <c r="G489" t="str">
        <f>""</f>
        <v/>
      </c>
      <c r="H489" s="1">
        <v>40214</v>
      </c>
      <c r="I489" t="str">
        <f>"PCD00406"</f>
        <v>PCD00406</v>
      </c>
      <c r="J489" t="str">
        <f>"113587"</f>
        <v>113587</v>
      </c>
      <c r="K489" t="str">
        <f t="shared" si="132"/>
        <v>AS89</v>
      </c>
      <c r="L489" t="s">
        <v>1259</v>
      </c>
      <c r="M489">
        <v>222.34</v>
      </c>
    </row>
    <row r="490" spans="1:13" x14ac:dyDescent="0.25">
      <c r="A490" t="str">
        <f t="shared" si="128"/>
        <v>E257</v>
      </c>
      <c r="B490">
        <v>1</v>
      </c>
      <c r="C490" t="str">
        <f t="shared" si="129"/>
        <v>14185</v>
      </c>
      <c r="D490" t="str">
        <f t="shared" si="130"/>
        <v>5620</v>
      </c>
      <c r="E490" t="str">
        <f t="shared" si="131"/>
        <v>094OMS</v>
      </c>
      <c r="F490" t="str">
        <f>""</f>
        <v/>
      </c>
      <c r="G490" t="str">
        <f>""</f>
        <v/>
      </c>
      <c r="H490" s="1">
        <v>40214</v>
      </c>
      <c r="I490" t="str">
        <f>"PCD00406"</f>
        <v>PCD00406</v>
      </c>
      <c r="J490" t="str">
        <f>"113588"</f>
        <v>113588</v>
      </c>
      <c r="K490" t="str">
        <f t="shared" si="132"/>
        <v>AS89</v>
      </c>
      <c r="L490" t="s">
        <v>1259</v>
      </c>
      <c r="M490">
        <v>329.71</v>
      </c>
    </row>
    <row r="491" spans="1:13" x14ac:dyDescent="0.25">
      <c r="A491" t="str">
        <f t="shared" si="128"/>
        <v>E257</v>
      </c>
      <c r="B491">
        <v>1</v>
      </c>
      <c r="C491" t="str">
        <f t="shared" si="129"/>
        <v>14185</v>
      </c>
      <c r="D491" t="str">
        <f t="shared" si="130"/>
        <v>5620</v>
      </c>
      <c r="E491" t="str">
        <f t="shared" si="131"/>
        <v>094OMS</v>
      </c>
      <c r="F491" t="str">
        <f>""</f>
        <v/>
      </c>
      <c r="G491" t="str">
        <f>""</f>
        <v/>
      </c>
      <c r="H491" s="1">
        <v>40214</v>
      </c>
      <c r="I491" t="str">
        <f>"PCD00406"</f>
        <v>PCD00406</v>
      </c>
      <c r="J491" t="str">
        <f>"113589"</f>
        <v>113589</v>
      </c>
      <c r="K491" t="str">
        <f t="shared" si="132"/>
        <v>AS89</v>
      </c>
      <c r="L491" t="s">
        <v>1259</v>
      </c>
      <c r="M491">
        <v>253.3</v>
      </c>
    </row>
    <row r="492" spans="1:13" x14ac:dyDescent="0.25">
      <c r="A492" t="str">
        <f t="shared" si="128"/>
        <v>E257</v>
      </c>
      <c r="B492">
        <v>1</v>
      </c>
      <c r="C492" t="str">
        <f t="shared" si="129"/>
        <v>14185</v>
      </c>
      <c r="D492" t="str">
        <f t="shared" si="130"/>
        <v>5620</v>
      </c>
      <c r="E492" t="str">
        <f t="shared" si="131"/>
        <v>094OMS</v>
      </c>
      <c r="F492" t="str">
        <f>""</f>
        <v/>
      </c>
      <c r="G492" t="str">
        <f>""</f>
        <v/>
      </c>
      <c r="H492" s="1">
        <v>40214</v>
      </c>
      <c r="I492" t="str">
        <f>"PCD00406"</f>
        <v>PCD00406</v>
      </c>
      <c r="J492" t="str">
        <f>"113591"</f>
        <v>113591</v>
      </c>
      <c r="K492" t="str">
        <f t="shared" si="132"/>
        <v>AS89</v>
      </c>
      <c r="L492" t="s">
        <v>1259</v>
      </c>
      <c r="M492">
        <v>304.29000000000002</v>
      </c>
    </row>
    <row r="493" spans="1:13" x14ac:dyDescent="0.25">
      <c r="A493" t="str">
        <f t="shared" si="128"/>
        <v>E257</v>
      </c>
      <c r="B493">
        <v>1</v>
      </c>
      <c r="C493" t="str">
        <f t="shared" si="129"/>
        <v>14185</v>
      </c>
      <c r="D493" t="str">
        <f t="shared" si="130"/>
        <v>5620</v>
      </c>
      <c r="E493" t="str">
        <f t="shared" si="131"/>
        <v>094OMS</v>
      </c>
      <c r="F493" t="str">
        <f>""</f>
        <v/>
      </c>
      <c r="G493" t="str">
        <f>""</f>
        <v/>
      </c>
      <c r="H493" s="1">
        <v>40214</v>
      </c>
      <c r="I493" t="str">
        <f>"PCD00406"</f>
        <v>PCD00406</v>
      </c>
      <c r="J493" t="str">
        <f>"113592"</f>
        <v>113592</v>
      </c>
      <c r="K493" t="str">
        <f t="shared" si="132"/>
        <v>AS89</v>
      </c>
      <c r="L493" t="s">
        <v>1259</v>
      </c>
      <c r="M493">
        <v>703.08</v>
      </c>
    </row>
    <row r="494" spans="1:13" x14ac:dyDescent="0.25">
      <c r="A494" t="str">
        <f t="shared" si="128"/>
        <v>E257</v>
      </c>
      <c r="B494">
        <v>1</v>
      </c>
      <c r="C494" t="str">
        <f t="shared" si="129"/>
        <v>14185</v>
      </c>
      <c r="D494" t="str">
        <f t="shared" si="130"/>
        <v>5620</v>
      </c>
      <c r="E494" t="str">
        <f t="shared" si="131"/>
        <v>094OMS</v>
      </c>
      <c r="F494" t="str">
        <f>""</f>
        <v/>
      </c>
      <c r="G494" t="str">
        <f>""</f>
        <v/>
      </c>
      <c r="H494" s="1">
        <v>40277</v>
      </c>
      <c r="I494" t="str">
        <f>"PCD00415"</f>
        <v>PCD00415</v>
      </c>
      <c r="J494" t="str">
        <f>"117208"</f>
        <v>117208</v>
      </c>
      <c r="K494" t="str">
        <f t="shared" si="132"/>
        <v>AS89</v>
      </c>
      <c r="L494" t="s">
        <v>1258</v>
      </c>
      <c r="M494">
        <v>145.80000000000001</v>
      </c>
    </row>
    <row r="495" spans="1:13" x14ac:dyDescent="0.25">
      <c r="A495" t="str">
        <f t="shared" si="128"/>
        <v>E257</v>
      </c>
      <c r="B495">
        <v>1</v>
      </c>
      <c r="C495" t="str">
        <f t="shared" si="129"/>
        <v>14185</v>
      </c>
      <c r="D495" t="str">
        <f t="shared" si="130"/>
        <v>5620</v>
      </c>
      <c r="E495" t="str">
        <f t="shared" si="131"/>
        <v>094OMS</v>
      </c>
      <c r="F495" t="str">
        <f>""</f>
        <v/>
      </c>
      <c r="G495" t="str">
        <f>""</f>
        <v/>
      </c>
      <c r="H495" s="1">
        <v>40305</v>
      </c>
      <c r="I495" t="str">
        <f>"PCD00419"</f>
        <v>PCD00419</v>
      </c>
      <c r="J495" t="str">
        <f>"119301"</f>
        <v>119301</v>
      </c>
      <c r="K495" t="str">
        <f t="shared" si="132"/>
        <v>AS89</v>
      </c>
      <c r="L495" t="s">
        <v>1257</v>
      </c>
      <c r="M495">
        <v>199.73</v>
      </c>
    </row>
    <row r="496" spans="1:13" x14ac:dyDescent="0.25">
      <c r="A496" t="str">
        <f t="shared" si="128"/>
        <v>E257</v>
      </c>
      <c r="B496">
        <v>1</v>
      </c>
      <c r="C496" t="str">
        <f t="shared" si="129"/>
        <v>14185</v>
      </c>
      <c r="D496" t="str">
        <f t="shared" si="130"/>
        <v>5620</v>
      </c>
      <c r="E496" t="str">
        <f t="shared" si="131"/>
        <v>094OMS</v>
      </c>
      <c r="F496" t="str">
        <f>""</f>
        <v/>
      </c>
      <c r="G496" t="str">
        <f>""</f>
        <v/>
      </c>
      <c r="H496" s="1">
        <v>40305</v>
      </c>
      <c r="I496" t="str">
        <f>"PCD00419"</f>
        <v>PCD00419</v>
      </c>
      <c r="J496" t="str">
        <f>"121374"</f>
        <v>121374</v>
      </c>
      <c r="K496" t="str">
        <f t="shared" si="132"/>
        <v>AS89</v>
      </c>
      <c r="L496" t="s">
        <v>1256</v>
      </c>
      <c r="M496">
        <v>111.02</v>
      </c>
    </row>
    <row r="497" spans="1:13" x14ac:dyDescent="0.25">
      <c r="A497" t="str">
        <f t="shared" si="128"/>
        <v>E257</v>
      </c>
      <c r="B497">
        <v>1</v>
      </c>
      <c r="C497" t="str">
        <f t="shared" si="129"/>
        <v>14185</v>
      </c>
      <c r="D497" t="str">
        <f t="shared" si="130"/>
        <v>5620</v>
      </c>
      <c r="E497" t="str">
        <f t="shared" si="131"/>
        <v>094OMS</v>
      </c>
      <c r="F497" t="str">
        <f>""</f>
        <v/>
      </c>
      <c r="G497" t="str">
        <f>""</f>
        <v/>
      </c>
      <c r="H497" s="1">
        <v>40359</v>
      </c>
      <c r="I497" t="str">
        <f>"PCD00427"</f>
        <v>PCD00427</v>
      </c>
      <c r="J497" t="str">
        <f>"124074"</f>
        <v>124074</v>
      </c>
      <c r="K497" t="str">
        <f t="shared" si="132"/>
        <v>AS89</v>
      </c>
      <c r="L497" t="s">
        <v>1247</v>
      </c>
      <c r="M497">
        <v>186.51</v>
      </c>
    </row>
    <row r="498" spans="1:13" x14ac:dyDescent="0.25">
      <c r="A498" t="str">
        <f t="shared" si="128"/>
        <v>E257</v>
      </c>
      <c r="B498">
        <v>1</v>
      </c>
      <c r="C498" t="str">
        <f t="shared" si="129"/>
        <v>14185</v>
      </c>
      <c r="D498" t="str">
        <f t="shared" si="130"/>
        <v>5620</v>
      </c>
      <c r="E498" t="str">
        <f t="shared" si="131"/>
        <v>094OMS</v>
      </c>
      <c r="F498" t="str">
        <f>""</f>
        <v/>
      </c>
      <c r="G498" t="str">
        <f>""</f>
        <v/>
      </c>
      <c r="H498" s="1">
        <v>40359</v>
      </c>
      <c r="I498" t="str">
        <f>"PCD00427"</f>
        <v>PCD00427</v>
      </c>
      <c r="J498" t="str">
        <f>"124075"</f>
        <v>124075</v>
      </c>
      <c r="K498" t="str">
        <f t="shared" si="132"/>
        <v>AS89</v>
      </c>
      <c r="L498" t="s">
        <v>1247</v>
      </c>
      <c r="M498">
        <v>176.2</v>
      </c>
    </row>
    <row r="499" spans="1:13" x14ac:dyDescent="0.25">
      <c r="A499" t="str">
        <f t="shared" si="128"/>
        <v>E257</v>
      </c>
      <c r="B499">
        <v>1</v>
      </c>
      <c r="C499" t="str">
        <f t="shared" si="129"/>
        <v>14185</v>
      </c>
      <c r="D499" t="str">
        <f t="shared" si="130"/>
        <v>5620</v>
      </c>
      <c r="E499" t="str">
        <f t="shared" si="131"/>
        <v>094OMS</v>
      </c>
      <c r="F499" t="str">
        <f>""</f>
        <v/>
      </c>
      <c r="G499" t="str">
        <f>""</f>
        <v/>
      </c>
      <c r="H499" s="1">
        <v>40359</v>
      </c>
      <c r="I499" t="str">
        <f>"PCD00427"</f>
        <v>PCD00427</v>
      </c>
      <c r="J499" t="str">
        <f>"125220"</f>
        <v>125220</v>
      </c>
      <c r="K499" t="str">
        <f t="shared" si="132"/>
        <v>AS89</v>
      </c>
      <c r="L499" t="s">
        <v>1255</v>
      </c>
      <c r="M499">
        <v>337.53</v>
      </c>
    </row>
    <row r="500" spans="1:13" x14ac:dyDescent="0.25">
      <c r="A500" t="str">
        <f t="shared" si="128"/>
        <v>E257</v>
      </c>
      <c r="B500">
        <v>1</v>
      </c>
      <c r="C500" t="str">
        <f t="shared" si="129"/>
        <v>14185</v>
      </c>
      <c r="D500" t="str">
        <f t="shared" si="130"/>
        <v>5620</v>
      </c>
      <c r="E500" t="str">
        <f t="shared" si="131"/>
        <v>094OMS</v>
      </c>
      <c r="F500" t="str">
        <f>""</f>
        <v/>
      </c>
      <c r="G500" t="str">
        <f>""</f>
        <v/>
      </c>
      <c r="H500" s="1">
        <v>40359</v>
      </c>
      <c r="I500" t="str">
        <f>"PCD00427"</f>
        <v>PCD00427</v>
      </c>
      <c r="J500" t="str">
        <f>"125491"</f>
        <v>125491</v>
      </c>
      <c r="K500" t="str">
        <f t="shared" si="132"/>
        <v>AS89</v>
      </c>
      <c r="L500" t="s">
        <v>1254</v>
      </c>
      <c r="M500">
        <v>645.20000000000005</v>
      </c>
    </row>
    <row r="501" spans="1:13" x14ac:dyDescent="0.25">
      <c r="A501" t="str">
        <f t="shared" si="128"/>
        <v>E257</v>
      </c>
      <c r="B501">
        <v>1</v>
      </c>
      <c r="C501" t="str">
        <f>"31040"</f>
        <v>31040</v>
      </c>
      <c r="D501" t="str">
        <f t="shared" si="130"/>
        <v>5620</v>
      </c>
      <c r="E501" t="str">
        <f t="shared" si="131"/>
        <v>094OMS</v>
      </c>
      <c r="F501" t="str">
        <f>""</f>
        <v/>
      </c>
      <c r="G501" t="str">
        <f>""</f>
        <v/>
      </c>
      <c r="H501" s="1">
        <v>40295</v>
      </c>
      <c r="I501" t="str">
        <f>"156308A"</f>
        <v>156308A</v>
      </c>
      <c r="J501" t="str">
        <f>"F138290"</f>
        <v>F138290</v>
      </c>
      <c r="K501" t="str">
        <f>"INEI"</f>
        <v>INEI</v>
      </c>
      <c r="L501" t="s">
        <v>280</v>
      </c>
      <c r="M501" s="2">
        <v>1550.76</v>
      </c>
    </row>
    <row r="502" spans="1:13" x14ac:dyDescent="0.25">
      <c r="A502" t="str">
        <f t="shared" si="128"/>
        <v>E257</v>
      </c>
      <c r="B502">
        <v>1</v>
      </c>
      <c r="C502" t="str">
        <f t="shared" ref="C502:C508" si="133">"43000"</f>
        <v>43000</v>
      </c>
      <c r="D502" t="str">
        <f t="shared" ref="D502:D508" si="134">"5740"</f>
        <v>5740</v>
      </c>
      <c r="E502" t="str">
        <f>"850LOS"</f>
        <v>850LOS</v>
      </c>
      <c r="F502" t="str">
        <f>""</f>
        <v/>
      </c>
      <c r="G502" t="str">
        <f>""</f>
        <v/>
      </c>
      <c r="H502" s="1">
        <v>40359</v>
      </c>
      <c r="I502" t="str">
        <f>"PCD00427"</f>
        <v>PCD00427</v>
      </c>
      <c r="J502" t="str">
        <f>"123694"</f>
        <v>123694</v>
      </c>
      <c r="K502" t="str">
        <f t="shared" ref="K502:K511" si="135">"AS89"</f>
        <v>AS89</v>
      </c>
      <c r="L502" t="s">
        <v>1253</v>
      </c>
      <c r="M502">
        <v>120.06</v>
      </c>
    </row>
    <row r="503" spans="1:13" x14ac:dyDescent="0.25">
      <c r="A503" t="str">
        <f t="shared" si="128"/>
        <v>E257</v>
      </c>
      <c r="B503">
        <v>1</v>
      </c>
      <c r="C503" t="str">
        <f t="shared" si="133"/>
        <v>43000</v>
      </c>
      <c r="D503" t="str">
        <f t="shared" si="134"/>
        <v>5740</v>
      </c>
      <c r="E503" t="str">
        <f>"850LOS"</f>
        <v>850LOS</v>
      </c>
      <c r="F503" t="str">
        <f>""</f>
        <v/>
      </c>
      <c r="G503" t="str">
        <f>""</f>
        <v/>
      </c>
      <c r="H503" s="1">
        <v>40359</v>
      </c>
      <c r="I503" t="str">
        <f>"PCD00427"</f>
        <v>PCD00427</v>
      </c>
      <c r="J503" t="str">
        <f>"124125"</f>
        <v>124125</v>
      </c>
      <c r="K503" t="str">
        <f t="shared" si="135"/>
        <v>AS89</v>
      </c>
      <c r="L503" t="s">
        <v>1252</v>
      </c>
      <c r="M503">
        <v>236.97</v>
      </c>
    </row>
    <row r="504" spans="1:13" x14ac:dyDescent="0.25">
      <c r="A504" t="str">
        <f t="shared" si="128"/>
        <v>E257</v>
      </c>
      <c r="B504">
        <v>1</v>
      </c>
      <c r="C504" t="str">
        <f t="shared" si="133"/>
        <v>43000</v>
      </c>
      <c r="D504" t="str">
        <f t="shared" si="134"/>
        <v>5740</v>
      </c>
      <c r="E504" t="str">
        <f>"850PKE"</f>
        <v>850PKE</v>
      </c>
      <c r="F504" t="str">
        <f>""</f>
        <v/>
      </c>
      <c r="G504" t="str">
        <f>""</f>
        <v/>
      </c>
      <c r="H504" s="1">
        <v>40004</v>
      </c>
      <c r="I504" t="str">
        <f>"PCD00375"</f>
        <v>PCD00375</v>
      </c>
      <c r="J504" t="str">
        <f>"101927"</f>
        <v>101927</v>
      </c>
      <c r="K504" t="str">
        <f t="shared" si="135"/>
        <v>AS89</v>
      </c>
      <c r="L504" t="s">
        <v>997</v>
      </c>
      <c r="M504">
        <v>140.49</v>
      </c>
    </row>
    <row r="505" spans="1:13" x14ac:dyDescent="0.25">
      <c r="A505" t="str">
        <f t="shared" si="128"/>
        <v>E257</v>
      </c>
      <c r="B505">
        <v>1</v>
      </c>
      <c r="C505" t="str">
        <f t="shared" si="133"/>
        <v>43000</v>
      </c>
      <c r="D505" t="str">
        <f t="shared" si="134"/>
        <v>5740</v>
      </c>
      <c r="E505" t="str">
        <f>"850PKE"</f>
        <v>850PKE</v>
      </c>
      <c r="F505" t="str">
        <f>""</f>
        <v/>
      </c>
      <c r="G505" t="str">
        <f>""</f>
        <v/>
      </c>
      <c r="H505" s="1">
        <v>40123</v>
      </c>
      <c r="I505" t="str">
        <f>"PCD00394"</f>
        <v>PCD00394</v>
      </c>
      <c r="J505" t="str">
        <f>"107738"</f>
        <v>107738</v>
      </c>
      <c r="K505" t="str">
        <f t="shared" si="135"/>
        <v>AS89</v>
      </c>
      <c r="L505" t="s">
        <v>1250</v>
      </c>
      <c r="M505">
        <v>161.63999999999999</v>
      </c>
    </row>
    <row r="506" spans="1:13" x14ac:dyDescent="0.25">
      <c r="A506" t="str">
        <f t="shared" si="128"/>
        <v>E257</v>
      </c>
      <c r="B506">
        <v>1</v>
      </c>
      <c r="C506" t="str">
        <f t="shared" si="133"/>
        <v>43000</v>
      </c>
      <c r="D506" t="str">
        <f t="shared" si="134"/>
        <v>5740</v>
      </c>
      <c r="E506" t="str">
        <f>"850PKE"</f>
        <v>850PKE</v>
      </c>
      <c r="F506" t="str">
        <f>""</f>
        <v/>
      </c>
      <c r="G506" t="str">
        <f>""</f>
        <v/>
      </c>
      <c r="H506" s="1">
        <v>40123</v>
      </c>
      <c r="I506" t="str">
        <f>"PCD00394"</f>
        <v>PCD00394</v>
      </c>
      <c r="J506" t="str">
        <f>"107739"</f>
        <v>107739</v>
      </c>
      <c r="K506" t="str">
        <f t="shared" si="135"/>
        <v>AS89</v>
      </c>
      <c r="L506" t="s">
        <v>1250</v>
      </c>
      <c r="M506">
        <v>270.66000000000003</v>
      </c>
    </row>
    <row r="507" spans="1:13" x14ac:dyDescent="0.25">
      <c r="A507" t="str">
        <f t="shared" si="128"/>
        <v>E257</v>
      </c>
      <c r="B507">
        <v>1</v>
      </c>
      <c r="C507" t="str">
        <f t="shared" si="133"/>
        <v>43000</v>
      </c>
      <c r="D507" t="str">
        <f t="shared" si="134"/>
        <v>5740</v>
      </c>
      <c r="E507" t="str">
        <f>"850PKE"</f>
        <v>850PKE</v>
      </c>
      <c r="F507" t="str">
        <f>""</f>
        <v/>
      </c>
      <c r="G507" t="str">
        <f>""</f>
        <v/>
      </c>
      <c r="H507" s="1">
        <v>40123</v>
      </c>
      <c r="I507" t="str">
        <f>"PCD00394"</f>
        <v>PCD00394</v>
      </c>
      <c r="J507" t="str">
        <f>"109066"</f>
        <v>109066</v>
      </c>
      <c r="K507" t="str">
        <f t="shared" si="135"/>
        <v>AS89</v>
      </c>
      <c r="L507" t="s">
        <v>1249</v>
      </c>
      <c r="M507">
        <v>162.19</v>
      </c>
    </row>
    <row r="508" spans="1:13" x14ac:dyDescent="0.25">
      <c r="A508" t="str">
        <f t="shared" si="128"/>
        <v>E257</v>
      </c>
      <c r="B508">
        <v>1</v>
      </c>
      <c r="C508" t="str">
        <f t="shared" si="133"/>
        <v>43000</v>
      </c>
      <c r="D508" t="str">
        <f t="shared" si="134"/>
        <v>5740</v>
      </c>
      <c r="E508" t="str">
        <f>"850PKE"</f>
        <v>850PKE</v>
      </c>
      <c r="F508" t="str">
        <f>""</f>
        <v/>
      </c>
      <c r="G508" t="str">
        <f>""</f>
        <v/>
      </c>
      <c r="H508" s="1">
        <v>40151</v>
      </c>
      <c r="I508" t="str">
        <f>"PCD00398"</f>
        <v>PCD00398</v>
      </c>
      <c r="J508" t="str">
        <f>"110442"</f>
        <v>110442</v>
      </c>
      <c r="K508" t="str">
        <f t="shared" si="135"/>
        <v>AS89</v>
      </c>
      <c r="L508" t="s">
        <v>1248</v>
      </c>
      <c r="M508">
        <v>145.37</v>
      </c>
    </row>
    <row r="509" spans="1:13" x14ac:dyDescent="0.25">
      <c r="A509" t="str">
        <f>"E261"</f>
        <v>E261</v>
      </c>
      <c r="B509">
        <v>1</v>
      </c>
      <c r="C509" t="str">
        <f>"14185"</f>
        <v>14185</v>
      </c>
      <c r="D509" t="str">
        <f>"5620"</f>
        <v>5620</v>
      </c>
      <c r="E509" t="str">
        <f>"094OMS"</f>
        <v>094OMS</v>
      </c>
      <c r="F509" t="str">
        <f>""</f>
        <v/>
      </c>
      <c r="G509" t="str">
        <f>""</f>
        <v/>
      </c>
      <c r="H509" s="1">
        <v>40088</v>
      </c>
      <c r="I509" t="str">
        <f>"PCD00388"</f>
        <v>PCD00388</v>
      </c>
      <c r="J509" t="str">
        <f>"105251"</f>
        <v>105251</v>
      </c>
      <c r="K509" t="str">
        <f t="shared" si="135"/>
        <v>AS89</v>
      </c>
      <c r="L509" t="s">
        <v>1246</v>
      </c>
      <c r="M509">
        <v>148</v>
      </c>
    </row>
    <row r="510" spans="1:13" x14ac:dyDescent="0.25">
      <c r="A510" t="str">
        <f>"E261"</f>
        <v>E261</v>
      </c>
      <c r="B510">
        <v>1</v>
      </c>
      <c r="C510" t="str">
        <f>"14185"</f>
        <v>14185</v>
      </c>
      <c r="D510" t="str">
        <f>"5620"</f>
        <v>5620</v>
      </c>
      <c r="E510" t="str">
        <f>"094OMS"</f>
        <v>094OMS</v>
      </c>
      <c r="F510" t="str">
        <f>""</f>
        <v/>
      </c>
      <c r="G510" t="str">
        <f>""</f>
        <v/>
      </c>
      <c r="H510" s="1">
        <v>40088</v>
      </c>
      <c r="I510" t="str">
        <f>"PCD00388"</f>
        <v>PCD00388</v>
      </c>
      <c r="J510" t="str">
        <f>"105324"</f>
        <v>105324</v>
      </c>
      <c r="K510" t="str">
        <f t="shared" si="135"/>
        <v>AS89</v>
      </c>
      <c r="L510" t="s">
        <v>1245</v>
      </c>
      <c r="M510">
        <v>247.97</v>
      </c>
    </row>
    <row r="511" spans="1:13" x14ac:dyDescent="0.25">
      <c r="A511" t="str">
        <f>"E261"</f>
        <v>E261</v>
      </c>
      <c r="B511">
        <v>1</v>
      </c>
      <c r="C511" t="str">
        <f>"43000"</f>
        <v>43000</v>
      </c>
      <c r="D511" t="str">
        <f>"5740"</f>
        <v>5740</v>
      </c>
      <c r="E511" t="str">
        <f>"850PKE"</f>
        <v>850PKE</v>
      </c>
      <c r="F511" t="str">
        <f>""</f>
        <v/>
      </c>
      <c r="G511" t="str">
        <f>""</f>
        <v/>
      </c>
      <c r="H511" s="1">
        <v>40064</v>
      </c>
      <c r="I511" t="str">
        <f>"PCD00384"</f>
        <v>PCD00384</v>
      </c>
      <c r="J511" t="str">
        <f>"104135"</f>
        <v>104135</v>
      </c>
      <c r="K511" t="str">
        <f t="shared" si="135"/>
        <v>AS89</v>
      </c>
      <c r="L511" t="s">
        <v>1244</v>
      </c>
      <c r="M511">
        <v>131</v>
      </c>
    </row>
    <row r="512" spans="1:13" x14ac:dyDescent="0.25">
      <c r="A512" t="str">
        <f>"E262"</f>
        <v>E262</v>
      </c>
      <c r="B512">
        <v>1</v>
      </c>
      <c r="C512" t="str">
        <f>"43003"</f>
        <v>43003</v>
      </c>
      <c r="D512" t="str">
        <f>"5740"</f>
        <v>5740</v>
      </c>
      <c r="E512" t="str">
        <f>"850LOS"</f>
        <v>850LOS</v>
      </c>
      <c r="F512" t="str">
        <f>""</f>
        <v/>
      </c>
      <c r="G512" t="str">
        <f>""</f>
        <v/>
      </c>
      <c r="H512" s="1">
        <v>40359</v>
      </c>
      <c r="I512" t="str">
        <f>"G1012284"</f>
        <v>G1012284</v>
      </c>
      <c r="J512" t="str">
        <f>""</f>
        <v/>
      </c>
      <c r="K512" t="str">
        <f>"J079"</f>
        <v>J079</v>
      </c>
      <c r="L512" t="s">
        <v>1186</v>
      </c>
      <c r="M512">
        <v>240</v>
      </c>
    </row>
    <row r="513" spans="1:13" x14ac:dyDescent="0.25">
      <c r="A513" t="str">
        <f>"E263"</f>
        <v>E263</v>
      </c>
      <c r="B513">
        <v>1</v>
      </c>
      <c r="C513" t="str">
        <f>"31040"</f>
        <v>31040</v>
      </c>
      <c r="D513" t="str">
        <f>"5620"</f>
        <v>5620</v>
      </c>
      <c r="E513" t="str">
        <f>"094OMS"</f>
        <v>094OMS</v>
      </c>
      <c r="F513" t="str">
        <f>""</f>
        <v/>
      </c>
      <c r="G513" t="str">
        <f>""</f>
        <v/>
      </c>
      <c r="H513" s="1">
        <v>40186</v>
      </c>
      <c r="I513" t="str">
        <f>"138261"</f>
        <v>138261</v>
      </c>
      <c r="J513" t="str">
        <f>""</f>
        <v/>
      </c>
      <c r="K513" t="str">
        <f>"INNI"</f>
        <v>INNI</v>
      </c>
      <c r="L513" t="s">
        <v>985</v>
      </c>
      <c r="M513">
        <v>283.66000000000003</v>
      </c>
    </row>
    <row r="514" spans="1:13" x14ac:dyDescent="0.25">
      <c r="A514" t="str">
        <f>"E263"</f>
        <v>E263</v>
      </c>
      <c r="B514">
        <v>1</v>
      </c>
      <c r="C514" t="str">
        <f>"43000"</f>
        <v>43000</v>
      </c>
      <c r="D514" t="str">
        <f>"5740"</f>
        <v>5740</v>
      </c>
      <c r="E514" t="str">
        <f t="shared" ref="E514:E523" si="136">"850LOS"</f>
        <v>850LOS</v>
      </c>
      <c r="F514" t="str">
        <f>""</f>
        <v/>
      </c>
      <c r="G514" t="str">
        <f>""</f>
        <v/>
      </c>
      <c r="H514" s="1">
        <v>40086</v>
      </c>
      <c r="I514" t="str">
        <f>"Q45625"</f>
        <v>Q45625</v>
      </c>
      <c r="J514" t="str">
        <f>""</f>
        <v/>
      </c>
      <c r="K514" t="str">
        <f>"INNI"</f>
        <v>INNI</v>
      </c>
      <c r="L514" t="s">
        <v>785</v>
      </c>
      <c r="M514">
        <v>113.32</v>
      </c>
    </row>
    <row r="515" spans="1:13" x14ac:dyDescent="0.25">
      <c r="A515" t="str">
        <f>"E263"</f>
        <v>E263</v>
      </c>
      <c r="B515">
        <v>1</v>
      </c>
      <c r="C515" t="str">
        <f>"43000"</f>
        <v>43000</v>
      </c>
      <c r="D515" t="str">
        <f>"5740"</f>
        <v>5740</v>
      </c>
      <c r="E515" t="str">
        <f t="shared" si="136"/>
        <v>850LOS</v>
      </c>
      <c r="F515" t="str">
        <f>""</f>
        <v/>
      </c>
      <c r="G515" t="str">
        <f>""</f>
        <v/>
      </c>
      <c r="H515" s="1">
        <v>40186</v>
      </c>
      <c r="I515" t="str">
        <f>"138261"</f>
        <v>138261</v>
      </c>
      <c r="J515" t="str">
        <f>""</f>
        <v/>
      </c>
      <c r="K515" t="str">
        <f>"INNI"</f>
        <v>INNI</v>
      </c>
      <c r="L515" t="s">
        <v>985</v>
      </c>
      <c r="M515">
        <v>181.6</v>
      </c>
    </row>
    <row r="516" spans="1:13" x14ac:dyDescent="0.25">
      <c r="A516" t="str">
        <f t="shared" ref="A516:A523" si="137">"E267"</f>
        <v>E267</v>
      </c>
      <c r="B516">
        <v>1</v>
      </c>
      <c r="C516" t="str">
        <f>"32040"</f>
        <v>32040</v>
      </c>
      <c r="D516" t="str">
        <f>"5610"</f>
        <v>5610</v>
      </c>
      <c r="E516" t="str">
        <f t="shared" si="136"/>
        <v>850LOS</v>
      </c>
      <c r="F516" t="str">
        <f>""</f>
        <v/>
      </c>
      <c r="G516" t="str">
        <f>""</f>
        <v/>
      </c>
      <c r="H516" s="1">
        <v>40147</v>
      </c>
      <c r="I516" t="str">
        <f>"G1005101"</f>
        <v>G1005101</v>
      </c>
      <c r="J516" t="str">
        <f>""</f>
        <v/>
      </c>
      <c r="K516" t="str">
        <f t="shared" ref="K516:K523" si="138">"J096"</f>
        <v>J096</v>
      </c>
      <c r="L516" t="s">
        <v>1243</v>
      </c>
      <c r="M516" s="2">
        <v>1611</v>
      </c>
    </row>
    <row r="517" spans="1:13" x14ac:dyDescent="0.25">
      <c r="A517" t="str">
        <f t="shared" si="137"/>
        <v>E267</v>
      </c>
      <c r="B517">
        <v>1</v>
      </c>
      <c r="C517" t="str">
        <f>"32040"</f>
        <v>32040</v>
      </c>
      <c r="D517" t="str">
        <f>"5610"</f>
        <v>5610</v>
      </c>
      <c r="E517" t="str">
        <f t="shared" si="136"/>
        <v>850LOS</v>
      </c>
      <c r="F517" t="str">
        <f>""</f>
        <v/>
      </c>
      <c r="G517" t="str">
        <f>""</f>
        <v/>
      </c>
      <c r="H517" s="1">
        <v>40192</v>
      </c>
      <c r="I517" t="str">
        <f>"G1007062"</f>
        <v>G1007062</v>
      </c>
      <c r="J517" t="str">
        <f>""</f>
        <v/>
      </c>
      <c r="K517" t="str">
        <f t="shared" si="138"/>
        <v>J096</v>
      </c>
      <c r="L517" t="s">
        <v>1242</v>
      </c>
      <c r="M517" s="2">
        <v>1037</v>
      </c>
    </row>
    <row r="518" spans="1:13" x14ac:dyDescent="0.25">
      <c r="A518" t="str">
        <f t="shared" si="137"/>
        <v>E267</v>
      </c>
      <c r="B518">
        <v>1</v>
      </c>
      <c r="C518" t="str">
        <f>"32040"</f>
        <v>32040</v>
      </c>
      <c r="D518" t="str">
        <f>"5610"</f>
        <v>5610</v>
      </c>
      <c r="E518" t="str">
        <f t="shared" si="136"/>
        <v>850LOS</v>
      </c>
      <c r="F518" t="str">
        <f>""</f>
        <v/>
      </c>
      <c r="G518" t="str">
        <f>""</f>
        <v/>
      </c>
      <c r="H518" s="1">
        <v>40294</v>
      </c>
      <c r="I518" t="str">
        <f>"G1010035"</f>
        <v>G1010035</v>
      </c>
      <c r="J518" t="str">
        <f>""</f>
        <v/>
      </c>
      <c r="K518" t="str">
        <f t="shared" si="138"/>
        <v>J096</v>
      </c>
      <c r="L518" t="s">
        <v>1241</v>
      </c>
      <c r="M518" s="2">
        <v>1042</v>
      </c>
    </row>
    <row r="519" spans="1:13" x14ac:dyDescent="0.25">
      <c r="A519" t="str">
        <f t="shared" si="137"/>
        <v>E267</v>
      </c>
      <c r="B519">
        <v>1</v>
      </c>
      <c r="C519" t="str">
        <f>"32040"</f>
        <v>32040</v>
      </c>
      <c r="D519" t="str">
        <f>"5610"</f>
        <v>5610</v>
      </c>
      <c r="E519" t="str">
        <f t="shared" si="136"/>
        <v>850LOS</v>
      </c>
      <c r="F519" t="str">
        <f>""</f>
        <v/>
      </c>
      <c r="G519" t="str">
        <f>""</f>
        <v/>
      </c>
      <c r="H519" s="1">
        <v>40359</v>
      </c>
      <c r="I519" t="str">
        <f>"G1014105"</f>
        <v>G1014105</v>
      </c>
      <c r="J519" t="str">
        <f>""</f>
        <v/>
      </c>
      <c r="K519" t="str">
        <f t="shared" si="138"/>
        <v>J096</v>
      </c>
      <c r="L519" t="s">
        <v>1240</v>
      </c>
      <c r="M519" s="2">
        <v>1158</v>
      </c>
    </row>
    <row r="520" spans="1:13" x14ac:dyDescent="0.25">
      <c r="A520" t="str">
        <f t="shared" si="137"/>
        <v>E267</v>
      </c>
      <c r="B520">
        <v>1</v>
      </c>
      <c r="C520" t="str">
        <f>"43000"</f>
        <v>43000</v>
      </c>
      <c r="D520" t="str">
        <f>"5740"</f>
        <v>5740</v>
      </c>
      <c r="E520" t="str">
        <f t="shared" si="136"/>
        <v>850LOS</v>
      </c>
      <c r="F520" t="str">
        <f>""</f>
        <v/>
      </c>
      <c r="G520" t="str">
        <f>""</f>
        <v/>
      </c>
      <c r="H520" s="1">
        <v>40147</v>
      </c>
      <c r="I520" t="str">
        <f>"G1005101"</f>
        <v>G1005101</v>
      </c>
      <c r="J520" t="str">
        <f>""</f>
        <v/>
      </c>
      <c r="K520" t="str">
        <f t="shared" si="138"/>
        <v>J096</v>
      </c>
      <c r="L520" t="s">
        <v>1243</v>
      </c>
      <c r="M520" s="2">
        <v>15978</v>
      </c>
    </row>
    <row r="521" spans="1:13" x14ac:dyDescent="0.25">
      <c r="A521" t="str">
        <f t="shared" si="137"/>
        <v>E267</v>
      </c>
      <c r="B521">
        <v>1</v>
      </c>
      <c r="C521" t="str">
        <f>"43000"</f>
        <v>43000</v>
      </c>
      <c r="D521" t="str">
        <f>"5740"</f>
        <v>5740</v>
      </c>
      <c r="E521" t="str">
        <f t="shared" si="136"/>
        <v>850LOS</v>
      </c>
      <c r="F521" t="str">
        <f>""</f>
        <v/>
      </c>
      <c r="G521" t="str">
        <f>""</f>
        <v/>
      </c>
      <c r="H521" s="1">
        <v>40192</v>
      </c>
      <c r="I521" t="str">
        <f>"G1007062"</f>
        <v>G1007062</v>
      </c>
      <c r="J521" t="str">
        <f>""</f>
        <v/>
      </c>
      <c r="K521" t="str">
        <f t="shared" si="138"/>
        <v>J096</v>
      </c>
      <c r="L521" t="s">
        <v>1242</v>
      </c>
      <c r="M521" s="2">
        <v>6500</v>
      </c>
    </row>
    <row r="522" spans="1:13" x14ac:dyDescent="0.25">
      <c r="A522" t="str">
        <f t="shared" si="137"/>
        <v>E267</v>
      </c>
      <c r="B522">
        <v>1</v>
      </c>
      <c r="C522" t="str">
        <f>"43000"</f>
        <v>43000</v>
      </c>
      <c r="D522" t="str">
        <f>"5740"</f>
        <v>5740</v>
      </c>
      <c r="E522" t="str">
        <f t="shared" si="136"/>
        <v>850LOS</v>
      </c>
      <c r="F522" t="str">
        <f>""</f>
        <v/>
      </c>
      <c r="G522" t="str">
        <f>""</f>
        <v/>
      </c>
      <c r="H522" s="1">
        <v>40294</v>
      </c>
      <c r="I522" t="str">
        <f>"G1010035"</f>
        <v>G1010035</v>
      </c>
      <c r="J522" t="str">
        <f>""</f>
        <v/>
      </c>
      <c r="K522" t="str">
        <f t="shared" si="138"/>
        <v>J096</v>
      </c>
      <c r="L522" t="s">
        <v>1241</v>
      </c>
      <c r="M522" s="2">
        <v>10511</v>
      </c>
    </row>
    <row r="523" spans="1:13" x14ac:dyDescent="0.25">
      <c r="A523" t="str">
        <f t="shared" si="137"/>
        <v>E267</v>
      </c>
      <c r="B523">
        <v>1</v>
      </c>
      <c r="C523" t="str">
        <f>"43000"</f>
        <v>43000</v>
      </c>
      <c r="D523" t="str">
        <f>"5740"</f>
        <v>5740</v>
      </c>
      <c r="E523" t="str">
        <f t="shared" si="136"/>
        <v>850LOS</v>
      </c>
      <c r="F523" t="str">
        <f>""</f>
        <v/>
      </c>
      <c r="G523" t="str">
        <f>""</f>
        <v/>
      </c>
      <c r="H523" s="1">
        <v>40359</v>
      </c>
      <c r="I523" t="str">
        <f>"G1014105"</f>
        <v>G1014105</v>
      </c>
      <c r="J523" t="str">
        <f>""</f>
        <v/>
      </c>
      <c r="K523" t="str">
        <f t="shared" si="138"/>
        <v>J096</v>
      </c>
      <c r="L523" t="s">
        <v>1240</v>
      </c>
      <c r="M523" s="2">
        <v>8197</v>
      </c>
    </row>
    <row r="524" spans="1:13" x14ac:dyDescent="0.25">
      <c r="A524" t="str">
        <f>"E276"</f>
        <v>E276</v>
      </c>
      <c r="B524">
        <v>1</v>
      </c>
      <c r="C524" t="str">
        <f>"14185"</f>
        <v>14185</v>
      </c>
      <c r="D524" t="str">
        <f>"5620"</f>
        <v>5620</v>
      </c>
      <c r="E524" t="str">
        <f>"094OMS"</f>
        <v>094OMS</v>
      </c>
      <c r="F524" t="str">
        <f>""</f>
        <v/>
      </c>
      <c r="G524" t="str">
        <f>""</f>
        <v/>
      </c>
      <c r="H524" s="1">
        <v>40051</v>
      </c>
      <c r="I524" t="str">
        <f>"K0034885"</f>
        <v>K0034885</v>
      </c>
      <c r="J524" t="str">
        <f>"10061319"</f>
        <v>10061319</v>
      </c>
      <c r="K524" t="str">
        <f>"MR89"</f>
        <v>MR89</v>
      </c>
      <c r="L524" t="s">
        <v>1239</v>
      </c>
      <c r="M524" s="2">
        <v>5199</v>
      </c>
    </row>
    <row r="525" spans="1:13" x14ac:dyDescent="0.25">
      <c r="A525" t="str">
        <f>"E276"</f>
        <v>E276</v>
      </c>
      <c r="B525">
        <v>1</v>
      </c>
      <c r="C525" t="str">
        <f>"14185"</f>
        <v>14185</v>
      </c>
      <c r="D525" t="str">
        <f>"5620"</f>
        <v>5620</v>
      </c>
      <c r="E525" t="str">
        <f>"094OMS"</f>
        <v>094OMS</v>
      </c>
      <c r="F525" t="str">
        <f>""</f>
        <v/>
      </c>
      <c r="G525" t="str">
        <f>""</f>
        <v/>
      </c>
      <c r="H525" s="1">
        <v>40359</v>
      </c>
      <c r="I525" t="str">
        <f>"G1012351"</f>
        <v>G1012351</v>
      </c>
      <c r="J525" t="str">
        <f>""</f>
        <v/>
      </c>
      <c r="K525" t="str">
        <f>"J096"</f>
        <v>J096</v>
      </c>
      <c r="L525" t="s">
        <v>1238</v>
      </c>
      <c r="M525" s="2">
        <v>1981.75</v>
      </c>
    </row>
    <row r="526" spans="1:13" x14ac:dyDescent="0.25">
      <c r="A526" t="str">
        <f>"E276"</f>
        <v>E276</v>
      </c>
      <c r="B526">
        <v>1</v>
      </c>
      <c r="C526" t="str">
        <f>"43001"</f>
        <v>43001</v>
      </c>
      <c r="D526" t="str">
        <f>"5741"</f>
        <v>5741</v>
      </c>
      <c r="E526" t="str">
        <f t="shared" ref="E526:E538" si="139">"850LOS"</f>
        <v>850LOS</v>
      </c>
      <c r="F526" t="str">
        <f>""</f>
        <v/>
      </c>
      <c r="G526" t="str">
        <f>""</f>
        <v/>
      </c>
      <c r="H526" s="1">
        <v>40209</v>
      </c>
      <c r="I526" t="str">
        <f>"HSG00392"</f>
        <v>HSG00392</v>
      </c>
      <c r="J526" t="str">
        <f>""</f>
        <v/>
      </c>
      <c r="K526" t="str">
        <f>"AS96"</f>
        <v>AS96</v>
      </c>
      <c r="L526" t="s">
        <v>1237</v>
      </c>
      <c r="M526">
        <v>749.7</v>
      </c>
    </row>
    <row r="527" spans="1:13" x14ac:dyDescent="0.25">
      <c r="A527" t="str">
        <f t="shared" ref="A527:A537" si="140">"E279"</f>
        <v>E279</v>
      </c>
      <c r="B527">
        <v>1</v>
      </c>
      <c r="C527" t="str">
        <f>"43000"</f>
        <v>43000</v>
      </c>
      <c r="D527" t="str">
        <f>"5740"</f>
        <v>5740</v>
      </c>
      <c r="E527" t="str">
        <f t="shared" si="139"/>
        <v>850LOS</v>
      </c>
      <c r="F527" t="str">
        <f>""</f>
        <v/>
      </c>
      <c r="G527" t="str">
        <f>""</f>
        <v/>
      </c>
      <c r="H527" s="1">
        <v>40192</v>
      </c>
      <c r="I527" t="str">
        <f>"2950721"</f>
        <v>2950721</v>
      </c>
      <c r="J527" t="str">
        <f>"N113803C"</f>
        <v>N113803C</v>
      </c>
      <c r="K527" t="str">
        <f>"INEI"</f>
        <v>INEI</v>
      </c>
      <c r="L527" t="s">
        <v>330</v>
      </c>
      <c r="M527" s="2">
        <v>59756</v>
      </c>
    </row>
    <row r="528" spans="1:13" x14ac:dyDescent="0.25">
      <c r="A528" t="str">
        <f t="shared" si="140"/>
        <v>E279</v>
      </c>
      <c r="B528">
        <v>1</v>
      </c>
      <c r="C528" t="str">
        <f>"43000"</f>
        <v>43000</v>
      </c>
      <c r="D528" t="str">
        <f>"5740"</f>
        <v>5740</v>
      </c>
      <c r="E528" t="str">
        <f t="shared" si="139"/>
        <v>850LOS</v>
      </c>
      <c r="F528" t="str">
        <f>""</f>
        <v/>
      </c>
      <c r="G528" t="str">
        <f>""</f>
        <v/>
      </c>
      <c r="H528" s="1">
        <v>40277</v>
      </c>
      <c r="I528" t="str">
        <f>"2010185"</f>
        <v>2010185</v>
      </c>
      <c r="J528" t="str">
        <f>"N113803C"</f>
        <v>N113803C</v>
      </c>
      <c r="K528" t="str">
        <f>"INEI"</f>
        <v>INEI</v>
      </c>
      <c r="L528" t="s">
        <v>330</v>
      </c>
      <c r="M528" s="2">
        <v>2961</v>
      </c>
    </row>
    <row r="529" spans="1:13" x14ac:dyDescent="0.25">
      <c r="A529" t="str">
        <f t="shared" si="140"/>
        <v>E279</v>
      </c>
      <c r="B529">
        <v>1</v>
      </c>
      <c r="C529" t="str">
        <f>"43000"</f>
        <v>43000</v>
      </c>
      <c r="D529" t="str">
        <f>"5740"</f>
        <v>5740</v>
      </c>
      <c r="E529" t="str">
        <f t="shared" si="139"/>
        <v>850LOS</v>
      </c>
      <c r="F529" t="str">
        <f>""</f>
        <v/>
      </c>
      <c r="G529" t="str">
        <f>""</f>
        <v/>
      </c>
      <c r="H529" s="1">
        <v>40358</v>
      </c>
      <c r="I529" t="str">
        <f>"2010350"</f>
        <v>2010350</v>
      </c>
      <c r="J529" t="str">
        <f>"N113803C"</f>
        <v>N113803C</v>
      </c>
      <c r="K529" t="str">
        <f>"INEI"</f>
        <v>INEI</v>
      </c>
      <c r="L529" t="s">
        <v>330</v>
      </c>
      <c r="M529" s="2">
        <v>2961</v>
      </c>
    </row>
    <row r="530" spans="1:13" x14ac:dyDescent="0.25">
      <c r="A530" t="str">
        <f t="shared" si="140"/>
        <v>E279</v>
      </c>
      <c r="B530">
        <v>1</v>
      </c>
      <c r="C530" t="str">
        <f t="shared" ref="C530:C537" si="141">"43004"</f>
        <v>43004</v>
      </c>
      <c r="D530" t="str">
        <f t="shared" ref="D530:D537" si="142">"5741"</f>
        <v>5741</v>
      </c>
      <c r="E530" t="str">
        <f t="shared" si="139"/>
        <v>850LOS</v>
      </c>
      <c r="F530" t="str">
        <f>""</f>
        <v/>
      </c>
      <c r="G530" t="str">
        <f>""</f>
        <v/>
      </c>
      <c r="H530" s="1">
        <v>40060</v>
      </c>
      <c r="I530" t="str">
        <f>"2950472"</f>
        <v>2950472</v>
      </c>
      <c r="J530" t="str">
        <f>"B113803B"</f>
        <v>B113803B</v>
      </c>
      <c r="K530" t="str">
        <f>"INNI"</f>
        <v>INNI</v>
      </c>
      <c r="L530" t="s">
        <v>330</v>
      </c>
      <c r="M530" s="2">
        <v>6020</v>
      </c>
    </row>
    <row r="531" spans="1:13" x14ac:dyDescent="0.25">
      <c r="A531" t="str">
        <f t="shared" si="140"/>
        <v>E279</v>
      </c>
      <c r="B531">
        <v>1</v>
      </c>
      <c r="C531" t="str">
        <f t="shared" si="141"/>
        <v>43004</v>
      </c>
      <c r="D531" t="str">
        <f t="shared" si="142"/>
        <v>5741</v>
      </c>
      <c r="E531" t="str">
        <f t="shared" si="139"/>
        <v>850LOS</v>
      </c>
      <c r="F531" t="str">
        <f>""</f>
        <v/>
      </c>
      <c r="G531" t="str">
        <f>""</f>
        <v/>
      </c>
      <c r="H531" s="1">
        <v>40192</v>
      </c>
      <c r="I531" t="str">
        <f>"2950721"</f>
        <v>2950721</v>
      </c>
      <c r="J531" t="str">
        <f>"N113803C"</f>
        <v>N113803C</v>
      </c>
      <c r="K531" t="str">
        <f>"INEI"</f>
        <v>INEI</v>
      </c>
      <c r="L531" t="s">
        <v>330</v>
      </c>
      <c r="M531" s="2">
        <v>20330.5</v>
      </c>
    </row>
    <row r="532" spans="1:13" x14ac:dyDescent="0.25">
      <c r="A532" t="str">
        <f t="shared" si="140"/>
        <v>E279</v>
      </c>
      <c r="B532">
        <v>1</v>
      </c>
      <c r="C532" t="str">
        <f t="shared" si="141"/>
        <v>43004</v>
      </c>
      <c r="D532" t="str">
        <f t="shared" si="142"/>
        <v>5741</v>
      </c>
      <c r="E532" t="str">
        <f t="shared" si="139"/>
        <v>850LOS</v>
      </c>
      <c r="F532" t="str">
        <f>""</f>
        <v/>
      </c>
      <c r="G532" t="str">
        <f>""</f>
        <v/>
      </c>
      <c r="H532" s="1">
        <v>40198</v>
      </c>
      <c r="I532" t="str">
        <f>"G1007089"</f>
        <v>G1007089</v>
      </c>
      <c r="J532" t="str">
        <f>""</f>
        <v/>
      </c>
      <c r="K532" t="str">
        <f>"J096"</f>
        <v>J096</v>
      </c>
      <c r="L532" t="s">
        <v>1183</v>
      </c>
      <c r="M532" s="2">
        <v>4462.5</v>
      </c>
    </row>
    <row r="533" spans="1:13" x14ac:dyDescent="0.25">
      <c r="A533" t="str">
        <f t="shared" si="140"/>
        <v>E279</v>
      </c>
      <c r="B533">
        <v>1</v>
      </c>
      <c r="C533" t="str">
        <f t="shared" si="141"/>
        <v>43004</v>
      </c>
      <c r="D533" t="str">
        <f t="shared" si="142"/>
        <v>5741</v>
      </c>
      <c r="E533" t="str">
        <f t="shared" si="139"/>
        <v>850LOS</v>
      </c>
      <c r="F533" t="str">
        <f>""</f>
        <v/>
      </c>
      <c r="G533" t="str">
        <f>""</f>
        <v/>
      </c>
      <c r="H533" s="1">
        <v>40277</v>
      </c>
      <c r="I533" t="str">
        <f>"2010185"</f>
        <v>2010185</v>
      </c>
      <c r="J533" t="str">
        <f>"N113803C"</f>
        <v>N113803C</v>
      </c>
      <c r="K533" t="str">
        <f>"INEI"</f>
        <v>INEI</v>
      </c>
      <c r="L533" t="s">
        <v>330</v>
      </c>
      <c r="M533" s="2">
        <v>1365</v>
      </c>
    </row>
    <row r="534" spans="1:13" x14ac:dyDescent="0.25">
      <c r="A534" t="str">
        <f t="shared" si="140"/>
        <v>E279</v>
      </c>
      <c r="B534">
        <v>1</v>
      </c>
      <c r="C534" t="str">
        <f t="shared" si="141"/>
        <v>43004</v>
      </c>
      <c r="D534" t="str">
        <f t="shared" si="142"/>
        <v>5741</v>
      </c>
      <c r="E534" t="str">
        <f t="shared" si="139"/>
        <v>850LOS</v>
      </c>
      <c r="F534" t="str">
        <f>""</f>
        <v/>
      </c>
      <c r="G534" t="str">
        <f>""</f>
        <v/>
      </c>
      <c r="H534" s="1">
        <v>40298</v>
      </c>
      <c r="I534" t="str">
        <f>"G1010155"</f>
        <v>G1010155</v>
      </c>
      <c r="J534" t="str">
        <f>""</f>
        <v/>
      </c>
      <c r="K534" t="str">
        <f>"J096"</f>
        <v>J096</v>
      </c>
      <c r="L534" t="s">
        <v>1182</v>
      </c>
      <c r="M534">
        <v>245</v>
      </c>
    </row>
    <row r="535" spans="1:13" x14ac:dyDescent="0.25">
      <c r="A535" t="str">
        <f t="shared" si="140"/>
        <v>E279</v>
      </c>
      <c r="B535">
        <v>1</v>
      </c>
      <c r="C535" t="str">
        <f t="shared" si="141"/>
        <v>43004</v>
      </c>
      <c r="D535" t="str">
        <f t="shared" si="142"/>
        <v>5741</v>
      </c>
      <c r="E535" t="str">
        <f t="shared" si="139"/>
        <v>850LOS</v>
      </c>
      <c r="F535" t="str">
        <f>""</f>
        <v/>
      </c>
      <c r="G535" t="str">
        <f>""</f>
        <v/>
      </c>
      <c r="H535" s="1">
        <v>40358</v>
      </c>
      <c r="I535" t="str">
        <f>"2010350"</f>
        <v>2010350</v>
      </c>
      <c r="J535" t="str">
        <f>"N113803C"</f>
        <v>N113803C</v>
      </c>
      <c r="K535" t="str">
        <f>"INEI"</f>
        <v>INEI</v>
      </c>
      <c r="L535" t="s">
        <v>330</v>
      </c>
      <c r="M535" s="2">
        <v>1365</v>
      </c>
    </row>
    <row r="536" spans="1:13" x14ac:dyDescent="0.25">
      <c r="A536" t="str">
        <f t="shared" si="140"/>
        <v>E279</v>
      </c>
      <c r="B536">
        <v>1</v>
      </c>
      <c r="C536" t="str">
        <f t="shared" si="141"/>
        <v>43004</v>
      </c>
      <c r="D536" t="str">
        <f t="shared" si="142"/>
        <v>5741</v>
      </c>
      <c r="E536" t="str">
        <f t="shared" si="139"/>
        <v>850LOS</v>
      </c>
      <c r="F536" t="str">
        <f>""</f>
        <v/>
      </c>
      <c r="G536" t="str">
        <f>""</f>
        <v/>
      </c>
      <c r="H536" s="1">
        <v>40359</v>
      </c>
      <c r="I536" t="str">
        <f>"G1012301"</f>
        <v>G1012301</v>
      </c>
      <c r="J536" t="str">
        <f>""</f>
        <v/>
      </c>
      <c r="K536" t="str">
        <f>"J096"</f>
        <v>J096</v>
      </c>
      <c r="L536" t="s">
        <v>1181</v>
      </c>
      <c r="M536">
        <v>245</v>
      </c>
    </row>
    <row r="537" spans="1:13" x14ac:dyDescent="0.25">
      <c r="A537" t="str">
        <f t="shared" si="140"/>
        <v>E279</v>
      </c>
      <c r="B537">
        <v>1</v>
      </c>
      <c r="C537" t="str">
        <f t="shared" si="141"/>
        <v>43004</v>
      </c>
      <c r="D537" t="str">
        <f t="shared" si="142"/>
        <v>5741</v>
      </c>
      <c r="E537" t="str">
        <f t="shared" si="139"/>
        <v>850LOS</v>
      </c>
      <c r="F537" t="str">
        <f>""</f>
        <v/>
      </c>
      <c r="G537" t="str">
        <f>""</f>
        <v/>
      </c>
      <c r="H537" s="1">
        <v>40359</v>
      </c>
      <c r="I537" t="str">
        <f>"G1012375"</f>
        <v>G1012375</v>
      </c>
      <c r="J537" t="str">
        <f>""</f>
        <v/>
      </c>
      <c r="K537" t="str">
        <f>"J096"</f>
        <v>J096</v>
      </c>
      <c r="L537" t="s">
        <v>1180</v>
      </c>
      <c r="M537" s="2">
        <v>1097.58</v>
      </c>
    </row>
    <row r="538" spans="1:13" x14ac:dyDescent="0.25">
      <c r="A538" t="str">
        <f>"E303"</f>
        <v>E303</v>
      </c>
      <c r="B538">
        <v>1</v>
      </c>
      <c r="C538" t="str">
        <f>"32040"</f>
        <v>32040</v>
      </c>
      <c r="D538" t="str">
        <f>"5610"</f>
        <v>5610</v>
      </c>
      <c r="E538" t="str">
        <f t="shared" si="139"/>
        <v>850LOS</v>
      </c>
      <c r="F538" t="str">
        <f>""</f>
        <v/>
      </c>
      <c r="G538" t="str">
        <f>""</f>
        <v/>
      </c>
      <c r="H538" s="1">
        <v>40095</v>
      </c>
      <c r="I538" t="str">
        <f>"555620A"</f>
        <v>555620A</v>
      </c>
      <c r="J538" t="str">
        <f>"BP8264G"</f>
        <v>BP8264G</v>
      </c>
      <c r="K538" t="str">
        <f>"ICNC"</f>
        <v>ICNC</v>
      </c>
      <c r="L538" t="s">
        <v>1236</v>
      </c>
      <c r="M538" s="2">
        <v>3733.46</v>
      </c>
    </row>
    <row r="539" spans="1:13" x14ac:dyDescent="0.25">
      <c r="A539" t="str">
        <f t="shared" ref="A539:A547" si="143">"E351"</f>
        <v>E351</v>
      </c>
      <c r="B539">
        <v>1</v>
      </c>
      <c r="C539" t="str">
        <f t="shared" ref="C539:C547" si="144">"14185"</f>
        <v>14185</v>
      </c>
      <c r="D539" t="str">
        <f t="shared" ref="D539:D547" si="145">"5620"</f>
        <v>5620</v>
      </c>
      <c r="E539" t="str">
        <f t="shared" ref="E539:E547" si="146">"094OMS"</f>
        <v>094OMS</v>
      </c>
      <c r="F539" t="str">
        <f>""</f>
        <v/>
      </c>
      <c r="G539" t="str">
        <f>""</f>
        <v/>
      </c>
      <c r="H539" s="1">
        <v>40025</v>
      </c>
      <c r="I539" t="str">
        <f>"V90285"</f>
        <v>V90285</v>
      </c>
      <c r="J539" t="str">
        <f>""</f>
        <v/>
      </c>
      <c r="K539" t="str">
        <f t="shared" ref="K539:K547" si="147">"INNI"</f>
        <v>INNI</v>
      </c>
      <c r="L539" t="s">
        <v>823</v>
      </c>
      <c r="M539">
        <v>212</v>
      </c>
    </row>
    <row r="540" spans="1:13" x14ac:dyDescent="0.25">
      <c r="A540" t="str">
        <f t="shared" si="143"/>
        <v>E351</v>
      </c>
      <c r="B540">
        <v>1</v>
      </c>
      <c r="C540" t="str">
        <f t="shared" si="144"/>
        <v>14185</v>
      </c>
      <c r="D540" t="str">
        <f t="shared" si="145"/>
        <v>5620</v>
      </c>
      <c r="E540" t="str">
        <f t="shared" si="146"/>
        <v>094OMS</v>
      </c>
      <c r="F540" t="str">
        <f>""</f>
        <v/>
      </c>
      <c r="G540" t="str">
        <f>""</f>
        <v/>
      </c>
      <c r="H540" s="1">
        <v>40038</v>
      </c>
      <c r="I540" t="str">
        <f>"V90286"</f>
        <v>V90286</v>
      </c>
      <c r="J540" t="str">
        <f>""</f>
        <v/>
      </c>
      <c r="K540" t="str">
        <f t="shared" si="147"/>
        <v>INNI</v>
      </c>
      <c r="L540" t="s">
        <v>787</v>
      </c>
      <c r="M540">
        <v>229</v>
      </c>
    </row>
    <row r="541" spans="1:13" x14ac:dyDescent="0.25">
      <c r="A541" t="str">
        <f t="shared" si="143"/>
        <v>E351</v>
      </c>
      <c r="B541">
        <v>1</v>
      </c>
      <c r="C541" t="str">
        <f t="shared" si="144"/>
        <v>14185</v>
      </c>
      <c r="D541" t="str">
        <f t="shared" si="145"/>
        <v>5620</v>
      </c>
      <c r="E541" t="str">
        <f t="shared" si="146"/>
        <v>094OMS</v>
      </c>
      <c r="F541" t="str">
        <f>""</f>
        <v/>
      </c>
      <c r="G541" t="str">
        <f>""</f>
        <v/>
      </c>
      <c r="H541" s="1">
        <v>40134</v>
      </c>
      <c r="I541" t="str">
        <f>"V90289"</f>
        <v>V90289</v>
      </c>
      <c r="J541" t="str">
        <f>""</f>
        <v/>
      </c>
      <c r="K541" t="str">
        <f t="shared" si="147"/>
        <v>INNI</v>
      </c>
      <c r="L541" t="s">
        <v>197</v>
      </c>
      <c r="M541">
        <v>122</v>
      </c>
    </row>
    <row r="542" spans="1:13" x14ac:dyDescent="0.25">
      <c r="A542" t="str">
        <f t="shared" si="143"/>
        <v>E351</v>
      </c>
      <c r="B542">
        <v>1</v>
      </c>
      <c r="C542" t="str">
        <f t="shared" si="144"/>
        <v>14185</v>
      </c>
      <c r="D542" t="str">
        <f t="shared" si="145"/>
        <v>5620</v>
      </c>
      <c r="E542" t="str">
        <f t="shared" si="146"/>
        <v>094OMS</v>
      </c>
      <c r="F542" t="str">
        <f>""</f>
        <v/>
      </c>
      <c r="G542" t="str">
        <f>""</f>
        <v/>
      </c>
      <c r="H542" s="1">
        <v>40203</v>
      </c>
      <c r="I542" t="str">
        <f>"V90290"</f>
        <v>V90290</v>
      </c>
      <c r="J542" t="str">
        <f>""</f>
        <v/>
      </c>
      <c r="K542" t="str">
        <f t="shared" si="147"/>
        <v>INNI</v>
      </c>
      <c r="L542" t="s">
        <v>823</v>
      </c>
      <c r="M542">
        <v>693.5</v>
      </c>
    </row>
    <row r="543" spans="1:13" x14ac:dyDescent="0.25">
      <c r="A543" t="str">
        <f t="shared" si="143"/>
        <v>E351</v>
      </c>
      <c r="B543">
        <v>1</v>
      </c>
      <c r="C543" t="str">
        <f t="shared" si="144"/>
        <v>14185</v>
      </c>
      <c r="D543" t="str">
        <f t="shared" si="145"/>
        <v>5620</v>
      </c>
      <c r="E543" t="str">
        <f t="shared" si="146"/>
        <v>094OMS</v>
      </c>
      <c r="F543" t="str">
        <f>""</f>
        <v/>
      </c>
      <c r="G543" t="str">
        <f>""</f>
        <v/>
      </c>
      <c r="H543" s="1">
        <v>40239</v>
      </c>
      <c r="I543" t="str">
        <f>"V90291"</f>
        <v>V90291</v>
      </c>
      <c r="J543" t="str">
        <f>""</f>
        <v/>
      </c>
      <c r="K543" t="str">
        <f t="shared" si="147"/>
        <v>INNI</v>
      </c>
      <c r="L543" t="s">
        <v>334</v>
      </c>
      <c r="M543">
        <v>603.72</v>
      </c>
    </row>
    <row r="544" spans="1:13" x14ac:dyDescent="0.25">
      <c r="A544" t="str">
        <f t="shared" si="143"/>
        <v>E351</v>
      </c>
      <c r="B544">
        <v>1</v>
      </c>
      <c r="C544" t="str">
        <f t="shared" si="144"/>
        <v>14185</v>
      </c>
      <c r="D544" t="str">
        <f t="shared" si="145"/>
        <v>5620</v>
      </c>
      <c r="E544" t="str">
        <f t="shared" si="146"/>
        <v>094OMS</v>
      </c>
      <c r="F544" t="str">
        <f>""</f>
        <v/>
      </c>
      <c r="G544" t="str">
        <f>""</f>
        <v/>
      </c>
      <c r="H544" s="1">
        <v>40302</v>
      </c>
      <c r="I544" t="str">
        <f>"V90292"</f>
        <v>V90292</v>
      </c>
      <c r="J544" t="str">
        <f>""</f>
        <v/>
      </c>
      <c r="K544" t="str">
        <f t="shared" si="147"/>
        <v>INNI</v>
      </c>
      <c r="L544" t="s">
        <v>334</v>
      </c>
      <c r="M544">
        <v>529.89</v>
      </c>
    </row>
    <row r="545" spans="1:13" x14ac:dyDescent="0.25">
      <c r="A545" t="str">
        <f t="shared" si="143"/>
        <v>E351</v>
      </c>
      <c r="B545">
        <v>1</v>
      </c>
      <c r="C545" t="str">
        <f t="shared" si="144"/>
        <v>14185</v>
      </c>
      <c r="D545" t="str">
        <f t="shared" si="145"/>
        <v>5620</v>
      </c>
      <c r="E545" t="str">
        <f t="shared" si="146"/>
        <v>094OMS</v>
      </c>
      <c r="F545" t="str">
        <f>""</f>
        <v/>
      </c>
      <c r="G545" t="str">
        <f>""</f>
        <v/>
      </c>
      <c r="H545" s="1">
        <v>40331</v>
      </c>
      <c r="I545" t="str">
        <f>"V90294"</f>
        <v>V90294</v>
      </c>
      <c r="J545" t="str">
        <f>""</f>
        <v/>
      </c>
      <c r="K545" t="str">
        <f t="shared" si="147"/>
        <v>INNI</v>
      </c>
      <c r="L545" t="s">
        <v>785</v>
      </c>
      <c r="M545">
        <v>354.72</v>
      </c>
    </row>
    <row r="546" spans="1:13" x14ac:dyDescent="0.25">
      <c r="A546" t="str">
        <f t="shared" si="143"/>
        <v>E351</v>
      </c>
      <c r="B546">
        <v>1</v>
      </c>
      <c r="C546" t="str">
        <f t="shared" si="144"/>
        <v>14185</v>
      </c>
      <c r="D546" t="str">
        <f t="shared" si="145"/>
        <v>5620</v>
      </c>
      <c r="E546" t="str">
        <f t="shared" si="146"/>
        <v>094OMS</v>
      </c>
      <c r="F546" t="str">
        <f>""</f>
        <v/>
      </c>
      <c r="G546" t="str">
        <f>""</f>
        <v/>
      </c>
      <c r="H546" s="1">
        <v>40337</v>
      </c>
      <c r="I546" t="str">
        <f>"V90293"</f>
        <v>V90293</v>
      </c>
      <c r="J546" t="str">
        <f>""</f>
        <v/>
      </c>
      <c r="K546" t="str">
        <f t="shared" si="147"/>
        <v>INNI</v>
      </c>
      <c r="L546" t="s">
        <v>1235</v>
      </c>
      <c r="M546">
        <v>563.78</v>
      </c>
    </row>
    <row r="547" spans="1:13" x14ac:dyDescent="0.25">
      <c r="A547" t="str">
        <f t="shared" si="143"/>
        <v>E351</v>
      </c>
      <c r="B547">
        <v>1</v>
      </c>
      <c r="C547" t="str">
        <f t="shared" si="144"/>
        <v>14185</v>
      </c>
      <c r="D547" t="str">
        <f t="shared" si="145"/>
        <v>5620</v>
      </c>
      <c r="E547" t="str">
        <f t="shared" si="146"/>
        <v>094OMS</v>
      </c>
      <c r="F547" t="str">
        <f>""</f>
        <v/>
      </c>
      <c r="G547" t="str">
        <f>""</f>
        <v/>
      </c>
      <c r="H547" s="1">
        <v>40344</v>
      </c>
      <c r="I547" t="str">
        <f>"V90296"</f>
        <v>V90296</v>
      </c>
      <c r="J547" t="str">
        <f>""</f>
        <v/>
      </c>
      <c r="K547" t="str">
        <f t="shared" si="147"/>
        <v>INNI</v>
      </c>
      <c r="L547" t="s">
        <v>478</v>
      </c>
      <c r="M547">
        <v>463.12</v>
      </c>
    </row>
    <row r="548" spans="1:13" x14ac:dyDescent="0.25">
      <c r="A548" t="str">
        <f>"E402"</f>
        <v>E402</v>
      </c>
      <c r="B548">
        <v>1</v>
      </c>
      <c r="C548" t="str">
        <f>"32040"</f>
        <v>32040</v>
      </c>
      <c r="D548" t="str">
        <f>"5610"</f>
        <v>5610</v>
      </c>
      <c r="E548" t="str">
        <f>"850LOS"</f>
        <v>850LOS</v>
      </c>
      <c r="F548" t="str">
        <f>""</f>
        <v/>
      </c>
      <c r="G548" t="str">
        <f>""</f>
        <v/>
      </c>
      <c r="H548" s="1">
        <v>40189</v>
      </c>
      <c r="I548" t="str">
        <f>"PCD00402"</f>
        <v>PCD00402</v>
      </c>
      <c r="J548" t="str">
        <f>"111386"</f>
        <v>111386</v>
      </c>
      <c r="K548" t="str">
        <f t="shared" ref="K548:K555" si="148">"AS89"</f>
        <v>AS89</v>
      </c>
      <c r="L548" t="s">
        <v>1234</v>
      </c>
      <c r="M548">
        <v>137.25</v>
      </c>
    </row>
    <row r="549" spans="1:13" x14ac:dyDescent="0.25">
      <c r="A549" t="str">
        <f>"E402"</f>
        <v>E402</v>
      </c>
      <c r="B549">
        <v>1</v>
      </c>
      <c r="C549" t="str">
        <f>"43000"</f>
        <v>43000</v>
      </c>
      <c r="D549" t="str">
        <f>"5740"</f>
        <v>5740</v>
      </c>
      <c r="E549" t="str">
        <f>"850LOS"</f>
        <v>850LOS</v>
      </c>
      <c r="F549" t="str">
        <f>""</f>
        <v/>
      </c>
      <c r="G549" t="str">
        <f>""</f>
        <v/>
      </c>
      <c r="H549" s="1">
        <v>40032</v>
      </c>
      <c r="I549" t="str">
        <f>"PCD00379"</f>
        <v>PCD00379</v>
      </c>
      <c r="J549" t="str">
        <f>"102545"</f>
        <v>102545</v>
      </c>
      <c r="K549" t="str">
        <f t="shared" si="148"/>
        <v>AS89</v>
      </c>
      <c r="L549" t="s">
        <v>1233</v>
      </c>
      <c r="M549">
        <v>229.92</v>
      </c>
    </row>
    <row r="550" spans="1:13" x14ac:dyDescent="0.25">
      <c r="A550" t="str">
        <f>"E402"</f>
        <v>E402</v>
      </c>
      <c r="B550">
        <v>1</v>
      </c>
      <c r="C550" t="str">
        <f>"43000"</f>
        <v>43000</v>
      </c>
      <c r="D550" t="str">
        <f>"5740"</f>
        <v>5740</v>
      </c>
      <c r="E550" t="str">
        <f>"850LOS"</f>
        <v>850LOS</v>
      </c>
      <c r="F550" t="str">
        <f>""</f>
        <v/>
      </c>
      <c r="G550" t="str">
        <f>""</f>
        <v/>
      </c>
      <c r="H550" s="1">
        <v>40038</v>
      </c>
      <c r="I550" t="str">
        <f>"PCD00380"</f>
        <v>PCD00380</v>
      </c>
      <c r="J550" t="str">
        <f>"102318"</f>
        <v>102318</v>
      </c>
      <c r="K550" t="str">
        <f t="shared" si="148"/>
        <v>AS89</v>
      </c>
      <c r="L550" t="s">
        <v>1232</v>
      </c>
      <c r="M550">
        <v>152.41</v>
      </c>
    </row>
    <row r="551" spans="1:13" x14ac:dyDescent="0.25">
      <c r="A551" t="str">
        <f t="shared" ref="A551:A556" si="149">"E403"</f>
        <v>E403</v>
      </c>
      <c r="B551">
        <v>1</v>
      </c>
      <c r="C551" t="str">
        <f>"14185"</f>
        <v>14185</v>
      </c>
      <c r="D551" t="str">
        <f>"5620"</f>
        <v>5620</v>
      </c>
      <c r="E551" t="str">
        <f>"094OMS"</f>
        <v>094OMS</v>
      </c>
      <c r="F551" t="str">
        <f>""</f>
        <v/>
      </c>
      <c r="G551" t="str">
        <f>""</f>
        <v/>
      </c>
      <c r="H551" s="1">
        <v>40359</v>
      </c>
      <c r="I551" t="str">
        <f>"SWS00073"</f>
        <v>SWS00073</v>
      </c>
      <c r="J551" t="str">
        <f>"10069"</f>
        <v>10069</v>
      </c>
      <c r="K551" t="str">
        <f t="shared" si="148"/>
        <v>AS89</v>
      </c>
      <c r="L551" t="s">
        <v>1230</v>
      </c>
      <c r="M551">
        <v>143</v>
      </c>
    </row>
    <row r="552" spans="1:13" x14ac:dyDescent="0.25">
      <c r="A552" t="str">
        <f t="shared" si="149"/>
        <v>E403</v>
      </c>
      <c r="B552">
        <v>1</v>
      </c>
      <c r="C552" t="str">
        <f>"14185"</f>
        <v>14185</v>
      </c>
      <c r="D552" t="str">
        <f>"5620"</f>
        <v>5620</v>
      </c>
      <c r="E552" t="str">
        <f>"094OMS"</f>
        <v>094OMS</v>
      </c>
      <c r="F552" t="str">
        <f>""</f>
        <v/>
      </c>
      <c r="G552" t="str">
        <f>""</f>
        <v/>
      </c>
      <c r="H552" s="1">
        <v>40359</v>
      </c>
      <c r="I552" t="str">
        <f>"SWS00073"</f>
        <v>SWS00073</v>
      </c>
      <c r="J552" t="str">
        <f>"10073"</f>
        <v>10073</v>
      </c>
      <c r="K552" t="str">
        <f t="shared" si="148"/>
        <v>AS89</v>
      </c>
      <c r="L552" t="s">
        <v>1229</v>
      </c>
      <c r="M552">
        <v>162.75</v>
      </c>
    </row>
    <row r="553" spans="1:13" x14ac:dyDescent="0.25">
      <c r="A553" t="str">
        <f t="shared" si="149"/>
        <v>E403</v>
      </c>
      <c r="B553">
        <v>1</v>
      </c>
      <c r="C553" t="str">
        <f>"14185"</f>
        <v>14185</v>
      </c>
      <c r="D553" t="str">
        <f>"5620"</f>
        <v>5620</v>
      </c>
      <c r="E553" t="str">
        <f>"094OMS"</f>
        <v>094OMS</v>
      </c>
      <c r="F553" t="str">
        <f>""</f>
        <v/>
      </c>
      <c r="G553" t="str">
        <f>""</f>
        <v/>
      </c>
      <c r="H553" s="1">
        <v>40359</v>
      </c>
      <c r="I553" t="str">
        <f>"SWS00073"</f>
        <v>SWS00073</v>
      </c>
      <c r="J553" t="str">
        <f>"10074"</f>
        <v>10074</v>
      </c>
      <c r="K553" t="str">
        <f t="shared" si="148"/>
        <v>AS89</v>
      </c>
      <c r="L553" t="s">
        <v>1228</v>
      </c>
      <c r="M553" s="2">
        <v>5121.2</v>
      </c>
    </row>
    <row r="554" spans="1:13" x14ac:dyDescent="0.25">
      <c r="A554" t="str">
        <f t="shared" si="149"/>
        <v>E403</v>
      </c>
      <c r="B554">
        <v>1</v>
      </c>
      <c r="C554" t="str">
        <f>"43000"</f>
        <v>43000</v>
      </c>
      <c r="D554" t="str">
        <f>"5740"</f>
        <v>5740</v>
      </c>
      <c r="E554" t="str">
        <f>"850LOS"</f>
        <v>850LOS</v>
      </c>
      <c r="F554" t="str">
        <f>""</f>
        <v/>
      </c>
      <c r="G554" t="str">
        <f>""</f>
        <v/>
      </c>
      <c r="H554" s="1">
        <v>40123</v>
      </c>
      <c r="I554" t="str">
        <f>"PCD00394"</f>
        <v>PCD00394</v>
      </c>
      <c r="J554" t="str">
        <f>"108145"</f>
        <v>108145</v>
      </c>
      <c r="K554" t="str">
        <f t="shared" si="148"/>
        <v>AS89</v>
      </c>
      <c r="L554" t="s">
        <v>1227</v>
      </c>
      <c r="M554">
        <v>140</v>
      </c>
    </row>
    <row r="555" spans="1:13" x14ac:dyDescent="0.25">
      <c r="A555" t="str">
        <f t="shared" si="149"/>
        <v>E403</v>
      </c>
      <c r="B555">
        <v>1</v>
      </c>
      <c r="C555" t="str">
        <f>"43000"</f>
        <v>43000</v>
      </c>
      <c r="D555" t="str">
        <f>"5740"</f>
        <v>5740</v>
      </c>
      <c r="E555" t="str">
        <f>"850PKE"</f>
        <v>850PKE</v>
      </c>
      <c r="F555" t="str">
        <f>""</f>
        <v/>
      </c>
      <c r="G555" t="str">
        <f>""</f>
        <v/>
      </c>
      <c r="H555" s="1">
        <v>40189</v>
      </c>
      <c r="I555" t="str">
        <f>"PCD00402"</f>
        <v>PCD00402</v>
      </c>
      <c r="J555" t="str">
        <f>"111445"</f>
        <v>111445</v>
      </c>
      <c r="K555" t="str">
        <f t="shared" si="148"/>
        <v>AS89</v>
      </c>
      <c r="L555" t="s">
        <v>1226</v>
      </c>
      <c r="M555">
        <v>161.66999999999999</v>
      </c>
    </row>
    <row r="556" spans="1:13" x14ac:dyDescent="0.25">
      <c r="A556" t="str">
        <f t="shared" si="149"/>
        <v>E403</v>
      </c>
      <c r="B556">
        <v>1</v>
      </c>
      <c r="C556" t="str">
        <f>"43005"</f>
        <v>43005</v>
      </c>
      <c r="D556" t="str">
        <f>"5740"</f>
        <v>5740</v>
      </c>
      <c r="E556" t="str">
        <f>"850REP"</f>
        <v>850REP</v>
      </c>
      <c r="F556" t="str">
        <f>""</f>
        <v/>
      </c>
      <c r="G556" t="str">
        <f>""</f>
        <v/>
      </c>
      <c r="H556" s="1">
        <v>40086</v>
      </c>
      <c r="I556" t="str">
        <f>"EIS00104"</f>
        <v>EIS00104</v>
      </c>
      <c r="J556" t="str">
        <f>"N125348"</f>
        <v>N125348</v>
      </c>
      <c r="K556" t="str">
        <f>"AS96"</f>
        <v>AS96</v>
      </c>
      <c r="L556" t="s">
        <v>1192</v>
      </c>
      <c r="M556" s="2">
        <v>28201.31</v>
      </c>
    </row>
    <row r="557" spans="1:13" x14ac:dyDescent="0.25">
      <c r="A557" t="str">
        <f t="shared" ref="A557:A579" si="150">"E404"</f>
        <v>E404</v>
      </c>
      <c r="B557">
        <v>1</v>
      </c>
      <c r="C557" t="str">
        <f t="shared" ref="C557:C569" si="151">"14185"</f>
        <v>14185</v>
      </c>
      <c r="D557" t="str">
        <f t="shared" ref="D557:D569" si="152">"5620"</f>
        <v>5620</v>
      </c>
      <c r="E557" t="str">
        <f t="shared" ref="E557:E569" si="153">"094OMS"</f>
        <v>094OMS</v>
      </c>
      <c r="F557" t="str">
        <f>""</f>
        <v/>
      </c>
      <c r="G557" t="str">
        <f>""</f>
        <v/>
      </c>
      <c r="H557" s="1">
        <v>40032</v>
      </c>
      <c r="I557" t="str">
        <f>"PCD00379"</f>
        <v>PCD00379</v>
      </c>
      <c r="J557" t="str">
        <f>"103382"</f>
        <v>103382</v>
      </c>
      <c r="K557" t="str">
        <f>"AS89"</f>
        <v>AS89</v>
      </c>
      <c r="L557" t="s">
        <v>1225</v>
      </c>
      <c r="M557">
        <v>302.92</v>
      </c>
    </row>
    <row r="558" spans="1:13" x14ac:dyDescent="0.25">
      <c r="A558" t="str">
        <f t="shared" si="150"/>
        <v>E404</v>
      </c>
      <c r="B558">
        <v>1</v>
      </c>
      <c r="C558" t="str">
        <f t="shared" si="151"/>
        <v>14185</v>
      </c>
      <c r="D558" t="str">
        <f t="shared" si="152"/>
        <v>5620</v>
      </c>
      <c r="E558" t="str">
        <f t="shared" si="153"/>
        <v>094OMS</v>
      </c>
      <c r="F558" t="str">
        <f>""</f>
        <v/>
      </c>
      <c r="G558" t="str">
        <f>""</f>
        <v/>
      </c>
      <c r="H558" s="1">
        <v>40064</v>
      </c>
      <c r="I558" t="str">
        <f>"PCD00384"</f>
        <v>PCD00384</v>
      </c>
      <c r="J558" t="str">
        <f>"104833"</f>
        <v>104833</v>
      </c>
      <c r="K558" t="str">
        <f>"AS89"</f>
        <v>AS89</v>
      </c>
      <c r="L558" t="s">
        <v>1224</v>
      </c>
      <c r="M558">
        <v>122.5</v>
      </c>
    </row>
    <row r="559" spans="1:13" x14ac:dyDescent="0.25">
      <c r="A559" t="str">
        <f t="shared" si="150"/>
        <v>E404</v>
      </c>
      <c r="B559">
        <v>1</v>
      </c>
      <c r="C559" t="str">
        <f t="shared" si="151"/>
        <v>14185</v>
      </c>
      <c r="D559" t="str">
        <f t="shared" si="152"/>
        <v>5620</v>
      </c>
      <c r="E559" t="str">
        <f t="shared" si="153"/>
        <v>094OMS</v>
      </c>
      <c r="F559" t="str">
        <f>""</f>
        <v/>
      </c>
      <c r="G559" t="str">
        <f>""</f>
        <v/>
      </c>
      <c r="H559" s="1">
        <v>40214</v>
      </c>
      <c r="I559" t="str">
        <f>"PCD00406"</f>
        <v>PCD00406</v>
      </c>
      <c r="J559" t="str">
        <f>"113926"</f>
        <v>113926</v>
      </c>
      <c r="K559" t="str">
        <f>"AS89"</f>
        <v>AS89</v>
      </c>
      <c r="L559" t="s">
        <v>1223</v>
      </c>
      <c r="M559">
        <v>245.16</v>
      </c>
    </row>
    <row r="560" spans="1:13" x14ac:dyDescent="0.25">
      <c r="A560" t="str">
        <f t="shared" si="150"/>
        <v>E404</v>
      </c>
      <c r="B560">
        <v>1</v>
      </c>
      <c r="C560" t="str">
        <f t="shared" si="151"/>
        <v>14185</v>
      </c>
      <c r="D560" t="str">
        <f t="shared" si="152"/>
        <v>5620</v>
      </c>
      <c r="E560" t="str">
        <f t="shared" si="153"/>
        <v>094OMS</v>
      </c>
      <c r="F560" t="str">
        <f>""</f>
        <v/>
      </c>
      <c r="G560" t="str">
        <f>""</f>
        <v/>
      </c>
      <c r="H560" s="1">
        <v>40241</v>
      </c>
      <c r="I560" t="str">
        <f>"3920967"</f>
        <v>3920967</v>
      </c>
      <c r="J560" t="str">
        <f>"F138289"</f>
        <v>F138289</v>
      </c>
      <c r="K560" t="str">
        <f>"INEI"</f>
        <v>INEI</v>
      </c>
      <c r="L560" t="s">
        <v>1222</v>
      </c>
      <c r="M560" s="2">
        <v>1080.73</v>
      </c>
    </row>
    <row r="561" spans="1:13" x14ac:dyDescent="0.25">
      <c r="A561" t="str">
        <f t="shared" si="150"/>
        <v>E404</v>
      </c>
      <c r="B561">
        <v>1</v>
      </c>
      <c r="C561" t="str">
        <f t="shared" si="151"/>
        <v>14185</v>
      </c>
      <c r="D561" t="str">
        <f t="shared" si="152"/>
        <v>5620</v>
      </c>
      <c r="E561" t="str">
        <f t="shared" si="153"/>
        <v>094OMS</v>
      </c>
      <c r="F561" t="str">
        <f>""</f>
        <v/>
      </c>
      <c r="G561" t="str">
        <f>""</f>
        <v/>
      </c>
      <c r="H561" s="1">
        <v>40241</v>
      </c>
      <c r="I561" t="str">
        <f>"3920967"</f>
        <v>3920967</v>
      </c>
      <c r="J561" t="str">
        <f>"F138289"</f>
        <v>F138289</v>
      </c>
      <c r="K561" t="str">
        <f>"INEI"</f>
        <v>INEI</v>
      </c>
      <c r="L561" t="s">
        <v>1222</v>
      </c>
      <c r="M561">
        <v>292.95</v>
      </c>
    </row>
    <row r="562" spans="1:13" x14ac:dyDescent="0.25">
      <c r="A562" t="str">
        <f t="shared" si="150"/>
        <v>E404</v>
      </c>
      <c r="B562">
        <v>1</v>
      </c>
      <c r="C562" t="str">
        <f t="shared" si="151"/>
        <v>14185</v>
      </c>
      <c r="D562" t="str">
        <f t="shared" si="152"/>
        <v>5620</v>
      </c>
      <c r="E562" t="str">
        <f t="shared" si="153"/>
        <v>094OMS</v>
      </c>
      <c r="F562" t="str">
        <f>""</f>
        <v/>
      </c>
      <c r="G562" t="str">
        <f>""</f>
        <v/>
      </c>
      <c r="H562" s="1">
        <v>40241</v>
      </c>
      <c r="I562" t="str">
        <f>"3920967"</f>
        <v>3920967</v>
      </c>
      <c r="J562" t="str">
        <f>"F138289"</f>
        <v>F138289</v>
      </c>
      <c r="K562" t="str">
        <f>"INEI"</f>
        <v>INEI</v>
      </c>
      <c r="L562" t="s">
        <v>1222</v>
      </c>
      <c r="M562">
        <v>113.93</v>
      </c>
    </row>
    <row r="563" spans="1:13" x14ac:dyDescent="0.25">
      <c r="A563" t="str">
        <f t="shared" si="150"/>
        <v>E404</v>
      </c>
      <c r="B563">
        <v>1</v>
      </c>
      <c r="C563" t="str">
        <f t="shared" si="151"/>
        <v>14185</v>
      </c>
      <c r="D563" t="str">
        <f t="shared" si="152"/>
        <v>5620</v>
      </c>
      <c r="E563" t="str">
        <f t="shared" si="153"/>
        <v>094OMS</v>
      </c>
      <c r="F563" t="str">
        <f>""</f>
        <v/>
      </c>
      <c r="G563" t="str">
        <f>""</f>
        <v/>
      </c>
      <c r="H563" s="1">
        <v>40241</v>
      </c>
      <c r="I563" t="str">
        <f>"3920967"</f>
        <v>3920967</v>
      </c>
      <c r="J563" t="str">
        <f>"F138289"</f>
        <v>F138289</v>
      </c>
      <c r="K563" t="str">
        <f>"INEI"</f>
        <v>INEI</v>
      </c>
      <c r="L563" t="s">
        <v>1222</v>
      </c>
      <c r="M563">
        <v>442.68</v>
      </c>
    </row>
    <row r="564" spans="1:13" x14ac:dyDescent="0.25">
      <c r="A564" t="str">
        <f t="shared" si="150"/>
        <v>E404</v>
      </c>
      <c r="B564">
        <v>1</v>
      </c>
      <c r="C564" t="str">
        <f t="shared" si="151"/>
        <v>14185</v>
      </c>
      <c r="D564" t="str">
        <f t="shared" si="152"/>
        <v>5620</v>
      </c>
      <c r="E564" t="str">
        <f t="shared" si="153"/>
        <v>094OMS</v>
      </c>
      <c r="F564" t="str">
        <f>""</f>
        <v/>
      </c>
      <c r="G564" t="str">
        <f>""</f>
        <v/>
      </c>
      <c r="H564" s="1">
        <v>40241</v>
      </c>
      <c r="I564" t="str">
        <f>"3920967"</f>
        <v>3920967</v>
      </c>
      <c r="J564" t="str">
        <f>"F138289"</f>
        <v>F138289</v>
      </c>
      <c r="K564" t="str">
        <f>"INEI"</f>
        <v>INEI</v>
      </c>
      <c r="L564" t="s">
        <v>1222</v>
      </c>
      <c r="M564">
        <v>416.64</v>
      </c>
    </row>
    <row r="565" spans="1:13" x14ac:dyDescent="0.25">
      <c r="A565" t="str">
        <f t="shared" si="150"/>
        <v>E404</v>
      </c>
      <c r="B565">
        <v>1</v>
      </c>
      <c r="C565" t="str">
        <f t="shared" si="151"/>
        <v>14185</v>
      </c>
      <c r="D565" t="str">
        <f t="shared" si="152"/>
        <v>5620</v>
      </c>
      <c r="E565" t="str">
        <f t="shared" si="153"/>
        <v>094OMS</v>
      </c>
      <c r="F565" t="str">
        <f>""</f>
        <v/>
      </c>
      <c r="G565" t="str">
        <f>""</f>
        <v/>
      </c>
      <c r="H565" s="1">
        <v>40242</v>
      </c>
      <c r="I565" t="str">
        <f>"PCD00410"</f>
        <v>PCD00410</v>
      </c>
      <c r="J565" t="str">
        <f>"115581"</f>
        <v>115581</v>
      </c>
      <c r="K565" t="str">
        <f t="shared" ref="K565:K577" si="154">"AS89"</f>
        <v>AS89</v>
      </c>
      <c r="L565" t="s">
        <v>1221</v>
      </c>
      <c r="M565">
        <v>164.55</v>
      </c>
    </row>
    <row r="566" spans="1:13" x14ac:dyDescent="0.25">
      <c r="A566" t="str">
        <f t="shared" si="150"/>
        <v>E404</v>
      </c>
      <c r="B566">
        <v>1</v>
      </c>
      <c r="C566" t="str">
        <f t="shared" si="151"/>
        <v>14185</v>
      </c>
      <c r="D566" t="str">
        <f t="shared" si="152"/>
        <v>5620</v>
      </c>
      <c r="E566" t="str">
        <f t="shared" si="153"/>
        <v>094OMS</v>
      </c>
      <c r="F566" t="str">
        <f>""</f>
        <v/>
      </c>
      <c r="G566" t="str">
        <f>""</f>
        <v/>
      </c>
      <c r="H566" s="1">
        <v>40242</v>
      </c>
      <c r="I566" t="str">
        <f>"PCD00410"</f>
        <v>PCD00410</v>
      </c>
      <c r="J566" t="str">
        <f>"116195"</f>
        <v>116195</v>
      </c>
      <c r="K566" t="str">
        <f t="shared" si="154"/>
        <v>AS89</v>
      </c>
      <c r="L566" t="s">
        <v>1220</v>
      </c>
      <c r="M566">
        <v>141.03</v>
      </c>
    </row>
    <row r="567" spans="1:13" x14ac:dyDescent="0.25">
      <c r="A567" t="str">
        <f t="shared" si="150"/>
        <v>E404</v>
      </c>
      <c r="B567">
        <v>1</v>
      </c>
      <c r="C567" t="str">
        <f t="shared" si="151"/>
        <v>14185</v>
      </c>
      <c r="D567" t="str">
        <f t="shared" si="152"/>
        <v>5620</v>
      </c>
      <c r="E567" t="str">
        <f t="shared" si="153"/>
        <v>094OMS</v>
      </c>
      <c r="F567" t="str">
        <f>""</f>
        <v/>
      </c>
      <c r="G567" t="str">
        <f>""</f>
        <v/>
      </c>
      <c r="H567" s="1">
        <v>40277</v>
      </c>
      <c r="I567" t="str">
        <f>"PCD00415"</f>
        <v>PCD00415</v>
      </c>
      <c r="J567" t="str">
        <f>"117127"</f>
        <v>117127</v>
      </c>
      <c r="K567" t="str">
        <f t="shared" si="154"/>
        <v>AS89</v>
      </c>
      <c r="L567" t="s">
        <v>1219</v>
      </c>
      <c r="M567">
        <v>421.02</v>
      </c>
    </row>
    <row r="568" spans="1:13" x14ac:dyDescent="0.25">
      <c r="A568" t="str">
        <f t="shared" si="150"/>
        <v>E404</v>
      </c>
      <c r="B568">
        <v>1</v>
      </c>
      <c r="C568" t="str">
        <f t="shared" si="151"/>
        <v>14185</v>
      </c>
      <c r="D568" t="str">
        <f t="shared" si="152"/>
        <v>5620</v>
      </c>
      <c r="E568" t="str">
        <f t="shared" si="153"/>
        <v>094OMS</v>
      </c>
      <c r="F568" t="str">
        <f>""</f>
        <v/>
      </c>
      <c r="G568" t="str">
        <f>""</f>
        <v/>
      </c>
      <c r="H568" s="1">
        <v>40277</v>
      </c>
      <c r="I568" t="str">
        <f>"PCD00415"</f>
        <v>PCD00415</v>
      </c>
      <c r="J568" t="str">
        <f>"117493"</f>
        <v>117493</v>
      </c>
      <c r="K568" t="str">
        <f t="shared" si="154"/>
        <v>AS89</v>
      </c>
      <c r="L568" t="s">
        <v>1218</v>
      </c>
      <c r="M568">
        <v>119.34</v>
      </c>
    </row>
    <row r="569" spans="1:13" x14ac:dyDescent="0.25">
      <c r="A569" t="str">
        <f t="shared" si="150"/>
        <v>E404</v>
      </c>
      <c r="B569">
        <v>1</v>
      </c>
      <c r="C569" t="str">
        <f t="shared" si="151"/>
        <v>14185</v>
      </c>
      <c r="D569" t="str">
        <f t="shared" si="152"/>
        <v>5620</v>
      </c>
      <c r="E569" t="str">
        <f t="shared" si="153"/>
        <v>094OMS</v>
      </c>
      <c r="F569" t="str">
        <f>""</f>
        <v/>
      </c>
      <c r="G569" t="str">
        <f>""</f>
        <v/>
      </c>
      <c r="H569" s="1">
        <v>40277</v>
      </c>
      <c r="I569" t="str">
        <f>"PCD00415"</f>
        <v>PCD00415</v>
      </c>
      <c r="J569" t="str">
        <f>"117850"</f>
        <v>117850</v>
      </c>
      <c r="K569" t="str">
        <f t="shared" si="154"/>
        <v>AS89</v>
      </c>
      <c r="L569" t="s">
        <v>1217</v>
      </c>
      <c r="M569">
        <v>399.26</v>
      </c>
    </row>
    <row r="570" spans="1:13" x14ac:dyDescent="0.25">
      <c r="A570" t="str">
        <f t="shared" si="150"/>
        <v>E404</v>
      </c>
      <c r="B570">
        <v>1</v>
      </c>
      <c r="C570" t="str">
        <f>"32040"</f>
        <v>32040</v>
      </c>
      <c r="D570" t="str">
        <f>"5610"</f>
        <v>5610</v>
      </c>
      <c r="E570" t="str">
        <f t="shared" ref="E570:E575" si="155">"850LOS"</f>
        <v>850LOS</v>
      </c>
      <c r="F570" t="str">
        <f>""</f>
        <v/>
      </c>
      <c r="G570" t="str">
        <f>""</f>
        <v/>
      </c>
      <c r="H570" s="1">
        <v>40214</v>
      </c>
      <c r="I570" t="str">
        <f>"PCD00406"</f>
        <v>PCD00406</v>
      </c>
      <c r="J570" t="str">
        <f>"113557"</f>
        <v>113557</v>
      </c>
      <c r="K570" t="str">
        <f t="shared" si="154"/>
        <v>AS89</v>
      </c>
      <c r="L570" t="s">
        <v>1216</v>
      </c>
      <c r="M570">
        <v>198.18</v>
      </c>
    </row>
    <row r="571" spans="1:13" x14ac:dyDescent="0.25">
      <c r="A571" t="str">
        <f t="shared" si="150"/>
        <v>E404</v>
      </c>
      <c r="B571">
        <v>1</v>
      </c>
      <c r="C571" t="str">
        <f t="shared" ref="C571:C579" si="156">"43000"</f>
        <v>43000</v>
      </c>
      <c r="D571" t="str">
        <f t="shared" ref="D571:D579" si="157">"5740"</f>
        <v>5740</v>
      </c>
      <c r="E571" t="str">
        <f t="shared" si="155"/>
        <v>850LOS</v>
      </c>
      <c r="F571" t="str">
        <f>""</f>
        <v/>
      </c>
      <c r="G571" t="str">
        <f>""</f>
        <v/>
      </c>
      <c r="H571" s="1">
        <v>40088</v>
      </c>
      <c r="I571" t="str">
        <f>"PCD00388"</f>
        <v>PCD00388</v>
      </c>
      <c r="J571" t="str">
        <f>"106314"</f>
        <v>106314</v>
      </c>
      <c r="K571" t="str">
        <f t="shared" si="154"/>
        <v>AS89</v>
      </c>
      <c r="L571" t="s">
        <v>1215</v>
      </c>
      <c r="M571">
        <v>289.68</v>
      </c>
    </row>
    <row r="572" spans="1:13" x14ac:dyDescent="0.25">
      <c r="A572" t="str">
        <f t="shared" si="150"/>
        <v>E404</v>
      </c>
      <c r="B572">
        <v>1</v>
      </c>
      <c r="C572" t="str">
        <f t="shared" si="156"/>
        <v>43000</v>
      </c>
      <c r="D572" t="str">
        <f t="shared" si="157"/>
        <v>5740</v>
      </c>
      <c r="E572" t="str">
        <f t="shared" si="155"/>
        <v>850LOS</v>
      </c>
      <c r="F572" t="str">
        <f>""</f>
        <v/>
      </c>
      <c r="G572" t="str">
        <f>""</f>
        <v/>
      </c>
      <c r="H572" s="1">
        <v>40242</v>
      </c>
      <c r="I572" t="str">
        <f>"PCD00410"</f>
        <v>PCD00410</v>
      </c>
      <c r="J572" t="str">
        <f>"115059"</f>
        <v>115059</v>
      </c>
      <c r="K572" t="str">
        <f t="shared" si="154"/>
        <v>AS89</v>
      </c>
      <c r="L572" t="s">
        <v>1214</v>
      </c>
      <c r="M572">
        <v>169.79</v>
      </c>
    </row>
    <row r="573" spans="1:13" x14ac:dyDescent="0.25">
      <c r="A573" t="str">
        <f t="shared" si="150"/>
        <v>E404</v>
      </c>
      <c r="B573">
        <v>1</v>
      </c>
      <c r="C573" t="str">
        <f t="shared" si="156"/>
        <v>43000</v>
      </c>
      <c r="D573" t="str">
        <f t="shared" si="157"/>
        <v>5740</v>
      </c>
      <c r="E573" t="str">
        <f t="shared" si="155"/>
        <v>850LOS</v>
      </c>
      <c r="F573" t="str">
        <f>""</f>
        <v/>
      </c>
      <c r="G573" t="str">
        <f>""</f>
        <v/>
      </c>
      <c r="H573" s="1">
        <v>40242</v>
      </c>
      <c r="I573" t="str">
        <f>"PCD00410"</f>
        <v>PCD00410</v>
      </c>
      <c r="J573" t="str">
        <f>"115169"</f>
        <v>115169</v>
      </c>
      <c r="K573" t="str">
        <f t="shared" si="154"/>
        <v>AS89</v>
      </c>
      <c r="L573" t="s">
        <v>1213</v>
      </c>
      <c r="M573">
        <v>121.91</v>
      </c>
    </row>
    <row r="574" spans="1:13" x14ac:dyDescent="0.25">
      <c r="A574" t="str">
        <f t="shared" si="150"/>
        <v>E404</v>
      </c>
      <c r="B574">
        <v>1</v>
      </c>
      <c r="C574" t="str">
        <f t="shared" si="156"/>
        <v>43000</v>
      </c>
      <c r="D574" t="str">
        <f t="shared" si="157"/>
        <v>5740</v>
      </c>
      <c r="E574" t="str">
        <f t="shared" si="155"/>
        <v>850LOS</v>
      </c>
      <c r="F574" t="str">
        <f>""</f>
        <v/>
      </c>
      <c r="G574" t="str">
        <f>""</f>
        <v/>
      </c>
      <c r="H574" s="1">
        <v>40242</v>
      </c>
      <c r="I574" t="str">
        <f>"PCD00410"</f>
        <v>PCD00410</v>
      </c>
      <c r="J574" t="str">
        <f>"115169"</f>
        <v>115169</v>
      </c>
      <c r="K574" t="str">
        <f t="shared" si="154"/>
        <v>AS89</v>
      </c>
      <c r="L574" t="s">
        <v>1212</v>
      </c>
      <c r="M574" s="2">
        <v>1434.25</v>
      </c>
    </row>
    <row r="575" spans="1:13" x14ac:dyDescent="0.25">
      <c r="A575" t="str">
        <f t="shared" si="150"/>
        <v>E404</v>
      </c>
      <c r="B575">
        <v>1</v>
      </c>
      <c r="C575" t="str">
        <f t="shared" si="156"/>
        <v>43000</v>
      </c>
      <c r="D575" t="str">
        <f t="shared" si="157"/>
        <v>5740</v>
      </c>
      <c r="E575" t="str">
        <f t="shared" si="155"/>
        <v>850LOS</v>
      </c>
      <c r="F575" t="str">
        <f>""</f>
        <v/>
      </c>
      <c r="G575" t="str">
        <f>""</f>
        <v/>
      </c>
      <c r="H575" s="1">
        <v>40277</v>
      </c>
      <c r="I575" t="str">
        <f>"PCD00415"</f>
        <v>PCD00415</v>
      </c>
      <c r="J575" t="str">
        <f>"117633"</f>
        <v>117633</v>
      </c>
      <c r="K575" t="str">
        <f t="shared" si="154"/>
        <v>AS89</v>
      </c>
      <c r="L575" t="s">
        <v>1211</v>
      </c>
      <c r="M575">
        <v>115</v>
      </c>
    </row>
    <row r="576" spans="1:13" x14ac:dyDescent="0.25">
      <c r="A576" t="str">
        <f t="shared" si="150"/>
        <v>E404</v>
      </c>
      <c r="B576">
        <v>1</v>
      </c>
      <c r="C576" t="str">
        <f t="shared" si="156"/>
        <v>43000</v>
      </c>
      <c r="D576" t="str">
        <f t="shared" si="157"/>
        <v>5740</v>
      </c>
      <c r="E576" t="str">
        <f>"850PKE"</f>
        <v>850PKE</v>
      </c>
      <c r="F576" t="str">
        <f>""</f>
        <v/>
      </c>
      <c r="G576" t="str">
        <f>""</f>
        <v/>
      </c>
      <c r="H576" s="1">
        <v>40277</v>
      </c>
      <c r="I576" t="str">
        <f>"PCD00415"</f>
        <v>PCD00415</v>
      </c>
      <c r="J576" t="str">
        <f>"116919"</f>
        <v>116919</v>
      </c>
      <c r="K576" t="str">
        <f t="shared" si="154"/>
        <v>AS89</v>
      </c>
      <c r="L576" t="s">
        <v>1210</v>
      </c>
      <c r="M576">
        <v>296.73</v>
      </c>
    </row>
    <row r="577" spans="1:13" x14ac:dyDescent="0.25">
      <c r="A577" t="str">
        <f t="shared" si="150"/>
        <v>E404</v>
      </c>
      <c r="B577">
        <v>1</v>
      </c>
      <c r="C577" t="str">
        <f t="shared" si="156"/>
        <v>43000</v>
      </c>
      <c r="D577" t="str">
        <f t="shared" si="157"/>
        <v>5740</v>
      </c>
      <c r="E577" t="str">
        <f>"850PKE"</f>
        <v>850PKE</v>
      </c>
      <c r="F577" t="str">
        <f>""</f>
        <v/>
      </c>
      <c r="G577" t="str">
        <f>""</f>
        <v/>
      </c>
      <c r="H577" s="1">
        <v>40333</v>
      </c>
      <c r="I577" t="str">
        <f>"PCD00423"</f>
        <v>PCD00423</v>
      </c>
      <c r="J577" t="str">
        <f>"121515"</f>
        <v>121515</v>
      </c>
      <c r="K577" t="str">
        <f t="shared" si="154"/>
        <v>AS89</v>
      </c>
      <c r="L577" t="s">
        <v>1209</v>
      </c>
      <c r="M577">
        <v>278</v>
      </c>
    </row>
    <row r="578" spans="1:13" x14ac:dyDescent="0.25">
      <c r="A578" t="str">
        <f t="shared" si="150"/>
        <v>E404</v>
      </c>
      <c r="B578">
        <v>1</v>
      </c>
      <c r="C578" t="str">
        <f t="shared" si="156"/>
        <v>43000</v>
      </c>
      <c r="D578" t="str">
        <f t="shared" si="157"/>
        <v>5740</v>
      </c>
      <c r="E578" t="str">
        <f>"850PKE"</f>
        <v>850PKE</v>
      </c>
      <c r="F578" t="str">
        <f>""</f>
        <v/>
      </c>
      <c r="G578" t="str">
        <f>""</f>
        <v/>
      </c>
      <c r="H578" s="1">
        <v>40359</v>
      </c>
      <c r="I578" t="str">
        <f>"42292B"</f>
        <v>42292B</v>
      </c>
      <c r="J578" t="str">
        <f>"F183003C"</f>
        <v>F183003C</v>
      </c>
      <c r="K578" t="str">
        <f>"INEI"</f>
        <v>INEI</v>
      </c>
      <c r="L578" t="s">
        <v>1208</v>
      </c>
      <c r="M578">
        <v>664.02</v>
      </c>
    </row>
    <row r="579" spans="1:13" x14ac:dyDescent="0.25">
      <c r="A579" t="str">
        <f t="shared" si="150"/>
        <v>E404</v>
      </c>
      <c r="B579">
        <v>1</v>
      </c>
      <c r="C579" t="str">
        <f t="shared" si="156"/>
        <v>43000</v>
      </c>
      <c r="D579" t="str">
        <f t="shared" si="157"/>
        <v>5740</v>
      </c>
      <c r="E579" t="str">
        <f>"850PKE"</f>
        <v>850PKE</v>
      </c>
      <c r="F579" t="str">
        <f>""</f>
        <v/>
      </c>
      <c r="G579" t="str">
        <f>""</f>
        <v/>
      </c>
      <c r="H579" s="1">
        <v>40359</v>
      </c>
      <c r="I579" t="str">
        <f>"42292B"</f>
        <v>42292B</v>
      </c>
      <c r="J579" t="str">
        <f>"F183003C"</f>
        <v>F183003C</v>
      </c>
      <c r="K579" t="str">
        <f>"INEI"</f>
        <v>INEI</v>
      </c>
      <c r="L579" t="s">
        <v>1208</v>
      </c>
      <c r="M579">
        <v>231.24</v>
      </c>
    </row>
    <row r="580" spans="1:13" x14ac:dyDescent="0.25">
      <c r="A580" t="str">
        <f>"E405"</f>
        <v>E405</v>
      </c>
      <c r="B580">
        <v>1</v>
      </c>
      <c r="C580" t="str">
        <f>"14185"</f>
        <v>14185</v>
      </c>
      <c r="D580" t="str">
        <f>"5620"</f>
        <v>5620</v>
      </c>
      <c r="E580" t="str">
        <f>"094OMS"</f>
        <v>094OMS</v>
      </c>
      <c r="F580" t="str">
        <f>""</f>
        <v/>
      </c>
      <c r="G580" t="str">
        <f>""</f>
        <v/>
      </c>
      <c r="H580" s="1">
        <v>40241</v>
      </c>
      <c r="I580" t="str">
        <f>"5020384"</f>
        <v>5020384</v>
      </c>
      <c r="J580" t="str">
        <f>"F138291"</f>
        <v>F138291</v>
      </c>
      <c r="K580" t="str">
        <f>"INEI"</f>
        <v>INEI</v>
      </c>
      <c r="L580" t="s">
        <v>1207</v>
      </c>
      <c r="M580" s="2">
        <v>2727.13</v>
      </c>
    </row>
    <row r="581" spans="1:13" x14ac:dyDescent="0.25">
      <c r="A581" t="str">
        <f t="shared" ref="A581:A586" si="158">"E407"</f>
        <v>E407</v>
      </c>
      <c r="B581">
        <v>1</v>
      </c>
      <c r="C581" t="str">
        <f>"14185"</f>
        <v>14185</v>
      </c>
      <c r="D581" t="str">
        <f>"5620"</f>
        <v>5620</v>
      </c>
      <c r="E581" t="str">
        <f>"094OMS"</f>
        <v>094OMS</v>
      </c>
      <c r="F581" t="str">
        <f>""</f>
        <v/>
      </c>
      <c r="G581" t="str">
        <f>""</f>
        <v/>
      </c>
      <c r="H581" s="1">
        <v>40289</v>
      </c>
      <c r="I581" t="str">
        <f>"47462469"</f>
        <v>47462469</v>
      </c>
      <c r="J581" t="str">
        <f>"F144102"</f>
        <v>F144102</v>
      </c>
      <c r="K581" t="str">
        <f>"INEI"</f>
        <v>INEI</v>
      </c>
      <c r="L581" t="s">
        <v>348</v>
      </c>
      <c r="M581" s="2">
        <v>3250.66</v>
      </c>
    </row>
    <row r="582" spans="1:13" x14ac:dyDescent="0.25">
      <c r="A582" t="str">
        <f t="shared" si="158"/>
        <v>E407</v>
      </c>
      <c r="B582">
        <v>1</v>
      </c>
      <c r="C582" t="str">
        <f>"31040"</f>
        <v>31040</v>
      </c>
      <c r="D582" t="str">
        <f>"5620"</f>
        <v>5620</v>
      </c>
      <c r="E582" t="str">
        <f>"094OMS"</f>
        <v>094OMS</v>
      </c>
      <c r="F582" t="str">
        <f>""</f>
        <v/>
      </c>
      <c r="G582" t="str">
        <f>""</f>
        <v/>
      </c>
      <c r="H582" s="1">
        <v>40021</v>
      </c>
      <c r="I582" t="str">
        <f>"D92RW668"</f>
        <v>D92RW668</v>
      </c>
      <c r="J582" t="str">
        <f>"F135477"</f>
        <v>F135477</v>
      </c>
      <c r="K582" t="str">
        <f>"INEI"</f>
        <v>INEI</v>
      </c>
      <c r="L582" t="s">
        <v>349</v>
      </c>
      <c r="M582" s="2">
        <v>2631.19</v>
      </c>
    </row>
    <row r="583" spans="1:13" x14ac:dyDescent="0.25">
      <c r="A583" t="str">
        <f t="shared" si="158"/>
        <v>E407</v>
      </c>
      <c r="B583">
        <v>1</v>
      </c>
      <c r="C583" t="str">
        <f>"31040"</f>
        <v>31040</v>
      </c>
      <c r="D583" t="str">
        <f>"5620"</f>
        <v>5620</v>
      </c>
      <c r="E583" t="str">
        <f>"094OMS"</f>
        <v>094OMS</v>
      </c>
      <c r="F583" t="str">
        <f>""</f>
        <v/>
      </c>
      <c r="G583" t="str">
        <f>""</f>
        <v/>
      </c>
      <c r="H583" s="1">
        <v>40123</v>
      </c>
      <c r="I583" t="str">
        <f>"PCD00394"</f>
        <v>PCD00394</v>
      </c>
      <c r="J583" t="str">
        <f>"108432"</f>
        <v>108432</v>
      </c>
      <c r="K583" t="str">
        <f>"AS89"</f>
        <v>AS89</v>
      </c>
      <c r="L583" t="s">
        <v>1205</v>
      </c>
      <c r="M583" s="2">
        <v>1401.27</v>
      </c>
    </row>
    <row r="584" spans="1:13" x14ac:dyDescent="0.25">
      <c r="A584" t="str">
        <f t="shared" si="158"/>
        <v>E407</v>
      </c>
      <c r="B584">
        <v>1</v>
      </c>
      <c r="C584" t="str">
        <f>"31040"</f>
        <v>31040</v>
      </c>
      <c r="D584" t="str">
        <f>"5620"</f>
        <v>5620</v>
      </c>
      <c r="E584" t="str">
        <f>"094OMS"</f>
        <v>094OMS</v>
      </c>
      <c r="F584" t="str">
        <f>""</f>
        <v/>
      </c>
      <c r="G584" t="str">
        <f>""</f>
        <v/>
      </c>
      <c r="H584" s="1">
        <v>40289</v>
      </c>
      <c r="I584" t="str">
        <f>"47462469"</f>
        <v>47462469</v>
      </c>
      <c r="J584" t="str">
        <f>"F144102"</f>
        <v>F144102</v>
      </c>
      <c r="K584" t="str">
        <f>"INEI"</f>
        <v>INEI</v>
      </c>
      <c r="L584" t="s">
        <v>348</v>
      </c>
      <c r="M584" s="2">
        <v>1463.67</v>
      </c>
    </row>
    <row r="585" spans="1:13" x14ac:dyDescent="0.25">
      <c r="A585" t="str">
        <f t="shared" si="158"/>
        <v>E407</v>
      </c>
      <c r="B585">
        <v>1</v>
      </c>
      <c r="C585" t="str">
        <f>"43000"</f>
        <v>43000</v>
      </c>
      <c r="D585" t="str">
        <f>"5740"</f>
        <v>5740</v>
      </c>
      <c r="E585" t="str">
        <f>"850LOS"</f>
        <v>850LOS</v>
      </c>
      <c r="F585" t="str">
        <f>""</f>
        <v/>
      </c>
      <c r="G585" t="str">
        <f>""</f>
        <v/>
      </c>
      <c r="H585" s="1">
        <v>40354</v>
      </c>
      <c r="I585" t="str">
        <f>"PCD00426"</f>
        <v>PCD00426</v>
      </c>
      <c r="J585" t="str">
        <f>"123874"</f>
        <v>123874</v>
      </c>
      <c r="K585" t="str">
        <f>"AS89"</f>
        <v>AS89</v>
      </c>
      <c r="L585" t="s">
        <v>1204</v>
      </c>
      <c r="M585" s="2">
        <v>1617.71</v>
      </c>
    </row>
    <row r="586" spans="1:13" x14ac:dyDescent="0.25">
      <c r="A586" t="str">
        <f t="shared" si="158"/>
        <v>E407</v>
      </c>
      <c r="B586">
        <v>1</v>
      </c>
      <c r="C586" t="str">
        <f>"43000"</f>
        <v>43000</v>
      </c>
      <c r="D586" t="str">
        <f>"5740"</f>
        <v>5740</v>
      </c>
      <c r="E586" t="str">
        <f>"850LOS"</f>
        <v>850LOS</v>
      </c>
      <c r="F586" t="str">
        <f>""</f>
        <v/>
      </c>
      <c r="G586" t="str">
        <f>""</f>
        <v/>
      </c>
      <c r="H586" s="1">
        <v>40354</v>
      </c>
      <c r="I586" t="str">
        <f>"PCD00426"</f>
        <v>PCD00426</v>
      </c>
      <c r="J586" t="str">
        <f>"125132"</f>
        <v>125132</v>
      </c>
      <c r="K586" t="str">
        <f>"AS89"</f>
        <v>AS89</v>
      </c>
      <c r="L586" t="s">
        <v>1203</v>
      </c>
      <c r="M586" s="2">
        <v>1023.32</v>
      </c>
    </row>
    <row r="587" spans="1:13" x14ac:dyDescent="0.25">
      <c r="A587" t="str">
        <f t="shared" ref="A587:A599" si="159">"E408"</f>
        <v>E408</v>
      </c>
      <c r="B587">
        <v>1</v>
      </c>
      <c r="C587" t="str">
        <f t="shared" ref="C587:C595" si="160">"14185"</f>
        <v>14185</v>
      </c>
      <c r="D587" t="str">
        <f t="shared" ref="D587:D604" si="161">"5620"</f>
        <v>5620</v>
      </c>
      <c r="E587" t="str">
        <f t="shared" ref="E587:E595" si="162">"094OMS"</f>
        <v>094OMS</v>
      </c>
      <c r="F587" t="str">
        <f>""</f>
        <v/>
      </c>
      <c r="G587" t="str">
        <f>""</f>
        <v/>
      </c>
      <c r="H587" s="1">
        <v>40035</v>
      </c>
      <c r="I587" t="str">
        <f>"589341"</f>
        <v>589341</v>
      </c>
      <c r="J587" t="str">
        <f>"F135480"</f>
        <v>F135480</v>
      </c>
      <c r="K587" t="str">
        <f>"INEI"</f>
        <v>INEI</v>
      </c>
      <c r="L587" t="s">
        <v>366</v>
      </c>
      <c r="M587">
        <v>728.08</v>
      </c>
    </row>
    <row r="588" spans="1:13" x14ac:dyDescent="0.25">
      <c r="A588" t="str">
        <f t="shared" si="159"/>
        <v>E408</v>
      </c>
      <c r="B588">
        <v>1</v>
      </c>
      <c r="C588" t="str">
        <f t="shared" si="160"/>
        <v>14185</v>
      </c>
      <c r="D588" t="str">
        <f t="shared" si="161"/>
        <v>5620</v>
      </c>
      <c r="E588" t="str">
        <f t="shared" si="162"/>
        <v>094OMS</v>
      </c>
      <c r="F588" t="str">
        <f>""</f>
        <v/>
      </c>
      <c r="G588" t="str">
        <f>""</f>
        <v/>
      </c>
      <c r="H588" s="1">
        <v>40052</v>
      </c>
      <c r="I588" t="str">
        <f>"141037A"</f>
        <v>141037A</v>
      </c>
      <c r="J588" t="str">
        <f>""</f>
        <v/>
      </c>
      <c r="K588" t="str">
        <f>"INNI"</f>
        <v>INNI</v>
      </c>
      <c r="L588" t="s">
        <v>1202</v>
      </c>
      <c r="M588" s="2">
        <v>1463.52</v>
      </c>
    </row>
    <row r="589" spans="1:13" x14ac:dyDescent="0.25">
      <c r="A589" t="str">
        <f t="shared" si="159"/>
        <v>E408</v>
      </c>
      <c r="B589">
        <v>1</v>
      </c>
      <c r="C589" t="str">
        <f t="shared" si="160"/>
        <v>14185</v>
      </c>
      <c r="D589" t="str">
        <f t="shared" si="161"/>
        <v>5620</v>
      </c>
      <c r="E589" t="str">
        <f t="shared" si="162"/>
        <v>094OMS</v>
      </c>
      <c r="F589" t="str">
        <f>""</f>
        <v/>
      </c>
      <c r="G589" t="str">
        <f>""</f>
        <v/>
      </c>
      <c r="H589" s="1">
        <v>40177</v>
      </c>
      <c r="I589" t="str">
        <f>"138280"</f>
        <v>138280</v>
      </c>
      <c r="J589" t="str">
        <f>""</f>
        <v/>
      </c>
      <c r="K589" t="str">
        <f>"INNI"</f>
        <v>INNI</v>
      </c>
      <c r="L589" t="s">
        <v>458</v>
      </c>
      <c r="M589">
        <v>770.3</v>
      </c>
    </row>
    <row r="590" spans="1:13" x14ac:dyDescent="0.25">
      <c r="A590" t="str">
        <f t="shared" si="159"/>
        <v>E408</v>
      </c>
      <c r="B590">
        <v>1</v>
      </c>
      <c r="C590" t="str">
        <f t="shared" si="160"/>
        <v>14185</v>
      </c>
      <c r="D590" t="str">
        <f t="shared" si="161"/>
        <v>5620</v>
      </c>
      <c r="E590" t="str">
        <f t="shared" si="162"/>
        <v>094OMS</v>
      </c>
      <c r="F590" t="str">
        <f>""</f>
        <v/>
      </c>
      <c r="G590" t="str">
        <f>""</f>
        <v/>
      </c>
      <c r="H590" s="1">
        <v>40235</v>
      </c>
      <c r="I590" t="str">
        <f>"591764"</f>
        <v>591764</v>
      </c>
      <c r="J590" t="str">
        <f>"F135480"</f>
        <v>F135480</v>
      </c>
      <c r="K590" t="str">
        <f>"INEI"</f>
        <v>INEI</v>
      </c>
      <c r="L590" t="s">
        <v>366</v>
      </c>
      <c r="M590">
        <v>422.39</v>
      </c>
    </row>
    <row r="591" spans="1:13" x14ac:dyDescent="0.25">
      <c r="A591" t="str">
        <f t="shared" si="159"/>
        <v>E408</v>
      </c>
      <c r="B591">
        <v>1</v>
      </c>
      <c r="C591" t="str">
        <f t="shared" si="160"/>
        <v>14185</v>
      </c>
      <c r="D591" t="str">
        <f t="shared" si="161"/>
        <v>5620</v>
      </c>
      <c r="E591" t="str">
        <f t="shared" si="162"/>
        <v>094OMS</v>
      </c>
      <c r="F591" t="str">
        <f>""</f>
        <v/>
      </c>
      <c r="G591" t="str">
        <f>""</f>
        <v/>
      </c>
      <c r="H591" s="1">
        <v>40242</v>
      </c>
      <c r="I591" t="str">
        <f>"PCD00410"</f>
        <v>PCD00410</v>
      </c>
      <c r="J591" t="str">
        <f>"116696"</f>
        <v>116696</v>
      </c>
      <c r="K591" t="str">
        <f>"AS89"</f>
        <v>AS89</v>
      </c>
      <c r="L591" t="s">
        <v>1201</v>
      </c>
      <c r="M591">
        <v>401.44</v>
      </c>
    </row>
    <row r="592" spans="1:13" x14ac:dyDescent="0.25">
      <c r="A592" t="str">
        <f t="shared" si="159"/>
        <v>E408</v>
      </c>
      <c r="B592">
        <v>1</v>
      </c>
      <c r="C592" t="str">
        <f t="shared" si="160"/>
        <v>14185</v>
      </c>
      <c r="D592" t="str">
        <f t="shared" si="161"/>
        <v>5620</v>
      </c>
      <c r="E592" t="str">
        <f t="shared" si="162"/>
        <v>094OMS</v>
      </c>
      <c r="F592" t="str">
        <f>""</f>
        <v/>
      </c>
      <c r="G592" t="str">
        <f>""</f>
        <v/>
      </c>
      <c r="H592" s="1">
        <v>40276</v>
      </c>
      <c r="I592" t="str">
        <f>"592040"</f>
        <v>592040</v>
      </c>
      <c r="J592" t="str">
        <f>"F138294"</f>
        <v>F138294</v>
      </c>
      <c r="K592" t="str">
        <f>"INEI"</f>
        <v>INEI</v>
      </c>
      <c r="L592" t="s">
        <v>366</v>
      </c>
      <c r="M592" s="2">
        <v>1456.16</v>
      </c>
    </row>
    <row r="593" spans="1:13" x14ac:dyDescent="0.25">
      <c r="A593" t="str">
        <f t="shared" si="159"/>
        <v>E408</v>
      </c>
      <c r="B593">
        <v>1</v>
      </c>
      <c r="C593" t="str">
        <f t="shared" si="160"/>
        <v>14185</v>
      </c>
      <c r="D593" t="str">
        <f t="shared" si="161"/>
        <v>5620</v>
      </c>
      <c r="E593" t="str">
        <f t="shared" si="162"/>
        <v>094OMS</v>
      </c>
      <c r="F593" t="str">
        <f>""</f>
        <v/>
      </c>
      <c r="G593" t="str">
        <f>""</f>
        <v/>
      </c>
      <c r="H593" s="1">
        <v>40277</v>
      </c>
      <c r="I593" t="str">
        <f>"PCD00415"</f>
        <v>PCD00415</v>
      </c>
      <c r="J593" t="str">
        <f>"117492"</f>
        <v>117492</v>
      </c>
      <c r="K593" t="str">
        <f>"AS89"</f>
        <v>AS89</v>
      </c>
      <c r="L593" t="s">
        <v>1200</v>
      </c>
      <c r="M593">
        <v>519.75</v>
      </c>
    </row>
    <row r="594" spans="1:13" x14ac:dyDescent="0.25">
      <c r="A594" t="str">
        <f t="shared" si="159"/>
        <v>E408</v>
      </c>
      <c r="B594">
        <v>1</v>
      </c>
      <c r="C594" t="str">
        <f t="shared" si="160"/>
        <v>14185</v>
      </c>
      <c r="D594" t="str">
        <f t="shared" si="161"/>
        <v>5620</v>
      </c>
      <c r="E594" t="str">
        <f t="shared" si="162"/>
        <v>094OMS</v>
      </c>
      <c r="F594" t="str">
        <f>""</f>
        <v/>
      </c>
      <c r="G594" t="str">
        <f>""</f>
        <v/>
      </c>
      <c r="H594" s="1">
        <v>40322</v>
      </c>
      <c r="I594" t="str">
        <f>"G1011001"</f>
        <v>G1011001</v>
      </c>
      <c r="J594" t="str">
        <f>""</f>
        <v/>
      </c>
      <c r="K594" t="str">
        <f>"J096"</f>
        <v>J096</v>
      </c>
      <c r="L594" t="s">
        <v>1197</v>
      </c>
      <c r="M594">
        <v>397.08</v>
      </c>
    </row>
    <row r="595" spans="1:13" x14ac:dyDescent="0.25">
      <c r="A595" t="str">
        <f t="shared" si="159"/>
        <v>E408</v>
      </c>
      <c r="B595">
        <v>1</v>
      </c>
      <c r="C595" t="str">
        <f t="shared" si="160"/>
        <v>14185</v>
      </c>
      <c r="D595" t="str">
        <f t="shared" si="161"/>
        <v>5620</v>
      </c>
      <c r="E595" t="str">
        <f t="shared" si="162"/>
        <v>094OMS</v>
      </c>
      <c r="F595" t="str">
        <f>""</f>
        <v/>
      </c>
      <c r="G595" t="str">
        <f>""</f>
        <v/>
      </c>
      <c r="H595" s="1">
        <v>40359</v>
      </c>
      <c r="I595" t="str">
        <f>"G1012351"</f>
        <v>G1012351</v>
      </c>
      <c r="J595" t="str">
        <f>""</f>
        <v/>
      </c>
      <c r="K595" t="str">
        <f>"J096"</f>
        <v>J096</v>
      </c>
      <c r="L595" t="s">
        <v>1199</v>
      </c>
      <c r="M595">
        <v>279.25</v>
      </c>
    </row>
    <row r="596" spans="1:13" x14ac:dyDescent="0.25">
      <c r="A596" t="str">
        <f t="shared" si="159"/>
        <v>E408</v>
      </c>
      <c r="B596">
        <v>1</v>
      </c>
      <c r="C596" t="str">
        <f>"55752"</f>
        <v>55752</v>
      </c>
      <c r="D596" t="str">
        <f t="shared" si="161"/>
        <v>5620</v>
      </c>
      <c r="E596" t="str">
        <f>"111ZAA"</f>
        <v>111ZAA</v>
      </c>
      <c r="F596" t="str">
        <f>""</f>
        <v/>
      </c>
      <c r="G596" t="str">
        <f>""</f>
        <v/>
      </c>
      <c r="H596" s="1">
        <v>40289</v>
      </c>
      <c r="I596" t="str">
        <f>"G1010001"</f>
        <v>G1010001</v>
      </c>
      <c r="J596" t="str">
        <f>""</f>
        <v/>
      </c>
      <c r="K596" t="str">
        <f>"J096"</f>
        <v>J096</v>
      </c>
      <c r="L596" t="s">
        <v>1198</v>
      </c>
      <c r="M596">
        <v>519.75</v>
      </c>
    </row>
    <row r="597" spans="1:13" x14ac:dyDescent="0.25">
      <c r="A597" t="str">
        <f t="shared" si="159"/>
        <v>E408</v>
      </c>
      <c r="B597">
        <v>1</v>
      </c>
      <c r="C597" t="str">
        <f>"55753"</f>
        <v>55753</v>
      </c>
      <c r="D597" t="str">
        <f t="shared" si="161"/>
        <v>5620</v>
      </c>
      <c r="E597" t="str">
        <f>"094OMS"</f>
        <v>094OMS</v>
      </c>
      <c r="F597" t="str">
        <f>""</f>
        <v/>
      </c>
      <c r="G597" t="str">
        <f>""</f>
        <v/>
      </c>
      <c r="H597" s="1">
        <v>40305</v>
      </c>
      <c r="I597" t="str">
        <f>"PCD00419"</f>
        <v>PCD00419</v>
      </c>
      <c r="J597" t="str">
        <f>"120748"</f>
        <v>120748</v>
      </c>
      <c r="K597" t="str">
        <f>"AS89"</f>
        <v>AS89</v>
      </c>
      <c r="L597" t="s">
        <v>1196</v>
      </c>
      <c r="M597">
        <v>397.08</v>
      </c>
    </row>
    <row r="598" spans="1:13" x14ac:dyDescent="0.25">
      <c r="A598" t="str">
        <f t="shared" si="159"/>
        <v>E408</v>
      </c>
      <c r="B598">
        <v>1</v>
      </c>
      <c r="C598" t="str">
        <f>"55753"</f>
        <v>55753</v>
      </c>
      <c r="D598" t="str">
        <f t="shared" si="161"/>
        <v>5620</v>
      </c>
      <c r="E598" t="str">
        <f>"111ZAA"</f>
        <v>111ZAA</v>
      </c>
      <c r="F598" t="str">
        <f>""</f>
        <v/>
      </c>
      <c r="G598" t="str">
        <f>""</f>
        <v/>
      </c>
      <c r="H598" s="1">
        <v>40305</v>
      </c>
      <c r="I598" t="str">
        <f>"PCD00419"</f>
        <v>PCD00419</v>
      </c>
      <c r="J598" t="str">
        <f>"120748"</f>
        <v>120748</v>
      </c>
      <c r="K598" t="str">
        <f>"AS89"</f>
        <v>AS89</v>
      </c>
      <c r="L598" t="s">
        <v>1196</v>
      </c>
      <c r="M598" s="2">
        <v>1279.25</v>
      </c>
    </row>
    <row r="599" spans="1:13" x14ac:dyDescent="0.25">
      <c r="A599" t="str">
        <f t="shared" si="159"/>
        <v>E408</v>
      </c>
      <c r="B599">
        <v>1</v>
      </c>
      <c r="C599" t="str">
        <f>"55753"</f>
        <v>55753</v>
      </c>
      <c r="D599" t="str">
        <f t="shared" si="161"/>
        <v>5620</v>
      </c>
      <c r="E599" t="str">
        <f>"111ZAA"</f>
        <v>111ZAA</v>
      </c>
      <c r="F599" t="str">
        <f>""</f>
        <v/>
      </c>
      <c r="G599" t="str">
        <f>""</f>
        <v/>
      </c>
      <c r="H599" s="1">
        <v>40322</v>
      </c>
      <c r="I599" t="str">
        <f>"G1011001"</f>
        <v>G1011001</v>
      </c>
      <c r="J599" t="str">
        <f>""</f>
        <v/>
      </c>
      <c r="K599" t="str">
        <f>"J096"</f>
        <v>J096</v>
      </c>
      <c r="L599" t="s">
        <v>1195</v>
      </c>
      <c r="M599">
        <v>519.75</v>
      </c>
    </row>
    <row r="600" spans="1:13" x14ac:dyDescent="0.25">
      <c r="A600" t="str">
        <f>"E409"</f>
        <v>E409</v>
      </c>
      <c r="B600">
        <v>1</v>
      </c>
      <c r="C600" t="str">
        <f>"14185"</f>
        <v>14185</v>
      </c>
      <c r="D600" t="str">
        <f t="shared" si="161"/>
        <v>5620</v>
      </c>
      <c r="E600" t="str">
        <f>"094OMS"</f>
        <v>094OMS</v>
      </c>
      <c r="F600" t="str">
        <f>""</f>
        <v/>
      </c>
      <c r="G600" t="str">
        <f>""</f>
        <v/>
      </c>
      <c r="H600" s="1">
        <v>40254</v>
      </c>
      <c r="I600" t="str">
        <f>"DNX1RWK9"</f>
        <v>DNX1RWK9</v>
      </c>
      <c r="J600" t="str">
        <f>"F138292"</f>
        <v>F138292</v>
      </c>
      <c r="K600" t="str">
        <f t="shared" ref="K600:K605" si="163">"INEI"</f>
        <v>INEI</v>
      </c>
      <c r="L600" t="s">
        <v>349</v>
      </c>
      <c r="M600" s="2">
        <v>1353.45</v>
      </c>
    </row>
    <row r="601" spans="1:13" x14ac:dyDescent="0.25">
      <c r="A601" t="str">
        <f>"E409"</f>
        <v>E409</v>
      </c>
      <c r="B601">
        <v>1</v>
      </c>
      <c r="C601" t="str">
        <f>"14185"</f>
        <v>14185</v>
      </c>
      <c r="D601" t="str">
        <f t="shared" si="161"/>
        <v>5620</v>
      </c>
      <c r="E601" t="str">
        <f>"094OMS"</f>
        <v>094OMS</v>
      </c>
      <c r="F601" t="str">
        <f>""</f>
        <v/>
      </c>
      <c r="G601" t="str">
        <f>""</f>
        <v/>
      </c>
      <c r="H601" s="1">
        <v>40268</v>
      </c>
      <c r="I601" t="str">
        <f>"27998"</f>
        <v>27998</v>
      </c>
      <c r="J601" t="str">
        <f>"F138288"</f>
        <v>F138288</v>
      </c>
      <c r="K601" t="str">
        <f t="shared" si="163"/>
        <v>INEI</v>
      </c>
      <c r="L601" t="s">
        <v>1194</v>
      </c>
      <c r="M601" s="2">
        <v>19723.23</v>
      </c>
    </row>
    <row r="602" spans="1:13" x14ac:dyDescent="0.25">
      <c r="A602" t="str">
        <f>"E409"</f>
        <v>E409</v>
      </c>
      <c r="B602">
        <v>1</v>
      </c>
      <c r="C602" t="str">
        <f>"14185"</f>
        <v>14185</v>
      </c>
      <c r="D602" t="str">
        <f t="shared" si="161"/>
        <v>5620</v>
      </c>
      <c r="E602" t="str">
        <f>"094OMS"</f>
        <v>094OMS</v>
      </c>
      <c r="F602" t="str">
        <f>""</f>
        <v/>
      </c>
      <c r="G602" t="str">
        <f>""</f>
        <v/>
      </c>
      <c r="H602" s="1">
        <v>40268</v>
      </c>
      <c r="I602" t="str">
        <f>"27998"</f>
        <v>27998</v>
      </c>
      <c r="J602" t="str">
        <f>"F138288"</f>
        <v>F138288</v>
      </c>
      <c r="K602" t="str">
        <f t="shared" si="163"/>
        <v>INEI</v>
      </c>
      <c r="L602" t="s">
        <v>1194</v>
      </c>
      <c r="M602" s="2">
        <v>11127.49</v>
      </c>
    </row>
    <row r="603" spans="1:13" x14ac:dyDescent="0.25">
      <c r="A603" t="str">
        <f>"E409"</f>
        <v>E409</v>
      </c>
      <c r="B603">
        <v>1</v>
      </c>
      <c r="C603" t="str">
        <f>"14185"</f>
        <v>14185</v>
      </c>
      <c r="D603" t="str">
        <f t="shared" si="161"/>
        <v>5620</v>
      </c>
      <c r="E603" t="str">
        <f>"094OMS"</f>
        <v>094OMS</v>
      </c>
      <c r="F603" t="str">
        <f>""</f>
        <v/>
      </c>
      <c r="G603" t="str">
        <f>""</f>
        <v/>
      </c>
      <c r="H603" s="1">
        <v>40268</v>
      </c>
      <c r="I603" t="str">
        <f>"27998"</f>
        <v>27998</v>
      </c>
      <c r="J603" t="str">
        <f>"F138288"</f>
        <v>F138288</v>
      </c>
      <c r="K603" t="str">
        <f t="shared" si="163"/>
        <v>INEI</v>
      </c>
      <c r="L603" t="s">
        <v>1194</v>
      </c>
      <c r="M603" s="2">
        <v>3172.11</v>
      </c>
    </row>
    <row r="604" spans="1:13" x14ac:dyDescent="0.25">
      <c r="A604" t="str">
        <f>"E409"</f>
        <v>E409</v>
      </c>
      <c r="B604">
        <v>1</v>
      </c>
      <c r="C604" t="str">
        <f>"14185"</f>
        <v>14185</v>
      </c>
      <c r="D604" t="str">
        <f t="shared" si="161"/>
        <v>5620</v>
      </c>
      <c r="E604" t="str">
        <f>"094OMS"</f>
        <v>094OMS</v>
      </c>
      <c r="F604" t="str">
        <f>""</f>
        <v/>
      </c>
      <c r="G604" t="str">
        <f>""</f>
        <v/>
      </c>
      <c r="H604" s="1">
        <v>40268</v>
      </c>
      <c r="I604" t="str">
        <f>"27998"</f>
        <v>27998</v>
      </c>
      <c r="J604" t="str">
        <f>"F138288"</f>
        <v>F138288</v>
      </c>
      <c r="K604" t="str">
        <f t="shared" si="163"/>
        <v>INEI</v>
      </c>
      <c r="L604" t="s">
        <v>1194</v>
      </c>
      <c r="M604" s="2">
        <v>6493.73</v>
      </c>
    </row>
    <row r="605" spans="1:13" x14ac:dyDescent="0.25">
      <c r="A605" t="str">
        <f>"E413"</f>
        <v>E413</v>
      </c>
      <c r="B605">
        <v>1</v>
      </c>
      <c r="C605" t="str">
        <f>"43005"</f>
        <v>43005</v>
      </c>
      <c r="D605" t="str">
        <f t="shared" ref="D605:D617" si="164">"5740"</f>
        <v>5740</v>
      </c>
      <c r="E605" t="str">
        <f>"850REP"</f>
        <v>850REP</v>
      </c>
      <c r="F605" t="str">
        <f>""</f>
        <v/>
      </c>
      <c r="G605" t="str">
        <f>""</f>
        <v/>
      </c>
      <c r="H605" s="1">
        <v>40032</v>
      </c>
      <c r="I605" t="str">
        <f>"F000864"</f>
        <v>F000864</v>
      </c>
      <c r="J605" t="str">
        <f>"N125348"</f>
        <v>N125348</v>
      </c>
      <c r="K605" t="str">
        <f t="shared" si="163"/>
        <v>INEI</v>
      </c>
      <c r="L605" t="s">
        <v>229</v>
      </c>
      <c r="M605" s="2">
        <v>29160</v>
      </c>
    </row>
    <row r="606" spans="1:13" x14ac:dyDescent="0.25">
      <c r="A606" t="str">
        <f>"E413"</f>
        <v>E413</v>
      </c>
      <c r="B606">
        <v>1</v>
      </c>
      <c r="C606" t="str">
        <f>"43005"</f>
        <v>43005</v>
      </c>
      <c r="D606" t="str">
        <f t="shared" si="164"/>
        <v>5740</v>
      </c>
      <c r="E606" t="str">
        <f>"850REP"</f>
        <v>850REP</v>
      </c>
      <c r="F606" t="str">
        <f>""</f>
        <v/>
      </c>
      <c r="G606" t="str">
        <f>""</f>
        <v/>
      </c>
      <c r="H606" s="1">
        <v>40044</v>
      </c>
      <c r="I606" t="str">
        <f>"ACG01865"</f>
        <v>ACG01865</v>
      </c>
      <c r="J606" t="str">
        <f>"F000864"</f>
        <v>F000864</v>
      </c>
      <c r="K606" t="str">
        <f>"AS96"</f>
        <v>AS96</v>
      </c>
      <c r="L606" t="s">
        <v>1193</v>
      </c>
      <c r="M606">
        <v>958.69</v>
      </c>
    </row>
    <row r="607" spans="1:13" x14ac:dyDescent="0.25">
      <c r="A607" t="str">
        <f t="shared" ref="A607:A617" si="165">"E414"</f>
        <v>E414</v>
      </c>
      <c r="B607">
        <v>1</v>
      </c>
      <c r="C607" t="str">
        <f t="shared" ref="C607:C617" si="166">"43003"</f>
        <v>43003</v>
      </c>
      <c r="D607" t="str">
        <f t="shared" si="164"/>
        <v>5740</v>
      </c>
      <c r="E607" t="str">
        <f t="shared" ref="E607:E617" si="167">"850LOS"</f>
        <v>850LOS</v>
      </c>
      <c r="F607" t="str">
        <f>""</f>
        <v/>
      </c>
      <c r="G607" t="str">
        <f>""</f>
        <v/>
      </c>
      <c r="H607" s="1">
        <v>40102</v>
      </c>
      <c r="I607" t="str">
        <f>"127165A"</f>
        <v>127165A</v>
      </c>
      <c r="J607" t="str">
        <f t="shared" ref="J607:J616" si="168">"N125316"</f>
        <v>N125316</v>
      </c>
      <c r="K607" t="str">
        <f t="shared" ref="K607:K615" si="169">"INEI"</f>
        <v>INEI</v>
      </c>
      <c r="L607" t="s">
        <v>1189</v>
      </c>
      <c r="M607">
        <v>722.07</v>
      </c>
    </row>
    <row r="608" spans="1:13" x14ac:dyDescent="0.25">
      <c r="A608" t="str">
        <f t="shared" si="165"/>
        <v>E414</v>
      </c>
      <c r="B608">
        <v>1</v>
      </c>
      <c r="C608" t="str">
        <f t="shared" si="166"/>
        <v>43003</v>
      </c>
      <c r="D608" t="str">
        <f t="shared" si="164"/>
        <v>5740</v>
      </c>
      <c r="E608" t="str">
        <f t="shared" si="167"/>
        <v>850LOS</v>
      </c>
      <c r="F608" t="str">
        <f>""</f>
        <v/>
      </c>
      <c r="G608" t="str">
        <f>""</f>
        <v/>
      </c>
      <c r="H608" s="1">
        <v>40163</v>
      </c>
      <c r="I608" t="str">
        <f>"128153"</f>
        <v>128153</v>
      </c>
      <c r="J608" t="str">
        <f t="shared" si="168"/>
        <v>N125316</v>
      </c>
      <c r="K608" t="str">
        <f t="shared" si="169"/>
        <v>INEI</v>
      </c>
      <c r="L608" t="s">
        <v>1189</v>
      </c>
      <c r="M608">
        <v>958.06</v>
      </c>
    </row>
    <row r="609" spans="1:13" x14ac:dyDescent="0.25">
      <c r="A609" t="str">
        <f t="shared" si="165"/>
        <v>E414</v>
      </c>
      <c r="B609">
        <v>1</v>
      </c>
      <c r="C609" t="str">
        <f t="shared" si="166"/>
        <v>43003</v>
      </c>
      <c r="D609" t="str">
        <f t="shared" si="164"/>
        <v>5740</v>
      </c>
      <c r="E609" t="str">
        <f t="shared" si="167"/>
        <v>850LOS</v>
      </c>
      <c r="F609" t="str">
        <f>""</f>
        <v/>
      </c>
      <c r="G609" t="str">
        <f>""</f>
        <v/>
      </c>
      <c r="H609" s="1">
        <v>40164</v>
      </c>
      <c r="I609" t="str">
        <f>"127102A"</f>
        <v>127102A</v>
      </c>
      <c r="J609" t="str">
        <f t="shared" si="168"/>
        <v>N125316</v>
      </c>
      <c r="K609" t="str">
        <f t="shared" si="169"/>
        <v>INEI</v>
      </c>
      <c r="L609" t="s">
        <v>1189</v>
      </c>
      <c r="M609" s="2">
        <v>105595.3</v>
      </c>
    </row>
    <row r="610" spans="1:13" x14ac:dyDescent="0.25">
      <c r="A610" t="str">
        <f t="shared" si="165"/>
        <v>E414</v>
      </c>
      <c r="B610">
        <v>1</v>
      </c>
      <c r="C610" t="str">
        <f t="shared" si="166"/>
        <v>43003</v>
      </c>
      <c r="D610" t="str">
        <f t="shared" si="164"/>
        <v>5740</v>
      </c>
      <c r="E610" t="str">
        <f t="shared" si="167"/>
        <v>850LOS</v>
      </c>
      <c r="F610" t="str">
        <f>""</f>
        <v/>
      </c>
      <c r="G610" t="str">
        <f>""</f>
        <v/>
      </c>
      <c r="H610" s="1">
        <v>40191</v>
      </c>
      <c r="I610" t="str">
        <f>"128830"</f>
        <v>128830</v>
      </c>
      <c r="J610" t="str">
        <f t="shared" si="168"/>
        <v>N125316</v>
      </c>
      <c r="K610" t="str">
        <f t="shared" si="169"/>
        <v>INEI</v>
      </c>
      <c r="L610" t="s">
        <v>1189</v>
      </c>
      <c r="M610" s="2">
        <v>5500</v>
      </c>
    </row>
    <row r="611" spans="1:13" x14ac:dyDescent="0.25">
      <c r="A611" t="str">
        <f t="shared" si="165"/>
        <v>E414</v>
      </c>
      <c r="B611">
        <v>1</v>
      </c>
      <c r="C611" t="str">
        <f t="shared" si="166"/>
        <v>43003</v>
      </c>
      <c r="D611" t="str">
        <f t="shared" si="164"/>
        <v>5740</v>
      </c>
      <c r="E611" t="str">
        <f t="shared" si="167"/>
        <v>850LOS</v>
      </c>
      <c r="F611" t="str">
        <f>""</f>
        <v/>
      </c>
      <c r="G611" t="str">
        <f>""</f>
        <v/>
      </c>
      <c r="H611" s="1">
        <v>40191</v>
      </c>
      <c r="I611" t="str">
        <f>"128830"</f>
        <v>128830</v>
      </c>
      <c r="J611" t="str">
        <f t="shared" si="168"/>
        <v>N125316</v>
      </c>
      <c r="K611" t="str">
        <f t="shared" si="169"/>
        <v>INEI</v>
      </c>
      <c r="L611" t="s">
        <v>1189</v>
      </c>
      <c r="M611" s="2">
        <v>1500</v>
      </c>
    </row>
    <row r="612" spans="1:13" x14ac:dyDescent="0.25">
      <c r="A612" t="str">
        <f t="shared" si="165"/>
        <v>E414</v>
      </c>
      <c r="B612">
        <v>1</v>
      </c>
      <c r="C612" t="str">
        <f t="shared" si="166"/>
        <v>43003</v>
      </c>
      <c r="D612" t="str">
        <f t="shared" si="164"/>
        <v>5740</v>
      </c>
      <c r="E612" t="str">
        <f t="shared" si="167"/>
        <v>850LOS</v>
      </c>
      <c r="F612" t="str">
        <f>""</f>
        <v/>
      </c>
      <c r="G612" t="str">
        <f>""</f>
        <v/>
      </c>
      <c r="H612" s="1">
        <v>40277</v>
      </c>
      <c r="I612" t="str">
        <f>"130221"</f>
        <v>130221</v>
      </c>
      <c r="J612" t="str">
        <f t="shared" si="168"/>
        <v>N125316</v>
      </c>
      <c r="K612" t="str">
        <f t="shared" si="169"/>
        <v>INEI</v>
      </c>
      <c r="L612" t="s">
        <v>1189</v>
      </c>
      <c r="M612">
        <v>889.7</v>
      </c>
    </row>
    <row r="613" spans="1:13" x14ac:dyDescent="0.25">
      <c r="A613" t="str">
        <f t="shared" si="165"/>
        <v>E414</v>
      </c>
      <c r="B613">
        <v>1</v>
      </c>
      <c r="C613" t="str">
        <f t="shared" si="166"/>
        <v>43003</v>
      </c>
      <c r="D613" t="str">
        <f t="shared" si="164"/>
        <v>5740</v>
      </c>
      <c r="E613" t="str">
        <f t="shared" si="167"/>
        <v>850LOS</v>
      </c>
      <c r="F613" t="str">
        <f>""</f>
        <v/>
      </c>
      <c r="G613" t="str">
        <f>""</f>
        <v/>
      </c>
      <c r="H613" s="1">
        <v>40281</v>
      </c>
      <c r="I613" t="str">
        <f>"127102B"</f>
        <v>127102B</v>
      </c>
      <c r="J613" t="str">
        <f t="shared" si="168"/>
        <v>N125316</v>
      </c>
      <c r="K613" t="str">
        <f t="shared" si="169"/>
        <v>INEI</v>
      </c>
      <c r="L613" t="s">
        <v>1189</v>
      </c>
      <c r="M613" s="2">
        <v>36773.35</v>
      </c>
    </row>
    <row r="614" spans="1:13" x14ac:dyDescent="0.25">
      <c r="A614" t="str">
        <f t="shared" si="165"/>
        <v>E414</v>
      </c>
      <c r="B614">
        <v>1</v>
      </c>
      <c r="C614" t="str">
        <f t="shared" si="166"/>
        <v>43003</v>
      </c>
      <c r="D614" t="str">
        <f t="shared" si="164"/>
        <v>5740</v>
      </c>
      <c r="E614" t="str">
        <f t="shared" si="167"/>
        <v>850LOS</v>
      </c>
      <c r="F614" t="str">
        <f>""</f>
        <v/>
      </c>
      <c r="G614" t="str">
        <f>""</f>
        <v/>
      </c>
      <c r="H614" s="1">
        <v>40291</v>
      </c>
      <c r="I614" t="str">
        <f>"130617C"</f>
        <v>130617C</v>
      </c>
      <c r="J614" t="str">
        <f t="shared" si="168"/>
        <v>N125316</v>
      </c>
      <c r="K614" t="str">
        <f t="shared" si="169"/>
        <v>INEI</v>
      </c>
      <c r="L614" t="s">
        <v>1189</v>
      </c>
      <c r="M614" s="2">
        <v>8442.39</v>
      </c>
    </row>
    <row r="615" spans="1:13" x14ac:dyDescent="0.25">
      <c r="A615" t="str">
        <f t="shared" si="165"/>
        <v>E414</v>
      </c>
      <c r="B615">
        <v>1</v>
      </c>
      <c r="C615" t="str">
        <f t="shared" si="166"/>
        <v>43003</v>
      </c>
      <c r="D615" t="str">
        <f t="shared" si="164"/>
        <v>5740</v>
      </c>
      <c r="E615" t="str">
        <f t="shared" si="167"/>
        <v>850LOS</v>
      </c>
      <c r="F615" t="str">
        <f>""</f>
        <v/>
      </c>
      <c r="G615" t="str">
        <f>""</f>
        <v/>
      </c>
      <c r="H615" s="1">
        <v>40346</v>
      </c>
      <c r="I615" t="str">
        <f>"134356"</f>
        <v>134356</v>
      </c>
      <c r="J615" t="str">
        <f t="shared" si="168"/>
        <v>N125316</v>
      </c>
      <c r="K615" t="str">
        <f t="shared" si="169"/>
        <v>INEI</v>
      </c>
      <c r="L615" t="s">
        <v>1189</v>
      </c>
      <c r="M615">
        <v>973.25</v>
      </c>
    </row>
    <row r="616" spans="1:13" x14ac:dyDescent="0.25">
      <c r="A616" t="str">
        <f t="shared" si="165"/>
        <v>E414</v>
      </c>
      <c r="B616">
        <v>1</v>
      </c>
      <c r="C616" t="str">
        <f t="shared" si="166"/>
        <v>43003</v>
      </c>
      <c r="D616" t="str">
        <f t="shared" si="164"/>
        <v>5740</v>
      </c>
      <c r="E616" t="str">
        <f t="shared" si="167"/>
        <v>850LOS</v>
      </c>
      <c r="F616" t="str">
        <f>""</f>
        <v/>
      </c>
      <c r="G616" t="str">
        <f>""</f>
        <v/>
      </c>
      <c r="H616" s="1">
        <v>40359</v>
      </c>
      <c r="I616" t="str">
        <f>"EIS00117"</f>
        <v>EIS00117</v>
      </c>
      <c r="J616" t="str">
        <f t="shared" si="168"/>
        <v>N125316</v>
      </c>
      <c r="K616" t="str">
        <f>"AS96"</f>
        <v>AS96</v>
      </c>
      <c r="L616" t="s">
        <v>1191</v>
      </c>
      <c r="M616" s="2">
        <v>7075</v>
      </c>
    </row>
    <row r="617" spans="1:13" x14ac:dyDescent="0.25">
      <c r="A617" t="str">
        <f t="shared" si="165"/>
        <v>E414</v>
      </c>
      <c r="B617">
        <v>1</v>
      </c>
      <c r="C617" t="str">
        <f t="shared" si="166"/>
        <v>43003</v>
      </c>
      <c r="D617" t="str">
        <f t="shared" si="164"/>
        <v>5740</v>
      </c>
      <c r="E617" t="str">
        <f t="shared" si="167"/>
        <v>850LOS</v>
      </c>
      <c r="F617" t="str">
        <f>""</f>
        <v/>
      </c>
      <c r="G617" t="str">
        <f>""</f>
        <v/>
      </c>
      <c r="H617" s="1">
        <v>40359</v>
      </c>
      <c r="I617" t="str">
        <f>"G1014154"</f>
        <v>G1014154</v>
      </c>
      <c r="J617" t="str">
        <f>""</f>
        <v/>
      </c>
      <c r="K617" t="str">
        <f>"J079"</f>
        <v>J079</v>
      </c>
      <c r="L617" t="s">
        <v>1190</v>
      </c>
      <c r="M617" s="2">
        <v>1349.6</v>
      </c>
    </row>
  </sheetData>
  <autoFilter ref="A1:M61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8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38.8554687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 t="shared" ref="D2:D5" si="0">"5740"</f>
        <v>5740</v>
      </c>
      <c r="E2" t="str">
        <f t="shared" ref="E2:E5" si="1">"850LOS"</f>
        <v>850LOS</v>
      </c>
      <c r="F2" t="str">
        <f>""</f>
        <v/>
      </c>
      <c r="G2" t="str">
        <f>""</f>
        <v/>
      </c>
      <c r="H2" s="1">
        <v>40423</v>
      </c>
      <c r="I2" t="str">
        <f>"3817802C"</f>
        <v>3817802C</v>
      </c>
      <c r="J2" t="str">
        <f>"N113001D"</f>
        <v>N113001D</v>
      </c>
      <c r="K2" t="str">
        <f>"INEI"</f>
        <v>INEI</v>
      </c>
      <c r="L2" t="s">
        <v>673</v>
      </c>
      <c r="M2" s="2">
        <v>8000</v>
      </c>
    </row>
    <row r="3" spans="1:13" x14ac:dyDescent="0.25">
      <c r="A3" t="str">
        <f>"E051"</f>
        <v>E051</v>
      </c>
      <c r="B3">
        <v>1</v>
      </c>
      <c r="C3" t="str">
        <f>"43000"</f>
        <v>43000</v>
      </c>
      <c r="D3" t="str">
        <f t="shared" si="0"/>
        <v>5740</v>
      </c>
      <c r="E3" t="str">
        <f t="shared" si="1"/>
        <v>850LOS</v>
      </c>
      <c r="F3" t="str">
        <f>""</f>
        <v/>
      </c>
      <c r="G3" t="str">
        <f>""</f>
        <v/>
      </c>
      <c r="H3" s="1">
        <v>40431</v>
      </c>
      <c r="I3" t="str">
        <f>"3829589C"</f>
        <v>3829589C</v>
      </c>
      <c r="J3" t="str">
        <f>"N113001D"</f>
        <v>N113001D</v>
      </c>
      <c r="K3" t="str">
        <f>"INEI"</f>
        <v>INEI</v>
      </c>
      <c r="L3" t="s">
        <v>673</v>
      </c>
      <c r="M3" s="2">
        <v>4950</v>
      </c>
    </row>
    <row r="4" spans="1:13" x14ac:dyDescent="0.25">
      <c r="A4" t="str">
        <f>"E051"</f>
        <v>E051</v>
      </c>
      <c r="B4">
        <v>1</v>
      </c>
      <c r="C4" t="str">
        <f>"43000"</f>
        <v>43000</v>
      </c>
      <c r="D4" t="str">
        <f t="shared" si="0"/>
        <v>5740</v>
      </c>
      <c r="E4" t="str">
        <f t="shared" si="1"/>
        <v>850LOS</v>
      </c>
      <c r="F4" t="str">
        <f>""</f>
        <v/>
      </c>
      <c r="G4" t="str">
        <f>""</f>
        <v/>
      </c>
      <c r="H4" s="1">
        <v>40462</v>
      </c>
      <c r="I4" t="str">
        <f>"4384137B"</f>
        <v>4384137B</v>
      </c>
      <c r="J4" t="str">
        <f>"N113001D"</f>
        <v>N113001D</v>
      </c>
      <c r="K4" t="str">
        <f>"INEI"</f>
        <v>INEI</v>
      </c>
      <c r="L4" t="s">
        <v>673</v>
      </c>
      <c r="M4" s="2">
        <v>7866.74</v>
      </c>
    </row>
    <row r="5" spans="1:13" x14ac:dyDescent="0.25">
      <c r="A5" t="str">
        <f>"E051"</f>
        <v>E051</v>
      </c>
      <c r="B5">
        <v>1</v>
      </c>
      <c r="C5" t="str">
        <f>"43000"</f>
        <v>43000</v>
      </c>
      <c r="D5" t="str">
        <f t="shared" si="0"/>
        <v>5740</v>
      </c>
      <c r="E5" t="str">
        <f t="shared" si="1"/>
        <v>850LOS</v>
      </c>
      <c r="F5" t="str">
        <f>""</f>
        <v/>
      </c>
      <c r="G5" t="str">
        <f>""</f>
        <v/>
      </c>
      <c r="H5" s="1">
        <v>40557</v>
      </c>
      <c r="I5" t="str">
        <f>"3889890D"</f>
        <v>3889890D</v>
      </c>
      <c r="J5" t="str">
        <f>"N113001D"</f>
        <v>N113001D</v>
      </c>
      <c r="K5" t="str">
        <f>"INEI"</f>
        <v>INEI</v>
      </c>
      <c r="L5" t="s">
        <v>673</v>
      </c>
      <c r="M5" s="2">
        <v>4435.82</v>
      </c>
    </row>
    <row r="6" spans="1:13" x14ac:dyDescent="0.25">
      <c r="A6" t="str">
        <f>"E063"</f>
        <v>E063</v>
      </c>
      <c r="B6">
        <v>1</v>
      </c>
      <c r="C6" t="str">
        <f t="shared" ref="C6:C33" si="2">"10200"</f>
        <v>10200</v>
      </c>
      <c r="D6" t="str">
        <f t="shared" ref="D6:D33" si="3">"5620"</f>
        <v>5620</v>
      </c>
      <c r="E6" t="str">
        <f>"094OMS"</f>
        <v>094OMS</v>
      </c>
      <c r="F6" t="str">
        <f>""</f>
        <v/>
      </c>
      <c r="G6" t="str">
        <f>""</f>
        <v/>
      </c>
      <c r="H6" s="1">
        <v>40482</v>
      </c>
      <c r="I6" t="str">
        <f>"PCD00450"</f>
        <v>PCD00450</v>
      </c>
      <c r="J6" t="str">
        <f>"131371"</f>
        <v>131371</v>
      </c>
      <c r="K6" t="str">
        <f>"AS89"</f>
        <v>AS89</v>
      </c>
      <c r="L6" t="s">
        <v>1680</v>
      </c>
      <c r="M6">
        <v>173.6</v>
      </c>
    </row>
    <row r="7" spans="1:13" x14ac:dyDescent="0.25">
      <c r="A7" t="str">
        <f>"E063"</f>
        <v>E063</v>
      </c>
      <c r="B7">
        <v>1</v>
      </c>
      <c r="C7" t="str">
        <f t="shared" si="2"/>
        <v>10200</v>
      </c>
      <c r="D7" t="str">
        <f t="shared" si="3"/>
        <v>5620</v>
      </c>
      <c r="E7" t="str">
        <f>"094OMS"</f>
        <v>094OMS</v>
      </c>
      <c r="F7" t="str">
        <f>""</f>
        <v/>
      </c>
      <c r="G7" t="str">
        <f>""</f>
        <v/>
      </c>
      <c r="H7" s="1">
        <v>40526</v>
      </c>
      <c r="I7" t="str">
        <f>"183033"</f>
        <v>183033</v>
      </c>
      <c r="J7" t="str">
        <f>""</f>
        <v/>
      </c>
      <c r="K7" t="str">
        <f>"INNI"</f>
        <v>INNI</v>
      </c>
      <c r="L7" t="s">
        <v>266</v>
      </c>
      <c r="M7">
        <v>182.28</v>
      </c>
    </row>
    <row r="8" spans="1:13" x14ac:dyDescent="0.25">
      <c r="A8" t="str">
        <f t="shared" ref="A8:A71" si="4">"E111"</f>
        <v>E111</v>
      </c>
      <c r="B8">
        <v>1</v>
      </c>
      <c r="C8" t="str">
        <f t="shared" si="2"/>
        <v>10200</v>
      </c>
      <c r="D8" t="str">
        <f t="shared" si="3"/>
        <v>5620</v>
      </c>
      <c r="E8" t="str">
        <f t="shared" ref="E8:E33" si="5">"094OMS"</f>
        <v>094OMS</v>
      </c>
      <c r="F8" t="str">
        <f>""</f>
        <v/>
      </c>
      <c r="G8" t="str">
        <f>""</f>
        <v/>
      </c>
      <c r="H8" s="1">
        <v>40421</v>
      </c>
      <c r="I8" t="str">
        <f>"PCD00438"</f>
        <v>PCD00438</v>
      </c>
      <c r="J8" t="str">
        <f>"127242"</f>
        <v>127242</v>
      </c>
      <c r="K8" t="str">
        <f t="shared" ref="K8:K14" si="6">"AS89"</f>
        <v>AS89</v>
      </c>
      <c r="L8" t="s">
        <v>1679</v>
      </c>
      <c r="M8">
        <v>165.85</v>
      </c>
    </row>
    <row r="9" spans="1:13" x14ac:dyDescent="0.25">
      <c r="A9" t="str">
        <f t="shared" si="4"/>
        <v>E111</v>
      </c>
      <c r="B9">
        <v>1</v>
      </c>
      <c r="C9" t="str">
        <f t="shared" si="2"/>
        <v>10200</v>
      </c>
      <c r="D9" t="str">
        <f t="shared" si="3"/>
        <v>5620</v>
      </c>
      <c r="E9" t="str">
        <f t="shared" si="5"/>
        <v>094OMS</v>
      </c>
      <c r="F9" t="str">
        <f>""</f>
        <v/>
      </c>
      <c r="G9" t="str">
        <f>""</f>
        <v/>
      </c>
      <c r="H9" s="1">
        <v>40421</v>
      </c>
      <c r="I9" t="str">
        <f>"PCD00438"</f>
        <v>PCD00438</v>
      </c>
      <c r="J9" t="str">
        <f>"128335"</f>
        <v>128335</v>
      </c>
      <c r="K9" t="str">
        <f t="shared" si="6"/>
        <v>AS89</v>
      </c>
      <c r="L9" t="s">
        <v>1678</v>
      </c>
      <c r="M9">
        <v>229.34</v>
      </c>
    </row>
    <row r="10" spans="1:13" x14ac:dyDescent="0.25">
      <c r="A10" t="str">
        <f t="shared" si="4"/>
        <v>E111</v>
      </c>
      <c r="B10">
        <v>1</v>
      </c>
      <c r="C10" t="str">
        <f t="shared" si="2"/>
        <v>10200</v>
      </c>
      <c r="D10" t="str">
        <f t="shared" si="3"/>
        <v>5620</v>
      </c>
      <c r="E10" t="str">
        <f t="shared" si="5"/>
        <v>094OMS</v>
      </c>
      <c r="F10" t="str">
        <f>""</f>
        <v/>
      </c>
      <c r="G10" t="str">
        <f>""</f>
        <v/>
      </c>
      <c r="H10" s="1">
        <v>40445</v>
      </c>
      <c r="I10" t="str">
        <f>"PCD00442"</f>
        <v>PCD00442</v>
      </c>
      <c r="J10" t="str">
        <f>"129121"</f>
        <v>129121</v>
      </c>
      <c r="K10" t="str">
        <f t="shared" si="6"/>
        <v>AS89</v>
      </c>
      <c r="L10" t="s">
        <v>1677</v>
      </c>
      <c r="M10">
        <v>162.74</v>
      </c>
    </row>
    <row r="11" spans="1:13" x14ac:dyDescent="0.25">
      <c r="A11" t="str">
        <f t="shared" si="4"/>
        <v>E111</v>
      </c>
      <c r="B11">
        <v>1</v>
      </c>
      <c r="C11" t="str">
        <f t="shared" si="2"/>
        <v>10200</v>
      </c>
      <c r="D11" t="str">
        <f t="shared" si="3"/>
        <v>5620</v>
      </c>
      <c r="E11" t="str">
        <f t="shared" si="5"/>
        <v>094OMS</v>
      </c>
      <c r="F11" t="str">
        <f>""</f>
        <v/>
      </c>
      <c r="G11" t="str">
        <f>""</f>
        <v/>
      </c>
      <c r="H11" s="1">
        <v>40445</v>
      </c>
      <c r="I11" t="str">
        <f>"PCD00442"</f>
        <v>PCD00442</v>
      </c>
      <c r="J11" t="str">
        <f>"129122"</f>
        <v>129122</v>
      </c>
      <c r="K11" t="str">
        <f t="shared" si="6"/>
        <v>AS89</v>
      </c>
      <c r="L11" t="s">
        <v>1676</v>
      </c>
      <c r="M11">
        <v>807.16</v>
      </c>
    </row>
    <row r="12" spans="1:13" x14ac:dyDescent="0.25">
      <c r="A12" t="str">
        <f t="shared" si="4"/>
        <v>E111</v>
      </c>
      <c r="B12">
        <v>1</v>
      </c>
      <c r="C12" t="str">
        <f t="shared" si="2"/>
        <v>10200</v>
      </c>
      <c r="D12" t="str">
        <f t="shared" si="3"/>
        <v>5620</v>
      </c>
      <c r="E12" t="str">
        <f t="shared" si="5"/>
        <v>094OMS</v>
      </c>
      <c r="F12" t="str">
        <f>""</f>
        <v/>
      </c>
      <c r="G12" t="str">
        <f>""</f>
        <v/>
      </c>
      <c r="H12" s="1">
        <v>40452</v>
      </c>
      <c r="I12" t="str">
        <f>"PCD00443"</f>
        <v>PCD00443</v>
      </c>
      <c r="J12" t="str">
        <f>"129427"</f>
        <v>129427</v>
      </c>
      <c r="K12" t="str">
        <f t="shared" si="6"/>
        <v>AS89</v>
      </c>
      <c r="L12" t="s">
        <v>1675</v>
      </c>
      <c r="M12">
        <v>161.16999999999999</v>
      </c>
    </row>
    <row r="13" spans="1:13" x14ac:dyDescent="0.25">
      <c r="A13" t="str">
        <f t="shared" si="4"/>
        <v>E111</v>
      </c>
      <c r="B13">
        <v>1</v>
      </c>
      <c r="C13" t="str">
        <f t="shared" si="2"/>
        <v>10200</v>
      </c>
      <c r="D13" t="str">
        <f t="shared" si="3"/>
        <v>5620</v>
      </c>
      <c r="E13" t="str">
        <f t="shared" si="5"/>
        <v>094OMS</v>
      </c>
      <c r="F13" t="str">
        <f>""</f>
        <v/>
      </c>
      <c r="G13" t="str">
        <f>""</f>
        <v/>
      </c>
      <c r="H13" s="1">
        <v>40452</v>
      </c>
      <c r="I13" t="str">
        <f>"PCD00443"</f>
        <v>PCD00443</v>
      </c>
      <c r="J13" t="str">
        <f>"129432"</f>
        <v>129432</v>
      </c>
      <c r="K13" t="str">
        <f t="shared" si="6"/>
        <v>AS89</v>
      </c>
      <c r="L13" t="s">
        <v>1674</v>
      </c>
      <c r="M13">
        <v>124.78</v>
      </c>
    </row>
    <row r="14" spans="1:13" x14ac:dyDescent="0.25">
      <c r="A14" t="str">
        <f t="shared" si="4"/>
        <v>E111</v>
      </c>
      <c r="B14">
        <v>1</v>
      </c>
      <c r="C14" t="str">
        <f t="shared" si="2"/>
        <v>10200</v>
      </c>
      <c r="D14" t="str">
        <f t="shared" si="3"/>
        <v>5620</v>
      </c>
      <c r="E14" t="str">
        <f t="shared" si="5"/>
        <v>094OMS</v>
      </c>
      <c r="F14" t="str">
        <f>""</f>
        <v/>
      </c>
      <c r="G14" t="str">
        <f>""</f>
        <v/>
      </c>
      <c r="H14" s="1">
        <v>40452</v>
      </c>
      <c r="I14" t="str">
        <f>"PCD00443"</f>
        <v>PCD00443</v>
      </c>
      <c r="J14" t="str">
        <f>"129837"</f>
        <v>129837</v>
      </c>
      <c r="K14" t="str">
        <f t="shared" si="6"/>
        <v>AS89</v>
      </c>
      <c r="L14" t="s">
        <v>1502</v>
      </c>
      <c r="M14">
        <v>385.4</v>
      </c>
    </row>
    <row r="15" spans="1:13" x14ac:dyDescent="0.25">
      <c r="A15" t="str">
        <f t="shared" si="4"/>
        <v>E111</v>
      </c>
      <c r="B15">
        <v>1</v>
      </c>
      <c r="C15" t="str">
        <f t="shared" si="2"/>
        <v>10200</v>
      </c>
      <c r="D15" t="str">
        <f t="shared" si="3"/>
        <v>5620</v>
      </c>
      <c r="E15" t="str">
        <f t="shared" si="5"/>
        <v>094OMS</v>
      </c>
      <c r="F15" t="str">
        <f>""</f>
        <v/>
      </c>
      <c r="G15" t="str">
        <f>""</f>
        <v/>
      </c>
      <c r="H15" s="1">
        <v>40470</v>
      </c>
      <c r="I15" t="str">
        <f>"C0015941"</f>
        <v>C0015941</v>
      </c>
      <c r="J15" t="str">
        <f>""</f>
        <v/>
      </c>
      <c r="K15" t="str">
        <f>"ISSU"</f>
        <v>ISSU</v>
      </c>
      <c r="L15" t="s">
        <v>23</v>
      </c>
      <c r="M15">
        <v>200.91</v>
      </c>
    </row>
    <row r="16" spans="1:13" x14ac:dyDescent="0.25">
      <c r="A16" t="str">
        <f t="shared" si="4"/>
        <v>E111</v>
      </c>
      <c r="B16">
        <v>1</v>
      </c>
      <c r="C16" t="str">
        <f t="shared" si="2"/>
        <v>10200</v>
      </c>
      <c r="D16" t="str">
        <f t="shared" si="3"/>
        <v>5620</v>
      </c>
      <c r="E16" t="str">
        <f t="shared" si="5"/>
        <v>094OMS</v>
      </c>
      <c r="F16" t="str">
        <f>""</f>
        <v/>
      </c>
      <c r="G16" t="str">
        <f>""</f>
        <v/>
      </c>
      <c r="H16" s="1">
        <v>40482</v>
      </c>
      <c r="I16" t="str">
        <f>"PCD00450"</f>
        <v>PCD00450</v>
      </c>
      <c r="J16" t="str">
        <f>"131478"</f>
        <v>131478</v>
      </c>
      <c r="K16" t="str">
        <f t="shared" ref="K16:K18" si="7">"AS89"</f>
        <v>AS89</v>
      </c>
      <c r="L16" t="s">
        <v>1643</v>
      </c>
      <c r="M16">
        <v>120.12</v>
      </c>
    </row>
    <row r="17" spans="1:13" x14ac:dyDescent="0.25">
      <c r="A17" t="str">
        <f t="shared" si="4"/>
        <v>E111</v>
      </c>
      <c r="B17">
        <v>1</v>
      </c>
      <c r="C17" t="str">
        <f t="shared" si="2"/>
        <v>10200</v>
      </c>
      <c r="D17" t="str">
        <f t="shared" si="3"/>
        <v>5620</v>
      </c>
      <c r="E17" t="str">
        <f t="shared" si="5"/>
        <v>094OMS</v>
      </c>
      <c r="F17" t="str">
        <f>""</f>
        <v/>
      </c>
      <c r="G17" t="str">
        <f>""</f>
        <v/>
      </c>
      <c r="H17" s="1">
        <v>40512</v>
      </c>
      <c r="I17" t="str">
        <f t="shared" ref="I17" si="8">"PCD00455"</f>
        <v>PCD00455</v>
      </c>
      <c r="J17" t="str">
        <f>"133979"</f>
        <v>133979</v>
      </c>
      <c r="K17" t="str">
        <f t="shared" si="7"/>
        <v>AS89</v>
      </c>
      <c r="L17" t="s">
        <v>1673</v>
      </c>
      <c r="M17">
        <v>125</v>
      </c>
    </row>
    <row r="18" spans="1:13" x14ac:dyDescent="0.25">
      <c r="A18" t="str">
        <f t="shared" si="4"/>
        <v>E111</v>
      </c>
      <c r="B18">
        <v>1</v>
      </c>
      <c r="C18" t="str">
        <f t="shared" si="2"/>
        <v>10200</v>
      </c>
      <c r="D18" t="str">
        <f t="shared" si="3"/>
        <v>5620</v>
      </c>
      <c r="E18" t="str">
        <f t="shared" si="5"/>
        <v>094OMS</v>
      </c>
      <c r="F18" t="str">
        <f>""</f>
        <v/>
      </c>
      <c r="G18" t="str">
        <f>""</f>
        <v/>
      </c>
      <c r="H18" s="1">
        <v>40522</v>
      </c>
      <c r="I18" t="str">
        <f>"PCD00456"</f>
        <v>PCD00456</v>
      </c>
      <c r="J18" t="str">
        <f>"134085"</f>
        <v>134085</v>
      </c>
      <c r="K18" t="str">
        <f t="shared" si="7"/>
        <v>AS89</v>
      </c>
      <c r="L18" t="s">
        <v>1672</v>
      </c>
      <c r="M18">
        <v>152.38</v>
      </c>
    </row>
    <row r="19" spans="1:13" x14ac:dyDescent="0.25">
      <c r="A19" t="str">
        <f t="shared" si="4"/>
        <v>E111</v>
      </c>
      <c r="B19">
        <v>1</v>
      </c>
      <c r="C19" t="str">
        <f t="shared" si="2"/>
        <v>10200</v>
      </c>
      <c r="D19" t="str">
        <f t="shared" si="3"/>
        <v>5620</v>
      </c>
      <c r="E19" t="str">
        <f t="shared" si="5"/>
        <v>094OMS</v>
      </c>
      <c r="F19" t="str">
        <f>""</f>
        <v/>
      </c>
      <c r="G19" t="str">
        <f>""</f>
        <v/>
      </c>
      <c r="H19" s="1">
        <v>40602</v>
      </c>
      <c r="I19" t="str">
        <f>"188707"</f>
        <v>188707</v>
      </c>
      <c r="J19" t="str">
        <f>""</f>
        <v/>
      </c>
      <c r="K19" t="str">
        <f>"INNI"</f>
        <v>INNI</v>
      </c>
      <c r="L19" t="s">
        <v>1671</v>
      </c>
      <c r="M19">
        <v>161.66999999999999</v>
      </c>
    </row>
    <row r="20" spans="1:13" x14ac:dyDescent="0.25">
      <c r="A20" t="str">
        <f t="shared" si="4"/>
        <v>E111</v>
      </c>
      <c r="B20">
        <v>1</v>
      </c>
      <c r="C20" t="str">
        <f t="shared" si="2"/>
        <v>10200</v>
      </c>
      <c r="D20" t="str">
        <f t="shared" si="3"/>
        <v>5620</v>
      </c>
      <c r="E20" t="str">
        <f t="shared" si="5"/>
        <v>094OMS</v>
      </c>
      <c r="F20" t="str">
        <f>""</f>
        <v/>
      </c>
      <c r="G20" t="str">
        <f>""</f>
        <v/>
      </c>
      <c r="H20" s="1">
        <v>40602</v>
      </c>
      <c r="I20" t="str">
        <f>"PCD00469"</f>
        <v>PCD00469</v>
      </c>
      <c r="J20" t="str">
        <f>"139232"</f>
        <v>139232</v>
      </c>
      <c r="K20" t="str">
        <f>"AS89"</f>
        <v>AS89</v>
      </c>
      <c r="L20" t="s">
        <v>1636</v>
      </c>
      <c r="M20">
        <v>204.88</v>
      </c>
    </row>
    <row r="21" spans="1:13" x14ac:dyDescent="0.25">
      <c r="A21" t="str">
        <f t="shared" si="4"/>
        <v>E111</v>
      </c>
      <c r="B21">
        <v>1</v>
      </c>
      <c r="C21" t="str">
        <f t="shared" si="2"/>
        <v>10200</v>
      </c>
      <c r="D21" t="str">
        <f t="shared" si="3"/>
        <v>5620</v>
      </c>
      <c r="E21" t="str">
        <f t="shared" si="5"/>
        <v>094OMS</v>
      </c>
      <c r="F21" t="str">
        <f>""</f>
        <v/>
      </c>
      <c r="G21" t="str">
        <f>""</f>
        <v/>
      </c>
      <c r="H21" s="1">
        <v>40633</v>
      </c>
      <c r="I21" t="str">
        <f t="shared" ref="I21:I22" si="9">"PCD00475"</f>
        <v>PCD00475</v>
      </c>
      <c r="J21" t="str">
        <f>"139411"</f>
        <v>139411</v>
      </c>
      <c r="K21" t="str">
        <f t="shared" ref="K21:K26" si="10">"AS89"</f>
        <v>AS89</v>
      </c>
      <c r="L21" t="s">
        <v>1510</v>
      </c>
      <c r="M21">
        <v>201.78</v>
      </c>
    </row>
    <row r="22" spans="1:13" x14ac:dyDescent="0.25">
      <c r="A22" t="str">
        <f t="shared" si="4"/>
        <v>E111</v>
      </c>
      <c r="B22">
        <v>1</v>
      </c>
      <c r="C22" t="str">
        <f t="shared" si="2"/>
        <v>10200</v>
      </c>
      <c r="D22" t="str">
        <f t="shared" si="3"/>
        <v>5620</v>
      </c>
      <c r="E22" t="str">
        <f t="shared" si="5"/>
        <v>094OMS</v>
      </c>
      <c r="F22" t="str">
        <f>""</f>
        <v/>
      </c>
      <c r="G22" t="str">
        <f>""</f>
        <v/>
      </c>
      <c r="H22" s="1">
        <v>40633</v>
      </c>
      <c r="I22" t="str">
        <f t="shared" si="9"/>
        <v>PCD00475</v>
      </c>
      <c r="J22" t="str">
        <f>"140402"</f>
        <v>140402</v>
      </c>
      <c r="K22" t="str">
        <f t="shared" si="10"/>
        <v>AS89</v>
      </c>
      <c r="L22" t="s">
        <v>1670</v>
      </c>
      <c r="M22">
        <v>272.43</v>
      </c>
    </row>
    <row r="23" spans="1:13" x14ac:dyDescent="0.25">
      <c r="A23" t="str">
        <f t="shared" si="4"/>
        <v>E111</v>
      </c>
      <c r="B23">
        <v>1</v>
      </c>
      <c r="C23" t="str">
        <f t="shared" si="2"/>
        <v>10200</v>
      </c>
      <c r="D23" t="str">
        <f t="shared" si="3"/>
        <v>5620</v>
      </c>
      <c r="E23" t="str">
        <f t="shared" si="5"/>
        <v>094OMS</v>
      </c>
      <c r="F23" t="str">
        <f>""</f>
        <v/>
      </c>
      <c r="G23" t="str">
        <f>""</f>
        <v/>
      </c>
      <c r="H23" s="1">
        <v>40694</v>
      </c>
      <c r="I23" t="str">
        <f>"PCD00485"</f>
        <v>PCD00485</v>
      </c>
      <c r="J23" t="str">
        <f>"143981"</f>
        <v>143981</v>
      </c>
      <c r="K23" t="str">
        <f t="shared" si="10"/>
        <v>AS89</v>
      </c>
      <c r="L23" t="s">
        <v>1669</v>
      </c>
      <c r="M23">
        <v>124.72</v>
      </c>
    </row>
    <row r="24" spans="1:13" x14ac:dyDescent="0.25">
      <c r="A24" t="str">
        <f t="shared" si="4"/>
        <v>E111</v>
      </c>
      <c r="B24">
        <v>1</v>
      </c>
      <c r="C24" t="str">
        <f t="shared" si="2"/>
        <v>10200</v>
      </c>
      <c r="D24" t="str">
        <f t="shared" si="3"/>
        <v>5620</v>
      </c>
      <c r="E24" t="str">
        <f t="shared" si="5"/>
        <v>094OMS</v>
      </c>
      <c r="F24" t="str">
        <f>""</f>
        <v/>
      </c>
      <c r="G24" t="str">
        <f>""</f>
        <v/>
      </c>
      <c r="H24" s="1">
        <v>40694</v>
      </c>
      <c r="I24" t="str">
        <f>"PCD00485"</f>
        <v>PCD00485</v>
      </c>
      <c r="J24" t="str">
        <f>"145041"</f>
        <v>145041</v>
      </c>
      <c r="K24" t="str">
        <f t="shared" si="10"/>
        <v>AS89</v>
      </c>
      <c r="L24" t="s">
        <v>1668</v>
      </c>
      <c r="M24">
        <v>119.56</v>
      </c>
    </row>
    <row r="25" spans="1:13" x14ac:dyDescent="0.25">
      <c r="A25" t="str">
        <f t="shared" si="4"/>
        <v>E111</v>
      </c>
      <c r="B25">
        <v>1</v>
      </c>
      <c r="C25" t="str">
        <f t="shared" si="2"/>
        <v>10200</v>
      </c>
      <c r="D25" t="str">
        <f t="shared" si="3"/>
        <v>5620</v>
      </c>
      <c r="E25" t="str">
        <f t="shared" si="5"/>
        <v>094OMS</v>
      </c>
      <c r="F25" t="str">
        <f>""</f>
        <v/>
      </c>
      <c r="G25" t="str">
        <f>""</f>
        <v/>
      </c>
      <c r="H25" s="1">
        <v>40694</v>
      </c>
      <c r="I25" t="str">
        <f>"PCD00485"</f>
        <v>PCD00485</v>
      </c>
      <c r="J25" t="str">
        <f>"145524"</f>
        <v>145524</v>
      </c>
      <c r="K25" t="str">
        <f t="shared" si="10"/>
        <v>AS89</v>
      </c>
      <c r="L25" t="s">
        <v>1667</v>
      </c>
      <c r="M25">
        <v>108.49</v>
      </c>
    </row>
    <row r="26" spans="1:13" x14ac:dyDescent="0.25">
      <c r="A26" t="str">
        <f t="shared" si="4"/>
        <v>E111</v>
      </c>
      <c r="B26">
        <v>1</v>
      </c>
      <c r="C26" t="str">
        <f t="shared" si="2"/>
        <v>10200</v>
      </c>
      <c r="D26" t="str">
        <f t="shared" si="3"/>
        <v>5620</v>
      </c>
      <c r="E26" t="str">
        <f t="shared" si="5"/>
        <v>094OMS</v>
      </c>
      <c r="F26" t="str">
        <f>""</f>
        <v/>
      </c>
      <c r="G26" t="str">
        <f>""</f>
        <v/>
      </c>
      <c r="H26" s="1">
        <v>40694</v>
      </c>
      <c r="I26" t="str">
        <f>"PCD00485"</f>
        <v>PCD00485</v>
      </c>
      <c r="J26" t="str">
        <f>"145792"</f>
        <v>145792</v>
      </c>
      <c r="K26" t="str">
        <f t="shared" si="10"/>
        <v>AS89</v>
      </c>
      <c r="L26" t="s">
        <v>1666</v>
      </c>
      <c r="M26">
        <v>140.22</v>
      </c>
    </row>
    <row r="27" spans="1:13" x14ac:dyDescent="0.25">
      <c r="A27" t="str">
        <f t="shared" si="4"/>
        <v>E111</v>
      </c>
      <c r="B27">
        <v>1</v>
      </c>
      <c r="C27" t="str">
        <f t="shared" si="2"/>
        <v>10200</v>
      </c>
      <c r="D27" t="str">
        <f t="shared" si="3"/>
        <v>5620</v>
      </c>
      <c r="E27" t="str">
        <f t="shared" si="5"/>
        <v>094OMS</v>
      </c>
      <c r="F27" t="str">
        <f>""</f>
        <v/>
      </c>
      <c r="G27" t="str">
        <f>""</f>
        <v/>
      </c>
      <c r="H27" s="1">
        <v>40716</v>
      </c>
      <c r="I27" t="str">
        <f>"C0017163"</f>
        <v>C0017163</v>
      </c>
      <c r="J27" t="str">
        <f>""</f>
        <v/>
      </c>
      <c r="K27" t="str">
        <f>"ISSU"</f>
        <v>ISSU</v>
      </c>
      <c r="L27" t="s">
        <v>1665</v>
      </c>
      <c r="M27">
        <v>286.05</v>
      </c>
    </row>
    <row r="28" spans="1:13" x14ac:dyDescent="0.25">
      <c r="A28" t="str">
        <f t="shared" si="4"/>
        <v>E111</v>
      </c>
      <c r="B28">
        <v>1</v>
      </c>
      <c r="C28" t="str">
        <f t="shared" si="2"/>
        <v>10200</v>
      </c>
      <c r="D28" t="str">
        <f t="shared" si="3"/>
        <v>5620</v>
      </c>
      <c r="E28" t="str">
        <f t="shared" si="5"/>
        <v>094OMS</v>
      </c>
      <c r="F28" t="str">
        <f>""</f>
        <v/>
      </c>
      <c r="G28" t="str">
        <f>""</f>
        <v/>
      </c>
      <c r="H28" s="1">
        <v>40724</v>
      </c>
      <c r="I28" t="str">
        <f t="shared" ref="I28:I33" si="11">"PCD00489"</f>
        <v>PCD00489</v>
      </c>
      <c r="J28" t="str">
        <f>"146090"</f>
        <v>146090</v>
      </c>
      <c r="K28" t="str">
        <f t="shared" ref="K28:K33" si="12">"AS89"</f>
        <v>AS89</v>
      </c>
      <c r="L28" t="s">
        <v>1664</v>
      </c>
      <c r="M28">
        <v>212.15</v>
      </c>
    </row>
    <row r="29" spans="1:13" x14ac:dyDescent="0.25">
      <c r="A29" t="str">
        <f t="shared" si="4"/>
        <v>E111</v>
      </c>
      <c r="B29">
        <v>1</v>
      </c>
      <c r="C29" t="str">
        <f t="shared" si="2"/>
        <v>10200</v>
      </c>
      <c r="D29" t="str">
        <f t="shared" si="3"/>
        <v>5620</v>
      </c>
      <c r="E29" t="str">
        <f t="shared" si="5"/>
        <v>094OMS</v>
      </c>
      <c r="F29" t="str">
        <f>""</f>
        <v/>
      </c>
      <c r="G29" t="str">
        <f>""</f>
        <v/>
      </c>
      <c r="H29" s="1">
        <v>40724</v>
      </c>
      <c r="I29" t="str">
        <f t="shared" si="11"/>
        <v>PCD00489</v>
      </c>
      <c r="J29" t="str">
        <f>"146328"</f>
        <v>146328</v>
      </c>
      <c r="K29" t="str">
        <f t="shared" si="12"/>
        <v>AS89</v>
      </c>
      <c r="L29" t="s">
        <v>1663</v>
      </c>
      <c r="M29">
        <v>109.99</v>
      </c>
    </row>
    <row r="30" spans="1:13" x14ac:dyDescent="0.25">
      <c r="A30" t="str">
        <f t="shared" si="4"/>
        <v>E111</v>
      </c>
      <c r="B30">
        <v>1</v>
      </c>
      <c r="C30" t="str">
        <f t="shared" si="2"/>
        <v>10200</v>
      </c>
      <c r="D30" t="str">
        <f t="shared" si="3"/>
        <v>5620</v>
      </c>
      <c r="E30" t="str">
        <f t="shared" si="5"/>
        <v>094OMS</v>
      </c>
      <c r="F30" t="str">
        <f>""</f>
        <v/>
      </c>
      <c r="G30" t="str">
        <f>""</f>
        <v/>
      </c>
      <c r="H30" s="1">
        <v>40724</v>
      </c>
      <c r="I30" t="str">
        <f t="shared" si="11"/>
        <v>PCD00489</v>
      </c>
      <c r="J30" t="str">
        <f>"146739"</f>
        <v>146739</v>
      </c>
      <c r="K30" t="str">
        <f t="shared" si="12"/>
        <v>AS89</v>
      </c>
      <c r="L30" t="s">
        <v>1662</v>
      </c>
      <c r="M30">
        <v>399.43</v>
      </c>
    </row>
    <row r="31" spans="1:13" x14ac:dyDescent="0.25">
      <c r="A31" t="str">
        <f t="shared" si="4"/>
        <v>E111</v>
      </c>
      <c r="B31">
        <v>1</v>
      </c>
      <c r="C31" t="str">
        <f t="shared" si="2"/>
        <v>10200</v>
      </c>
      <c r="D31" t="str">
        <f t="shared" si="3"/>
        <v>5620</v>
      </c>
      <c r="E31" t="str">
        <f t="shared" si="5"/>
        <v>094OMS</v>
      </c>
      <c r="F31" t="str">
        <f>""</f>
        <v/>
      </c>
      <c r="G31" t="str">
        <f>""</f>
        <v/>
      </c>
      <c r="H31" s="1">
        <v>40724</v>
      </c>
      <c r="I31" t="str">
        <f t="shared" si="11"/>
        <v>PCD00489</v>
      </c>
      <c r="J31" t="str">
        <f>"146942"</f>
        <v>146942</v>
      </c>
      <c r="K31" t="str">
        <f t="shared" si="12"/>
        <v>AS89</v>
      </c>
      <c r="L31" t="s">
        <v>1661</v>
      </c>
      <c r="M31">
        <v>824.5</v>
      </c>
    </row>
    <row r="32" spans="1:13" x14ac:dyDescent="0.25">
      <c r="A32" t="str">
        <f t="shared" si="4"/>
        <v>E111</v>
      </c>
      <c r="B32">
        <v>1</v>
      </c>
      <c r="C32" t="str">
        <f t="shared" si="2"/>
        <v>10200</v>
      </c>
      <c r="D32" t="str">
        <f t="shared" si="3"/>
        <v>5620</v>
      </c>
      <c r="E32" t="str">
        <f t="shared" si="5"/>
        <v>094OMS</v>
      </c>
      <c r="F32" t="str">
        <f>""</f>
        <v/>
      </c>
      <c r="G32" t="str">
        <f>""</f>
        <v/>
      </c>
      <c r="H32" s="1">
        <v>40724</v>
      </c>
      <c r="I32" t="str">
        <f t="shared" si="11"/>
        <v>PCD00489</v>
      </c>
      <c r="J32" t="str">
        <f>"146943"</f>
        <v>146943</v>
      </c>
      <c r="K32" t="str">
        <f t="shared" si="12"/>
        <v>AS89</v>
      </c>
      <c r="L32" t="s">
        <v>1661</v>
      </c>
      <c r="M32">
        <v>274.83</v>
      </c>
    </row>
    <row r="33" spans="1:13" x14ac:dyDescent="0.25">
      <c r="A33" t="str">
        <f t="shared" si="4"/>
        <v>E111</v>
      </c>
      <c r="B33">
        <v>1</v>
      </c>
      <c r="C33" t="str">
        <f t="shared" si="2"/>
        <v>10200</v>
      </c>
      <c r="D33" t="str">
        <f t="shared" si="3"/>
        <v>5620</v>
      </c>
      <c r="E33" t="str">
        <f t="shared" si="5"/>
        <v>094OMS</v>
      </c>
      <c r="F33" t="str">
        <f>""</f>
        <v/>
      </c>
      <c r="G33" t="str">
        <f>""</f>
        <v/>
      </c>
      <c r="H33" s="1">
        <v>40724</v>
      </c>
      <c r="I33" t="str">
        <f t="shared" si="11"/>
        <v>PCD00489</v>
      </c>
      <c r="J33" t="str">
        <f>"147763"</f>
        <v>147763</v>
      </c>
      <c r="K33" t="str">
        <f t="shared" si="12"/>
        <v>AS89</v>
      </c>
      <c r="L33" t="s">
        <v>1660</v>
      </c>
      <c r="M33">
        <v>396.77</v>
      </c>
    </row>
    <row r="34" spans="1:13" x14ac:dyDescent="0.25">
      <c r="A34" t="str">
        <f t="shared" si="4"/>
        <v>E111</v>
      </c>
      <c r="B34">
        <v>1</v>
      </c>
      <c r="C34" t="str">
        <f>"31040"</f>
        <v>31040</v>
      </c>
      <c r="D34" t="str">
        <f>"5620"</f>
        <v>5620</v>
      </c>
      <c r="E34" t="str">
        <f>"094OMS"</f>
        <v>094OMS</v>
      </c>
      <c r="F34" t="str">
        <f>""</f>
        <v/>
      </c>
      <c r="G34" t="str">
        <f>""</f>
        <v/>
      </c>
      <c r="H34" s="1">
        <v>40482</v>
      </c>
      <c r="I34" t="str">
        <f>"PCD00450"</f>
        <v>PCD00450</v>
      </c>
      <c r="J34" t="str">
        <f>"131384"</f>
        <v>131384</v>
      </c>
      <c r="K34" t="str">
        <f>"AS89"</f>
        <v>AS89</v>
      </c>
      <c r="L34" t="s">
        <v>1659</v>
      </c>
      <c r="M34">
        <v>297.66000000000003</v>
      </c>
    </row>
    <row r="35" spans="1:13" x14ac:dyDescent="0.25">
      <c r="A35" t="str">
        <f t="shared" si="4"/>
        <v>E111</v>
      </c>
      <c r="B35">
        <v>1</v>
      </c>
      <c r="C35" t="str">
        <f t="shared" ref="C35:C98" si="13">"32040"</f>
        <v>32040</v>
      </c>
      <c r="D35" t="str">
        <f t="shared" ref="D35:D98" si="14">"5610"</f>
        <v>5610</v>
      </c>
      <c r="E35" t="str">
        <f t="shared" ref="E35:E98" si="15">"850LOS"</f>
        <v>850LOS</v>
      </c>
      <c r="F35" t="str">
        <f>""</f>
        <v/>
      </c>
      <c r="G35" t="str">
        <f>""</f>
        <v/>
      </c>
      <c r="H35" s="1">
        <v>40387</v>
      </c>
      <c r="I35" t="str">
        <f>"73319401"</f>
        <v>73319401</v>
      </c>
      <c r="J35" t="str">
        <f t="shared" ref="J35:J49" si="16">"NP52205P"</f>
        <v>NP52205P</v>
      </c>
      <c r="K35" t="str">
        <f t="shared" ref="K35:K49" si="17">"INEI"</f>
        <v>INEI</v>
      </c>
      <c r="L35" t="s">
        <v>36</v>
      </c>
      <c r="M35" s="2">
        <v>4209.82</v>
      </c>
    </row>
    <row r="36" spans="1:13" x14ac:dyDescent="0.25">
      <c r="A36" t="str">
        <f t="shared" si="4"/>
        <v>E111</v>
      </c>
      <c r="B36">
        <v>1</v>
      </c>
      <c r="C36" t="str">
        <f t="shared" si="13"/>
        <v>32040</v>
      </c>
      <c r="D36" t="str">
        <f t="shared" si="14"/>
        <v>5610</v>
      </c>
      <c r="E36" t="str">
        <f t="shared" si="15"/>
        <v>850LOS</v>
      </c>
      <c r="F36" t="str">
        <f>""</f>
        <v/>
      </c>
      <c r="G36" t="str">
        <f>""</f>
        <v/>
      </c>
      <c r="H36" s="1">
        <v>40389</v>
      </c>
      <c r="I36" t="str">
        <f>"73622702"</f>
        <v>73622702</v>
      </c>
      <c r="J36" t="str">
        <f t="shared" si="16"/>
        <v>NP52205P</v>
      </c>
      <c r="K36" t="str">
        <f t="shared" si="17"/>
        <v>INEI</v>
      </c>
      <c r="L36" t="s">
        <v>36</v>
      </c>
      <c r="M36">
        <v>225.42</v>
      </c>
    </row>
    <row r="37" spans="1:13" x14ac:dyDescent="0.25">
      <c r="A37" t="str">
        <f t="shared" si="4"/>
        <v>E111</v>
      </c>
      <c r="B37">
        <v>1</v>
      </c>
      <c r="C37" t="str">
        <f t="shared" si="13"/>
        <v>32040</v>
      </c>
      <c r="D37" t="str">
        <f t="shared" si="14"/>
        <v>5610</v>
      </c>
      <c r="E37" t="str">
        <f t="shared" si="15"/>
        <v>850LOS</v>
      </c>
      <c r="F37" t="str">
        <f>""</f>
        <v/>
      </c>
      <c r="G37" t="str">
        <f>""</f>
        <v/>
      </c>
      <c r="H37" s="1">
        <v>40389</v>
      </c>
      <c r="I37" t="str">
        <f>"73593601"</f>
        <v>73593601</v>
      </c>
      <c r="J37" t="str">
        <f t="shared" si="16"/>
        <v>NP52205P</v>
      </c>
      <c r="K37" t="str">
        <f t="shared" si="17"/>
        <v>INEI</v>
      </c>
      <c r="L37" t="s">
        <v>36</v>
      </c>
      <c r="M37">
        <v>164.52</v>
      </c>
    </row>
    <row r="38" spans="1:13" x14ac:dyDescent="0.25">
      <c r="A38" t="str">
        <f t="shared" si="4"/>
        <v>E111</v>
      </c>
      <c r="B38">
        <v>1</v>
      </c>
      <c r="C38" t="str">
        <f t="shared" si="13"/>
        <v>32040</v>
      </c>
      <c r="D38" t="str">
        <f t="shared" si="14"/>
        <v>5610</v>
      </c>
      <c r="E38" t="str">
        <f t="shared" si="15"/>
        <v>850LOS</v>
      </c>
      <c r="F38" t="str">
        <f>""</f>
        <v/>
      </c>
      <c r="G38" t="str">
        <f>""</f>
        <v/>
      </c>
      <c r="H38" s="1">
        <v>40389</v>
      </c>
      <c r="I38" t="str">
        <f>"73622701"</f>
        <v>73622701</v>
      </c>
      <c r="J38" t="str">
        <f t="shared" si="16"/>
        <v>NP52205P</v>
      </c>
      <c r="K38" t="str">
        <f t="shared" si="17"/>
        <v>INEI</v>
      </c>
      <c r="L38" t="s">
        <v>36</v>
      </c>
      <c r="M38">
        <v>396.19</v>
      </c>
    </row>
    <row r="39" spans="1:13" x14ac:dyDescent="0.25">
      <c r="A39" t="str">
        <f t="shared" si="4"/>
        <v>E111</v>
      </c>
      <c r="B39">
        <v>1</v>
      </c>
      <c r="C39" t="str">
        <f t="shared" si="13"/>
        <v>32040</v>
      </c>
      <c r="D39" t="str">
        <f t="shared" si="14"/>
        <v>5610</v>
      </c>
      <c r="E39" t="str">
        <f t="shared" si="15"/>
        <v>850LOS</v>
      </c>
      <c r="F39" t="str">
        <f>""</f>
        <v/>
      </c>
      <c r="G39" t="str">
        <f>""</f>
        <v/>
      </c>
      <c r="H39" s="1">
        <v>40389</v>
      </c>
      <c r="I39" t="str">
        <f>"73622703"</f>
        <v>73622703</v>
      </c>
      <c r="J39" t="str">
        <f t="shared" si="16"/>
        <v>NP52205P</v>
      </c>
      <c r="K39" t="str">
        <f t="shared" si="17"/>
        <v>INEI</v>
      </c>
      <c r="L39" t="s">
        <v>36</v>
      </c>
      <c r="M39">
        <v>529.46</v>
      </c>
    </row>
    <row r="40" spans="1:13" x14ac:dyDescent="0.25">
      <c r="A40" t="str">
        <f t="shared" si="4"/>
        <v>E111</v>
      </c>
      <c r="B40">
        <v>1</v>
      </c>
      <c r="C40" t="str">
        <f t="shared" si="13"/>
        <v>32040</v>
      </c>
      <c r="D40" t="str">
        <f t="shared" si="14"/>
        <v>5610</v>
      </c>
      <c r="E40" t="str">
        <f t="shared" si="15"/>
        <v>850LOS</v>
      </c>
      <c r="F40" t="str">
        <f>""</f>
        <v/>
      </c>
      <c r="G40" t="str">
        <f>""</f>
        <v/>
      </c>
      <c r="H40" s="1">
        <v>40389</v>
      </c>
      <c r="I40" t="str">
        <f>"73176402"</f>
        <v>73176402</v>
      </c>
      <c r="J40" t="str">
        <f t="shared" si="16"/>
        <v>NP52205P</v>
      </c>
      <c r="K40" t="str">
        <f t="shared" si="17"/>
        <v>INEI</v>
      </c>
      <c r="L40" t="s">
        <v>36</v>
      </c>
      <c r="M40">
        <v>603.53</v>
      </c>
    </row>
    <row r="41" spans="1:13" x14ac:dyDescent="0.25">
      <c r="A41" t="str">
        <f t="shared" si="4"/>
        <v>E111</v>
      </c>
      <c r="B41">
        <v>1</v>
      </c>
      <c r="C41" t="str">
        <f t="shared" si="13"/>
        <v>32040</v>
      </c>
      <c r="D41" t="str">
        <f t="shared" si="14"/>
        <v>5610</v>
      </c>
      <c r="E41" t="str">
        <f t="shared" si="15"/>
        <v>850LOS</v>
      </c>
      <c r="F41" t="str">
        <f>""</f>
        <v/>
      </c>
      <c r="G41" t="str">
        <f>""</f>
        <v/>
      </c>
      <c r="H41" s="1">
        <v>40392</v>
      </c>
      <c r="I41" t="str">
        <f>"73395801"</f>
        <v>73395801</v>
      </c>
      <c r="J41" t="str">
        <f t="shared" si="16"/>
        <v>NP52205P</v>
      </c>
      <c r="K41" t="str">
        <f t="shared" si="17"/>
        <v>INEI</v>
      </c>
      <c r="L41" t="s">
        <v>36</v>
      </c>
      <c r="M41" s="2">
        <v>2293.0100000000002</v>
      </c>
    </row>
    <row r="42" spans="1:13" x14ac:dyDescent="0.25">
      <c r="A42" t="str">
        <f t="shared" si="4"/>
        <v>E111</v>
      </c>
      <c r="B42">
        <v>1</v>
      </c>
      <c r="C42" t="str">
        <f t="shared" si="13"/>
        <v>32040</v>
      </c>
      <c r="D42" t="str">
        <f t="shared" si="14"/>
        <v>5610</v>
      </c>
      <c r="E42" t="str">
        <f t="shared" si="15"/>
        <v>850LOS</v>
      </c>
      <c r="F42" t="str">
        <f>""</f>
        <v/>
      </c>
      <c r="G42" t="str">
        <f>""</f>
        <v/>
      </c>
      <c r="H42" s="1">
        <v>40400</v>
      </c>
      <c r="I42" t="str">
        <f>"73745101"</f>
        <v>73745101</v>
      </c>
      <c r="J42" t="str">
        <f t="shared" si="16"/>
        <v>NP52205P</v>
      </c>
      <c r="K42" t="str">
        <f t="shared" si="17"/>
        <v>INEI</v>
      </c>
      <c r="L42" t="s">
        <v>36</v>
      </c>
      <c r="M42">
        <v>825.82</v>
      </c>
    </row>
    <row r="43" spans="1:13" x14ac:dyDescent="0.25">
      <c r="A43" t="str">
        <f t="shared" si="4"/>
        <v>E111</v>
      </c>
      <c r="B43">
        <v>1</v>
      </c>
      <c r="C43" t="str">
        <f t="shared" si="13"/>
        <v>32040</v>
      </c>
      <c r="D43" t="str">
        <f t="shared" si="14"/>
        <v>5610</v>
      </c>
      <c r="E43" t="str">
        <f t="shared" si="15"/>
        <v>850LOS</v>
      </c>
      <c r="F43" t="str">
        <f>""</f>
        <v/>
      </c>
      <c r="G43" t="str">
        <f>""</f>
        <v/>
      </c>
      <c r="H43" s="1">
        <v>40400</v>
      </c>
      <c r="I43" t="str">
        <f>"73818501"</f>
        <v>73818501</v>
      </c>
      <c r="J43" t="str">
        <f t="shared" si="16"/>
        <v>NP52205P</v>
      </c>
      <c r="K43" t="str">
        <f t="shared" si="17"/>
        <v>INEI</v>
      </c>
      <c r="L43" t="s">
        <v>36</v>
      </c>
      <c r="M43">
        <v>145.09</v>
      </c>
    </row>
    <row r="44" spans="1:13" x14ac:dyDescent="0.25">
      <c r="A44" t="str">
        <f t="shared" si="4"/>
        <v>E111</v>
      </c>
      <c r="B44">
        <v>1</v>
      </c>
      <c r="C44" t="str">
        <f t="shared" si="13"/>
        <v>32040</v>
      </c>
      <c r="D44" t="str">
        <f t="shared" si="14"/>
        <v>5610</v>
      </c>
      <c r="E44" t="str">
        <f t="shared" si="15"/>
        <v>850LOS</v>
      </c>
      <c r="F44" t="str">
        <f>""</f>
        <v/>
      </c>
      <c r="G44" t="str">
        <f>""</f>
        <v/>
      </c>
      <c r="H44" s="1">
        <v>40400</v>
      </c>
      <c r="I44" t="str">
        <f>"73818502"</f>
        <v>73818502</v>
      </c>
      <c r="J44" t="str">
        <f t="shared" si="16"/>
        <v>NP52205P</v>
      </c>
      <c r="K44" t="str">
        <f t="shared" si="17"/>
        <v>INEI</v>
      </c>
      <c r="L44" t="s">
        <v>36</v>
      </c>
      <c r="M44">
        <v>466.15</v>
      </c>
    </row>
    <row r="45" spans="1:13" x14ac:dyDescent="0.25">
      <c r="A45" t="str">
        <f t="shared" si="4"/>
        <v>E111</v>
      </c>
      <c r="B45">
        <v>1</v>
      </c>
      <c r="C45" t="str">
        <f t="shared" si="13"/>
        <v>32040</v>
      </c>
      <c r="D45" t="str">
        <f t="shared" si="14"/>
        <v>5610</v>
      </c>
      <c r="E45" t="str">
        <f t="shared" si="15"/>
        <v>850LOS</v>
      </c>
      <c r="F45" t="str">
        <f>""</f>
        <v/>
      </c>
      <c r="G45" t="str">
        <f>""</f>
        <v/>
      </c>
      <c r="H45" s="1">
        <v>40400</v>
      </c>
      <c r="I45" t="str">
        <f>"73126201"</f>
        <v>73126201</v>
      </c>
      <c r="J45" t="str">
        <f t="shared" si="16"/>
        <v>NP52205P</v>
      </c>
      <c r="K45" t="str">
        <f t="shared" si="17"/>
        <v>INEI</v>
      </c>
      <c r="L45" t="s">
        <v>36</v>
      </c>
      <c r="M45" s="2">
        <v>13325.24</v>
      </c>
    </row>
    <row r="46" spans="1:13" x14ac:dyDescent="0.25">
      <c r="A46" t="str">
        <f t="shared" si="4"/>
        <v>E111</v>
      </c>
      <c r="B46">
        <v>1</v>
      </c>
      <c r="C46" t="str">
        <f t="shared" si="13"/>
        <v>32040</v>
      </c>
      <c r="D46" t="str">
        <f t="shared" si="14"/>
        <v>5610</v>
      </c>
      <c r="E46" t="str">
        <f t="shared" si="15"/>
        <v>850LOS</v>
      </c>
      <c r="F46" t="str">
        <f>""</f>
        <v/>
      </c>
      <c r="G46" t="str">
        <f>""</f>
        <v/>
      </c>
      <c r="H46" s="1">
        <v>40400</v>
      </c>
      <c r="I46" t="str">
        <f>"73319402"</f>
        <v>73319402</v>
      </c>
      <c r="J46" t="str">
        <f t="shared" si="16"/>
        <v>NP52205P</v>
      </c>
      <c r="K46" t="str">
        <f t="shared" si="17"/>
        <v>INEI</v>
      </c>
      <c r="L46" t="s">
        <v>36</v>
      </c>
      <c r="M46" s="2">
        <v>1526.05</v>
      </c>
    </row>
    <row r="47" spans="1:13" x14ac:dyDescent="0.25">
      <c r="A47" t="str">
        <f t="shared" si="4"/>
        <v>E111</v>
      </c>
      <c r="B47">
        <v>1</v>
      </c>
      <c r="C47" t="str">
        <f t="shared" si="13"/>
        <v>32040</v>
      </c>
      <c r="D47" t="str">
        <f t="shared" si="14"/>
        <v>5610</v>
      </c>
      <c r="E47" t="str">
        <f t="shared" si="15"/>
        <v>850LOS</v>
      </c>
      <c r="F47" t="str">
        <f>""</f>
        <v/>
      </c>
      <c r="G47" t="str">
        <f>""</f>
        <v/>
      </c>
      <c r="H47" s="1">
        <v>40413</v>
      </c>
      <c r="I47" t="str">
        <f>"73314701"</f>
        <v>73314701</v>
      </c>
      <c r="J47" t="str">
        <f t="shared" si="16"/>
        <v>NP52205P</v>
      </c>
      <c r="K47" t="str">
        <f t="shared" si="17"/>
        <v>INEI</v>
      </c>
      <c r="L47" t="s">
        <v>36</v>
      </c>
      <c r="M47" s="2">
        <v>17633.89</v>
      </c>
    </row>
    <row r="48" spans="1:13" x14ac:dyDescent="0.25">
      <c r="A48" t="str">
        <f t="shared" si="4"/>
        <v>E111</v>
      </c>
      <c r="B48">
        <v>1</v>
      </c>
      <c r="C48" t="str">
        <f t="shared" si="13"/>
        <v>32040</v>
      </c>
      <c r="D48" t="str">
        <f t="shared" si="14"/>
        <v>5610</v>
      </c>
      <c r="E48" t="str">
        <f t="shared" si="15"/>
        <v>850LOS</v>
      </c>
      <c r="F48" t="str">
        <f>""</f>
        <v/>
      </c>
      <c r="G48" t="str">
        <f>""</f>
        <v/>
      </c>
      <c r="H48" s="1">
        <v>40413</v>
      </c>
      <c r="I48" t="str">
        <f>"73852301"</f>
        <v>73852301</v>
      </c>
      <c r="J48" t="str">
        <f t="shared" si="16"/>
        <v>NP52205P</v>
      </c>
      <c r="K48" t="str">
        <f t="shared" si="17"/>
        <v>INEI</v>
      </c>
      <c r="L48" t="s">
        <v>36</v>
      </c>
      <c r="M48" s="2">
        <v>1796.66</v>
      </c>
    </row>
    <row r="49" spans="1:13" x14ac:dyDescent="0.25">
      <c r="A49" t="str">
        <f t="shared" si="4"/>
        <v>E111</v>
      </c>
      <c r="B49">
        <v>1</v>
      </c>
      <c r="C49" t="str">
        <f t="shared" si="13"/>
        <v>32040</v>
      </c>
      <c r="D49" t="str">
        <f t="shared" si="14"/>
        <v>5610</v>
      </c>
      <c r="E49" t="str">
        <f t="shared" si="15"/>
        <v>850LOS</v>
      </c>
      <c r="F49" t="str">
        <f>""</f>
        <v/>
      </c>
      <c r="G49" t="str">
        <f>""</f>
        <v/>
      </c>
      <c r="H49" s="1">
        <v>40420</v>
      </c>
      <c r="I49" t="str">
        <f>"73593602"</f>
        <v>73593602</v>
      </c>
      <c r="J49" t="str">
        <f t="shared" si="16"/>
        <v>NP52205P</v>
      </c>
      <c r="K49" t="str">
        <f t="shared" si="17"/>
        <v>INEI</v>
      </c>
      <c r="L49" t="s">
        <v>36</v>
      </c>
      <c r="M49">
        <v>907.84</v>
      </c>
    </row>
    <row r="50" spans="1:13" x14ac:dyDescent="0.25">
      <c r="A50" t="str">
        <f t="shared" si="4"/>
        <v>E111</v>
      </c>
      <c r="B50">
        <v>1</v>
      </c>
      <c r="C50" t="str">
        <f t="shared" si="13"/>
        <v>32040</v>
      </c>
      <c r="D50" t="str">
        <f t="shared" si="14"/>
        <v>5610</v>
      </c>
      <c r="E50" t="str">
        <f t="shared" si="15"/>
        <v>850LOS</v>
      </c>
      <c r="F50" t="str">
        <f>""</f>
        <v/>
      </c>
      <c r="G50" t="str">
        <f>""</f>
        <v/>
      </c>
      <c r="H50" s="1">
        <v>40421</v>
      </c>
      <c r="I50" t="str">
        <f>"PCD00438"</f>
        <v>PCD00438</v>
      </c>
      <c r="J50" t="str">
        <f>"127692"</f>
        <v>127692</v>
      </c>
      <c r="K50" t="str">
        <f>"AS89"</f>
        <v>AS89</v>
      </c>
      <c r="L50" t="s">
        <v>1650</v>
      </c>
      <c r="M50">
        <v>120.26</v>
      </c>
    </row>
    <row r="51" spans="1:13" x14ac:dyDescent="0.25">
      <c r="A51" t="str">
        <f t="shared" si="4"/>
        <v>E111</v>
      </c>
      <c r="B51">
        <v>1</v>
      </c>
      <c r="C51" t="str">
        <f t="shared" si="13"/>
        <v>32040</v>
      </c>
      <c r="D51" t="str">
        <f t="shared" si="14"/>
        <v>5610</v>
      </c>
      <c r="E51" t="str">
        <f t="shared" si="15"/>
        <v>850LOS</v>
      </c>
      <c r="F51" t="str">
        <f>""</f>
        <v/>
      </c>
      <c r="G51" t="str">
        <f>""</f>
        <v/>
      </c>
      <c r="H51" s="1">
        <v>40430</v>
      </c>
      <c r="I51" t="str">
        <f>"74024601"</f>
        <v>74024601</v>
      </c>
      <c r="J51" t="str">
        <f t="shared" ref="J51:J69" si="18">"NP52205P"</f>
        <v>NP52205P</v>
      </c>
      <c r="K51" t="str">
        <f t="shared" ref="K51:K56" si="19">"INEI"</f>
        <v>INEI</v>
      </c>
      <c r="L51" t="s">
        <v>36</v>
      </c>
      <c r="M51">
        <v>173.65</v>
      </c>
    </row>
    <row r="52" spans="1:13" x14ac:dyDescent="0.25">
      <c r="A52" t="str">
        <f t="shared" si="4"/>
        <v>E111</v>
      </c>
      <c r="B52">
        <v>1</v>
      </c>
      <c r="C52" t="str">
        <f t="shared" si="13"/>
        <v>32040</v>
      </c>
      <c r="D52" t="str">
        <f t="shared" si="14"/>
        <v>5610</v>
      </c>
      <c r="E52" t="str">
        <f t="shared" si="15"/>
        <v>850LOS</v>
      </c>
      <c r="F52" t="str">
        <f>""</f>
        <v/>
      </c>
      <c r="G52" t="str">
        <f>""</f>
        <v/>
      </c>
      <c r="H52" s="1">
        <v>40430</v>
      </c>
      <c r="I52" t="str">
        <f>"73818503"</f>
        <v>73818503</v>
      </c>
      <c r="J52" t="str">
        <f t="shared" si="18"/>
        <v>NP52205P</v>
      </c>
      <c r="K52" t="str">
        <f t="shared" si="19"/>
        <v>INEI</v>
      </c>
      <c r="L52" t="s">
        <v>36</v>
      </c>
      <c r="M52">
        <v>522.32000000000005</v>
      </c>
    </row>
    <row r="53" spans="1:13" x14ac:dyDescent="0.25">
      <c r="A53" t="str">
        <f t="shared" si="4"/>
        <v>E111</v>
      </c>
      <c r="B53">
        <v>1</v>
      </c>
      <c r="C53" t="str">
        <f t="shared" si="13"/>
        <v>32040</v>
      </c>
      <c r="D53" t="str">
        <f t="shared" si="14"/>
        <v>5610</v>
      </c>
      <c r="E53" t="str">
        <f t="shared" si="15"/>
        <v>850LOS</v>
      </c>
      <c r="F53" t="str">
        <f>""</f>
        <v/>
      </c>
      <c r="G53" t="str">
        <f>""</f>
        <v/>
      </c>
      <c r="H53" s="1">
        <v>40430</v>
      </c>
      <c r="I53" t="str">
        <f>"74153401"</f>
        <v>74153401</v>
      </c>
      <c r="J53" t="str">
        <f t="shared" si="18"/>
        <v>NP52205P</v>
      </c>
      <c r="K53" t="str">
        <f t="shared" si="19"/>
        <v>INEI</v>
      </c>
      <c r="L53" t="s">
        <v>36</v>
      </c>
      <c r="M53">
        <v>145.09</v>
      </c>
    </row>
    <row r="54" spans="1:13" x14ac:dyDescent="0.25">
      <c r="A54" t="str">
        <f t="shared" si="4"/>
        <v>E111</v>
      </c>
      <c r="B54">
        <v>1</v>
      </c>
      <c r="C54" t="str">
        <f t="shared" si="13"/>
        <v>32040</v>
      </c>
      <c r="D54" t="str">
        <f t="shared" si="14"/>
        <v>5610</v>
      </c>
      <c r="E54" t="str">
        <f t="shared" si="15"/>
        <v>850LOS</v>
      </c>
      <c r="F54" t="str">
        <f>""</f>
        <v/>
      </c>
      <c r="G54" t="str">
        <f>""</f>
        <v/>
      </c>
      <c r="H54" s="1">
        <v>40430</v>
      </c>
      <c r="I54" t="str">
        <f>"74153402"</f>
        <v>74153402</v>
      </c>
      <c r="J54" t="str">
        <f t="shared" si="18"/>
        <v>NP52205P</v>
      </c>
      <c r="K54" t="str">
        <f t="shared" si="19"/>
        <v>INEI</v>
      </c>
      <c r="L54" t="s">
        <v>36</v>
      </c>
      <c r="M54">
        <v>483.07</v>
      </c>
    </row>
    <row r="55" spans="1:13" x14ac:dyDescent="0.25">
      <c r="A55" t="str">
        <f t="shared" si="4"/>
        <v>E111</v>
      </c>
      <c r="B55">
        <v>1</v>
      </c>
      <c r="C55" t="str">
        <f t="shared" si="13"/>
        <v>32040</v>
      </c>
      <c r="D55" t="str">
        <f t="shared" si="14"/>
        <v>5610</v>
      </c>
      <c r="E55" t="str">
        <f t="shared" si="15"/>
        <v>850LOS</v>
      </c>
      <c r="F55" t="str">
        <f>""</f>
        <v/>
      </c>
      <c r="G55" t="str">
        <f>""</f>
        <v/>
      </c>
      <c r="H55" s="1">
        <v>40430</v>
      </c>
      <c r="I55" t="str">
        <f>"73988601"</f>
        <v>73988601</v>
      </c>
      <c r="J55" t="str">
        <f t="shared" si="18"/>
        <v>NP52205P</v>
      </c>
      <c r="K55" t="str">
        <f t="shared" si="19"/>
        <v>INEI</v>
      </c>
      <c r="L55" t="s">
        <v>36</v>
      </c>
      <c r="M55">
        <v>661.8</v>
      </c>
    </row>
    <row r="56" spans="1:13" x14ac:dyDescent="0.25">
      <c r="A56" t="str">
        <f t="shared" si="4"/>
        <v>E111</v>
      </c>
      <c r="B56">
        <v>1</v>
      </c>
      <c r="C56" t="str">
        <f t="shared" si="13"/>
        <v>32040</v>
      </c>
      <c r="D56" t="str">
        <f t="shared" si="14"/>
        <v>5610</v>
      </c>
      <c r="E56" t="str">
        <f t="shared" si="15"/>
        <v>850LOS</v>
      </c>
      <c r="F56" t="str">
        <f>""</f>
        <v/>
      </c>
      <c r="G56" t="str">
        <f>""</f>
        <v/>
      </c>
      <c r="H56" s="1">
        <v>40431</v>
      </c>
      <c r="I56" t="str">
        <f>"73896701"</f>
        <v>73896701</v>
      </c>
      <c r="J56" t="str">
        <f t="shared" si="18"/>
        <v>NP52205P</v>
      </c>
      <c r="K56" t="str">
        <f t="shared" si="19"/>
        <v>INEI</v>
      </c>
      <c r="L56" t="s">
        <v>36</v>
      </c>
      <c r="M56" s="2">
        <v>1179.42</v>
      </c>
    </row>
    <row r="57" spans="1:13" x14ac:dyDescent="0.25">
      <c r="A57" t="str">
        <f t="shared" si="4"/>
        <v>E111</v>
      </c>
      <c r="B57">
        <v>1</v>
      </c>
      <c r="C57" t="str">
        <f t="shared" si="13"/>
        <v>32040</v>
      </c>
      <c r="D57" t="str">
        <f t="shared" si="14"/>
        <v>5610</v>
      </c>
      <c r="E57" t="str">
        <f t="shared" si="15"/>
        <v>850LOS</v>
      </c>
      <c r="F57" t="str">
        <f>""</f>
        <v/>
      </c>
      <c r="G57" t="str">
        <f>""</f>
        <v/>
      </c>
      <c r="H57" s="1">
        <v>40445</v>
      </c>
      <c r="I57" t="str">
        <f>"74153403"</f>
        <v>74153403</v>
      </c>
      <c r="J57" t="str">
        <f t="shared" si="18"/>
        <v>NP52205P</v>
      </c>
      <c r="K57" t="str">
        <f>"INEI"</f>
        <v>INEI</v>
      </c>
      <c r="L57" t="s">
        <v>36</v>
      </c>
      <c r="M57">
        <v>320.60000000000002</v>
      </c>
    </row>
    <row r="58" spans="1:13" x14ac:dyDescent="0.25">
      <c r="A58" t="str">
        <f t="shared" si="4"/>
        <v>E111</v>
      </c>
      <c r="B58">
        <v>1</v>
      </c>
      <c r="C58" t="str">
        <f t="shared" si="13"/>
        <v>32040</v>
      </c>
      <c r="D58" t="str">
        <f t="shared" si="14"/>
        <v>5610</v>
      </c>
      <c r="E58" t="str">
        <f t="shared" si="15"/>
        <v>850LOS</v>
      </c>
      <c r="F58" t="str">
        <f>""</f>
        <v/>
      </c>
      <c r="G58" t="str">
        <f>""</f>
        <v/>
      </c>
      <c r="H58" s="1">
        <v>40445</v>
      </c>
      <c r="I58" t="str">
        <f>"73956001"</f>
        <v>73956001</v>
      </c>
      <c r="J58" t="str">
        <f t="shared" si="18"/>
        <v>NP52205P</v>
      </c>
      <c r="K58" t="str">
        <f>"INEI"</f>
        <v>INEI</v>
      </c>
      <c r="L58" t="s">
        <v>36</v>
      </c>
      <c r="M58">
        <v>907.84</v>
      </c>
    </row>
    <row r="59" spans="1:13" x14ac:dyDescent="0.25">
      <c r="A59" t="str">
        <f t="shared" si="4"/>
        <v>E111</v>
      </c>
      <c r="B59">
        <v>1</v>
      </c>
      <c r="C59" t="str">
        <f t="shared" si="13"/>
        <v>32040</v>
      </c>
      <c r="D59" t="str">
        <f t="shared" si="14"/>
        <v>5610</v>
      </c>
      <c r="E59" t="str">
        <f t="shared" si="15"/>
        <v>850LOS</v>
      </c>
      <c r="F59" t="str">
        <f>""</f>
        <v/>
      </c>
      <c r="G59" t="str">
        <f>""</f>
        <v/>
      </c>
      <c r="H59" s="1">
        <v>40471</v>
      </c>
      <c r="I59" t="str">
        <f>"74348101"</f>
        <v>74348101</v>
      </c>
      <c r="J59" t="str">
        <f t="shared" si="18"/>
        <v>NP52205P</v>
      </c>
      <c r="K59" t="str">
        <f>"INEI"</f>
        <v>INEI</v>
      </c>
      <c r="L59" t="s">
        <v>36</v>
      </c>
      <c r="M59" s="2">
        <v>1474.27</v>
      </c>
    </row>
    <row r="60" spans="1:13" x14ac:dyDescent="0.25">
      <c r="A60" t="str">
        <f t="shared" si="4"/>
        <v>E111</v>
      </c>
      <c r="B60">
        <v>1</v>
      </c>
      <c r="C60" t="str">
        <f t="shared" si="13"/>
        <v>32040</v>
      </c>
      <c r="D60" t="str">
        <f t="shared" si="14"/>
        <v>5610</v>
      </c>
      <c r="E60" t="str">
        <f t="shared" si="15"/>
        <v>850LOS</v>
      </c>
      <c r="F60" t="str">
        <f>""</f>
        <v/>
      </c>
      <c r="G60" t="str">
        <f>""</f>
        <v/>
      </c>
      <c r="H60" s="1">
        <v>40479</v>
      </c>
      <c r="I60" t="str">
        <f>"74338102"</f>
        <v>74338102</v>
      </c>
      <c r="J60" t="str">
        <f t="shared" si="18"/>
        <v>NP52205P</v>
      </c>
      <c r="K60" t="str">
        <f>"INEI"</f>
        <v>INEI</v>
      </c>
      <c r="L60" t="s">
        <v>36</v>
      </c>
      <c r="M60">
        <v>183.4</v>
      </c>
    </row>
    <row r="61" spans="1:13" x14ac:dyDescent="0.25">
      <c r="A61" t="str">
        <f t="shared" si="4"/>
        <v>E111</v>
      </c>
      <c r="B61">
        <v>1</v>
      </c>
      <c r="C61" t="str">
        <f t="shared" si="13"/>
        <v>32040</v>
      </c>
      <c r="D61" t="str">
        <f t="shared" si="14"/>
        <v>5610</v>
      </c>
      <c r="E61" t="str">
        <f t="shared" si="15"/>
        <v>850LOS</v>
      </c>
      <c r="F61" t="str">
        <f>""</f>
        <v/>
      </c>
      <c r="G61" t="str">
        <f>""</f>
        <v/>
      </c>
      <c r="H61" s="1">
        <v>40497</v>
      </c>
      <c r="I61" t="str">
        <f>"74745202"</f>
        <v>74745202</v>
      </c>
      <c r="J61" t="str">
        <f t="shared" si="18"/>
        <v>NP52205P</v>
      </c>
      <c r="K61" t="str">
        <f t="shared" ref="K61:K69" si="20">"INEI"</f>
        <v>INEI</v>
      </c>
      <c r="L61" t="s">
        <v>36</v>
      </c>
      <c r="M61" s="2">
        <v>1171.22</v>
      </c>
    </row>
    <row r="62" spans="1:13" x14ac:dyDescent="0.25">
      <c r="A62" t="str">
        <f t="shared" si="4"/>
        <v>E111</v>
      </c>
      <c r="B62">
        <v>1</v>
      </c>
      <c r="C62" t="str">
        <f t="shared" si="13"/>
        <v>32040</v>
      </c>
      <c r="D62" t="str">
        <f t="shared" si="14"/>
        <v>5610</v>
      </c>
      <c r="E62" t="str">
        <f t="shared" si="15"/>
        <v>850LOS</v>
      </c>
      <c r="F62" t="str">
        <f>""</f>
        <v/>
      </c>
      <c r="G62" t="str">
        <f>""</f>
        <v/>
      </c>
      <c r="H62" s="1">
        <v>40497</v>
      </c>
      <c r="I62" t="str">
        <f>"74739701"</f>
        <v>74739701</v>
      </c>
      <c r="J62" t="str">
        <f t="shared" si="18"/>
        <v>NP52205P</v>
      </c>
      <c r="K62" t="str">
        <f t="shared" si="20"/>
        <v>INEI</v>
      </c>
      <c r="L62" t="s">
        <v>36</v>
      </c>
      <c r="M62">
        <v>424.26</v>
      </c>
    </row>
    <row r="63" spans="1:13" x14ac:dyDescent="0.25">
      <c r="A63" t="str">
        <f t="shared" si="4"/>
        <v>E111</v>
      </c>
      <c r="B63">
        <v>1</v>
      </c>
      <c r="C63" t="str">
        <f t="shared" si="13"/>
        <v>32040</v>
      </c>
      <c r="D63" t="str">
        <f t="shared" si="14"/>
        <v>5610</v>
      </c>
      <c r="E63" t="str">
        <f t="shared" si="15"/>
        <v>850LOS</v>
      </c>
      <c r="F63" t="str">
        <f>""</f>
        <v/>
      </c>
      <c r="G63" t="str">
        <f>""</f>
        <v/>
      </c>
      <c r="H63" s="1">
        <v>40497</v>
      </c>
      <c r="I63" t="str">
        <f>"74746102"</f>
        <v>74746102</v>
      </c>
      <c r="J63" t="str">
        <f t="shared" si="18"/>
        <v>NP52205P</v>
      </c>
      <c r="K63" t="str">
        <f t="shared" si="20"/>
        <v>INEI</v>
      </c>
      <c r="L63" t="s">
        <v>36</v>
      </c>
      <c r="M63">
        <v>165.87</v>
      </c>
    </row>
    <row r="64" spans="1:13" x14ac:dyDescent="0.25">
      <c r="A64" t="str">
        <f t="shared" si="4"/>
        <v>E111</v>
      </c>
      <c r="B64">
        <v>1</v>
      </c>
      <c r="C64" t="str">
        <f t="shared" si="13"/>
        <v>32040</v>
      </c>
      <c r="D64" t="str">
        <f t="shared" si="14"/>
        <v>5610</v>
      </c>
      <c r="E64" t="str">
        <f t="shared" si="15"/>
        <v>850LOS</v>
      </c>
      <c r="F64" t="str">
        <f>""</f>
        <v/>
      </c>
      <c r="G64" t="str">
        <f>""</f>
        <v/>
      </c>
      <c r="H64" s="1">
        <v>40497</v>
      </c>
      <c r="I64" t="str">
        <f>"74745201"</f>
        <v>74745201</v>
      </c>
      <c r="J64" t="str">
        <f t="shared" si="18"/>
        <v>NP52205P</v>
      </c>
      <c r="K64" t="str">
        <f t="shared" si="20"/>
        <v>INEI</v>
      </c>
      <c r="L64" t="s">
        <v>36</v>
      </c>
      <c r="M64">
        <v>766.11</v>
      </c>
    </row>
    <row r="65" spans="1:13" x14ac:dyDescent="0.25">
      <c r="A65" t="str">
        <f t="shared" si="4"/>
        <v>E111</v>
      </c>
      <c r="B65">
        <v>1</v>
      </c>
      <c r="C65" t="str">
        <f t="shared" si="13"/>
        <v>32040</v>
      </c>
      <c r="D65" t="str">
        <f t="shared" si="14"/>
        <v>5610</v>
      </c>
      <c r="E65" t="str">
        <f t="shared" si="15"/>
        <v>850LOS</v>
      </c>
      <c r="F65" t="str">
        <f>""</f>
        <v/>
      </c>
      <c r="G65" t="str">
        <f>""</f>
        <v/>
      </c>
      <c r="H65" s="1">
        <v>40497</v>
      </c>
      <c r="I65" t="str">
        <f>"74739702"</f>
        <v>74739702</v>
      </c>
      <c r="J65" t="str">
        <f t="shared" si="18"/>
        <v>NP52205P</v>
      </c>
      <c r="K65" t="str">
        <f t="shared" si="20"/>
        <v>INEI</v>
      </c>
      <c r="L65" t="s">
        <v>36</v>
      </c>
      <c r="M65">
        <v>134.75</v>
      </c>
    </row>
    <row r="66" spans="1:13" x14ac:dyDescent="0.25">
      <c r="A66" t="str">
        <f t="shared" si="4"/>
        <v>E111</v>
      </c>
      <c r="B66">
        <v>1</v>
      </c>
      <c r="C66" t="str">
        <f t="shared" si="13"/>
        <v>32040</v>
      </c>
      <c r="D66" t="str">
        <f t="shared" si="14"/>
        <v>5610</v>
      </c>
      <c r="E66" t="str">
        <f t="shared" si="15"/>
        <v>850LOS</v>
      </c>
      <c r="F66" t="str">
        <f>""</f>
        <v/>
      </c>
      <c r="G66" t="str">
        <f>""</f>
        <v/>
      </c>
      <c r="H66" s="1">
        <v>40497</v>
      </c>
      <c r="I66" t="str">
        <f>"74745204"</f>
        <v>74745204</v>
      </c>
      <c r="J66" t="str">
        <f t="shared" si="18"/>
        <v>NP52205P</v>
      </c>
      <c r="K66" t="str">
        <f t="shared" si="20"/>
        <v>INEI</v>
      </c>
      <c r="L66" t="s">
        <v>36</v>
      </c>
      <c r="M66">
        <v>361.52</v>
      </c>
    </row>
    <row r="67" spans="1:13" x14ac:dyDescent="0.25">
      <c r="A67" t="str">
        <f t="shared" si="4"/>
        <v>E111</v>
      </c>
      <c r="B67">
        <v>1</v>
      </c>
      <c r="C67" t="str">
        <f t="shared" si="13"/>
        <v>32040</v>
      </c>
      <c r="D67" t="str">
        <f t="shared" si="14"/>
        <v>5610</v>
      </c>
      <c r="E67" t="str">
        <f t="shared" si="15"/>
        <v>850LOS</v>
      </c>
      <c r="F67" t="str">
        <f>""</f>
        <v/>
      </c>
      <c r="G67" t="str">
        <f>""</f>
        <v/>
      </c>
      <c r="H67" s="1">
        <v>40497</v>
      </c>
      <c r="I67" t="str">
        <f>"74745203"</f>
        <v>74745203</v>
      </c>
      <c r="J67" t="str">
        <f t="shared" si="18"/>
        <v>NP52205P</v>
      </c>
      <c r="K67" t="str">
        <f t="shared" si="20"/>
        <v>INEI</v>
      </c>
      <c r="L67" t="s">
        <v>36</v>
      </c>
      <c r="M67">
        <v>450.84</v>
      </c>
    </row>
    <row r="68" spans="1:13" x14ac:dyDescent="0.25">
      <c r="A68" t="str">
        <f t="shared" si="4"/>
        <v>E111</v>
      </c>
      <c r="B68">
        <v>1</v>
      </c>
      <c r="C68" t="str">
        <f t="shared" si="13"/>
        <v>32040</v>
      </c>
      <c r="D68" t="str">
        <f t="shared" si="14"/>
        <v>5610</v>
      </c>
      <c r="E68" t="str">
        <f t="shared" si="15"/>
        <v>850LOS</v>
      </c>
      <c r="F68" t="str">
        <f>""</f>
        <v/>
      </c>
      <c r="G68" t="str">
        <f>""</f>
        <v/>
      </c>
      <c r="H68" s="1">
        <v>40527</v>
      </c>
      <c r="I68" t="str">
        <f>"74745205"</f>
        <v>74745205</v>
      </c>
      <c r="J68" t="str">
        <f t="shared" si="18"/>
        <v>NP52205P</v>
      </c>
      <c r="K68" t="str">
        <f t="shared" si="20"/>
        <v>INEI</v>
      </c>
      <c r="L68" t="s">
        <v>36</v>
      </c>
      <c r="M68" s="2">
        <v>6393.07</v>
      </c>
    </row>
    <row r="69" spans="1:13" x14ac:dyDescent="0.25">
      <c r="A69" t="str">
        <f t="shared" si="4"/>
        <v>E111</v>
      </c>
      <c r="B69">
        <v>1</v>
      </c>
      <c r="C69" t="str">
        <f t="shared" si="13"/>
        <v>32040</v>
      </c>
      <c r="D69" t="str">
        <f t="shared" si="14"/>
        <v>5610</v>
      </c>
      <c r="E69" t="str">
        <f t="shared" si="15"/>
        <v>850LOS</v>
      </c>
      <c r="F69" t="str">
        <f>""</f>
        <v/>
      </c>
      <c r="G69" t="str">
        <f>""</f>
        <v/>
      </c>
      <c r="H69" s="1">
        <v>40534</v>
      </c>
      <c r="I69" t="str">
        <f>"75216401"</f>
        <v>75216401</v>
      </c>
      <c r="J69" t="str">
        <f t="shared" si="18"/>
        <v>NP52205P</v>
      </c>
      <c r="K69" t="str">
        <f t="shared" si="20"/>
        <v>INEI</v>
      </c>
      <c r="L69" t="s">
        <v>36</v>
      </c>
      <c r="M69">
        <v>311.12</v>
      </c>
    </row>
    <row r="70" spans="1:13" x14ac:dyDescent="0.25">
      <c r="A70" t="str">
        <f t="shared" si="4"/>
        <v>E111</v>
      </c>
      <c r="B70">
        <v>1</v>
      </c>
      <c r="C70" t="str">
        <f t="shared" si="13"/>
        <v>32040</v>
      </c>
      <c r="D70" t="str">
        <f t="shared" si="14"/>
        <v>5610</v>
      </c>
      <c r="E70" t="str">
        <f t="shared" si="15"/>
        <v>850LOS</v>
      </c>
      <c r="F70" t="str">
        <f>""</f>
        <v/>
      </c>
      <c r="G70" t="str">
        <f>""</f>
        <v/>
      </c>
      <c r="H70" s="1">
        <v>40567</v>
      </c>
      <c r="I70" t="str">
        <f>"75216402"</f>
        <v>75216402</v>
      </c>
      <c r="J70" t="str">
        <f>"NP52205P"</f>
        <v>NP52205P</v>
      </c>
      <c r="K70" t="str">
        <f>"INEI"</f>
        <v>INEI</v>
      </c>
      <c r="L70" t="s">
        <v>36</v>
      </c>
      <c r="M70">
        <v>389.43</v>
      </c>
    </row>
    <row r="71" spans="1:13" x14ac:dyDescent="0.25">
      <c r="A71" t="str">
        <f t="shared" si="4"/>
        <v>E111</v>
      </c>
      <c r="B71">
        <v>1</v>
      </c>
      <c r="C71" t="str">
        <f t="shared" si="13"/>
        <v>32040</v>
      </c>
      <c r="D71" t="str">
        <f t="shared" si="14"/>
        <v>5610</v>
      </c>
      <c r="E71" t="str">
        <f t="shared" si="15"/>
        <v>850LOS</v>
      </c>
      <c r="F71" t="str">
        <f>""</f>
        <v/>
      </c>
      <c r="G71" t="str">
        <f>""</f>
        <v/>
      </c>
      <c r="H71" s="1">
        <v>40578</v>
      </c>
      <c r="I71" t="str">
        <f>"PCD00465"</f>
        <v>PCD00465</v>
      </c>
      <c r="J71" t="str">
        <f>"137582"</f>
        <v>137582</v>
      </c>
      <c r="K71" t="str">
        <f>"AS89"</f>
        <v>AS89</v>
      </c>
      <c r="L71" t="s">
        <v>1637</v>
      </c>
      <c r="M71">
        <v>141.03</v>
      </c>
    </row>
    <row r="72" spans="1:13" x14ac:dyDescent="0.25">
      <c r="A72" t="str">
        <f t="shared" ref="A72:A135" si="21">"E111"</f>
        <v>E111</v>
      </c>
      <c r="B72">
        <v>1</v>
      </c>
      <c r="C72" t="str">
        <f t="shared" si="13"/>
        <v>32040</v>
      </c>
      <c r="D72" t="str">
        <f t="shared" si="14"/>
        <v>5610</v>
      </c>
      <c r="E72" t="str">
        <f t="shared" si="15"/>
        <v>850LOS</v>
      </c>
      <c r="F72" t="str">
        <f>""</f>
        <v/>
      </c>
      <c r="G72" t="str">
        <f>""</f>
        <v/>
      </c>
      <c r="H72" s="1">
        <v>40585</v>
      </c>
      <c r="I72" t="str">
        <f>"75646301"</f>
        <v>75646301</v>
      </c>
      <c r="J72" t="str">
        <f t="shared" ref="J72:J75" si="22">"NP52205P"</f>
        <v>NP52205P</v>
      </c>
      <c r="K72" t="str">
        <f t="shared" ref="K72:K75" si="23">"INEI"</f>
        <v>INEI</v>
      </c>
      <c r="L72" t="s">
        <v>36</v>
      </c>
      <c r="M72">
        <v>467.85</v>
      </c>
    </row>
    <row r="73" spans="1:13" x14ac:dyDescent="0.25">
      <c r="A73" t="str">
        <f t="shared" si="21"/>
        <v>E111</v>
      </c>
      <c r="B73">
        <v>1</v>
      </c>
      <c r="C73" t="str">
        <f t="shared" si="13"/>
        <v>32040</v>
      </c>
      <c r="D73" t="str">
        <f t="shared" si="14"/>
        <v>5610</v>
      </c>
      <c r="E73" t="str">
        <f t="shared" si="15"/>
        <v>850LOS</v>
      </c>
      <c r="F73" t="str">
        <f>""</f>
        <v/>
      </c>
      <c r="G73" t="str">
        <f>""</f>
        <v/>
      </c>
      <c r="H73" s="1">
        <v>40585</v>
      </c>
      <c r="I73" t="str">
        <f>"75647001"</f>
        <v>75647001</v>
      </c>
      <c r="J73" t="str">
        <f t="shared" si="22"/>
        <v>NP52205P</v>
      </c>
      <c r="K73" t="str">
        <f t="shared" si="23"/>
        <v>INEI</v>
      </c>
      <c r="L73" t="s">
        <v>36</v>
      </c>
      <c r="M73">
        <v>549.6</v>
      </c>
    </row>
    <row r="74" spans="1:13" x14ac:dyDescent="0.25">
      <c r="A74" t="str">
        <f t="shared" si="21"/>
        <v>E111</v>
      </c>
      <c r="B74">
        <v>1</v>
      </c>
      <c r="C74" t="str">
        <f t="shared" si="13"/>
        <v>32040</v>
      </c>
      <c r="D74" t="str">
        <f t="shared" si="14"/>
        <v>5610</v>
      </c>
      <c r="E74" t="str">
        <f t="shared" si="15"/>
        <v>850LOS</v>
      </c>
      <c r="F74" t="str">
        <f>""</f>
        <v/>
      </c>
      <c r="G74" t="str">
        <f>""</f>
        <v/>
      </c>
      <c r="H74" s="1">
        <v>40585</v>
      </c>
      <c r="I74" t="str">
        <f>"75647501"</f>
        <v>75647501</v>
      </c>
      <c r="J74" t="str">
        <f t="shared" si="22"/>
        <v>NP52205P</v>
      </c>
      <c r="K74" t="str">
        <f t="shared" si="23"/>
        <v>INEI</v>
      </c>
      <c r="L74" t="s">
        <v>36</v>
      </c>
      <c r="M74" s="2">
        <v>5262.6</v>
      </c>
    </row>
    <row r="75" spans="1:13" x14ac:dyDescent="0.25">
      <c r="A75" t="str">
        <f t="shared" si="21"/>
        <v>E111</v>
      </c>
      <c r="B75">
        <v>1</v>
      </c>
      <c r="C75" t="str">
        <f t="shared" si="13"/>
        <v>32040</v>
      </c>
      <c r="D75" t="str">
        <f t="shared" si="14"/>
        <v>5610</v>
      </c>
      <c r="E75" t="str">
        <f t="shared" si="15"/>
        <v>850LOS</v>
      </c>
      <c r="F75" t="str">
        <f>""</f>
        <v/>
      </c>
      <c r="G75" t="str">
        <f>""</f>
        <v/>
      </c>
      <c r="H75" s="1">
        <v>40585</v>
      </c>
      <c r="I75" t="str">
        <f>"75496004"</f>
        <v>75496004</v>
      </c>
      <c r="J75" t="str">
        <f t="shared" si="22"/>
        <v>NP52205P</v>
      </c>
      <c r="K75" t="str">
        <f t="shared" si="23"/>
        <v>INEI</v>
      </c>
      <c r="L75" t="s">
        <v>36</v>
      </c>
      <c r="M75">
        <v>897.51</v>
      </c>
    </row>
    <row r="76" spans="1:13" x14ac:dyDescent="0.25">
      <c r="A76" t="str">
        <f t="shared" si="21"/>
        <v>E111</v>
      </c>
      <c r="B76">
        <v>1</v>
      </c>
      <c r="C76" t="str">
        <f t="shared" si="13"/>
        <v>32040</v>
      </c>
      <c r="D76" t="str">
        <f t="shared" si="14"/>
        <v>5610</v>
      </c>
      <c r="E76" t="str">
        <f t="shared" si="15"/>
        <v>850LOS</v>
      </c>
      <c r="F76" t="str">
        <f>""</f>
        <v/>
      </c>
      <c r="G76" t="str">
        <f>""</f>
        <v/>
      </c>
      <c r="H76" s="1">
        <v>40602</v>
      </c>
      <c r="I76" t="str">
        <f>"PCD00469"</f>
        <v>PCD00469</v>
      </c>
      <c r="J76" t="str">
        <f>"139232"</f>
        <v>139232</v>
      </c>
      <c r="K76" t="str">
        <f>"AS89"</f>
        <v>AS89</v>
      </c>
      <c r="L76" t="s">
        <v>1636</v>
      </c>
      <c r="M76">
        <v>208.28</v>
      </c>
    </row>
    <row r="77" spans="1:13" x14ac:dyDescent="0.25">
      <c r="A77" t="str">
        <f t="shared" si="21"/>
        <v>E111</v>
      </c>
      <c r="B77">
        <v>1</v>
      </c>
      <c r="C77" t="str">
        <f t="shared" si="13"/>
        <v>32040</v>
      </c>
      <c r="D77" t="str">
        <f t="shared" si="14"/>
        <v>5610</v>
      </c>
      <c r="E77" t="str">
        <f t="shared" si="15"/>
        <v>850LOS</v>
      </c>
      <c r="F77" t="str">
        <f>""</f>
        <v/>
      </c>
      <c r="G77" t="str">
        <f>""</f>
        <v/>
      </c>
      <c r="H77" s="1">
        <v>40604</v>
      </c>
      <c r="I77" t="str">
        <f>"75857202"</f>
        <v>75857202</v>
      </c>
      <c r="J77" t="str">
        <f t="shared" ref="J77:J105" si="24">"NP52205Q"</f>
        <v>NP52205Q</v>
      </c>
      <c r="K77" t="str">
        <f t="shared" ref="K77:K111" si="25">"INEI"</f>
        <v>INEI</v>
      </c>
      <c r="L77" t="s">
        <v>36</v>
      </c>
      <c r="M77">
        <v>214.83</v>
      </c>
    </row>
    <row r="78" spans="1:13" x14ac:dyDescent="0.25">
      <c r="A78" t="str">
        <f t="shared" si="21"/>
        <v>E111</v>
      </c>
      <c r="B78">
        <v>1</v>
      </c>
      <c r="C78" t="str">
        <f t="shared" si="13"/>
        <v>32040</v>
      </c>
      <c r="D78" t="str">
        <f t="shared" si="14"/>
        <v>5610</v>
      </c>
      <c r="E78" t="str">
        <f t="shared" si="15"/>
        <v>850LOS</v>
      </c>
      <c r="F78" t="str">
        <f>""</f>
        <v/>
      </c>
      <c r="G78" t="str">
        <f>""</f>
        <v/>
      </c>
      <c r="H78" s="1">
        <v>40604</v>
      </c>
      <c r="I78" t="str">
        <f>"75538401"</f>
        <v>75538401</v>
      </c>
      <c r="J78" t="str">
        <f t="shared" si="24"/>
        <v>NP52205Q</v>
      </c>
      <c r="K78" t="str">
        <f t="shared" si="25"/>
        <v>INEI</v>
      </c>
      <c r="L78" t="s">
        <v>36</v>
      </c>
      <c r="M78" s="2">
        <v>5081.93</v>
      </c>
    </row>
    <row r="79" spans="1:13" x14ac:dyDescent="0.25">
      <c r="A79" t="str">
        <f t="shared" si="21"/>
        <v>E111</v>
      </c>
      <c r="B79">
        <v>1</v>
      </c>
      <c r="C79" t="str">
        <f t="shared" si="13"/>
        <v>32040</v>
      </c>
      <c r="D79" t="str">
        <f t="shared" si="14"/>
        <v>5610</v>
      </c>
      <c r="E79" t="str">
        <f t="shared" si="15"/>
        <v>850LOS</v>
      </c>
      <c r="F79" t="str">
        <f>""</f>
        <v/>
      </c>
      <c r="G79" t="str">
        <f>""</f>
        <v/>
      </c>
      <c r="H79" s="1">
        <v>40604</v>
      </c>
      <c r="I79" t="str">
        <f>"75538402"</f>
        <v>75538402</v>
      </c>
      <c r="J79" t="str">
        <f t="shared" si="24"/>
        <v>NP52205Q</v>
      </c>
      <c r="K79" t="str">
        <f t="shared" si="25"/>
        <v>INEI</v>
      </c>
      <c r="L79" t="s">
        <v>36</v>
      </c>
      <c r="M79" s="2">
        <v>8464.2199999999993</v>
      </c>
    </row>
    <row r="80" spans="1:13" x14ac:dyDescent="0.25">
      <c r="A80" t="str">
        <f t="shared" si="21"/>
        <v>E111</v>
      </c>
      <c r="B80">
        <v>1</v>
      </c>
      <c r="C80" t="str">
        <f t="shared" si="13"/>
        <v>32040</v>
      </c>
      <c r="D80" t="str">
        <f t="shared" si="14"/>
        <v>5610</v>
      </c>
      <c r="E80" t="str">
        <f t="shared" si="15"/>
        <v>850LOS</v>
      </c>
      <c r="F80" t="str">
        <f>""</f>
        <v/>
      </c>
      <c r="G80" t="str">
        <f>""</f>
        <v/>
      </c>
      <c r="H80" s="1">
        <v>40611</v>
      </c>
      <c r="I80" t="str">
        <f>"75637701"</f>
        <v>75637701</v>
      </c>
      <c r="J80" t="str">
        <f t="shared" si="24"/>
        <v>NP52205Q</v>
      </c>
      <c r="K80" t="str">
        <f t="shared" si="25"/>
        <v>INEI</v>
      </c>
      <c r="L80" t="s">
        <v>36</v>
      </c>
      <c r="M80">
        <v>677.04</v>
      </c>
    </row>
    <row r="81" spans="1:13" x14ac:dyDescent="0.25">
      <c r="A81" t="str">
        <f t="shared" si="21"/>
        <v>E111</v>
      </c>
      <c r="B81">
        <v>1</v>
      </c>
      <c r="C81" t="str">
        <f t="shared" si="13"/>
        <v>32040</v>
      </c>
      <c r="D81" t="str">
        <f t="shared" si="14"/>
        <v>5610</v>
      </c>
      <c r="E81" t="str">
        <f t="shared" si="15"/>
        <v>850LOS</v>
      </c>
      <c r="F81" t="str">
        <f>""</f>
        <v/>
      </c>
      <c r="G81" t="str">
        <f>""</f>
        <v/>
      </c>
      <c r="H81" s="1">
        <v>40618</v>
      </c>
      <c r="I81" t="str">
        <f>"75779301"</f>
        <v>75779301</v>
      </c>
      <c r="J81" t="str">
        <f t="shared" si="24"/>
        <v>NP52205Q</v>
      </c>
      <c r="K81" t="str">
        <f t="shared" si="25"/>
        <v>INEI</v>
      </c>
      <c r="L81" t="s">
        <v>36</v>
      </c>
      <c r="M81" s="2">
        <v>2381.58</v>
      </c>
    </row>
    <row r="82" spans="1:13" x14ac:dyDescent="0.25">
      <c r="A82" t="str">
        <f t="shared" si="21"/>
        <v>E111</v>
      </c>
      <c r="B82">
        <v>1</v>
      </c>
      <c r="C82" t="str">
        <f t="shared" si="13"/>
        <v>32040</v>
      </c>
      <c r="D82" t="str">
        <f t="shared" si="14"/>
        <v>5610</v>
      </c>
      <c r="E82" t="str">
        <f t="shared" si="15"/>
        <v>850LOS</v>
      </c>
      <c r="F82" t="str">
        <f>""</f>
        <v/>
      </c>
      <c r="G82" t="str">
        <f>""</f>
        <v/>
      </c>
      <c r="H82" s="1">
        <v>40633</v>
      </c>
      <c r="I82" t="str">
        <f>"76028504"</f>
        <v>76028504</v>
      </c>
      <c r="J82" t="str">
        <f t="shared" si="24"/>
        <v>NP52205Q</v>
      </c>
      <c r="K82" t="str">
        <f t="shared" si="25"/>
        <v>INEI</v>
      </c>
      <c r="L82" t="s">
        <v>36</v>
      </c>
      <c r="M82">
        <v>315.08999999999997</v>
      </c>
    </row>
    <row r="83" spans="1:13" x14ac:dyDescent="0.25">
      <c r="A83" t="str">
        <f t="shared" si="21"/>
        <v>E111</v>
      </c>
      <c r="B83">
        <v>1</v>
      </c>
      <c r="C83" t="str">
        <f t="shared" si="13"/>
        <v>32040</v>
      </c>
      <c r="D83" t="str">
        <f t="shared" si="14"/>
        <v>5610</v>
      </c>
      <c r="E83" t="str">
        <f t="shared" si="15"/>
        <v>850LOS</v>
      </c>
      <c r="F83" t="str">
        <f>""</f>
        <v/>
      </c>
      <c r="G83" t="str">
        <f>""</f>
        <v/>
      </c>
      <c r="H83" s="1">
        <v>40633</v>
      </c>
      <c r="I83" t="str">
        <f>"76028503"</f>
        <v>76028503</v>
      </c>
      <c r="J83" t="str">
        <f t="shared" si="24"/>
        <v>NP52205Q</v>
      </c>
      <c r="K83" t="str">
        <f t="shared" si="25"/>
        <v>INEI</v>
      </c>
      <c r="L83" t="s">
        <v>36</v>
      </c>
      <c r="M83">
        <v>202.9</v>
      </c>
    </row>
    <row r="84" spans="1:13" x14ac:dyDescent="0.25">
      <c r="A84" t="str">
        <f t="shared" si="21"/>
        <v>E111</v>
      </c>
      <c r="B84">
        <v>1</v>
      </c>
      <c r="C84" t="str">
        <f t="shared" si="13"/>
        <v>32040</v>
      </c>
      <c r="D84" t="str">
        <f t="shared" si="14"/>
        <v>5610</v>
      </c>
      <c r="E84" t="str">
        <f t="shared" si="15"/>
        <v>850LOS</v>
      </c>
      <c r="F84" t="str">
        <f>""</f>
        <v/>
      </c>
      <c r="G84" t="str">
        <f>""</f>
        <v/>
      </c>
      <c r="H84" s="1">
        <v>40634</v>
      </c>
      <c r="I84" t="str">
        <f>"76028501"</f>
        <v>76028501</v>
      </c>
      <c r="J84" t="str">
        <f t="shared" si="24"/>
        <v>NP52205Q</v>
      </c>
      <c r="K84" t="str">
        <f t="shared" si="25"/>
        <v>INEI</v>
      </c>
      <c r="L84" t="s">
        <v>36</v>
      </c>
      <c r="M84" s="2">
        <v>1865.7</v>
      </c>
    </row>
    <row r="85" spans="1:13" x14ac:dyDescent="0.25">
      <c r="A85" t="str">
        <f t="shared" si="21"/>
        <v>E111</v>
      </c>
      <c r="B85">
        <v>1</v>
      </c>
      <c r="C85" t="str">
        <f t="shared" si="13"/>
        <v>32040</v>
      </c>
      <c r="D85" t="str">
        <f t="shared" si="14"/>
        <v>5610</v>
      </c>
      <c r="E85" t="str">
        <f t="shared" si="15"/>
        <v>850LOS</v>
      </c>
      <c r="F85" t="str">
        <f>""</f>
        <v/>
      </c>
      <c r="G85" t="str">
        <f>""</f>
        <v/>
      </c>
      <c r="H85" s="1">
        <v>40634</v>
      </c>
      <c r="I85" t="str">
        <f>"76028505"</f>
        <v>76028505</v>
      </c>
      <c r="J85" t="str">
        <f t="shared" si="24"/>
        <v>NP52205Q</v>
      </c>
      <c r="K85" t="str">
        <f t="shared" si="25"/>
        <v>INEI</v>
      </c>
      <c r="L85" t="s">
        <v>36</v>
      </c>
      <c r="M85" s="2">
        <v>7337.16</v>
      </c>
    </row>
    <row r="86" spans="1:13" x14ac:dyDescent="0.25">
      <c r="A86" t="str">
        <f t="shared" si="21"/>
        <v>E111</v>
      </c>
      <c r="B86">
        <v>1</v>
      </c>
      <c r="C86" t="str">
        <f t="shared" si="13"/>
        <v>32040</v>
      </c>
      <c r="D86" t="str">
        <f t="shared" si="14"/>
        <v>5610</v>
      </c>
      <c r="E86" t="str">
        <f t="shared" si="15"/>
        <v>850LOS</v>
      </c>
      <c r="F86" t="str">
        <f>""</f>
        <v/>
      </c>
      <c r="G86" t="str">
        <f>""</f>
        <v/>
      </c>
      <c r="H86" s="1">
        <v>40639</v>
      </c>
      <c r="I86" t="str">
        <f>"76028502"</f>
        <v>76028502</v>
      </c>
      <c r="J86" t="str">
        <f t="shared" si="24"/>
        <v>NP52205Q</v>
      </c>
      <c r="K86" t="str">
        <f t="shared" si="25"/>
        <v>INEI</v>
      </c>
      <c r="L86" t="s">
        <v>36</v>
      </c>
      <c r="M86" s="2">
        <v>1769.37</v>
      </c>
    </row>
    <row r="87" spans="1:13" x14ac:dyDescent="0.25">
      <c r="A87" t="str">
        <f t="shared" si="21"/>
        <v>E111</v>
      </c>
      <c r="B87">
        <v>1</v>
      </c>
      <c r="C87" t="str">
        <f t="shared" si="13"/>
        <v>32040</v>
      </c>
      <c r="D87" t="str">
        <f t="shared" si="14"/>
        <v>5610</v>
      </c>
      <c r="E87" t="str">
        <f t="shared" si="15"/>
        <v>850LOS</v>
      </c>
      <c r="F87" t="str">
        <f>""</f>
        <v/>
      </c>
      <c r="G87" t="str">
        <f>""</f>
        <v/>
      </c>
      <c r="H87" s="1">
        <v>40648</v>
      </c>
      <c r="I87" t="str">
        <f>"75857203"</f>
        <v>75857203</v>
      </c>
      <c r="J87" t="str">
        <f t="shared" si="24"/>
        <v>NP52205Q</v>
      </c>
      <c r="K87" t="str">
        <f t="shared" si="25"/>
        <v>INEI</v>
      </c>
      <c r="L87" t="s">
        <v>36</v>
      </c>
      <c r="M87">
        <v>107.42</v>
      </c>
    </row>
    <row r="88" spans="1:13" x14ac:dyDescent="0.25">
      <c r="A88" t="str">
        <f t="shared" si="21"/>
        <v>E111</v>
      </c>
      <c r="B88">
        <v>1</v>
      </c>
      <c r="C88" t="str">
        <f t="shared" si="13"/>
        <v>32040</v>
      </c>
      <c r="D88" t="str">
        <f t="shared" si="14"/>
        <v>5610</v>
      </c>
      <c r="E88" t="str">
        <f t="shared" si="15"/>
        <v>850LOS</v>
      </c>
      <c r="F88" t="str">
        <f>""</f>
        <v/>
      </c>
      <c r="G88" t="str">
        <f>""</f>
        <v/>
      </c>
      <c r="H88" s="1">
        <v>40648</v>
      </c>
      <c r="I88" t="str">
        <f>"75971301"</f>
        <v>75971301</v>
      </c>
      <c r="J88" t="str">
        <f t="shared" si="24"/>
        <v>NP52205Q</v>
      </c>
      <c r="K88" t="str">
        <f t="shared" si="25"/>
        <v>INEI</v>
      </c>
      <c r="L88" t="s">
        <v>36</v>
      </c>
      <c r="M88" s="2">
        <v>9436.2999999999993</v>
      </c>
    </row>
    <row r="89" spans="1:13" x14ac:dyDescent="0.25">
      <c r="A89" t="str">
        <f t="shared" si="21"/>
        <v>E111</v>
      </c>
      <c r="B89">
        <v>1</v>
      </c>
      <c r="C89" t="str">
        <f t="shared" si="13"/>
        <v>32040</v>
      </c>
      <c r="D89" t="str">
        <f t="shared" si="14"/>
        <v>5610</v>
      </c>
      <c r="E89" t="str">
        <f t="shared" si="15"/>
        <v>850LOS</v>
      </c>
      <c r="F89" t="str">
        <f>""</f>
        <v/>
      </c>
      <c r="G89" t="str">
        <f>""</f>
        <v/>
      </c>
      <c r="H89" s="1">
        <v>40648</v>
      </c>
      <c r="I89" t="str">
        <f>"75955301"</f>
        <v>75955301</v>
      </c>
      <c r="J89" t="str">
        <f t="shared" si="24"/>
        <v>NP52205Q</v>
      </c>
      <c r="K89" t="str">
        <f t="shared" si="25"/>
        <v>INEI</v>
      </c>
      <c r="L89" t="s">
        <v>36</v>
      </c>
      <c r="M89" s="2">
        <v>1726.45</v>
      </c>
    </row>
    <row r="90" spans="1:13" x14ac:dyDescent="0.25">
      <c r="A90" t="str">
        <f t="shared" si="21"/>
        <v>E111</v>
      </c>
      <c r="B90">
        <v>1</v>
      </c>
      <c r="C90" t="str">
        <f t="shared" si="13"/>
        <v>32040</v>
      </c>
      <c r="D90" t="str">
        <f t="shared" si="14"/>
        <v>5610</v>
      </c>
      <c r="E90" t="str">
        <f t="shared" si="15"/>
        <v>850LOS</v>
      </c>
      <c r="F90" t="str">
        <f>""</f>
        <v/>
      </c>
      <c r="G90" t="str">
        <f>""</f>
        <v/>
      </c>
      <c r="H90" s="1">
        <v>40648</v>
      </c>
      <c r="I90" t="str">
        <f>"76241701"</f>
        <v>76241701</v>
      </c>
      <c r="J90" t="str">
        <f t="shared" si="24"/>
        <v>NP52205Q</v>
      </c>
      <c r="K90" t="str">
        <f t="shared" si="25"/>
        <v>INEI</v>
      </c>
      <c r="L90" t="s">
        <v>36</v>
      </c>
      <c r="M90" s="2">
        <v>1382.07</v>
      </c>
    </row>
    <row r="91" spans="1:13" x14ac:dyDescent="0.25">
      <c r="A91" t="str">
        <f t="shared" si="21"/>
        <v>E111</v>
      </c>
      <c r="B91">
        <v>1</v>
      </c>
      <c r="C91" t="str">
        <f t="shared" si="13"/>
        <v>32040</v>
      </c>
      <c r="D91" t="str">
        <f t="shared" si="14"/>
        <v>5610</v>
      </c>
      <c r="E91" t="str">
        <f t="shared" si="15"/>
        <v>850LOS</v>
      </c>
      <c r="F91" t="str">
        <f>""</f>
        <v/>
      </c>
      <c r="G91" t="str">
        <f>""</f>
        <v/>
      </c>
      <c r="H91" s="1">
        <v>40648</v>
      </c>
      <c r="I91" t="str">
        <f>"75959802"</f>
        <v>75959802</v>
      </c>
      <c r="J91" t="str">
        <f t="shared" si="24"/>
        <v>NP52205Q</v>
      </c>
      <c r="K91" t="str">
        <f t="shared" si="25"/>
        <v>INEI</v>
      </c>
      <c r="L91" t="s">
        <v>36</v>
      </c>
      <c r="M91" s="2">
        <v>2490.08</v>
      </c>
    </row>
    <row r="92" spans="1:13" x14ac:dyDescent="0.25">
      <c r="A92" t="str">
        <f t="shared" si="21"/>
        <v>E111</v>
      </c>
      <c r="B92">
        <v>1</v>
      </c>
      <c r="C92" t="str">
        <f t="shared" si="13"/>
        <v>32040</v>
      </c>
      <c r="D92" t="str">
        <f t="shared" si="14"/>
        <v>5610</v>
      </c>
      <c r="E92" t="str">
        <f t="shared" si="15"/>
        <v>850LOS</v>
      </c>
      <c r="F92" t="str">
        <f>""</f>
        <v/>
      </c>
      <c r="G92" t="str">
        <f>""</f>
        <v/>
      </c>
      <c r="H92" s="1">
        <v>40648</v>
      </c>
      <c r="I92" t="str">
        <f>"75959801"</f>
        <v>75959801</v>
      </c>
      <c r="J92" t="str">
        <f t="shared" si="24"/>
        <v>NP52205Q</v>
      </c>
      <c r="K92" t="str">
        <f t="shared" si="25"/>
        <v>INEI</v>
      </c>
      <c r="L92" t="s">
        <v>36</v>
      </c>
      <c r="M92" s="2">
        <v>2601.83</v>
      </c>
    </row>
    <row r="93" spans="1:13" x14ac:dyDescent="0.25">
      <c r="A93" t="str">
        <f t="shared" si="21"/>
        <v>E111</v>
      </c>
      <c r="B93">
        <v>1</v>
      </c>
      <c r="C93" t="str">
        <f t="shared" si="13"/>
        <v>32040</v>
      </c>
      <c r="D93" t="str">
        <f t="shared" si="14"/>
        <v>5610</v>
      </c>
      <c r="E93" t="str">
        <f t="shared" si="15"/>
        <v>850LOS</v>
      </c>
      <c r="F93" t="str">
        <f>""</f>
        <v/>
      </c>
      <c r="G93" t="str">
        <f>""</f>
        <v/>
      </c>
      <c r="H93" s="1">
        <v>40648</v>
      </c>
      <c r="I93" t="str">
        <f>"76109901"</f>
        <v>76109901</v>
      </c>
      <c r="J93" t="str">
        <f t="shared" si="24"/>
        <v>NP52205Q</v>
      </c>
      <c r="K93" t="str">
        <f t="shared" si="25"/>
        <v>INEI</v>
      </c>
      <c r="L93" t="s">
        <v>36</v>
      </c>
      <c r="M93">
        <v>501.27</v>
      </c>
    </row>
    <row r="94" spans="1:13" x14ac:dyDescent="0.25">
      <c r="A94" t="str">
        <f t="shared" si="21"/>
        <v>E111</v>
      </c>
      <c r="B94">
        <v>1</v>
      </c>
      <c r="C94" t="str">
        <f t="shared" si="13"/>
        <v>32040</v>
      </c>
      <c r="D94" t="str">
        <f t="shared" si="14"/>
        <v>5610</v>
      </c>
      <c r="E94" t="str">
        <f t="shared" si="15"/>
        <v>850LOS</v>
      </c>
      <c r="F94" t="str">
        <f>""</f>
        <v/>
      </c>
      <c r="G94" t="str">
        <f>""</f>
        <v/>
      </c>
      <c r="H94" s="1">
        <v>40676</v>
      </c>
      <c r="I94" t="str">
        <f>"76582102"</f>
        <v>76582102</v>
      </c>
      <c r="J94" t="str">
        <f t="shared" si="24"/>
        <v>NP52205Q</v>
      </c>
      <c r="K94" t="str">
        <f t="shared" si="25"/>
        <v>INEI</v>
      </c>
      <c r="L94" t="s">
        <v>36</v>
      </c>
      <c r="M94" s="2">
        <v>2121.64</v>
      </c>
    </row>
    <row r="95" spans="1:13" x14ac:dyDescent="0.25">
      <c r="A95" t="str">
        <f t="shared" si="21"/>
        <v>E111</v>
      </c>
      <c r="B95">
        <v>1</v>
      </c>
      <c r="C95" t="str">
        <f t="shared" si="13"/>
        <v>32040</v>
      </c>
      <c r="D95" t="str">
        <f t="shared" si="14"/>
        <v>5610</v>
      </c>
      <c r="E95" t="str">
        <f t="shared" si="15"/>
        <v>850LOS</v>
      </c>
      <c r="F95" t="str">
        <f>""</f>
        <v/>
      </c>
      <c r="G95" t="str">
        <f>""</f>
        <v/>
      </c>
      <c r="H95" s="1">
        <v>40676</v>
      </c>
      <c r="I95" t="str">
        <f>"76109902"</f>
        <v>76109902</v>
      </c>
      <c r="J95" t="str">
        <f t="shared" si="24"/>
        <v>NP52205Q</v>
      </c>
      <c r="K95" t="str">
        <f t="shared" si="25"/>
        <v>INEI</v>
      </c>
      <c r="L95" t="s">
        <v>36</v>
      </c>
      <c r="M95">
        <v>304.33999999999997</v>
      </c>
    </row>
    <row r="96" spans="1:13" x14ac:dyDescent="0.25">
      <c r="A96" t="str">
        <f t="shared" si="21"/>
        <v>E111</v>
      </c>
      <c r="B96">
        <v>1</v>
      </c>
      <c r="C96" t="str">
        <f t="shared" si="13"/>
        <v>32040</v>
      </c>
      <c r="D96" t="str">
        <f t="shared" si="14"/>
        <v>5610</v>
      </c>
      <c r="E96" t="str">
        <f t="shared" si="15"/>
        <v>850LOS</v>
      </c>
      <c r="F96" t="str">
        <f>""</f>
        <v/>
      </c>
      <c r="G96" t="str">
        <f>""</f>
        <v/>
      </c>
      <c r="H96" s="1">
        <v>40676</v>
      </c>
      <c r="I96" t="str">
        <f>"76556201"</f>
        <v>76556201</v>
      </c>
      <c r="J96" t="str">
        <f t="shared" si="24"/>
        <v>NP52205Q</v>
      </c>
      <c r="K96" t="str">
        <f t="shared" si="25"/>
        <v>INEI</v>
      </c>
      <c r="L96" t="s">
        <v>36</v>
      </c>
      <c r="M96">
        <v>319.25</v>
      </c>
    </row>
    <row r="97" spans="1:13" x14ac:dyDescent="0.25">
      <c r="A97" t="str">
        <f t="shared" si="21"/>
        <v>E111</v>
      </c>
      <c r="B97">
        <v>1</v>
      </c>
      <c r="C97" t="str">
        <f t="shared" si="13"/>
        <v>32040</v>
      </c>
      <c r="D97" t="str">
        <f t="shared" si="14"/>
        <v>5610</v>
      </c>
      <c r="E97" t="str">
        <f t="shared" si="15"/>
        <v>850LOS</v>
      </c>
      <c r="F97" t="str">
        <f>""</f>
        <v/>
      </c>
      <c r="G97" t="str">
        <f>""</f>
        <v/>
      </c>
      <c r="H97" s="1">
        <v>40676</v>
      </c>
      <c r="I97" t="str">
        <f>"76028507"</f>
        <v>76028507</v>
      </c>
      <c r="J97" t="str">
        <f t="shared" si="24"/>
        <v>NP52205Q</v>
      </c>
      <c r="K97" t="str">
        <f t="shared" si="25"/>
        <v>INEI</v>
      </c>
      <c r="L97" t="s">
        <v>36</v>
      </c>
      <c r="M97">
        <v>284.89</v>
      </c>
    </row>
    <row r="98" spans="1:13" x14ac:dyDescent="0.25">
      <c r="A98" t="str">
        <f t="shared" si="21"/>
        <v>E111</v>
      </c>
      <c r="B98">
        <v>1</v>
      </c>
      <c r="C98" t="str">
        <f t="shared" si="13"/>
        <v>32040</v>
      </c>
      <c r="D98" t="str">
        <f t="shared" si="14"/>
        <v>5610</v>
      </c>
      <c r="E98" t="str">
        <f t="shared" si="15"/>
        <v>850LOS</v>
      </c>
      <c r="F98" t="str">
        <f>""</f>
        <v/>
      </c>
      <c r="G98" t="str">
        <f>""</f>
        <v/>
      </c>
      <c r="H98" s="1">
        <v>40676</v>
      </c>
      <c r="I98" t="str">
        <f>"76582101"</f>
        <v>76582101</v>
      </c>
      <c r="J98" t="str">
        <f t="shared" si="24"/>
        <v>NP52205Q</v>
      </c>
      <c r="K98" t="str">
        <f t="shared" si="25"/>
        <v>INEI</v>
      </c>
      <c r="L98" t="s">
        <v>36</v>
      </c>
      <c r="M98">
        <v>742.3</v>
      </c>
    </row>
    <row r="99" spans="1:13" x14ac:dyDescent="0.25">
      <c r="A99" t="str">
        <f t="shared" si="21"/>
        <v>E111</v>
      </c>
      <c r="B99">
        <v>1</v>
      </c>
      <c r="C99" t="str">
        <f t="shared" ref="C99:C111" si="26">"32040"</f>
        <v>32040</v>
      </c>
      <c r="D99" t="str">
        <f t="shared" ref="D99:D111" si="27">"5610"</f>
        <v>5610</v>
      </c>
      <c r="E99" t="str">
        <f t="shared" ref="E99:E147" si="28">"850LOS"</f>
        <v>850LOS</v>
      </c>
      <c r="F99" t="str">
        <f>""</f>
        <v/>
      </c>
      <c r="G99" t="str">
        <f>""</f>
        <v/>
      </c>
      <c r="H99" s="1">
        <v>40676</v>
      </c>
      <c r="I99" t="str">
        <f>"76028506"</f>
        <v>76028506</v>
      </c>
      <c r="J99" t="str">
        <f t="shared" si="24"/>
        <v>NP52205Q</v>
      </c>
      <c r="K99" t="str">
        <f t="shared" si="25"/>
        <v>INEI</v>
      </c>
      <c r="L99" t="s">
        <v>36</v>
      </c>
      <c r="M99">
        <v>501.27</v>
      </c>
    </row>
    <row r="100" spans="1:13" x14ac:dyDescent="0.25">
      <c r="A100" t="str">
        <f t="shared" si="21"/>
        <v>E111</v>
      </c>
      <c r="B100">
        <v>1</v>
      </c>
      <c r="C100" t="str">
        <f t="shared" si="26"/>
        <v>32040</v>
      </c>
      <c r="D100" t="str">
        <f t="shared" si="27"/>
        <v>5610</v>
      </c>
      <c r="E100" t="str">
        <f t="shared" si="28"/>
        <v>850LOS</v>
      </c>
      <c r="F100" t="str">
        <f>""</f>
        <v/>
      </c>
      <c r="G100" t="str">
        <f>""</f>
        <v/>
      </c>
      <c r="H100" s="1">
        <v>40676</v>
      </c>
      <c r="I100" t="str">
        <f>"76393501"</f>
        <v>76393501</v>
      </c>
      <c r="J100" t="str">
        <f t="shared" si="24"/>
        <v>NP52205Q</v>
      </c>
      <c r="K100" t="str">
        <f t="shared" si="25"/>
        <v>INEI</v>
      </c>
      <c r="L100" t="s">
        <v>36</v>
      </c>
      <c r="M100">
        <v>102.4</v>
      </c>
    </row>
    <row r="101" spans="1:13" x14ac:dyDescent="0.25">
      <c r="A101" t="str">
        <f t="shared" si="21"/>
        <v>E111</v>
      </c>
      <c r="B101">
        <v>1</v>
      </c>
      <c r="C101" t="str">
        <f t="shared" si="26"/>
        <v>32040</v>
      </c>
      <c r="D101" t="str">
        <f t="shared" si="27"/>
        <v>5610</v>
      </c>
      <c r="E101" t="str">
        <f t="shared" si="28"/>
        <v>850LOS</v>
      </c>
      <c r="F101" t="str">
        <f>""</f>
        <v/>
      </c>
      <c r="G101" t="str">
        <f>""</f>
        <v/>
      </c>
      <c r="H101" s="1">
        <v>40688</v>
      </c>
      <c r="I101" t="str">
        <f>"76556202"</f>
        <v>76556202</v>
      </c>
      <c r="J101" t="str">
        <f t="shared" si="24"/>
        <v>NP52205Q</v>
      </c>
      <c r="K101" t="str">
        <f t="shared" si="25"/>
        <v>INEI</v>
      </c>
      <c r="L101" t="s">
        <v>36</v>
      </c>
      <c r="M101">
        <v>106.41</v>
      </c>
    </row>
    <row r="102" spans="1:13" x14ac:dyDescent="0.25">
      <c r="A102" t="str">
        <f t="shared" si="21"/>
        <v>E111</v>
      </c>
      <c r="B102">
        <v>1</v>
      </c>
      <c r="C102" t="str">
        <f t="shared" si="26"/>
        <v>32040</v>
      </c>
      <c r="D102" t="str">
        <f t="shared" si="27"/>
        <v>5610</v>
      </c>
      <c r="E102" t="str">
        <f t="shared" si="28"/>
        <v>850LOS</v>
      </c>
      <c r="F102" t="str">
        <f>""</f>
        <v/>
      </c>
      <c r="G102" t="str">
        <f>""</f>
        <v/>
      </c>
      <c r="H102" s="1">
        <v>40688</v>
      </c>
      <c r="I102" t="str">
        <f>"76664401"</f>
        <v>76664401</v>
      </c>
      <c r="J102" t="str">
        <f t="shared" si="24"/>
        <v>NP52205Q</v>
      </c>
      <c r="K102" t="str">
        <f t="shared" si="25"/>
        <v>INEI</v>
      </c>
      <c r="L102" t="s">
        <v>36</v>
      </c>
      <c r="M102">
        <v>765.16</v>
      </c>
    </row>
    <row r="103" spans="1:13" x14ac:dyDescent="0.25">
      <c r="A103" t="str">
        <f t="shared" si="21"/>
        <v>E111</v>
      </c>
      <c r="B103">
        <v>1</v>
      </c>
      <c r="C103" t="str">
        <f t="shared" si="26"/>
        <v>32040</v>
      </c>
      <c r="D103" t="str">
        <f t="shared" si="27"/>
        <v>5610</v>
      </c>
      <c r="E103" t="str">
        <f t="shared" si="28"/>
        <v>850LOS</v>
      </c>
      <c r="F103" t="str">
        <f>""</f>
        <v/>
      </c>
      <c r="G103" t="str">
        <f>""</f>
        <v/>
      </c>
      <c r="H103" s="1">
        <v>40695</v>
      </c>
      <c r="I103" t="str">
        <f>"76582103"</f>
        <v>76582103</v>
      </c>
      <c r="J103" t="str">
        <f t="shared" si="24"/>
        <v>NP52205Q</v>
      </c>
      <c r="K103" t="str">
        <f t="shared" si="25"/>
        <v>INEI</v>
      </c>
      <c r="L103" t="s">
        <v>36</v>
      </c>
      <c r="M103" s="2">
        <v>2526.75</v>
      </c>
    </row>
    <row r="104" spans="1:13" x14ac:dyDescent="0.25">
      <c r="A104" t="str">
        <f t="shared" si="21"/>
        <v>E111</v>
      </c>
      <c r="B104">
        <v>1</v>
      </c>
      <c r="C104" t="str">
        <f t="shared" si="26"/>
        <v>32040</v>
      </c>
      <c r="D104" t="str">
        <f t="shared" si="27"/>
        <v>5610</v>
      </c>
      <c r="E104" t="str">
        <f t="shared" si="28"/>
        <v>850LOS</v>
      </c>
      <c r="F104" t="str">
        <f>""</f>
        <v/>
      </c>
      <c r="G104" t="str">
        <f>""</f>
        <v/>
      </c>
      <c r="H104" s="1">
        <v>40695</v>
      </c>
      <c r="I104" t="str">
        <f>"76582104"</f>
        <v>76582104</v>
      </c>
      <c r="J104" t="str">
        <f t="shared" si="24"/>
        <v>NP52205Q</v>
      </c>
      <c r="K104" t="str">
        <f t="shared" si="25"/>
        <v>INEI</v>
      </c>
      <c r="L104" t="s">
        <v>36</v>
      </c>
      <c r="M104" s="2">
        <v>1327.7</v>
      </c>
    </row>
    <row r="105" spans="1:13" x14ac:dyDescent="0.25">
      <c r="A105" t="str">
        <f t="shared" si="21"/>
        <v>E111</v>
      </c>
      <c r="B105">
        <v>1</v>
      </c>
      <c r="C105" t="str">
        <f t="shared" si="26"/>
        <v>32040</v>
      </c>
      <c r="D105" t="str">
        <f t="shared" si="27"/>
        <v>5610</v>
      </c>
      <c r="E105" t="str">
        <f t="shared" si="28"/>
        <v>850LOS</v>
      </c>
      <c r="F105" t="str">
        <f>""</f>
        <v/>
      </c>
      <c r="G105" t="str">
        <f>""</f>
        <v/>
      </c>
      <c r="H105" s="1">
        <v>40696</v>
      </c>
      <c r="I105" t="str">
        <f>"76664701"</f>
        <v>76664701</v>
      </c>
      <c r="J105" t="str">
        <f t="shared" si="24"/>
        <v>NP52205Q</v>
      </c>
      <c r="K105" t="str">
        <f t="shared" si="25"/>
        <v>INEI</v>
      </c>
      <c r="L105" t="s">
        <v>36</v>
      </c>
      <c r="M105">
        <v>846.07</v>
      </c>
    </row>
    <row r="106" spans="1:13" x14ac:dyDescent="0.25">
      <c r="A106" t="str">
        <f t="shared" si="21"/>
        <v>E111</v>
      </c>
      <c r="B106">
        <v>1</v>
      </c>
      <c r="C106" t="str">
        <f t="shared" si="26"/>
        <v>32040</v>
      </c>
      <c r="D106" t="str">
        <f t="shared" si="27"/>
        <v>5610</v>
      </c>
      <c r="E106" t="str">
        <f t="shared" si="28"/>
        <v>850LOS</v>
      </c>
      <c r="F106" t="str">
        <f>""</f>
        <v/>
      </c>
      <c r="G106" t="str">
        <f>""</f>
        <v/>
      </c>
      <c r="H106" s="1">
        <v>40708</v>
      </c>
      <c r="I106" t="str">
        <f>"892A"</f>
        <v>892A</v>
      </c>
      <c r="J106" t="str">
        <f t="shared" ref="J106:J107" si="29">"D138298"</f>
        <v>D138298</v>
      </c>
      <c r="K106" t="str">
        <f t="shared" si="25"/>
        <v>INEI</v>
      </c>
      <c r="L106" t="s">
        <v>1436</v>
      </c>
      <c r="M106">
        <v>108.5</v>
      </c>
    </row>
    <row r="107" spans="1:13" x14ac:dyDescent="0.25">
      <c r="A107" t="str">
        <f t="shared" si="21"/>
        <v>E111</v>
      </c>
      <c r="B107">
        <v>1</v>
      </c>
      <c r="C107" t="str">
        <f t="shared" si="26"/>
        <v>32040</v>
      </c>
      <c r="D107" t="str">
        <f t="shared" si="27"/>
        <v>5610</v>
      </c>
      <c r="E107" t="str">
        <f t="shared" si="28"/>
        <v>850LOS</v>
      </c>
      <c r="F107" t="str">
        <f>""</f>
        <v/>
      </c>
      <c r="G107" t="str">
        <f>""</f>
        <v/>
      </c>
      <c r="H107" s="1">
        <v>40708</v>
      </c>
      <c r="I107" t="str">
        <f>"892B"</f>
        <v>892B</v>
      </c>
      <c r="J107" t="str">
        <f t="shared" si="29"/>
        <v>D138298</v>
      </c>
      <c r="K107" t="str">
        <f t="shared" si="25"/>
        <v>INEI</v>
      </c>
      <c r="L107" t="s">
        <v>1436</v>
      </c>
      <c r="M107">
        <v>108.5</v>
      </c>
    </row>
    <row r="108" spans="1:13" x14ac:dyDescent="0.25">
      <c r="A108" t="str">
        <f t="shared" si="21"/>
        <v>E111</v>
      </c>
      <c r="B108">
        <v>1</v>
      </c>
      <c r="C108" t="str">
        <f t="shared" si="26"/>
        <v>32040</v>
      </c>
      <c r="D108" t="str">
        <f t="shared" si="27"/>
        <v>5610</v>
      </c>
      <c r="E108" t="str">
        <f t="shared" si="28"/>
        <v>850LOS</v>
      </c>
      <c r="F108" t="str">
        <f>""</f>
        <v/>
      </c>
      <c r="G108" t="str">
        <f>""</f>
        <v/>
      </c>
      <c r="H108" s="1">
        <v>40720</v>
      </c>
      <c r="I108" t="str">
        <f>"77055201"</f>
        <v>77055201</v>
      </c>
      <c r="J108" t="str">
        <f t="shared" ref="J108:J111" si="30">"NP52205Q"</f>
        <v>NP52205Q</v>
      </c>
      <c r="K108" t="str">
        <f t="shared" si="25"/>
        <v>INEI</v>
      </c>
      <c r="L108" t="s">
        <v>36</v>
      </c>
      <c r="M108">
        <v>809.76</v>
      </c>
    </row>
    <row r="109" spans="1:13" x14ac:dyDescent="0.25">
      <c r="A109" t="str">
        <f t="shared" si="21"/>
        <v>E111</v>
      </c>
      <c r="B109">
        <v>1</v>
      </c>
      <c r="C109" t="str">
        <f t="shared" si="26"/>
        <v>32040</v>
      </c>
      <c r="D109" t="str">
        <f t="shared" si="27"/>
        <v>5610</v>
      </c>
      <c r="E109" t="str">
        <f t="shared" si="28"/>
        <v>850LOS</v>
      </c>
      <c r="F109" t="str">
        <f>""</f>
        <v/>
      </c>
      <c r="G109" t="str">
        <f>""</f>
        <v/>
      </c>
      <c r="H109" s="1">
        <v>40720</v>
      </c>
      <c r="I109" t="str">
        <f>"77086401"</f>
        <v>77086401</v>
      </c>
      <c r="J109" t="str">
        <f t="shared" si="30"/>
        <v>NP52205Q</v>
      </c>
      <c r="K109" t="str">
        <f t="shared" si="25"/>
        <v>INEI</v>
      </c>
      <c r="L109" t="s">
        <v>36</v>
      </c>
      <c r="M109" s="2">
        <v>2400.08</v>
      </c>
    </row>
    <row r="110" spans="1:13" x14ac:dyDescent="0.25">
      <c r="A110" t="str">
        <f t="shared" si="21"/>
        <v>E111</v>
      </c>
      <c r="B110">
        <v>1</v>
      </c>
      <c r="C110" t="str">
        <f t="shared" si="26"/>
        <v>32040</v>
      </c>
      <c r="D110" t="str">
        <f t="shared" si="27"/>
        <v>5610</v>
      </c>
      <c r="E110" t="str">
        <f t="shared" si="28"/>
        <v>850LOS</v>
      </c>
      <c r="F110" t="str">
        <f>""</f>
        <v/>
      </c>
      <c r="G110" t="str">
        <f>""</f>
        <v/>
      </c>
      <c r="H110" s="1">
        <v>40724</v>
      </c>
      <c r="I110" t="str">
        <f>"76933601"</f>
        <v>76933601</v>
      </c>
      <c r="J110" t="str">
        <f t="shared" si="30"/>
        <v>NP52205Q</v>
      </c>
      <c r="K110" t="str">
        <f t="shared" si="25"/>
        <v>INEI</v>
      </c>
      <c r="L110" t="s">
        <v>36</v>
      </c>
      <c r="M110">
        <v>809.76</v>
      </c>
    </row>
    <row r="111" spans="1:13" x14ac:dyDescent="0.25">
      <c r="A111" t="str">
        <f t="shared" si="21"/>
        <v>E111</v>
      </c>
      <c r="B111">
        <v>1</v>
      </c>
      <c r="C111" t="str">
        <f t="shared" si="26"/>
        <v>32040</v>
      </c>
      <c r="D111" t="str">
        <f t="shared" si="27"/>
        <v>5610</v>
      </c>
      <c r="E111" t="str">
        <f t="shared" si="28"/>
        <v>850LOS</v>
      </c>
      <c r="F111" t="str">
        <f>""</f>
        <v/>
      </c>
      <c r="G111" t="str">
        <f>""</f>
        <v/>
      </c>
      <c r="H111" s="1">
        <v>40724</v>
      </c>
      <c r="I111" t="str">
        <f>"76995801"</f>
        <v>76995801</v>
      </c>
      <c r="J111" t="str">
        <f t="shared" si="30"/>
        <v>NP52205Q</v>
      </c>
      <c r="K111" t="str">
        <f t="shared" si="25"/>
        <v>INEI</v>
      </c>
      <c r="L111" t="s">
        <v>36</v>
      </c>
      <c r="M111">
        <v>206.87</v>
      </c>
    </row>
    <row r="112" spans="1:13" x14ac:dyDescent="0.25">
      <c r="A112" t="str">
        <f t="shared" si="21"/>
        <v>E111</v>
      </c>
      <c r="B112">
        <v>1</v>
      </c>
      <c r="C112" t="str">
        <f t="shared" ref="C112:C156" si="31">"43000"</f>
        <v>43000</v>
      </c>
      <c r="D112" t="str">
        <f t="shared" ref="D112:D158" si="32">"5740"</f>
        <v>5740</v>
      </c>
      <c r="E112" t="str">
        <f t="shared" si="28"/>
        <v>850LOS</v>
      </c>
      <c r="F112" t="str">
        <f t="shared" ref="F112:F117" si="33">"PKOLOT"</f>
        <v>PKOLOT</v>
      </c>
      <c r="G112" t="str">
        <f>""</f>
        <v/>
      </c>
      <c r="H112" s="1">
        <v>40390</v>
      </c>
      <c r="I112" t="str">
        <f>"PCD00433"</f>
        <v>PCD00433</v>
      </c>
      <c r="J112" t="str">
        <f>"125692"</f>
        <v>125692</v>
      </c>
      <c r="K112" t="str">
        <f t="shared" ref="K112:K118" si="34">"AS89"</f>
        <v>AS89</v>
      </c>
      <c r="L112" t="s">
        <v>1657</v>
      </c>
      <c r="M112">
        <v>187.14</v>
      </c>
    </row>
    <row r="113" spans="1:13" x14ac:dyDescent="0.25">
      <c r="A113" t="str">
        <f t="shared" si="21"/>
        <v>E111</v>
      </c>
      <c r="B113">
        <v>1</v>
      </c>
      <c r="C113" t="str">
        <f t="shared" si="31"/>
        <v>43000</v>
      </c>
      <c r="D113" t="str">
        <f t="shared" si="32"/>
        <v>5740</v>
      </c>
      <c r="E113" t="str">
        <f t="shared" si="28"/>
        <v>850LOS</v>
      </c>
      <c r="F113" t="str">
        <f t="shared" si="33"/>
        <v>PKOLOT</v>
      </c>
      <c r="G113" t="str">
        <f>""</f>
        <v/>
      </c>
      <c r="H113" s="1">
        <v>40421</v>
      </c>
      <c r="I113" t="str">
        <f>"PCD00438"</f>
        <v>PCD00438</v>
      </c>
      <c r="J113" t="str">
        <f>"127392"</f>
        <v>127392</v>
      </c>
      <c r="K113" t="str">
        <f t="shared" si="34"/>
        <v>AS89</v>
      </c>
      <c r="L113" t="s">
        <v>1656</v>
      </c>
      <c r="M113">
        <v>407.89</v>
      </c>
    </row>
    <row r="114" spans="1:13" x14ac:dyDescent="0.25">
      <c r="A114" t="str">
        <f t="shared" si="21"/>
        <v>E111</v>
      </c>
      <c r="B114">
        <v>1</v>
      </c>
      <c r="C114" t="str">
        <f t="shared" si="31"/>
        <v>43000</v>
      </c>
      <c r="D114" t="str">
        <f t="shared" si="32"/>
        <v>5740</v>
      </c>
      <c r="E114" t="str">
        <f t="shared" si="28"/>
        <v>850LOS</v>
      </c>
      <c r="F114" t="str">
        <f t="shared" si="33"/>
        <v>PKOLOT</v>
      </c>
      <c r="G114" t="str">
        <f>""</f>
        <v/>
      </c>
      <c r="H114" s="1">
        <v>40421</v>
      </c>
      <c r="I114" t="str">
        <f>"PCD00438"</f>
        <v>PCD00438</v>
      </c>
      <c r="J114" t="str">
        <f>"127832"</f>
        <v>127832</v>
      </c>
      <c r="K114" t="str">
        <f t="shared" si="34"/>
        <v>AS89</v>
      </c>
      <c r="L114" t="s">
        <v>1655</v>
      </c>
      <c r="M114">
        <v>548.27</v>
      </c>
    </row>
    <row r="115" spans="1:13" x14ac:dyDescent="0.25">
      <c r="A115" t="str">
        <f t="shared" si="21"/>
        <v>E111</v>
      </c>
      <c r="B115">
        <v>1</v>
      </c>
      <c r="C115" t="str">
        <f t="shared" si="31"/>
        <v>43000</v>
      </c>
      <c r="D115" t="str">
        <f t="shared" si="32"/>
        <v>5740</v>
      </c>
      <c r="E115" t="str">
        <f t="shared" si="28"/>
        <v>850LOS</v>
      </c>
      <c r="F115" t="str">
        <f t="shared" si="33"/>
        <v>PKOLOT</v>
      </c>
      <c r="G115" t="str">
        <f>""</f>
        <v/>
      </c>
      <c r="H115" s="1">
        <v>40421</v>
      </c>
      <c r="I115" t="str">
        <f>"PCD00438"</f>
        <v>PCD00438</v>
      </c>
      <c r="J115" t="str">
        <f>"128126"</f>
        <v>128126</v>
      </c>
      <c r="K115" t="str">
        <f t="shared" si="34"/>
        <v>AS89</v>
      </c>
      <c r="L115" t="s">
        <v>1654</v>
      </c>
      <c r="M115">
        <v>172.34</v>
      </c>
    </row>
    <row r="116" spans="1:13" x14ac:dyDescent="0.25">
      <c r="A116" t="str">
        <f t="shared" si="21"/>
        <v>E111</v>
      </c>
      <c r="B116">
        <v>1</v>
      </c>
      <c r="C116" t="str">
        <f t="shared" si="31"/>
        <v>43000</v>
      </c>
      <c r="D116" t="str">
        <f t="shared" si="32"/>
        <v>5740</v>
      </c>
      <c r="E116" t="str">
        <f t="shared" si="28"/>
        <v>850LOS</v>
      </c>
      <c r="F116" t="str">
        <f t="shared" si="33"/>
        <v>PKOLOT</v>
      </c>
      <c r="G116" t="str">
        <f>""</f>
        <v/>
      </c>
      <c r="H116" s="1">
        <v>40452</v>
      </c>
      <c r="I116" t="str">
        <f>"PCD00443"</f>
        <v>PCD00443</v>
      </c>
      <c r="J116" t="str">
        <f>"128617"</f>
        <v>128617</v>
      </c>
      <c r="K116" t="str">
        <f t="shared" si="34"/>
        <v>AS89</v>
      </c>
      <c r="L116" t="s">
        <v>1653</v>
      </c>
      <c r="M116">
        <v>469.27</v>
      </c>
    </row>
    <row r="117" spans="1:13" x14ac:dyDescent="0.25">
      <c r="A117" t="str">
        <f t="shared" si="21"/>
        <v>E111</v>
      </c>
      <c r="B117">
        <v>1</v>
      </c>
      <c r="C117" t="str">
        <f t="shared" si="31"/>
        <v>43000</v>
      </c>
      <c r="D117" t="str">
        <f t="shared" si="32"/>
        <v>5740</v>
      </c>
      <c r="E117" t="str">
        <f t="shared" si="28"/>
        <v>850LOS</v>
      </c>
      <c r="F117" t="str">
        <f t="shared" si="33"/>
        <v>PKOLOT</v>
      </c>
      <c r="G117" t="str">
        <f>""</f>
        <v/>
      </c>
      <c r="H117" s="1">
        <v>40542</v>
      </c>
      <c r="I117" t="str">
        <f>"PCD00458"</f>
        <v>PCD00458</v>
      </c>
      <c r="J117" t="str">
        <f>"135279"</f>
        <v>135279</v>
      </c>
      <c r="K117" t="str">
        <f t="shared" si="34"/>
        <v>AS89</v>
      </c>
      <c r="L117" t="s">
        <v>1652</v>
      </c>
      <c r="M117">
        <v>166.28</v>
      </c>
    </row>
    <row r="118" spans="1:13" x14ac:dyDescent="0.25">
      <c r="A118" t="str">
        <f t="shared" si="21"/>
        <v>E111</v>
      </c>
      <c r="B118">
        <v>1</v>
      </c>
      <c r="C118" t="str">
        <f t="shared" si="31"/>
        <v>43000</v>
      </c>
      <c r="D118" t="str">
        <f t="shared" si="32"/>
        <v>5740</v>
      </c>
      <c r="E118" t="str">
        <f t="shared" si="28"/>
        <v>850LOS</v>
      </c>
      <c r="F118" t="str">
        <f>""</f>
        <v/>
      </c>
      <c r="G118" t="str">
        <f>""</f>
        <v/>
      </c>
      <c r="H118" s="1">
        <v>40390</v>
      </c>
      <c r="I118" t="str">
        <f>"PCD00433"</f>
        <v>PCD00433</v>
      </c>
      <c r="J118" t="str">
        <f>"127038"</f>
        <v>127038</v>
      </c>
      <c r="K118" t="str">
        <f t="shared" si="34"/>
        <v>AS89</v>
      </c>
      <c r="L118" t="s">
        <v>1651</v>
      </c>
      <c r="M118">
        <v>133.11000000000001</v>
      </c>
    </row>
    <row r="119" spans="1:13" x14ac:dyDescent="0.25">
      <c r="A119" t="str">
        <f t="shared" si="21"/>
        <v>E111</v>
      </c>
      <c r="B119">
        <v>1</v>
      </c>
      <c r="C119" t="str">
        <f t="shared" si="31"/>
        <v>43000</v>
      </c>
      <c r="D119" t="str">
        <f t="shared" si="32"/>
        <v>5740</v>
      </c>
      <c r="E119" t="str">
        <f t="shared" si="28"/>
        <v>850LOS</v>
      </c>
      <c r="F119" t="str">
        <f>""</f>
        <v/>
      </c>
      <c r="G119" t="str">
        <f>""</f>
        <v/>
      </c>
      <c r="H119" s="1">
        <v>40394</v>
      </c>
      <c r="I119" t="str">
        <f>"C0015621"</f>
        <v>C0015621</v>
      </c>
      <c r="J119" t="str">
        <f>""</f>
        <v/>
      </c>
      <c r="K119" t="str">
        <f>"ISSU"</f>
        <v>ISSU</v>
      </c>
      <c r="L119" t="s">
        <v>15</v>
      </c>
      <c r="M119">
        <v>227.94</v>
      </c>
    </row>
    <row r="120" spans="1:13" x14ac:dyDescent="0.25">
      <c r="A120" t="str">
        <f t="shared" si="21"/>
        <v>E111</v>
      </c>
      <c r="B120">
        <v>1</v>
      </c>
      <c r="C120" t="str">
        <f t="shared" si="31"/>
        <v>43000</v>
      </c>
      <c r="D120" t="str">
        <f t="shared" si="32"/>
        <v>5740</v>
      </c>
      <c r="E120" t="str">
        <f t="shared" si="28"/>
        <v>850LOS</v>
      </c>
      <c r="F120" t="str">
        <f>""</f>
        <v/>
      </c>
      <c r="G120" t="str">
        <f>""</f>
        <v/>
      </c>
      <c r="H120" s="1">
        <v>40421</v>
      </c>
      <c r="I120" t="str">
        <f t="shared" ref="I120:I121" si="35">"PCD00438"</f>
        <v>PCD00438</v>
      </c>
      <c r="J120" t="str">
        <f>"127893"</f>
        <v>127893</v>
      </c>
      <c r="K120" t="str">
        <f t="shared" ref="K120:K121" si="36">"AS89"</f>
        <v>AS89</v>
      </c>
      <c r="L120" t="s">
        <v>1649</v>
      </c>
      <c r="M120">
        <v>283.25</v>
      </c>
    </row>
    <row r="121" spans="1:13" x14ac:dyDescent="0.25">
      <c r="A121" t="str">
        <f t="shared" si="21"/>
        <v>E111</v>
      </c>
      <c r="B121">
        <v>1</v>
      </c>
      <c r="C121" t="str">
        <f t="shared" si="31"/>
        <v>43000</v>
      </c>
      <c r="D121" t="str">
        <f t="shared" si="32"/>
        <v>5740</v>
      </c>
      <c r="E121" t="str">
        <f t="shared" si="28"/>
        <v>850LOS</v>
      </c>
      <c r="F121" t="str">
        <f>""</f>
        <v/>
      </c>
      <c r="G121" t="str">
        <f>""</f>
        <v/>
      </c>
      <c r="H121" s="1">
        <v>40421</v>
      </c>
      <c r="I121" t="str">
        <f t="shared" si="35"/>
        <v>PCD00438</v>
      </c>
      <c r="J121" t="str">
        <f>"128322"</f>
        <v>128322</v>
      </c>
      <c r="K121" t="str">
        <f t="shared" si="36"/>
        <v>AS89</v>
      </c>
      <c r="L121" t="s">
        <v>1648</v>
      </c>
      <c r="M121">
        <v>157.24</v>
      </c>
    </row>
    <row r="122" spans="1:13" x14ac:dyDescent="0.25">
      <c r="A122" t="str">
        <f t="shared" si="21"/>
        <v>E111</v>
      </c>
      <c r="B122">
        <v>1</v>
      </c>
      <c r="C122" t="str">
        <f t="shared" si="31"/>
        <v>43000</v>
      </c>
      <c r="D122" t="str">
        <f t="shared" si="32"/>
        <v>5740</v>
      </c>
      <c r="E122" t="str">
        <f t="shared" si="28"/>
        <v>850LOS</v>
      </c>
      <c r="F122" t="str">
        <f>""</f>
        <v/>
      </c>
      <c r="G122" t="str">
        <f>""</f>
        <v/>
      </c>
      <c r="H122" s="1">
        <v>40422</v>
      </c>
      <c r="I122" t="str">
        <f>"C0015705"</f>
        <v>C0015705</v>
      </c>
      <c r="J122" t="str">
        <f>""</f>
        <v/>
      </c>
      <c r="K122" t="str">
        <f>"ISSU"</f>
        <v>ISSU</v>
      </c>
      <c r="L122" t="s">
        <v>15</v>
      </c>
      <c r="M122">
        <v>121.34</v>
      </c>
    </row>
    <row r="123" spans="1:13" x14ac:dyDescent="0.25">
      <c r="A123" t="str">
        <f t="shared" si="21"/>
        <v>E111</v>
      </c>
      <c r="B123">
        <v>1</v>
      </c>
      <c r="C123" t="str">
        <f t="shared" si="31"/>
        <v>43000</v>
      </c>
      <c r="D123" t="str">
        <f t="shared" si="32"/>
        <v>5740</v>
      </c>
      <c r="E123" t="str">
        <f t="shared" si="28"/>
        <v>850LOS</v>
      </c>
      <c r="F123" t="str">
        <f>""</f>
        <v/>
      </c>
      <c r="G123" t="str">
        <f>""</f>
        <v/>
      </c>
      <c r="H123" s="1">
        <v>40452</v>
      </c>
      <c r="I123" t="str">
        <f t="shared" ref="I123:I125" si="37">"PCD00443"</f>
        <v>PCD00443</v>
      </c>
      <c r="J123" t="str">
        <f>"128911"</f>
        <v>128911</v>
      </c>
      <c r="K123" t="str">
        <f t="shared" ref="K123:K128" si="38">"AS89"</f>
        <v>AS89</v>
      </c>
      <c r="L123" t="s">
        <v>1647</v>
      </c>
      <c r="M123">
        <v>155</v>
      </c>
    </row>
    <row r="124" spans="1:13" x14ac:dyDescent="0.25">
      <c r="A124" t="str">
        <f t="shared" si="21"/>
        <v>E111</v>
      </c>
      <c r="B124">
        <v>1</v>
      </c>
      <c r="C124" t="str">
        <f t="shared" si="31"/>
        <v>43000</v>
      </c>
      <c r="D124" t="str">
        <f t="shared" si="32"/>
        <v>5740</v>
      </c>
      <c r="E124" t="str">
        <f t="shared" si="28"/>
        <v>850LOS</v>
      </c>
      <c r="F124" t="str">
        <f>""</f>
        <v/>
      </c>
      <c r="G124" t="str">
        <f>""</f>
        <v/>
      </c>
      <c r="H124" s="1">
        <v>40452</v>
      </c>
      <c r="I124" t="str">
        <f t="shared" si="37"/>
        <v>PCD00443</v>
      </c>
      <c r="J124" t="str">
        <f>"129205"</f>
        <v>129205</v>
      </c>
      <c r="K124" t="str">
        <f t="shared" si="38"/>
        <v>AS89</v>
      </c>
      <c r="L124" t="s">
        <v>1646</v>
      </c>
      <c r="M124">
        <v>121.8</v>
      </c>
    </row>
    <row r="125" spans="1:13" x14ac:dyDescent="0.25">
      <c r="A125" t="str">
        <f t="shared" si="21"/>
        <v>E111</v>
      </c>
      <c r="B125">
        <v>1</v>
      </c>
      <c r="C125" t="str">
        <f t="shared" si="31"/>
        <v>43000</v>
      </c>
      <c r="D125" t="str">
        <f t="shared" si="32"/>
        <v>5740</v>
      </c>
      <c r="E125" t="str">
        <f t="shared" si="28"/>
        <v>850LOS</v>
      </c>
      <c r="F125" t="str">
        <f>""</f>
        <v/>
      </c>
      <c r="G125" t="str">
        <f>""</f>
        <v/>
      </c>
      <c r="H125" s="1">
        <v>40452</v>
      </c>
      <c r="I125" t="str">
        <f t="shared" si="37"/>
        <v>PCD00443</v>
      </c>
      <c r="J125" t="str">
        <f>"129596"</f>
        <v>129596</v>
      </c>
      <c r="K125" t="str">
        <f t="shared" si="38"/>
        <v>AS89</v>
      </c>
      <c r="L125" t="s">
        <v>1645</v>
      </c>
      <c r="M125">
        <v>121.48</v>
      </c>
    </row>
    <row r="126" spans="1:13" x14ac:dyDescent="0.25">
      <c r="A126" t="str">
        <f t="shared" si="21"/>
        <v>E111</v>
      </c>
      <c r="B126">
        <v>1</v>
      </c>
      <c r="C126" t="str">
        <f t="shared" si="31"/>
        <v>43000</v>
      </c>
      <c r="D126" t="str">
        <f t="shared" si="32"/>
        <v>5740</v>
      </c>
      <c r="E126" t="str">
        <f t="shared" si="28"/>
        <v>850LOS</v>
      </c>
      <c r="F126" t="str">
        <f>""</f>
        <v/>
      </c>
      <c r="G126" t="str">
        <f>""</f>
        <v/>
      </c>
      <c r="H126" s="1">
        <v>40456</v>
      </c>
      <c r="I126" t="str">
        <f>"PCD00444"</f>
        <v>PCD00444</v>
      </c>
      <c r="J126" t="str">
        <f>"130019"</f>
        <v>130019</v>
      </c>
      <c r="K126" t="str">
        <f t="shared" si="38"/>
        <v>AS89</v>
      </c>
      <c r="L126" t="s">
        <v>1644</v>
      </c>
      <c r="M126">
        <v>221.87</v>
      </c>
    </row>
    <row r="127" spans="1:13" x14ac:dyDescent="0.25">
      <c r="A127" t="str">
        <f t="shared" si="21"/>
        <v>E111</v>
      </c>
      <c r="B127">
        <v>1</v>
      </c>
      <c r="C127" t="str">
        <f t="shared" si="31"/>
        <v>43000</v>
      </c>
      <c r="D127" t="str">
        <f t="shared" si="32"/>
        <v>5740</v>
      </c>
      <c r="E127" t="str">
        <f t="shared" si="28"/>
        <v>850LOS</v>
      </c>
      <c r="F127" t="str">
        <f>""</f>
        <v/>
      </c>
      <c r="G127" t="str">
        <f>""</f>
        <v/>
      </c>
      <c r="H127" s="1">
        <v>40482</v>
      </c>
      <c r="I127" t="str">
        <f t="shared" ref="I127" si="39">"PCD00450"</f>
        <v>PCD00450</v>
      </c>
      <c r="J127" t="str">
        <f>"132188"</f>
        <v>132188</v>
      </c>
      <c r="K127" t="str">
        <f t="shared" si="38"/>
        <v>AS89</v>
      </c>
      <c r="L127" t="s">
        <v>1642</v>
      </c>
      <c r="M127">
        <v>115.64</v>
      </c>
    </row>
    <row r="128" spans="1:13" x14ac:dyDescent="0.25">
      <c r="A128" t="str">
        <f t="shared" si="21"/>
        <v>E111</v>
      </c>
      <c r="B128">
        <v>1</v>
      </c>
      <c r="C128" t="str">
        <f t="shared" si="31"/>
        <v>43000</v>
      </c>
      <c r="D128" t="str">
        <f t="shared" si="32"/>
        <v>5740</v>
      </c>
      <c r="E128" t="str">
        <f t="shared" si="28"/>
        <v>850LOS</v>
      </c>
      <c r="F128" t="str">
        <f>""</f>
        <v/>
      </c>
      <c r="G128" t="str">
        <f>""</f>
        <v/>
      </c>
      <c r="H128" s="1">
        <v>40512</v>
      </c>
      <c r="I128" t="str">
        <f t="shared" ref="I128" si="40">"PCD00455"</f>
        <v>PCD00455</v>
      </c>
      <c r="J128" t="str">
        <f>"133374"</f>
        <v>133374</v>
      </c>
      <c r="K128" t="str">
        <f t="shared" si="38"/>
        <v>AS89</v>
      </c>
      <c r="L128" t="s">
        <v>1621</v>
      </c>
      <c r="M128">
        <v>479</v>
      </c>
    </row>
    <row r="129" spans="1:13" x14ac:dyDescent="0.25">
      <c r="A129" t="str">
        <f t="shared" si="21"/>
        <v>E111</v>
      </c>
      <c r="B129">
        <v>1</v>
      </c>
      <c r="C129" t="str">
        <f t="shared" si="31"/>
        <v>43000</v>
      </c>
      <c r="D129" t="str">
        <f t="shared" si="32"/>
        <v>5740</v>
      </c>
      <c r="E129" t="str">
        <f t="shared" si="28"/>
        <v>850LOS</v>
      </c>
      <c r="F129" t="str">
        <f>""</f>
        <v/>
      </c>
      <c r="G129" t="str">
        <f>""</f>
        <v/>
      </c>
      <c r="H129" s="1">
        <v>40514</v>
      </c>
      <c r="I129" t="str">
        <f>"C0016179"</f>
        <v>C0016179</v>
      </c>
      <c r="J129" t="str">
        <f>""</f>
        <v/>
      </c>
      <c r="K129" t="str">
        <f>"ISSU"</f>
        <v>ISSU</v>
      </c>
      <c r="L129" t="s">
        <v>23</v>
      </c>
      <c r="M129">
        <v>238.32</v>
      </c>
    </row>
    <row r="130" spans="1:13" x14ac:dyDescent="0.25">
      <c r="A130" t="str">
        <f t="shared" si="21"/>
        <v>E111</v>
      </c>
      <c r="B130">
        <v>1</v>
      </c>
      <c r="C130" t="str">
        <f t="shared" si="31"/>
        <v>43000</v>
      </c>
      <c r="D130" t="str">
        <f t="shared" si="32"/>
        <v>5740</v>
      </c>
      <c r="E130" t="str">
        <f t="shared" si="28"/>
        <v>850LOS</v>
      </c>
      <c r="F130" t="str">
        <f>""</f>
        <v/>
      </c>
      <c r="G130" t="str">
        <f>""</f>
        <v/>
      </c>
      <c r="H130" s="1">
        <v>40542</v>
      </c>
      <c r="I130" t="str">
        <f t="shared" ref="I130:I133" si="41">"PCD00458"</f>
        <v>PCD00458</v>
      </c>
      <c r="J130" t="str">
        <f>"134362"</f>
        <v>134362</v>
      </c>
      <c r="K130" t="str">
        <f t="shared" ref="K130:K133" si="42">"AS89"</f>
        <v>AS89</v>
      </c>
      <c r="L130" t="s">
        <v>1641</v>
      </c>
      <c r="M130">
        <v>384.79</v>
      </c>
    </row>
    <row r="131" spans="1:13" x14ac:dyDescent="0.25">
      <c r="A131" t="str">
        <f t="shared" si="21"/>
        <v>E111</v>
      </c>
      <c r="B131">
        <v>1</v>
      </c>
      <c r="C131" t="str">
        <f t="shared" si="31"/>
        <v>43000</v>
      </c>
      <c r="D131" t="str">
        <f t="shared" si="32"/>
        <v>5740</v>
      </c>
      <c r="E131" t="str">
        <f t="shared" si="28"/>
        <v>850LOS</v>
      </c>
      <c r="F131" t="str">
        <f>""</f>
        <v/>
      </c>
      <c r="G131" t="str">
        <f>""</f>
        <v/>
      </c>
      <c r="H131" s="1">
        <v>40542</v>
      </c>
      <c r="I131" t="str">
        <f t="shared" si="41"/>
        <v>PCD00458</v>
      </c>
      <c r="J131" t="str">
        <f>"134566"</f>
        <v>134566</v>
      </c>
      <c r="K131" t="str">
        <f t="shared" si="42"/>
        <v>AS89</v>
      </c>
      <c r="L131" t="s">
        <v>1640</v>
      </c>
      <c r="M131">
        <v>202</v>
      </c>
    </row>
    <row r="132" spans="1:13" x14ac:dyDescent="0.25">
      <c r="A132" t="str">
        <f t="shared" si="21"/>
        <v>E111</v>
      </c>
      <c r="B132">
        <v>1</v>
      </c>
      <c r="C132" t="str">
        <f t="shared" si="31"/>
        <v>43000</v>
      </c>
      <c r="D132" t="str">
        <f t="shared" si="32"/>
        <v>5740</v>
      </c>
      <c r="E132" t="str">
        <f t="shared" si="28"/>
        <v>850LOS</v>
      </c>
      <c r="F132" t="str">
        <f>""</f>
        <v/>
      </c>
      <c r="G132" t="str">
        <f>""</f>
        <v/>
      </c>
      <c r="H132" s="1">
        <v>40542</v>
      </c>
      <c r="I132" t="str">
        <f t="shared" si="41"/>
        <v>PCD00458</v>
      </c>
      <c r="J132" t="str">
        <f>"134567"</f>
        <v>134567</v>
      </c>
      <c r="K132" t="str">
        <f t="shared" si="42"/>
        <v>AS89</v>
      </c>
      <c r="L132" t="s">
        <v>1640</v>
      </c>
      <c r="M132">
        <v>192.22</v>
      </c>
    </row>
    <row r="133" spans="1:13" x14ac:dyDescent="0.25">
      <c r="A133" t="str">
        <f t="shared" si="21"/>
        <v>E111</v>
      </c>
      <c r="B133">
        <v>1</v>
      </c>
      <c r="C133" t="str">
        <f t="shared" si="31"/>
        <v>43000</v>
      </c>
      <c r="D133" t="str">
        <f t="shared" si="32"/>
        <v>5740</v>
      </c>
      <c r="E133" t="str">
        <f t="shared" si="28"/>
        <v>850LOS</v>
      </c>
      <c r="F133" t="str">
        <f>""</f>
        <v/>
      </c>
      <c r="G133" t="str">
        <f>""</f>
        <v/>
      </c>
      <c r="H133" s="1">
        <v>40542</v>
      </c>
      <c r="I133" t="str">
        <f t="shared" si="41"/>
        <v>PCD00458</v>
      </c>
      <c r="J133" t="str">
        <f>"135278"</f>
        <v>135278</v>
      </c>
      <c r="K133" t="str">
        <f t="shared" si="42"/>
        <v>AS89</v>
      </c>
      <c r="L133" t="s">
        <v>1639</v>
      </c>
      <c r="M133">
        <v>776.1</v>
      </c>
    </row>
    <row r="134" spans="1:13" x14ac:dyDescent="0.25">
      <c r="A134" t="str">
        <f t="shared" si="21"/>
        <v>E111</v>
      </c>
      <c r="B134">
        <v>1</v>
      </c>
      <c r="C134" t="str">
        <f t="shared" si="31"/>
        <v>43000</v>
      </c>
      <c r="D134" t="str">
        <f t="shared" si="32"/>
        <v>5740</v>
      </c>
      <c r="E134" t="str">
        <f t="shared" si="28"/>
        <v>850LOS</v>
      </c>
      <c r="F134" t="str">
        <f>""</f>
        <v/>
      </c>
      <c r="G134" t="str">
        <f>""</f>
        <v/>
      </c>
      <c r="H134" s="1">
        <v>40578</v>
      </c>
      <c r="I134" t="str">
        <f>"PCD00465"</f>
        <v>PCD00465</v>
      </c>
      <c r="J134" t="str">
        <f>"137582"</f>
        <v>137582</v>
      </c>
      <c r="K134" t="str">
        <f>"AS89"</f>
        <v>AS89</v>
      </c>
      <c r="L134" t="s">
        <v>1637</v>
      </c>
      <c r="M134">
        <v>148.19999999999999</v>
      </c>
    </row>
    <row r="135" spans="1:13" x14ac:dyDescent="0.25">
      <c r="A135" t="str">
        <f t="shared" si="21"/>
        <v>E111</v>
      </c>
      <c r="B135">
        <v>1</v>
      </c>
      <c r="C135" t="str">
        <f t="shared" si="31"/>
        <v>43000</v>
      </c>
      <c r="D135" t="str">
        <f t="shared" si="32"/>
        <v>5740</v>
      </c>
      <c r="E135" t="str">
        <f t="shared" si="28"/>
        <v>850LOS</v>
      </c>
      <c r="F135" t="str">
        <f>""</f>
        <v/>
      </c>
      <c r="G135" t="str">
        <f>""</f>
        <v/>
      </c>
      <c r="H135" s="1">
        <v>40633</v>
      </c>
      <c r="I135" t="str">
        <f t="shared" ref="I135:I138" si="43">"PCD00475"</f>
        <v>PCD00475</v>
      </c>
      <c r="J135" t="str">
        <f>"139381"</f>
        <v>139381</v>
      </c>
      <c r="K135" t="str">
        <f t="shared" ref="K135:K144" si="44">"AS89"</f>
        <v>AS89</v>
      </c>
      <c r="L135" t="s">
        <v>1635</v>
      </c>
      <c r="M135">
        <v>138.77000000000001</v>
      </c>
    </row>
    <row r="136" spans="1:13" x14ac:dyDescent="0.25">
      <c r="A136" t="str">
        <f t="shared" ref="A136:A159" si="45">"E111"</f>
        <v>E111</v>
      </c>
      <c r="B136">
        <v>1</v>
      </c>
      <c r="C136" t="str">
        <f t="shared" si="31"/>
        <v>43000</v>
      </c>
      <c r="D136" t="str">
        <f t="shared" si="32"/>
        <v>5740</v>
      </c>
      <c r="E136" t="str">
        <f t="shared" si="28"/>
        <v>850LOS</v>
      </c>
      <c r="F136" t="str">
        <f>""</f>
        <v/>
      </c>
      <c r="G136" t="str">
        <f>""</f>
        <v/>
      </c>
      <c r="H136" s="1">
        <v>40633</v>
      </c>
      <c r="I136" t="str">
        <f t="shared" si="43"/>
        <v>PCD00475</v>
      </c>
      <c r="J136" t="str">
        <f>"139411"</f>
        <v>139411</v>
      </c>
      <c r="K136" t="str">
        <f t="shared" si="44"/>
        <v>AS89</v>
      </c>
      <c r="L136" t="s">
        <v>1510</v>
      </c>
      <c r="M136">
        <v>201.78</v>
      </c>
    </row>
    <row r="137" spans="1:13" x14ac:dyDescent="0.25">
      <c r="A137" t="str">
        <f t="shared" si="45"/>
        <v>E111</v>
      </c>
      <c r="B137">
        <v>1</v>
      </c>
      <c r="C137" t="str">
        <f t="shared" si="31"/>
        <v>43000</v>
      </c>
      <c r="D137" t="str">
        <f t="shared" si="32"/>
        <v>5740</v>
      </c>
      <c r="E137" t="str">
        <f t="shared" si="28"/>
        <v>850LOS</v>
      </c>
      <c r="F137" t="str">
        <f>""</f>
        <v/>
      </c>
      <c r="G137" t="str">
        <f>""</f>
        <v/>
      </c>
      <c r="H137" s="1">
        <v>40633</v>
      </c>
      <c r="I137" t="str">
        <f t="shared" si="43"/>
        <v>PCD00475</v>
      </c>
      <c r="J137" t="str">
        <f>"139430"</f>
        <v>139430</v>
      </c>
      <c r="K137" t="str">
        <f t="shared" si="44"/>
        <v>AS89</v>
      </c>
      <c r="L137" t="s">
        <v>1507</v>
      </c>
      <c r="M137">
        <v>156.13999999999999</v>
      </c>
    </row>
    <row r="138" spans="1:13" x14ac:dyDescent="0.25">
      <c r="A138" t="str">
        <f t="shared" si="45"/>
        <v>E111</v>
      </c>
      <c r="B138">
        <v>1</v>
      </c>
      <c r="C138" t="str">
        <f t="shared" si="31"/>
        <v>43000</v>
      </c>
      <c r="D138" t="str">
        <f t="shared" si="32"/>
        <v>5740</v>
      </c>
      <c r="E138" t="str">
        <f t="shared" si="28"/>
        <v>850LOS</v>
      </c>
      <c r="F138" t="str">
        <f>""</f>
        <v/>
      </c>
      <c r="G138" t="str">
        <f>""</f>
        <v/>
      </c>
      <c r="H138" s="1">
        <v>40633</v>
      </c>
      <c r="I138" t="str">
        <f t="shared" si="43"/>
        <v>PCD00475</v>
      </c>
      <c r="J138" t="str">
        <f>"140404"</f>
        <v>140404</v>
      </c>
      <c r="K138" t="str">
        <f t="shared" si="44"/>
        <v>AS89</v>
      </c>
      <c r="L138" t="s">
        <v>1634</v>
      </c>
      <c r="M138">
        <v>280.17</v>
      </c>
    </row>
    <row r="139" spans="1:13" x14ac:dyDescent="0.25">
      <c r="A139" t="str">
        <f t="shared" si="45"/>
        <v>E111</v>
      </c>
      <c r="B139">
        <v>1</v>
      </c>
      <c r="C139" t="str">
        <f t="shared" si="31"/>
        <v>43000</v>
      </c>
      <c r="D139" t="str">
        <f t="shared" si="32"/>
        <v>5740</v>
      </c>
      <c r="E139" t="str">
        <f t="shared" si="28"/>
        <v>850LOS</v>
      </c>
      <c r="F139" t="str">
        <f>""</f>
        <v/>
      </c>
      <c r="G139" t="str">
        <f>""</f>
        <v/>
      </c>
      <c r="H139" s="1">
        <v>40662</v>
      </c>
      <c r="I139" t="str">
        <f>"PCD00479"</f>
        <v>PCD00479</v>
      </c>
      <c r="J139" t="str">
        <f>"142128"</f>
        <v>142128</v>
      </c>
      <c r="K139" t="str">
        <f t="shared" si="44"/>
        <v>AS89</v>
      </c>
      <c r="L139" t="s">
        <v>1632</v>
      </c>
      <c r="M139">
        <v>245.68</v>
      </c>
    </row>
    <row r="140" spans="1:13" x14ac:dyDescent="0.25">
      <c r="A140" t="str">
        <f t="shared" si="45"/>
        <v>E111</v>
      </c>
      <c r="B140">
        <v>1</v>
      </c>
      <c r="C140" t="str">
        <f t="shared" si="31"/>
        <v>43000</v>
      </c>
      <c r="D140" t="str">
        <f t="shared" si="32"/>
        <v>5740</v>
      </c>
      <c r="E140" t="str">
        <f t="shared" si="28"/>
        <v>850LOS</v>
      </c>
      <c r="F140" t="str">
        <f>""</f>
        <v/>
      </c>
      <c r="G140" t="str">
        <f>""</f>
        <v/>
      </c>
      <c r="H140" s="1">
        <v>40662</v>
      </c>
      <c r="I140" t="str">
        <f>"PCD00479"</f>
        <v>PCD00479</v>
      </c>
      <c r="J140" t="str">
        <f>"142331"</f>
        <v>142331</v>
      </c>
      <c r="K140" t="str">
        <f t="shared" si="44"/>
        <v>AS89</v>
      </c>
      <c r="L140" t="s">
        <v>1631</v>
      </c>
      <c r="M140">
        <v>200.39</v>
      </c>
    </row>
    <row r="141" spans="1:13" x14ac:dyDescent="0.25">
      <c r="A141" t="str">
        <f t="shared" si="45"/>
        <v>E111</v>
      </c>
      <c r="B141">
        <v>1</v>
      </c>
      <c r="C141" t="str">
        <f t="shared" si="31"/>
        <v>43000</v>
      </c>
      <c r="D141" t="str">
        <f t="shared" si="32"/>
        <v>5740</v>
      </c>
      <c r="E141" t="str">
        <f t="shared" si="28"/>
        <v>850LOS</v>
      </c>
      <c r="F141" t="str">
        <f>""</f>
        <v/>
      </c>
      <c r="G141" t="str">
        <f>""</f>
        <v/>
      </c>
      <c r="H141" s="1">
        <v>40663</v>
      </c>
      <c r="I141" t="str">
        <f>"PCD00480"</f>
        <v>PCD00480</v>
      </c>
      <c r="J141" t="str">
        <f>"142129"</f>
        <v>142129</v>
      </c>
      <c r="K141" t="str">
        <f t="shared" si="44"/>
        <v>AS89</v>
      </c>
      <c r="L141" t="s">
        <v>1630</v>
      </c>
      <c r="M141">
        <v>123.4</v>
      </c>
    </row>
    <row r="142" spans="1:13" x14ac:dyDescent="0.25">
      <c r="A142" t="str">
        <f t="shared" si="45"/>
        <v>E111</v>
      </c>
      <c r="B142">
        <v>1</v>
      </c>
      <c r="C142" t="str">
        <f t="shared" si="31"/>
        <v>43000</v>
      </c>
      <c r="D142" t="str">
        <f t="shared" si="32"/>
        <v>5740</v>
      </c>
      <c r="E142" t="str">
        <f t="shared" si="28"/>
        <v>850LOS</v>
      </c>
      <c r="F142" t="str">
        <f>""</f>
        <v/>
      </c>
      <c r="G142" t="str">
        <f>""</f>
        <v/>
      </c>
      <c r="H142" s="1">
        <v>40663</v>
      </c>
      <c r="I142" t="str">
        <f>"PCD00480"</f>
        <v>PCD00480</v>
      </c>
      <c r="J142" t="str">
        <f>"142160"</f>
        <v>142160</v>
      </c>
      <c r="K142" t="str">
        <f t="shared" si="44"/>
        <v>AS89</v>
      </c>
      <c r="L142" t="s">
        <v>1629</v>
      </c>
      <c r="M142">
        <v>505.4</v>
      </c>
    </row>
    <row r="143" spans="1:13" x14ac:dyDescent="0.25">
      <c r="A143" t="str">
        <f t="shared" si="45"/>
        <v>E111</v>
      </c>
      <c r="B143">
        <v>1</v>
      </c>
      <c r="C143" t="str">
        <f t="shared" si="31"/>
        <v>43000</v>
      </c>
      <c r="D143" t="str">
        <f t="shared" si="32"/>
        <v>5740</v>
      </c>
      <c r="E143" t="str">
        <f t="shared" si="28"/>
        <v>850LOS</v>
      </c>
      <c r="F143" t="str">
        <f>""</f>
        <v/>
      </c>
      <c r="G143" t="str">
        <f>""</f>
        <v/>
      </c>
      <c r="H143" s="1">
        <v>40663</v>
      </c>
      <c r="I143" t="str">
        <f>"PCD00480"</f>
        <v>PCD00480</v>
      </c>
      <c r="J143" t="str">
        <f>"143456"</f>
        <v>143456</v>
      </c>
      <c r="K143" t="str">
        <f t="shared" si="44"/>
        <v>AS89</v>
      </c>
      <c r="L143" t="s">
        <v>1628</v>
      </c>
      <c r="M143">
        <v>220.65</v>
      </c>
    </row>
    <row r="144" spans="1:13" x14ac:dyDescent="0.25">
      <c r="A144" t="str">
        <f t="shared" si="45"/>
        <v>E111</v>
      </c>
      <c r="B144">
        <v>1</v>
      </c>
      <c r="C144" t="str">
        <f t="shared" si="31"/>
        <v>43000</v>
      </c>
      <c r="D144" t="str">
        <f t="shared" si="32"/>
        <v>5740</v>
      </c>
      <c r="E144" t="str">
        <f t="shared" si="28"/>
        <v>850LOS</v>
      </c>
      <c r="F144" t="str">
        <f>""</f>
        <v/>
      </c>
      <c r="G144" t="str">
        <f>""</f>
        <v/>
      </c>
      <c r="H144" s="1">
        <v>40694</v>
      </c>
      <c r="I144" t="str">
        <f t="shared" ref="I144" si="46">"PCD00485"</f>
        <v>PCD00485</v>
      </c>
      <c r="J144" t="str">
        <f>"144663"</f>
        <v>144663</v>
      </c>
      <c r="K144" t="str">
        <f t="shared" si="44"/>
        <v>AS89</v>
      </c>
      <c r="L144" t="s">
        <v>1627</v>
      </c>
      <c r="M144">
        <v>188.99</v>
      </c>
    </row>
    <row r="145" spans="1:13" x14ac:dyDescent="0.25">
      <c r="A145" t="str">
        <f t="shared" si="45"/>
        <v>E111</v>
      </c>
      <c r="B145">
        <v>1</v>
      </c>
      <c r="C145" t="str">
        <f t="shared" si="31"/>
        <v>43000</v>
      </c>
      <c r="D145" t="str">
        <f t="shared" si="32"/>
        <v>5740</v>
      </c>
      <c r="E145" t="str">
        <f t="shared" si="28"/>
        <v>850LOS</v>
      </c>
      <c r="F145" t="str">
        <f>""</f>
        <v/>
      </c>
      <c r="G145" t="str">
        <f>""</f>
        <v/>
      </c>
      <c r="H145" s="1">
        <v>40704</v>
      </c>
      <c r="I145" t="str">
        <f>"PCD00486"</f>
        <v>PCD00486</v>
      </c>
      <c r="J145" t="str">
        <f>"146035"</f>
        <v>146035</v>
      </c>
      <c r="K145" t="str">
        <f>"AS89"</f>
        <v>AS89</v>
      </c>
      <c r="L145" t="s">
        <v>1626</v>
      </c>
      <c r="M145">
        <v>141.30000000000001</v>
      </c>
    </row>
    <row r="146" spans="1:13" x14ac:dyDescent="0.25">
      <c r="A146" t="str">
        <f t="shared" si="45"/>
        <v>E111</v>
      </c>
      <c r="B146">
        <v>1</v>
      </c>
      <c r="C146" t="str">
        <f t="shared" si="31"/>
        <v>43000</v>
      </c>
      <c r="D146" t="str">
        <f t="shared" si="32"/>
        <v>5740</v>
      </c>
      <c r="E146" t="str">
        <f t="shared" si="28"/>
        <v>850LOS</v>
      </c>
      <c r="F146" t="str">
        <f>""</f>
        <v/>
      </c>
      <c r="G146" t="str">
        <f>""</f>
        <v/>
      </c>
      <c r="H146" s="1">
        <v>40724</v>
      </c>
      <c r="I146" t="str">
        <f t="shared" ref="I146:I147" si="47">"PCD00489"</f>
        <v>PCD00489</v>
      </c>
      <c r="J146" t="str">
        <f>"147421"</f>
        <v>147421</v>
      </c>
      <c r="K146" t="str">
        <f t="shared" ref="K146:K158" si="48">"AS89"</f>
        <v>AS89</v>
      </c>
      <c r="L146" t="s">
        <v>1625</v>
      </c>
      <c r="M146">
        <v>130.24</v>
      </c>
    </row>
    <row r="147" spans="1:13" x14ac:dyDescent="0.25">
      <c r="A147" t="str">
        <f t="shared" si="45"/>
        <v>E111</v>
      </c>
      <c r="B147">
        <v>1</v>
      </c>
      <c r="C147" t="str">
        <f t="shared" si="31"/>
        <v>43000</v>
      </c>
      <c r="D147" t="str">
        <f t="shared" si="32"/>
        <v>5740</v>
      </c>
      <c r="E147" t="str">
        <f t="shared" si="28"/>
        <v>850LOS</v>
      </c>
      <c r="F147" t="str">
        <f>""</f>
        <v/>
      </c>
      <c r="G147" t="str">
        <f>""</f>
        <v/>
      </c>
      <c r="H147" s="1">
        <v>40724</v>
      </c>
      <c r="I147" t="str">
        <f t="shared" si="47"/>
        <v>PCD00489</v>
      </c>
      <c r="J147" t="str">
        <f>"147981"</f>
        <v>147981</v>
      </c>
      <c r="K147" t="str">
        <f t="shared" si="48"/>
        <v>AS89</v>
      </c>
      <c r="L147" t="s">
        <v>1624</v>
      </c>
      <c r="M147">
        <v>134.22</v>
      </c>
    </row>
    <row r="148" spans="1:13" x14ac:dyDescent="0.25">
      <c r="A148" t="str">
        <f t="shared" si="45"/>
        <v>E111</v>
      </c>
      <c r="B148">
        <v>1</v>
      </c>
      <c r="C148" t="str">
        <f t="shared" si="31"/>
        <v>43000</v>
      </c>
      <c r="D148" t="str">
        <f t="shared" si="32"/>
        <v>5740</v>
      </c>
      <c r="E148" t="str">
        <f t="shared" ref="E148:E156" si="49">"850PKE"</f>
        <v>850PKE</v>
      </c>
      <c r="F148" t="str">
        <f>""</f>
        <v/>
      </c>
      <c r="G148" t="str">
        <f>""</f>
        <v/>
      </c>
      <c r="H148" s="1">
        <v>40390</v>
      </c>
      <c r="I148" t="str">
        <f>"PCD00433"</f>
        <v>PCD00433</v>
      </c>
      <c r="J148" t="str">
        <f>"126402"</f>
        <v>126402</v>
      </c>
      <c r="K148" t="str">
        <f t="shared" si="48"/>
        <v>AS89</v>
      </c>
      <c r="L148" t="s">
        <v>1623</v>
      </c>
      <c r="M148">
        <v>976.23</v>
      </c>
    </row>
    <row r="149" spans="1:13" x14ac:dyDescent="0.25">
      <c r="A149" t="str">
        <f t="shared" si="45"/>
        <v>E111</v>
      </c>
      <c r="B149">
        <v>1</v>
      </c>
      <c r="C149" t="str">
        <f t="shared" si="31"/>
        <v>43000</v>
      </c>
      <c r="D149" t="str">
        <f t="shared" si="32"/>
        <v>5740</v>
      </c>
      <c r="E149" t="str">
        <f t="shared" si="49"/>
        <v>850PKE</v>
      </c>
      <c r="F149" t="str">
        <f>""</f>
        <v/>
      </c>
      <c r="G149" t="str">
        <f>""</f>
        <v/>
      </c>
      <c r="H149" s="1">
        <v>40456</v>
      </c>
      <c r="I149" t="str">
        <f>"PCD00444"</f>
        <v>PCD00444</v>
      </c>
      <c r="J149" t="str">
        <f>"130317"</f>
        <v>130317</v>
      </c>
      <c r="K149" t="str">
        <f t="shared" si="48"/>
        <v>AS89</v>
      </c>
      <c r="L149" t="s">
        <v>1622</v>
      </c>
      <c r="M149">
        <v>863</v>
      </c>
    </row>
    <row r="150" spans="1:13" x14ac:dyDescent="0.25">
      <c r="A150" t="str">
        <f t="shared" si="45"/>
        <v>E111</v>
      </c>
      <c r="B150">
        <v>1</v>
      </c>
      <c r="C150" t="str">
        <f t="shared" si="31"/>
        <v>43000</v>
      </c>
      <c r="D150" t="str">
        <f t="shared" si="32"/>
        <v>5740</v>
      </c>
      <c r="E150" t="str">
        <f t="shared" si="49"/>
        <v>850PKE</v>
      </c>
      <c r="F150" t="str">
        <f>""</f>
        <v/>
      </c>
      <c r="G150" t="str">
        <f>""</f>
        <v/>
      </c>
      <c r="H150" s="1">
        <v>40512</v>
      </c>
      <c r="I150" t="str">
        <f>"PCD00455"</f>
        <v>PCD00455</v>
      </c>
      <c r="J150" t="str">
        <f>"133374"</f>
        <v>133374</v>
      </c>
      <c r="K150" t="str">
        <f t="shared" si="48"/>
        <v>AS89</v>
      </c>
      <c r="L150" t="s">
        <v>1621</v>
      </c>
      <c r="M150">
        <v>239.49</v>
      </c>
    </row>
    <row r="151" spans="1:13" x14ac:dyDescent="0.25">
      <c r="A151" t="str">
        <f t="shared" si="45"/>
        <v>E111</v>
      </c>
      <c r="B151">
        <v>1</v>
      </c>
      <c r="C151" t="str">
        <f t="shared" si="31"/>
        <v>43000</v>
      </c>
      <c r="D151" t="str">
        <f t="shared" si="32"/>
        <v>5740</v>
      </c>
      <c r="E151" t="str">
        <f t="shared" si="49"/>
        <v>850PKE</v>
      </c>
      <c r="F151" t="str">
        <f>""</f>
        <v/>
      </c>
      <c r="G151" t="str">
        <f>""</f>
        <v/>
      </c>
      <c r="H151" s="1">
        <v>40512</v>
      </c>
      <c r="I151" t="str">
        <f>"PCD00455"</f>
        <v>PCD00455</v>
      </c>
      <c r="J151" t="str">
        <f>"133613"</f>
        <v>133613</v>
      </c>
      <c r="K151" t="str">
        <f t="shared" si="48"/>
        <v>AS89</v>
      </c>
      <c r="L151" t="s">
        <v>1620</v>
      </c>
      <c r="M151">
        <v>394.71</v>
      </c>
    </row>
    <row r="152" spans="1:13" x14ac:dyDescent="0.25">
      <c r="A152" t="str">
        <f t="shared" si="45"/>
        <v>E111</v>
      </c>
      <c r="B152">
        <v>1</v>
      </c>
      <c r="C152" t="str">
        <f t="shared" si="31"/>
        <v>43000</v>
      </c>
      <c r="D152" t="str">
        <f t="shared" si="32"/>
        <v>5740</v>
      </c>
      <c r="E152" t="str">
        <f t="shared" si="49"/>
        <v>850PKE</v>
      </c>
      <c r="F152" t="str">
        <f>""</f>
        <v/>
      </c>
      <c r="G152" t="str">
        <f>""</f>
        <v/>
      </c>
      <c r="H152" s="1">
        <v>40662</v>
      </c>
      <c r="I152" t="str">
        <f>"PCD00479"</f>
        <v>PCD00479</v>
      </c>
      <c r="J152" t="str">
        <f>"142878"</f>
        <v>142878</v>
      </c>
      <c r="K152" t="str">
        <f t="shared" si="48"/>
        <v>AS89</v>
      </c>
      <c r="L152" t="s">
        <v>1509</v>
      </c>
      <c r="M152">
        <v>910</v>
      </c>
    </row>
    <row r="153" spans="1:13" x14ac:dyDescent="0.25">
      <c r="A153" t="str">
        <f t="shared" si="45"/>
        <v>E111</v>
      </c>
      <c r="B153">
        <v>1</v>
      </c>
      <c r="C153" t="str">
        <f t="shared" si="31"/>
        <v>43000</v>
      </c>
      <c r="D153" t="str">
        <f t="shared" si="32"/>
        <v>5740</v>
      </c>
      <c r="E153" t="str">
        <f t="shared" si="49"/>
        <v>850PKE</v>
      </c>
      <c r="F153" t="str">
        <f>""</f>
        <v/>
      </c>
      <c r="G153" t="str">
        <f>""</f>
        <v/>
      </c>
      <c r="H153" s="1">
        <v>40662</v>
      </c>
      <c r="I153" t="str">
        <f>"PCD00479"</f>
        <v>PCD00479</v>
      </c>
      <c r="J153" t="str">
        <f>"142879"</f>
        <v>142879</v>
      </c>
      <c r="K153" t="str">
        <f t="shared" si="48"/>
        <v>AS89</v>
      </c>
      <c r="L153" t="s">
        <v>1509</v>
      </c>
      <c r="M153">
        <v>270</v>
      </c>
    </row>
    <row r="154" spans="1:13" x14ac:dyDescent="0.25">
      <c r="A154" t="str">
        <f t="shared" si="45"/>
        <v>E111</v>
      </c>
      <c r="B154">
        <v>1</v>
      </c>
      <c r="C154" t="str">
        <f t="shared" si="31"/>
        <v>43000</v>
      </c>
      <c r="D154" t="str">
        <f t="shared" si="32"/>
        <v>5740</v>
      </c>
      <c r="E154" t="str">
        <f t="shared" si="49"/>
        <v>850PKE</v>
      </c>
      <c r="F154" t="str">
        <f>""</f>
        <v/>
      </c>
      <c r="G154" t="str">
        <f>""</f>
        <v/>
      </c>
      <c r="H154" s="1">
        <v>40694</v>
      </c>
      <c r="I154" t="str">
        <f>"PCD00485"</f>
        <v>PCD00485</v>
      </c>
      <c r="J154" t="str">
        <f>"143674"</f>
        <v>143674</v>
      </c>
      <c r="K154" t="str">
        <f t="shared" si="48"/>
        <v>AS89</v>
      </c>
      <c r="L154" t="s">
        <v>1619</v>
      </c>
      <c r="M154" s="2">
        <v>1000</v>
      </c>
    </row>
    <row r="155" spans="1:13" x14ac:dyDescent="0.25">
      <c r="A155" t="str">
        <f t="shared" si="45"/>
        <v>E111</v>
      </c>
      <c r="B155">
        <v>1</v>
      </c>
      <c r="C155" t="str">
        <f t="shared" si="31"/>
        <v>43000</v>
      </c>
      <c r="D155" t="str">
        <f t="shared" si="32"/>
        <v>5740</v>
      </c>
      <c r="E155" t="str">
        <f t="shared" si="49"/>
        <v>850PKE</v>
      </c>
      <c r="F155" t="str">
        <f>""</f>
        <v/>
      </c>
      <c r="G155" t="str">
        <f>""</f>
        <v/>
      </c>
      <c r="H155" s="1">
        <v>40724</v>
      </c>
      <c r="I155" t="str">
        <f>"PCD00489"</f>
        <v>PCD00489</v>
      </c>
      <c r="J155" t="str">
        <f>"147393"</f>
        <v>147393</v>
      </c>
      <c r="K155" t="str">
        <f t="shared" si="48"/>
        <v>AS89</v>
      </c>
      <c r="L155" t="s">
        <v>1618</v>
      </c>
      <c r="M155">
        <v>105.7</v>
      </c>
    </row>
    <row r="156" spans="1:13" x14ac:dyDescent="0.25">
      <c r="A156" t="str">
        <f t="shared" si="45"/>
        <v>E111</v>
      </c>
      <c r="B156">
        <v>1</v>
      </c>
      <c r="C156" t="str">
        <f t="shared" si="31"/>
        <v>43000</v>
      </c>
      <c r="D156" t="str">
        <f t="shared" si="32"/>
        <v>5740</v>
      </c>
      <c r="E156" t="str">
        <f t="shared" si="49"/>
        <v>850PKE</v>
      </c>
      <c r="F156" t="str">
        <f>""</f>
        <v/>
      </c>
      <c r="G156" t="str">
        <f>""</f>
        <v/>
      </c>
      <c r="H156" s="1">
        <v>40724</v>
      </c>
      <c r="I156" t="str">
        <f>"PCD00489"</f>
        <v>PCD00489</v>
      </c>
      <c r="J156" t="str">
        <f>"147727"</f>
        <v>147727</v>
      </c>
      <c r="K156" t="str">
        <f t="shared" si="48"/>
        <v>AS89</v>
      </c>
      <c r="L156" t="s">
        <v>1617</v>
      </c>
      <c r="M156">
        <v>244.58</v>
      </c>
    </row>
    <row r="157" spans="1:13" x14ac:dyDescent="0.25">
      <c r="A157" t="str">
        <f t="shared" si="45"/>
        <v>E111</v>
      </c>
      <c r="B157">
        <v>1</v>
      </c>
      <c r="C157" t="str">
        <f>"43003"</f>
        <v>43003</v>
      </c>
      <c r="D157" t="str">
        <f t="shared" si="32"/>
        <v>5740</v>
      </c>
      <c r="E157" t="str">
        <f>"850LOS"</f>
        <v>850LOS</v>
      </c>
      <c r="F157" t="str">
        <f>""</f>
        <v/>
      </c>
      <c r="G157" t="str">
        <f>""</f>
        <v/>
      </c>
      <c r="H157" s="1">
        <v>40452</v>
      </c>
      <c r="I157" t="str">
        <f>"PCD00443"</f>
        <v>PCD00443</v>
      </c>
      <c r="J157" t="str">
        <f>"129409"</f>
        <v>129409</v>
      </c>
      <c r="K157" t="str">
        <f t="shared" si="48"/>
        <v>AS89</v>
      </c>
      <c r="L157" t="s">
        <v>1616</v>
      </c>
      <c r="M157">
        <v>698.57</v>
      </c>
    </row>
    <row r="158" spans="1:13" x14ac:dyDescent="0.25">
      <c r="A158" t="str">
        <f t="shared" si="45"/>
        <v>E111</v>
      </c>
      <c r="B158">
        <v>1</v>
      </c>
      <c r="C158" t="str">
        <f>"43003"</f>
        <v>43003</v>
      </c>
      <c r="D158" t="str">
        <f t="shared" si="32"/>
        <v>5740</v>
      </c>
      <c r="E158" t="str">
        <f>"850LOS"</f>
        <v>850LOS</v>
      </c>
      <c r="F158" t="str">
        <f>""</f>
        <v/>
      </c>
      <c r="G158" t="str">
        <f>""</f>
        <v/>
      </c>
      <c r="H158" s="1">
        <v>40512</v>
      </c>
      <c r="I158" t="str">
        <f>"PCD00455"</f>
        <v>PCD00455</v>
      </c>
      <c r="J158" t="str">
        <f>"133183"</f>
        <v>133183</v>
      </c>
      <c r="K158" t="str">
        <f t="shared" si="48"/>
        <v>AS89</v>
      </c>
      <c r="L158" t="s">
        <v>1615</v>
      </c>
      <c r="M158" s="2">
        <v>1214.3399999999999</v>
      </c>
    </row>
    <row r="159" spans="1:13" x14ac:dyDescent="0.25">
      <c r="A159" t="str">
        <f t="shared" si="45"/>
        <v>E111</v>
      </c>
      <c r="B159">
        <v>1</v>
      </c>
      <c r="C159" t="str">
        <f>"55755"</f>
        <v>55755</v>
      </c>
      <c r="D159" t="str">
        <f>"5620"</f>
        <v>5620</v>
      </c>
      <c r="E159" t="str">
        <f>"111ZAA"</f>
        <v>111ZAA</v>
      </c>
      <c r="F159" t="str">
        <f>""</f>
        <v/>
      </c>
      <c r="G159" t="str">
        <f>""</f>
        <v/>
      </c>
      <c r="H159" s="1">
        <v>40421</v>
      </c>
      <c r="I159" t="str">
        <f>"PCD00438"</f>
        <v>PCD00438</v>
      </c>
      <c r="J159" t="str">
        <f>"128581"</f>
        <v>128581</v>
      </c>
      <c r="K159" t="str">
        <f>"AS89"</f>
        <v>AS89</v>
      </c>
      <c r="L159" t="s">
        <v>1614</v>
      </c>
      <c r="M159">
        <v>938.53</v>
      </c>
    </row>
    <row r="160" spans="1:13" x14ac:dyDescent="0.25">
      <c r="A160" t="str">
        <f>"E112"</f>
        <v>E112</v>
      </c>
      <c r="B160">
        <v>1</v>
      </c>
      <c r="C160" t="str">
        <f>"10200"</f>
        <v>10200</v>
      </c>
      <c r="D160" t="str">
        <f t="shared" ref="D160" si="50">"5620"</f>
        <v>5620</v>
      </c>
      <c r="E160" t="str">
        <f t="shared" ref="E160" si="51">"094OMS"</f>
        <v>094OMS</v>
      </c>
      <c r="F160" t="str">
        <f>""</f>
        <v/>
      </c>
      <c r="G160" t="str">
        <f>""</f>
        <v/>
      </c>
      <c r="H160" s="1">
        <v>40421</v>
      </c>
      <c r="I160" t="str">
        <f>"PCD00438"</f>
        <v>PCD00438</v>
      </c>
      <c r="J160" t="str">
        <f>"127358"</f>
        <v>127358</v>
      </c>
      <c r="K160" t="str">
        <f>"AS89"</f>
        <v>AS89</v>
      </c>
      <c r="L160" t="s">
        <v>1613</v>
      </c>
      <c r="M160">
        <v>254.7</v>
      </c>
    </row>
    <row r="161" spans="1:13" x14ac:dyDescent="0.25">
      <c r="A161" t="str">
        <f t="shared" ref="A161:A167" si="52">"E120"</f>
        <v>E120</v>
      </c>
      <c r="B161">
        <v>1</v>
      </c>
      <c r="C161" t="str">
        <f t="shared" ref="C161:C175" si="53">"43000"</f>
        <v>43000</v>
      </c>
      <c r="D161" t="str">
        <f t="shared" ref="D161:D175" si="54">"5740"</f>
        <v>5740</v>
      </c>
      <c r="E161" t="str">
        <f t="shared" ref="E161:E175" si="55">"850LOS"</f>
        <v>850LOS</v>
      </c>
      <c r="F161" t="str">
        <f>""</f>
        <v/>
      </c>
      <c r="G161" t="str">
        <f>""</f>
        <v/>
      </c>
      <c r="H161" s="1">
        <v>40596</v>
      </c>
      <c r="I161" t="str">
        <f t="shared" ref="I161:I165" si="56">"00140473"</f>
        <v>00140473</v>
      </c>
      <c r="J161" t="str">
        <f t="shared" ref="J161:J165" si="57">"N138274"</f>
        <v>N138274</v>
      </c>
      <c r="K161" t="str">
        <f t="shared" ref="K161:K165" si="58">"INEI"</f>
        <v>INEI</v>
      </c>
      <c r="L161" t="s">
        <v>1396</v>
      </c>
      <c r="M161">
        <v>390.6</v>
      </c>
    </row>
    <row r="162" spans="1:13" x14ac:dyDescent="0.25">
      <c r="A162" t="str">
        <f t="shared" si="52"/>
        <v>E120</v>
      </c>
      <c r="B162">
        <v>1</v>
      </c>
      <c r="C162" t="str">
        <f t="shared" si="53"/>
        <v>43000</v>
      </c>
      <c r="D162" t="str">
        <f t="shared" si="54"/>
        <v>5740</v>
      </c>
      <c r="E162" t="str">
        <f t="shared" si="55"/>
        <v>850LOS</v>
      </c>
      <c r="F162" t="str">
        <f>""</f>
        <v/>
      </c>
      <c r="G162" t="str">
        <f>""</f>
        <v/>
      </c>
      <c r="H162" s="1">
        <v>40596</v>
      </c>
      <c r="I162" t="str">
        <f t="shared" si="56"/>
        <v>00140473</v>
      </c>
      <c r="J162" t="str">
        <f t="shared" si="57"/>
        <v>N138274</v>
      </c>
      <c r="K162" t="str">
        <f t="shared" si="58"/>
        <v>INEI</v>
      </c>
      <c r="L162" t="s">
        <v>1396</v>
      </c>
      <c r="M162" s="2">
        <v>2148.3000000000002</v>
      </c>
    </row>
    <row r="163" spans="1:13" x14ac:dyDescent="0.25">
      <c r="A163" t="str">
        <f t="shared" si="52"/>
        <v>E120</v>
      </c>
      <c r="B163">
        <v>1</v>
      </c>
      <c r="C163" t="str">
        <f t="shared" si="53"/>
        <v>43000</v>
      </c>
      <c r="D163" t="str">
        <f t="shared" si="54"/>
        <v>5740</v>
      </c>
      <c r="E163" t="str">
        <f t="shared" si="55"/>
        <v>850LOS</v>
      </c>
      <c r="F163" t="str">
        <f>""</f>
        <v/>
      </c>
      <c r="G163" t="str">
        <f>""</f>
        <v/>
      </c>
      <c r="H163" s="1">
        <v>40596</v>
      </c>
      <c r="I163" t="str">
        <f t="shared" si="56"/>
        <v>00140473</v>
      </c>
      <c r="J163" t="str">
        <f t="shared" si="57"/>
        <v>N138274</v>
      </c>
      <c r="K163" t="str">
        <f t="shared" si="58"/>
        <v>INEI</v>
      </c>
      <c r="L163" t="s">
        <v>1396</v>
      </c>
      <c r="M163">
        <v>694.4</v>
      </c>
    </row>
    <row r="164" spans="1:13" x14ac:dyDescent="0.25">
      <c r="A164" t="str">
        <f t="shared" si="52"/>
        <v>E120</v>
      </c>
      <c r="B164">
        <v>1</v>
      </c>
      <c r="C164" t="str">
        <f t="shared" si="53"/>
        <v>43000</v>
      </c>
      <c r="D164" t="str">
        <f t="shared" si="54"/>
        <v>5740</v>
      </c>
      <c r="E164" t="str">
        <f t="shared" si="55"/>
        <v>850LOS</v>
      </c>
      <c r="F164" t="str">
        <f>""</f>
        <v/>
      </c>
      <c r="G164" t="str">
        <f>""</f>
        <v/>
      </c>
      <c r="H164" s="1">
        <v>40596</v>
      </c>
      <c r="I164" t="str">
        <f t="shared" si="56"/>
        <v>00140473</v>
      </c>
      <c r="J164" t="str">
        <f t="shared" si="57"/>
        <v>N138274</v>
      </c>
      <c r="K164" t="str">
        <f t="shared" si="58"/>
        <v>INEI</v>
      </c>
      <c r="L164" t="s">
        <v>1396</v>
      </c>
      <c r="M164" s="2">
        <v>4731.6899999999996</v>
      </c>
    </row>
    <row r="165" spans="1:13" x14ac:dyDescent="0.25">
      <c r="A165" t="str">
        <f t="shared" si="52"/>
        <v>E120</v>
      </c>
      <c r="B165">
        <v>1</v>
      </c>
      <c r="C165" t="str">
        <f t="shared" si="53"/>
        <v>43000</v>
      </c>
      <c r="D165" t="str">
        <f t="shared" si="54"/>
        <v>5740</v>
      </c>
      <c r="E165" t="str">
        <f t="shared" si="55"/>
        <v>850LOS</v>
      </c>
      <c r="F165" t="str">
        <f>""</f>
        <v/>
      </c>
      <c r="G165" t="str">
        <f>""</f>
        <v/>
      </c>
      <c r="H165" s="1">
        <v>40596</v>
      </c>
      <c r="I165" t="str">
        <f t="shared" si="56"/>
        <v>00140473</v>
      </c>
      <c r="J165" t="str">
        <f t="shared" si="57"/>
        <v>N138274</v>
      </c>
      <c r="K165" t="str">
        <f t="shared" si="58"/>
        <v>INEI</v>
      </c>
      <c r="L165" t="s">
        <v>1396</v>
      </c>
      <c r="M165" s="2">
        <v>1855.35</v>
      </c>
    </row>
    <row r="166" spans="1:13" x14ac:dyDescent="0.25">
      <c r="A166" t="str">
        <f t="shared" si="52"/>
        <v>E120</v>
      </c>
      <c r="B166">
        <v>1</v>
      </c>
      <c r="C166" t="str">
        <f t="shared" si="53"/>
        <v>43000</v>
      </c>
      <c r="D166" t="str">
        <f t="shared" si="54"/>
        <v>5740</v>
      </c>
      <c r="E166" t="str">
        <f t="shared" si="55"/>
        <v>850LOS</v>
      </c>
      <c r="F166" t="str">
        <f>""</f>
        <v/>
      </c>
      <c r="G166" t="str">
        <f>""</f>
        <v/>
      </c>
      <c r="H166" s="1">
        <v>40665</v>
      </c>
      <c r="I166" t="str">
        <f>"00140907"</f>
        <v>00140907</v>
      </c>
      <c r="J166" t="str">
        <f>"N138274A"</f>
        <v>N138274A</v>
      </c>
      <c r="K166" t="str">
        <f>"INEI"</f>
        <v>INEI</v>
      </c>
      <c r="L166" t="s">
        <v>1396</v>
      </c>
      <c r="M166" s="2">
        <v>1246.47</v>
      </c>
    </row>
    <row r="167" spans="1:13" x14ac:dyDescent="0.25">
      <c r="A167" t="str">
        <f t="shared" si="52"/>
        <v>E120</v>
      </c>
      <c r="B167">
        <v>1</v>
      </c>
      <c r="C167" t="str">
        <f t="shared" si="53"/>
        <v>43000</v>
      </c>
      <c r="D167" t="str">
        <f t="shared" si="54"/>
        <v>5740</v>
      </c>
      <c r="E167" t="str">
        <f t="shared" si="55"/>
        <v>850LOS</v>
      </c>
      <c r="F167" t="str">
        <f>""</f>
        <v/>
      </c>
      <c r="G167" t="str">
        <f>""</f>
        <v/>
      </c>
      <c r="H167" s="1">
        <v>40665</v>
      </c>
      <c r="I167" t="str">
        <f>"0140774A"</f>
        <v>0140774A</v>
      </c>
      <c r="J167" t="str">
        <f>"N138274A"</f>
        <v>N138274A</v>
      </c>
      <c r="K167" t="str">
        <f>"INEI"</f>
        <v>INEI</v>
      </c>
      <c r="L167" t="s">
        <v>1396</v>
      </c>
      <c r="M167" s="2">
        <v>3379.78</v>
      </c>
    </row>
    <row r="168" spans="1:13" x14ac:dyDescent="0.25">
      <c r="A168" t="str">
        <f t="shared" ref="A168:A175" si="59">"E121"</f>
        <v>E121</v>
      </c>
      <c r="B168">
        <v>1</v>
      </c>
      <c r="C168" t="str">
        <f t="shared" si="53"/>
        <v>43000</v>
      </c>
      <c r="D168" t="str">
        <f t="shared" si="54"/>
        <v>5740</v>
      </c>
      <c r="E168" t="str">
        <f t="shared" si="55"/>
        <v>850LOS</v>
      </c>
      <c r="F168" t="str">
        <f>"PKOLOT"</f>
        <v>PKOLOT</v>
      </c>
      <c r="G168" t="str">
        <f>""</f>
        <v/>
      </c>
      <c r="H168" s="1">
        <v>40542</v>
      </c>
      <c r="I168" t="str">
        <f>"PCD00458"</f>
        <v>PCD00458</v>
      </c>
      <c r="J168" t="str">
        <f>"135369"</f>
        <v>135369</v>
      </c>
      <c r="K168" t="str">
        <f>"AS89"</f>
        <v>AS89</v>
      </c>
      <c r="L168" t="s">
        <v>1612</v>
      </c>
      <c r="M168">
        <v>204.66</v>
      </c>
    </row>
    <row r="169" spans="1:13" x14ac:dyDescent="0.25">
      <c r="A169" t="str">
        <f t="shared" si="59"/>
        <v>E121</v>
      </c>
      <c r="B169">
        <v>1</v>
      </c>
      <c r="C169" t="str">
        <f t="shared" si="53"/>
        <v>43000</v>
      </c>
      <c r="D169" t="str">
        <f t="shared" si="54"/>
        <v>5740</v>
      </c>
      <c r="E169" t="str">
        <f t="shared" si="55"/>
        <v>850LOS</v>
      </c>
      <c r="F169" t="str">
        <f>""</f>
        <v/>
      </c>
      <c r="G169" t="str">
        <f>""</f>
        <v/>
      </c>
      <c r="H169" s="1">
        <v>40424</v>
      </c>
      <c r="I169" t="str">
        <f>"V308169"</f>
        <v>V308169</v>
      </c>
      <c r="J169" t="str">
        <f t="shared" ref="J169:J170" si="60">"N113857B"</f>
        <v>N113857B</v>
      </c>
      <c r="K169" t="str">
        <f t="shared" ref="K169:K170" si="61">"INEI"</f>
        <v>INEI</v>
      </c>
      <c r="L169" t="s">
        <v>76</v>
      </c>
      <c r="M169">
        <v>323.3</v>
      </c>
    </row>
    <row r="170" spans="1:13" x14ac:dyDescent="0.25">
      <c r="A170" t="str">
        <f t="shared" si="59"/>
        <v>E121</v>
      </c>
      <c r="B170">
        <v>1</v>
      </c>
      <c r="C170" t="str">
        <f t="shared" si="53"/>
        <v>43000</v>
      </c>
      <c r="D170" t="str">
        <f t="shared" si="54"/>
        <v>5740</v>
      </c>
      <c r="E170" t="str">
        <f t="shared" si="55"/>
        <v>850LOS</v>
      </c>
      <c r="F170" t="str">
        <f>""</f>
        <v/>
      </c>
      <c r="G170" t="str">
        <f>""</f>
        <v/>
      </c>
      <c r="H170" s="1">
        <v>40501</v>
      </c>
      <c r="I170" t="str">
        <f>"NV308995"</f>
        <v>NV308995</v>
      </c>
      <c r="J170" t="str">
        <f t="shared" si="60"/>
        <v>N113857B</v>
      </c>
      <c r="K170" t="str">
        <f t="shared" si="61"/>
        <v>INEI</v>
      </c>
      <c r="L170" t="s">
        <v>1610</v>
      </c>
      <c r="M170">
        <v>148.30000000000001</v>
      </c>
    </row>
    <row r="171" spans="1:13" x14ac:dyDescent="0.25">
      <c r="A171" t="str">
        <f t="shared" si="59"/>
        <v>E121</v>
      </c>
      <c r="B171">
        <v>1</v>
      </c>
      <c r="C171" t="str">
        <f t="shared" si="53"/>
        <v>43000</v>
      </c>
      <c r="D171" t="str">
        <f t="shared" si="54"/>
        <v>5740</v>
      </c>
      <c r="E171" t="str">
        <f t="shared" si="55"/>
        <v>850LOS</v>
      </c>
      <c r="F171" t="str">
        <f>""</f>
        <v/>
      </c>
      <c r="G171" t="str">
        <f>""</f>
        <v/>
      </c>
      <c r="H171" s="1">
        <v>40512</v>
      </c>
      <c r="I171" t="str">
        <f>"NV308880"</f>
        <v>NV308880</v>
      </c>
      <c r="J171" t="str">
        <f>"N113857B"</f>
        <v>N113857B</v>
      </c>
      <c r="K171" t="str">
        <f>"INEI"</f>
        <v>INEI</v>
      </c>
      <c r="L171" t="s">
        <v>1610</v>
      </c>
      <c r="M171">
        <v>337.68</v>
      </c>
    </row>
    <row r="172" spans="1:13" x14ac:dyDescent="0.25">
      <c r="A172" t="str">
        <f t="shared" si="59"/>
        <v>E121</v>
      </c>
      <c r="B172">
        <v>1</v>
      </c>
      <c r="C172" t="str">
        <f t="shared" si="53"/>
        <v>43000</v>
      </c>
      <c r="D172" t="str">
        <f t="shared" si="54"/>
        <v>5740</v>
      </c>
      <c r="E172" t="str">
        <f t="shared" si="55"/>
        <v>850LOS</v>
      </c>
      <c r="F172" t="str">
        <f>""</f>
        <v/>
      </c>
      <c r="G172" t="str">
        <f>""</f>
        <v/>
      </c>
      <c r="H172" s="1">
        <v>40633</v>
      </c>
      <c r="I172" t="str">
        <f>"PCD00475"</f>
        <v>PCD00475</v>
      </c>
      <c r="J172" t="str">
        <f>"139716"</f>
        <v>139716</v>
      </c>
      <c r="K172" t="str">
        <f>"AS89"</f>
        <v>AS89</v>
      </c>
      <c r="L172" t="s">
        <v>1611</v>
      </c>
      <c r="M172">
        <v>141.05000000000001</v>
      </c>
    </row>
    <row r="173" spans="1:13" x14ac:dyDescent="0.25">
      <c r="A173" t="str">
        <f t="shared" si="59"/>
        <v>E121</v>
      </c>
      <c r="B173">
        <v>1</v>
      </c>
      <c r="C173" t="str">
        <f t="shared" si="53"/>
        <v>43000</v>
      </c>
      <c r="D173" t="str">
        <f t="shared" si="54"/>
        <v>5740</v>
      </c>
      <c r="E173" t="str">
        <f t="shared" si="55"/>
        <v>850LOS</v>
      </c>
      <c r="F173" t="str">
        <f>""</f>
        <v/>
      </c>
      <c r="G173" t="str">
        <f>""</f>
        <v/>
      </c>
      <c r="H173" s="1">
        <v>40654</v>
      </c>
      <c r="I173" t="str">
        <f>"NV310077"</f>
        <v>NV310077</v>
      </c>
      <c r="J173" t="str">
        <f t="shared" ref="J173:J175" si="62">"N113857C"</f>
        <v>N113857C</v>
      </c>
      <c r="K173" t="str">
        <f t="shared" ref="K173:K175" si="63">"INEI"</f>
        <v>INEI</v>
      </c>
      <c r="L173" t="s">
        <v>1610</v>
      </c>
      <c r="M173">
        <v>127.94</v>
      </c>
    </row>
    <row r="174" spans="1:13" x14ac:dyDescent="0.25">
      <c r="A174" t="str">
        <f t="shared" si="59"/>
        <v>E121</v>
      </c>
      <c r="B174">
        <v>1</v>
      </c>
      <c r="C174" t="str">
        <f t="shared" si="53"/>
        <v>43000</v>
      </c>
      <c r="D174" t="str">
        <f t="shared" si="54"/>
        <v>5740</v>
      </c>
      <c r="E174" t="str">
        <f t="shared" si="55"/>
        <v>850LOS</v>
      </c>
      <c r="F174" t="str">
        <f>""</f>
        <v/>
      </c>
      <c r="G174" t="str">
        <f>""</f>
        <v/>
      </c>
      <c r="H174" s="1">
        <v>40681</v>
      </c>
      <c r="I174" t="str">
        <f>"NV310235"</f>
        <v>NV310235</v>
      </c>
      <c r="J174" t="str">
        <f t="shared" si="62"/>
        <v>N113857C</v>
      </c>
      <c r="K174" t="str">
        <f t="shared" si="63"/>
        <v>INEI</v>
      </c>
      <c r="L174" t="s">
        <v>1610</v>
      </c>
      <c r="M174">
        <v>123.6</v>
      </c>
    </row>
    <row r="175" spans="1:13" x14ac:dyDescent="0.25">
      <c r="A175" t="str">
        <f t="shared" si="59"/>
        <v>E121</v>
      </c>
      <c r="B175">
        <v>1</v>
      </c>
      <c r="C175" t="str">
        <f t="shared" si="53"/>
        <v>43000</v>
      </c>
      <c r="D175" t="str">
        <f t="shared" si="54"/>
        <v>5740</v>
      </c>
      <c r="E175" t="str">
        <f t="shared" si="55"/>
        <v>850LOS</v>
      </c>
      <c r="F175" t="str">
        <f>""</f>
        <v/>
      </c>
      <c r="G175" t="str">
        <f>""</f>
        <v/>
      </c>
      <c r="H175" s="1">
        <v>40689</v>
      </c>
      <c r="I175" t="str">
        <f>"NV310347"</f>
        <v>NV310347</v>
      </c>
      <c r="J175" t="str">
        <f t="shared" si="62"/>
        <v>N113857C</v>
      </c>
      <c r="K175" t="str">
        <f t="shared" si="63"/>
        <v>INEI</v>
      </c>
      <c r="L175" t="s">
        <v>1610</v>
      </c>
      <c r="M175">
        <v>147.29</v>
      </c>
    </row>
    <row r="176" spans="1:13" x14ac:dyDescent="0.25">
      <c r="A176" t="str">
        <f>"E130"</f>
        <v>E130</v>
      </c>
      <c r="B176">
        <v>1</v>
      </c>
      <c r="C176" t="str">
        <f t="shared" ref="C176:C213" si="64">"10200"</f>
        <v>10200</v>
      </c>
      <c r="D176" t="str">
        <f t="shared" ref="D176:D214" si="65">"5620"</f>
        <v>5620</v>
      </c>
      <c r="E176" t="str">
        <f t="shared" ref="E176:E214" si="66">"094OMS"</f>
        <v>094OMS</v>
      </c>
      <c r="F176" t="str">
        <f>""</f>
        <v/>
      </c>
      <c r="G176" t="str">
        <f>""</f>
        <v/>
      </c>
      <c r="H176" s="1">
        <v>40663</v>
      </c>
      <c r="I176" t="str">
        <f>"PCD00480"</f>
        <v>PCD00480</v>
      </c>
      <c r="J176" t="str">
        <f>"141747"</f>
        <v>141747</v>
      </c>
      <c r="K176" t="str">
        <f>"AS89"</f>
        <v>AS89</v>
      </c>
      <c r="L176" t="s">
        <v>1609</v>
      </c>
      <c r="M176" s="2">
        <v>1000</v>
      </c>
    </row>
    <row r="177" spans="1:13" x14ac:dyDescent="0.25">
      <c r="A177" t="str">
        <f t="shared" ref="A177:A239" si="67">"E131"</f>
        <v>E131</v>
      </c>
      <c r="B177">
        <v>1</v>
      </c>
      <c r="C177" t="str">
        <f t="shared" si="64"/>
        <v>10200</v>
      </c>
      <c r="D177" t="str">
        <f t="shared" si="65"/>
        <v>5620</v>
      </c>
      <c r="E177" t="str">
        <f t="shared" si="66"/>
        <v>094OMS</v>
      </c>
      <c r="F177" t="str">
        <f>""</f>
        <v/>
      </c>
      <c r="G177" t="str">
        <f>""</f>
        <v/>
      </c>
      <c r="H177" s="1">
        <v>40374</v>
      </c>
      <c r="I177" t="str">
        <f>"ACG01952"</f>
        <v>ACG01952</v>
      </c>
      <c r="J177" t="str">
        <f>"81126607"</f>
        <v>81126607</v>
      </c>
      <c r="K177" t="str">
        <f>"AS89"</f>
        <v>AS89</v>
      </c>
      <c r="L177" t="s">
        <v>1546</v>
      </c>
      <c r="M177">
        <v>202.49</v>
      </c>
    </row>
    <row r="178" spans="1:13" x14ac:dyDescent="0.25">
      <c r="A178" t="str">
        <f t="shared" si="67"/>
        <v>E131</v>
      </c>
      <c r="B178">
        <v>1</v>
      </c>
      <c r="C178" t="str">
        <f t="shared" si="64"/>
        <v>10200</v>
      </c>
      <c r="D178" t="str">
        <f t="shared" si="65"/>
        <v>5620</v>
      </c>
      <c r="E178" t="str">
        <f t="shared" si="66"/>
        <v>094OMS</v>
      </c>
      <c r="F178" t="str">
        <f>""</f>
        <v/>
      </c>
      <c r="G178" t="str">
        <f>""</f>
        <v/>
      </c>
      <c r="H178" s="1">
        <v>40395</v>
      </c>
      <c r="I178" t="str">
        <f>"90088463"</f>
        <v>90088463</v>
      </c>
      <c r="J178" t="str">
        <f>"N138254A"</f>
        <v>N138254A</v>
      </c>
      <c r="K178" t="str">
        <f>"INEI"</f>
        <v>INEI</v>
      </c>
      <c r="L178" t="s">
        <v>1382</v>
      </c>
      <c r="M178">
        <v>120.09</v>
      </c>
    </row>
    <row r="179" spans="1:13" x14ac:dyDescent="0.25">
      <c r="A179" t="str">
        <f t="shared" si="67"/>
        <v>E131</v>
      </c>
      <c r="B179">
        <v>1</v>
      </c>
      <c r="C179" t="str">
        <f t="shared" si="64"/>
        <v>10200</v>
      </c>
      <c r="D179" t="str">
        <f t="shared" si="65"/>
        <v>5620</v>
      </c>
      <c r="E179" t="str">
        <f t="shared" si="66"/>
        <v>094OMS</v>
      </c>
      <c r="F179" t="str">
        <f>""</f>
        <v/>
      </c>
      <c r="G179" t="str">
        <f>""</f>
        <v/>
      </c>
      <c r="H179" s="1">
        <v>40395</v>
      </c>
      <c r="I179" t="str">
        <f>"90088471"</f>
        <v>90088471</v>
      </c>
      <c r="J179" t="str">
        <f>"N138299A"</f>
        <v>N138299A</v>
      </c>
      <c r="K179" t="str">
        <f>"INEI"</f>
        <v>INEI</v>
      </c>
      <c r="L179" t="s">
        <v>1382</v>
      </c>
      <c r="M179">
        <v>379.08</v>
      </c>
    </row>
    <row r="180" spans="1:13" x14ac:dyDescent="0.25">
      <c r="A180" t="str">
        <f t="shared" si="67"/>
        <v>E131</v>
      </c>
      <c r="B180">
        <v>1</v>
      </c>
      <c r="C180" t="str">
        <f t="shared" si="64"/>
        <v>10200</v>
      </c>
      <c r="D180" t="str">
        <f t="shared" si="65"/>
        <v>5620</v>
      </c>
      <c r="E180" t="str">
        <f t="shared" si="66"/>
        <v>094OMS</v>
      </c>
      <c r="F180" t="str">
        <f>""</f>
        <v/>
      </c>
      <c r="G180" t="str">
        <f>""</f>
        <v/>
      </c>
      <c r="H180" s="1">
        <v>40395</v>
      </c>
      <c r="I180" t="str">
        <f>"TEL00592"</f>
        <v>TEL00592</v>
      </c>
      <c r="J180" t="str">
        <f>""</f>
        <v/>
      </c>
      <c r="K180" t="str">
        <f>"AS89"</f>
        <v>AS89</v>
      </c>
      <c r="L180" t="s">
        <v>1608</v>
      </c>
      <c r="M180">
        <v>118.55</v>
      </c>
    </row>
    <row r="181" spans="1:13" x14ac:dyDescent="0.25">
      <c r="A181" t="str">
        <f t="shared" si="67"/>
        <v>E131</v>
      </c>
      <c r="B181">
        <v>1</v>
      </c>
      <c r="C181" t="str">
        <f t="shared" si="64"/>
        <v>10200</v>
      </c>
      <c r="D181" t="str">
        <f t="shared" si="65"/>
        <v>5620</v>
      </c>
      <c r="E181" t="str">
        <f t="shared" si="66"/>
        <v>094OMS</v>
      </c>
      <c r="F181" t="str">
        <f>""</f>
        <v/>
      </c>
      <c r="G181" t="str">
        <f>""</f>
        <v/>
      </c>
      <c r="H181" s="1">
        <v>40422</v>
      </c>
      <c r="I181" t="str">
        <f>"99042599"</f>
        <v>99042599</v>
      </c>
      <c r="J181" t="str">
        <f>"N138254A"</f>
        <v>N138254A</v>
      </c>
      <c r="K181" t="str">
        <f>"INEI"</f>
        <v>INEI</v>
      </c>
      <c r="L181" t="s">
        <v>1382</v>
      </c>
      <c r="M181">
        <v>120.04</v>
      </c>
    </row>
    <row r="182" spans="1:13" x14ac:dyDescent="0.25">
      <c r="A182" t="str">
        <f t="shared" si="67"/>
        <v>E131</v>
      </c>
      <c r="B182">
        <v>1</v>
      </c>
      <c r="C182" t="str">
        <f t="shared" si="64"/>
        <v>10200</v>
      </c>
      <c r="D182" t="str">
        <f t="shared" si="65"/>
        <v>5620</v>
      </c>
      <c r="E182" t="str">
        <f t="shared" si="66"/>
        <v>094OMS</v>
      </c>
      <c r="F182" t="str">
        <f>""</f>
        <v/>
      </c>
      <c r="G182" t="str">
        <f>""</f>
        <v/>
      </c>
      <c r="H182" s="1">
        <v>40452</v>
      </c>
      <c r="I182" t="str">
        <f>"I0098370"</f>
        <v>I0098370</v>
      </c>
      <c r="J182" t="str">
        <f>"N138299A"</f>
        <v>N138299A</v>
      </c>
      <c r="K182" t="str">
        <f t="shared" ref="K182:K185" si="68">"INEI"</f>
        <v>INEI</v>
      </c>
      <c r="L182" t="s">
        <v>1382</v>
      </c>
      <c r="M182">
        <v>165.43</v>
      </c>
    </row>
    <row r="183" spans="1:13" x14ac:dyDescent="0.25">
      <c r="A183" t="str">
        <f t="shared" si="67"/>
        <v>E131</v>
      </c>
      <c r="B183">
        <v>1</v>
      </c>
      <c r="C183" t="str">
        <f t="shared" si="64"/>
        <v>10200</v>
      </c>
      <c r="D183" t="str">
        <f t="shared" si="65"/>
        <v>5620</v>
      </c>
      <c r="E183" t="str">
        <f t="shared" si="66"/>
        <v>094OMS</v>
      </c>
      <c r="F183" t="str">
        <f>""</f>
        <v/>
      </c>
      <c r="G183" t="str">
        <f>""</f>
        <v/>
      </c>
      <c r="H183" s="1">
        <v>40452</v>
      </c>
      <c r="I183" t="str">
        <f>"I0098373"</f>
        <v>I0098373</v>
      </c>
      <c r="J183" t="str">
        <f>"N138254A"</f>
        <v>N138254A</v>
      </c>
      <c r="K183" t="str">
        <f t="shared" si="68"/>
        <v>INEI</v>
      </c>
      <c r="L183" t="s">
        <v>1382</v>
      </c>
      <c r="M183">
        <v>120</v>
      </c>
    </row>
    <row r="184" spans="1:13" x14ac:dyDescent="0.25">
      <c r="A184" t="str">
        <f t="shared" si="67"/>
        <v>E131</v>
      </c>
      <c r="B184">
        <v>1</v>
      </c>
      <c r="C184" t="str">
        <f t="shared" si="64"/>
        <v>10200</v>
      </c>
      <c r="D184" t="str">
        <f t="shared" si="65"/>
        <v>5620</v>
      </c>
      <c r="E184" t="str">
        <f t="shared" si="66"/>
        <v>094OMS</v>
      </c>
      <c r="F184" t="str">
        <f>""</f>
        <v/>
      </c>
      <c r="G184" t="str">
        <f>""</f>
        <v/>
      </c>
      <c r="H184" s="1">
        <v>40452</v>
      </c>
      <c r="I184" t="str">
        <f>"I0098370"</f>
        <v>I0098370</v>
      </c>
      <c r="J184" t="str">
        <f>"N138299A"</f>
        <v>N138299A</v>
      </c>
      <c r="K184" t="str">
        <f t="shared" si="68"/>
        <v>INEI</v>
      </c>
      <c r="L184" t="s">
        <v>1382</v>
      </c>
      <c r="M184">
        <v>165.43</v>
      </c>
    </row>
    <row r="185" spans="1:13" x14ac:dyDescent="0.25">
      <c r="A185" t="str">
        <f t="shared" si="67"/>
        <v>E131</v>
      </c>
      <c r="B185">
        <v>1</v>
      </c>
      <c r="C185" t="str">
        <f t="shared" si="64"/>
        <v>10200</v>
      </c>
      <c r="D185" t="str">
        <f t="shared" si="65"/>
        <v>5620</v>
      </c>
      <c r="E185" t="str">
        <f t="shared" si="66"/>
        <v>094OMS</v>
      </c>
      <c r="F185" t="str">
        <f>""</f>
        <v/>
      </c>
      <c r="G185" t="str">
        <f>""</f>
        <v/>
      </c>
      <c r="H185" s="1">
        <v>40452</v>
      </c>
      <c r="I185" t="str">
        <f>"I0098373"</f>
        <v>I0098373</v>
      </c>
      <c r="J185" t="str">
        <f>"N138254A"</f>
        <v>N138254A</v>
      </c>
      <c r="K185" t="str">
        <f t="shared" si="68"/>
        <v>INEI</v>
      </c>
      <c r="L185" t="s">
        <v>1382</v>
      </c>
      <c r="M185">
        <v>120</v>
      </c>
    </row>
    <row r="186" spans="1:13" x14ac:dyDescent="0.25">
      <c r="A186" t="str">
        <f t="shared" si="67"/>
        <v>E131</v>
      </c>
      <c r="B186">
        <v>1</v>
      </c>
      <c r="C186" t="str">
        <f t="shared" si="64"/>
        <v>10200</v>
      </c>
      <c r="D186" t="str">
        <f t="shared" si="65"/>
        <v>5620</v>
      </c>
      <c r="E186" t="str">
        <f t="shared" si="66"/>
        <v>094OMS</v>
      </c>
      <c r="F186" t="str">
        <f>""</f>
        <v/>
      </c>
      <c r="G186" t="str">
        <f>""</f>
        <v/>
      </c>
      <c r="H186" s="1">
        <v>40459</v>
      </c>
      <c r="I186" t="str">
        <f>"TEL00594"</f>
        <v>TEL00594</v>
      </c>
      <c r="J186" t="str">
        <f>""</f>
        <v/>
      </c>
      <c r="K186" t="str">
        <f>"AS89"</f>
        <v>AS89</v>
      </c>
      <c r="L186" t="s">
        <v>1606</v>
      </c>
      <c r="M186">
        <v>110.65</v>
      </c>
    </row>
    <row r="187" spans="1:13" x14ac:dyDescent="0.25">
      <c r="A187" t="str">
        <f t="shared" si="67"/>
        <v>E131</v>
      </c>
      <c r="B187">
        <v>1</v>
      </c>
      <c r="C187" t="str">
        <f t="shared" si="64"/>
        <v>10200</v>
      </c>
      <c r="D187" t="str">
        <f t="shared" si="65"/>
        <v>5620</v>
      </c>
      <c r="E187" t="str">
        <f t="shared" si="66"/>
        <v>094OMS</v>
      </c>
      <c r="F187" t="str">
        <f>""</f>
        <v/>
      </c>
      <c r="G187" t="str">
        <f>""</f>
        <v/>
      </c>
      <c r="H187" s="1">
        <v>40483</v>
      </c>
      <c r="I187" t="str">
        <f>"16873646"</f>
        <v>16873646</v>
      </c>
      <c r="J187" t="str">
        <f>"N138254A"</f>
        <v>N138254A</v>
      </c>
      <c r="K187" t="str">
        <f>"INEI"</f>
        <v>INEI</v>
      </c>
      <c r="L187" t="s">
        <v>1382</v>
      </c>
      <c r="M187">
        <v>119.85</v>
      </c>
    </row>
    <row r="188" spans="1:13" x14ac:dyDescent="0.25">
      <c r="A188" t="str">
        <f t="shared" si="67"/>
        <v>E131</v>
      </c>
      <c r="B188">
        <v>1</v>
      </c>
      <c r="C188" t="str">
        <f t="shared" si="64"/>
        <v>10200</v>
      </c>
      <c r="D188" t="str">
        <f t="shared" si="65"/>
        <v>5620</v>
      </c>
      <c r="E188" t="str">
        <f t="shared" si="66"/>
        <v>094OMS</v>
      </c>
      <c r="F188" t="str">
        <f>""</f>
        <v/>
      </c>
      <c r="G188" t="str">
        <f>""</f>
        <v/>
      </c>
      <c r="H188" s="1">
        <v>40484</v>
      </c>
      <c r="I188" t="str">
        <f>"16873652"</f>
        <v>16873652</v>
      </c>
      <c r="J188" t="str">
        <f>"N138299A"</f>
        <v>N138299A</v>
      </c>
      <c r="K188" t="str">
        <f>"INEI"</f>
        <v>INEI</v>
      </c>
      <c r="L188" t="s">
        <v>1382</v>
      </c>
      <c r="M188">
        <v>215.05</v>
      </c>
    </row>
    <row r="189" spans="1:13" x14ac:dyDescent="0.25">
      <c r="A189" t="str">
        <f t="shared" si="67"/>
        <v>E131</v>
      </c>
      <c r="B189">
        <v>1</v>
      </c>
      <c r="C189" t="str">
        <f t="shared" si="64"/>
        <v>10200</v>
      </c>
      <c r="D189" t="str">
        <f t="shared" si="65"/>
        <v>5620</v>
      </c>
      <c r="E189" t="str">
        <f t="shared" si="66"/>
        <v>094OMS</v>
      </c>
      <c r="F189" t="str">
        <f>""</f>
        <v/>
      </c>
      <c r="G189" t="str">
        <f>""</f>
        <v/>
      </c>
      <c r="H189" s="1">
        <v>40491</v>
      </c>
      <c r="I189" t="str">
        <f>"TEL00595"</f>
        <v>TEL00595</v>
      </c>
      <c r="J189" t="str">
        <f>""</f>
        <v/>
      </c>
      <c r="K189" t="str">
        <f>"AS89"</f>
        <v>AS89</v>
      </c>
      <c r="L189" t="s">
        <v>1605</v>
      </c>
      <c r="M189">
        <v>120.93</v>
      </c>
    </row>
    <row r="190" spans="1:13" x14ac:dyDescent="0.25">
      <c r="A190" t="str">
        <f t="shared" si="67"/>
        <v>E131</v>
      </c>
      <c r="B190">
        <v>1</v>
      </c>
      <c r="C190" t="str">
        <f t="shared" si="64"/>
        <v>10200</v>
      </c>
      <c r="D190" t="str">
        <f t="shared" si="65"/>
        <v>5620</v>
      </c>
      <c r="E190" t="str">
        <f t="shared" si="66"/>
        <v>094OMS</v>
      </c>
      <c r="F190" t="str">
        <f>""</f>
        <v/>
      </c>
      <c r="G190" t="str">
        <f>""</f>
        <v/>
      </c>
      <c r="H190" s="1">
        <v>40515</v>
      </c>
      <c r="I190" t="str">
        <f>"25785515"</f>
        <v>25785515</v>
      </c>
      <c r="J190" t="str">
        <f>"N138254A"</f>
        <v>N138254A</v>
      </c>
      <c r="K190" t="str">
        <f>"INEI"</f>
        <v>INEI</v>
      </c>
      <c r="L190" t="s">
        <v>1382</v>
      </c>
      <c r="M190">
        <v>119.85</v>
      </c>
    </row>
    <row r="191" spans="1:13" x14ac:dyDescent="0.25">
      <c r="A191" t="str">
        <f t="shared" si="67"/>
        <v>E131</v>
      </c>
      <c r="B191">
        <v>1</v>
      </c>
      <c r="C191" t="str">
        <f t="shared" si="64"/>
        <v>10200</v>
      </c>
      <c r="D191" t="str">
        <f t="shared" si="65"/>
        <v>5620</v>
      </c>
      <c r="E191" t="str">
        <f t="shared" si="66"/>
        <v>094OMS</v>
      </c>
      <c r="F191" t="str">
        <f>""</f>
        <v/>
      </c>
      <c r="G191" t="str">
        <f>""</f>
        <v/>
      </c>
      <c r="H191" s="1">
        <v>40515</v>
      </c>
      <c r="I191" t="str">
        <f>"25785521"</f>
        <v>25785521</v>
      </c>
      <c r="J191" t="str">
        <f>"N138299A"</f>
        <v>N138299A</v>
      </c>
      <c r="K191" t="str">
        <f>"INEI"</f>
        <v>INEI</v>
      </c>
      <c r="L191" t="s">
        <v>1382</v>
      </c>
      <c r="M191">
        <v>215.05</v>
      </c>
    </row>
    <row r="192" spans="1:13" x14ac:dyDescent="0.25">
      <c r="A192" t="str">
        <f t="shared" si="67"/>
        <v>E131</v>
      </c>
      <c r="B192">
        <v>1</v>
      </c>
      <c r="C192" t="str">
        <f t="shared" si="64"/>
        <v>10200</v>
      </c>
      <c r="D192" t="str">
        <f t="shared" si="65"/>
        <v>5620</v>
      </c>
      <c r="E192" t="str">
        <f t="shared" si="66"/>
        <v>094OMS</v>
      </c>
      <c r="F192" t="str">
        <f>""</f>
        <v/>
      </c>
      <c r="G192" t="str">
        <f>""</f>
        <v/>
      </c>
      <c r="H192" s="1">
        <v>40520</v>
      </c>
      <c r="I192" t="str">
        <f>"TEL00596"</f>
        <v>TEL00596</v>
      </c>
      <c r="J192" t="str">
        <f>""</f>
        <v/>
      </c>
      <c r="K192" t="str">
        <f>"AS89"</f>
        <v>AS89</v>
      </c>
      <c r="L192" t="s">
        <v>1604</v>
      </c>
      <c r="M192">
        <v>140.52000000000001</v>
      </c>
    </row>
    <row r="193" spans="1:13" x14ac:dyDescent="0.25">
      <c r="A193" t="str">
        <f t="shared" si="67"/>
        <v>E131</v>
      </c>
      <c r="B193">
        <v>1</v>
      </c>
      <c r="C193" t="str">
        <f t="shared" si="64"/>
        <v>10200</v>
      </c>
      <c r="D193" t="str">
        <f t="shared" si="65"/>
        <v>5620</v>
      </c>
      <c r="E193" t="str">
        <f t="shared" si="66"/>
        <v>094OMS</v>
      </c>
      <c r="F193" t="str">
        <f>""</f>
        <v/>
      </c>
      <c r="G193" t="str">
        <f>""</f>
        <v/>
      </c>
      <c r="H193" s="1">
        <v>40547</v>
      </c>
      <c r="I193" t="str">
        <f>"34678867"</f>
        <v>34678867</v>
      </c>
      <c r="J193" t="str">
        <f>"N138254A"</f>
        <v>N138254A</v>
      </c>
      <c r="K193" t="str">
        <f>"INEI"</f>
        <v>INEI</v>
      </c>
      <c r="L193" t="s">
        <v>1382</v>
      </c>
      <c r="M193">
        <v>119.85</v>
      </c>
    </row>
    <row r="194" spans="1:13" x14ac:dyDescent="0.25">
      <c r="A194" t="str">
        <f t="shared" si="67"/>
        <v>E131</v>
      </c>
      <c r="B194">
        <v>1</v>
      </c>
      <c r="C194" t="str">
        <f t="shared" si="64"/>
        <v>10200</v>
      </c>
      <c r="D194" t="str">
        <f t="shared" si="65"/>
        <v>5620</v>
      </c>
      <c r="E194" t="str">
        <f t="shared" si="66"/>
        <v>094OMS</v>
      </c>
      <c r="F194" t="str">
        <f>""</f>
        <v/>
      </c>
      <c r="G194" t="str">
        <f>""</f>
        <v/>
      </c>
      <c r="H194" s="1">
        <v>40547</v>
      </c>
      <c r="I194" t="str">
        <f>"34678873"</f>
        <v>34678873</v>
      </c>
      <c r="J194" t="str">
        <f>"N138299A"</f>
        <v>N138299A</v>
      </c>
      <c r="K194" t="str">
        <f>"INEI"</f>
        <v>INEI</v>
      </c>
      <c r="L194" t="s">
        <v>1382</v>
      </c>
      <c r="M194">
        <v>215.05</v>
      </c>
    </row>
    <row r="195" spans="1:13" x14ac:dyDescent="0.25">
      <c r="A195" t="str">
        <f t="shared" si="67"/>
        <v>E131</v>
      </c>
      <c r="B195">
        <v>1</v>
      </c>
      <c r="C195" t="str">
        <f t="shared" si="64"/>
        <v>10200</v>
      </c>
      <c r="D195" t="str">
        <f t="shared" si="65"/>
        <v>5620</v>
      </c>
      <c r="E195" t="str">
        <f t="shared" si="66"/>
        <v>094OMS</v>
      </c>
      <c r="F195" t="str">
        <f>""</f>
        <v/>
      </c>
      <c r="G195" t="str">
        <f>""</f>
        <v/>
      </c>
      <c r="H195" s="1">
        <v>40575</v>
      </c>
      <c r="I195" t="str">
        <f>"43558670"</f>
        <v>43558670</v>
      </c>
      <c r="J195" t="str">
        <f t="shared" ref="J195:J196" si="69">"N138299A"</f>
        <v>N138299A</v>
      </c>
      <c r="K195" t="str">
        <f>"INEI"</f>
        <v>INEI</v>
      </c>
      <c r="L195" t="s">
        <v>1382</v>
      </c>
      <c r="M195">
        <v>215.1</v>
      </c>
    </row>
    <row r="196" spans="1:13" x14ac:dyDescent="0.25">
      <c r="A196" t="str">
        <f t="shared" si="67"/>
        <v>E131</v>
      </c>
      <c r="B196">
        <v>1</v>
      </c>
      <c r="C196" t="str">
        <f t="shared" si="64"/>
        <v>10200</v>
      </c>
      <c r="D196" t="str">
        <f t="shared" si="65"/>
        <v>5620</v>
      </c>
      <c r="E196" t="str">
        <f t="shared" si="66"/>
        <v>094OMS</v>
      </c>
      <c r="F196" t="str">
        <f>""</f>
        <v/>
      </c>
      <c r="G196" t="str">
        <f>""</f>
        <v/>
      </c>
      <c r="H196" s="1">
        <v>40575</v>
      </c>
      <c r="I196" t="str">
        <f>"43558664"</f>
        <v>43558664</v>
      </c>
      <c r="J196" t="str">
        <f t="shared" si="69"/>
        <v>N138299A</v>
      </c>
      <c r="K196" t="str">
        <f>"INEI"</f>
        <v>INEI</v>
      </c>
      <c r="L196" t="s">
        <v>1382</v>
      </c>
      <c r="M196">
        <v>121.38</v>
      </c>
    </row>
    <row r="197" spans="1:13" x14ac:dyDescent="0.25">
      <c r="A197" t="str">
        <f t="shared" si="67"/>
        <v>E131</v>
      </c>
      <c r="B197">
        <v>1</v>
      </c>
      <c r="C197" t="str">
        <f t="shared" si="64"/>
        <v>10200</v>
      </c>
      <c r="D197" t="str">
        <f t="shared" si="65"/>
        <v>5620</v>
      </c>
      <c r="E197" t="str">
        <f t="shared" si="66"/>
        <v>094OMS</v>
      </c>
      <c r="F197" t="str">
        <f>""</f>
        <v/>
      </c>
      <c r="G197" t="str">
        <f>""</f>
        <v/>
      </c>
      <c r="H197" s="1">
        <v>40575</v>
      </c>
      <c r="I197" t="str">
        <f>"3558664A"</f>
        <v>3558664A</v>
      </c>
      <c r="J197" t="str">
        <f>"N138254A"</f>
        <v>N138254A</v>
      </c>
      <c r="K197" t="str">
        <f>"INEI"</f>
        <v>INEI</v>
      </c>
      <c r="L197" t="s">
        <v>1382</v>
      </c>
      <c r="M197">
        <v>121.38</v>
      </c>
    </row>
    <row r="198" spans="1:13" x14ac:dyDescent="0.25">
      <c r="A198" t="str">
        <f t="shared" si="67"/>
        <v>E131</v>
      </c>
      <c r="B198">
        <v>1</v>
      </c>
      <c r="C198" t="str">
        <f t="shared" si="64"/>
        <v>10200</v>
      </c>
      <c r="D198" t="str">
        <f t="shared" si="65"/>
        <v>5620</v>
      </c>
      <c r="E198" t="str">
        <f t="shared" si="66"/>
        <v>094OMS</v>
      </c>
      <c r="F198" t="str">
        <f>""</f>
        <v/>
      </c>
      <c r="G198" t="str">
        <f>""</f>
        <v/>
      </c>
      <c r="H198" s="1">
        <v>40578</v>
      </c>
      <c r="I198" t="str">
        <f>"TEL00598"</f>
        <v>TEL00598</v>
      </c>
      <c r="J198" t="str">
        <f>""</f>
        <v/>
      </c>
      <c r="K198" t="str">
        <f>"AS89"</f>
        <v>AS89</v>
      </c>
      <c r="L198" t="s">
        <v>1602</v>
      </c>
      <c r="M198">
        <v>124.15</v>
      </c>
    </row>
    <row r="199" spans="1:13" x14ac:dyDescent="0.25">
      <c r="A199" t="str">
        <f t="shared" si="67"/>
        <v>E131</v>
      </c>
      <c r="B199">
        <v>1</v>
      </c>
      <c r="C199" t="str">
        <f t="shared" si="64"/>
        <v>10200</v>
      </c>
      <c r="D199" t="str">
        <f t="shared" si="65"/>
        <v>5620</v>
      </c>
      <c r="E199" t="str">
        <f t="shared" si="66"/>
        <v>094OMS</v>
      </c>
      <c r="F199" t="str">
        <f>""</f>
        <v/>
      </c>
      <c r="G199" t="str">
        <f>""</f>
        <v/>
      </c>
      <c r="H199" s="1">
        <v>40606</v>
      </c>
      <c r="I199" t="str">
        <f>"52427480"</f>
        <v>52427480</v>
      </c>
      <c r="J199" t="str">
        <f>"N138299A"</f>
        <v>N138299A</v>
      </c>
      <c r="K199" t="str">
        <f t="shared" ref="K199:K200" si="70">"INEI"</f>
        <v>INEI</v>
      </c>
      <c r="L199" t="s">
        <v>1382</v>
      </c>
      <c r="M199">
        <v>215.05</v>
      </c>
    </row>
    <row r="200" spans="1:13" x14ac:dyDescent="0.25">
      <c r="A200" t="str">
        <f t="shared" si="67"/>
        <v>E131</v>
      </c>
      <c r="B200">
        <v>1</v>
      </c>
      <c r="C200" t="str">
        <f t="shared" si="64"/>
        <v>10200</v>
      </c>
      <c r="D200" t="str">
        <f t="shared" si="65"/>
        <v>5620</v>
      </c>
      <c r="E200" t="str">
        <f t="shared" si="66"/>
        <v>094OMS</v>
      </c>
      <c r="F200" t="str">
        <f>""</f>
        <v/>
      </c>
      <c r="G200" t="str">
        <f>""</f>
        <v/>
      </c>
      <c r="H200" s="1">
        <v>40606</v>
      </c>
      <c r="I200" t="str">
        <f>"52427474"</f>
        <v>52427474</v>
      </c>
      <c r="J200" t="str">
        <f>"N138254A"</f>
        <v>N138254A</v>
      </c>
      <c r="K200" t="str">
        <f t="shared" si="70"/>
        <v>INEI</v>
      </c>
      <c r="L200" t="s">
        <v>1382</v>
      </c>
      <c r="M200">
        <v>121.4</v>
      </c>
    </row>
    <row r="201" spans="1:13" x14ac:dyDescent="0.25">
      <c r="A201" t="str">
        <f t="shared" si="67"/>
        <v>E131</v>
      </c>
      <c r="B201">
        <v>1</v>
      </c>
      <c r="C201" t="str">
        <f t="shared" si="64"/>
        <v>10200</v>
      </c>
      <c r="D201" t="str">
        <f t="shared" si="65"/>
        <v>5620</v>
      </c>
      <c r="E201" t="str">
        <f t="shared" si="66"/>
        <v>094OMS</v>
      </c>
      <c r="F201" t="str">
        <f>""</f>
        <v/>
      </c>
      <c r="G201" t="str">
        <f>""</f>
        <v/>
      </c>
      <c r="H201" s="1">
        <v>40627</v>
      </c>
      <c r="I201" t="str">
        <f>"TEL00599"</f>
        <v>TEL00599</v>
      </c>
      <c r="J201" t="str">
        <f>""</f>
        <v/>
      </c>
      <c r="K201" t="str">
        <f>"AS89"</f>
        <v>AS89</v>
      </c>
      <c r="L201" t="s">
        <v>1601</v>
      </c>
      <c r="M201">
        <v>127.81</v>
      </c>
    </row>
    <row r="202" spans="1:13" x14ac:dyDescent="0.25">
      <c r="A202" t="str">
        <f t="shared" si="67"/>
        <v>E131</v>
      </c>
      <c r="B202">
        <v>1</v>
      </c>
      <c r="C202" t="str">
        <f t="shared" si="64"/>
        <v>10200</v>
      </c>
      <c r="D202" t="str">
        <f t="shared" si="65"/>
        <v>5620</v>
      </c>
      <c r="E202" t="str">
        <f t="shared" si="66"/>
        <v>094OMS</v>
      </c>
      <c r="F202" t="str">
        <f>""</f>
        <v/>
      </c>
      <c r="G202" t="str">
        <f>""</f>
        <v/>
      </c>
      <c r="H202" s="1">
        <v>40638</v>
      </c>
      <c r="I202" t="str">
        <f>"61332008"</f>
        <v>61332008</v>
      </c>
      <c r="J202" t="str">
        <f>"N183034"</f>
        <v>N183034</v>
      </c>
      <c r="K202" t="str">
        <f t="shared" ref="K202:K204" si="71">"INEI"</f>
        <v>INEI</v>
      </c>
      <c r="L202" t="s">
        <v>1382</v>
      </c>
      <c r="M202">
        <v>110.61</v>
      </c>
    </row>
    <row r="203" spans="1:13" x14ac:dyDescent="0.25">
      <c r="A203" t="str">
        <f t="shared" si="67"/>
        <v>E131</v>
      </c>
      <c r="B203">
        <v>1</v>
      </c>
      <c r="C203" t="str">
        <f t="shared" si="64"/>
        <v>10200</v>
      </c>
      <c r="D203" t="str">
        <f t="shared" si="65"/>
        <v>5620</v>
      </c>
      <c r="E203" t="str">
        <f t="shared" si="66"/>
        <v>094OMS</v>
      </c>
      <c r="F203" t="str">
        <f>""</f>
        <v/>
      </c>
      <c r="G203" t="str">
        <f>""</f>
        <v/>
      </c>
      <c r="H203" s="1">
        <v>40638</v>
      </c>
      <c r="I203" t="str">
        <f>"61331998"</f>
        <v>61331998</v>
      </c>
      <c r="J203" t="str">
        <f>"N138254A"</f>
        <v>N138254A</v>
      </c>
      <c r="K203" t="str">
        <f t="shared" si="71"/>
        <v>INEI</v>
      </c>
      <c r="L203" t="s">
        <v>1382</v>
      </c>
      <c r="M203">
        <v>121.38</v>
      </c>
    </row>
    <row r="204" spans="1:13" x14ac:dyDescent="0.25">
      <c r="A204" t="str">
        <f t="shared" si="67"/>
        <v>E131</v>
      </c>
      <c r="B204">
        <v>1</v>
      </c>
      <c r="C204" t="str">
        <f t="shared" si="64"/>
        <v>10200</v>
      </c>
      <c r="D204" t="str">
        <f t="shared" si="65"/>
        <v>5620</v>
      </c>
      <c r="E204" t="str">
        <f t="shared" si="66"/>
        <v>094OMS</v>
      </c>
      <c r="F204" t="str">
        <f>""</f>
        <v/>
      </c>
      <c r="G204" t="str">
        <f>""</f>
        <v/>
      </c>
      <c r="H204" s="1">
        <v>40638</v>
      </c>
      <c r="I204" t="str">
        <f>"61332004"</f>
        <v>61332004</v>
      </c>
      <c r="J204" t="str">
        <f>"N138299A"</f>
        <v>N138299A</v>
      </c>
      <c r="K204" t="str">
        <f t="shared" si="71"/>
        <v>INEI</v>
      </c>
      <c r="L204" t="s">
        <v>1382</v>
      </c>
      <c r="M204">
        <v>215.45</v>
      </c>
    </row>
    <row r="205" spans="1:13" x14ac:dyDescent="0.25">
      <c r="A205" t="str">
        <f t="shared" si="67"/>
        <v>E131</v>
      </c>
      <c r="B205">
        <v>1</v>
      </c>
      <c r="C205" t="str">
        <f t="shared" si="64"/>
        <v>10200</v>
      </c>
      <c r="D205" t="str">
        <f t="shared" si="65"/>
        <v>5620</v>
      </c>
      <c r="E205" t="str">
        <f t="shared" si="66"/>
        <v>094OMS</v>
      </c>
      <c r="F205" t="str">
        <f>""</f>
        <v/>
      </c>
      <c r="G205" t="str">
        <f>""</f>
        <v/>
      </c>
      <c r="H205" s="1">
        <v>40651</v>
      </c>
      <c r="I205" t="str">
        <f>"TEL00600"</f>
        <v>TEL00600</v>
      </c>
      <c r="J205" t="str">
        <f>""</f>
        <v/>
      </c>
      <c r="K205" t="str">
        <f>"AS89"</f>
        <v>AS89</v>
      </c>
      <c r="L205" t="s">
        <v>1600</v>
      </c>
      <c r="M205">
        <v>126.78</v>
      </c>
    </row>
    <row r="206" spans="1:13" x14ac:dyDescent="0.25">
      <c r="A206" t="str">
        <f t="shared" si="67"/>
        <v>E131</v>
      </c>
      <c r="B206">
        <v>1</v>
      </c>
      <c r="C206" t="str">
        <f t="shared" si="64"/>
        <v>10200</v>
      </c>
      <c r="D206" t="str">
        <f t="shared" si="65"/>
        <v>5620</v>
      </c>
      <c r="E206" t="str">
        <f t="shared" si="66"/>
        <v>094OMS</v>
      </c>
      <c r="F206" t="str">
        <f>""</f>
        <v/>
      </c>
      <c r="G206" t="str">
        <f>""</f>
        <v/>
      </c>
      <c r="H206" s="1">
        <v>40662</v>
      </c>
      <c r="I206" t="str">
        <f>"70245264"</f>
        <v>70245264</v>
      </c>
      <c r="J206" t="str">
        <f>"N138254A"</f>
        <v>N138254A</v>
      </c>
      <c r="K206" t="str">
        <f t="shared" ref="K206:K207" si="72">"INEI"</f>
        <v>INEI</v>
      </c>
      <c r="L206" t="s">
        <v>1382</v>
      </c>
      <c r="M206">
        <v>121.71</v>
      </c>
    </row>
    <row r="207" spans="1:13" x14ac:dyDescent="0.25">
      <c r="A207" t="str">
        <f t="shared" si="67"/>
        <v>E131</v>
      </c>
      <c r="B207">
        <v>1</v>
      </c>
      <c r="C207" t="str">
        <f t="shared" si="64"/>
        <v>10200</v>
      </c>
      <c r="D207" t="str">
        <f t="shared" si="65"/>
        <v>5620</v>
      </c>
      <c r="E207" t="str">
        <f t="shared" si="66"/>
        <v>094OMS</v>
      </c>
      <c r="F207" t="str">
        <f>""</f>
        <v/>
      </c>
      <c r="G207" t="str">
        <f>""</f>
        <v/>
      </c>
      <c r="H207" s="1">
        <v>40665</v>
      </c>
      <c r="I207" t="str">
        <f>"70245270"</f>
        <v>70245270</v>
      </c>
      <c r="J207" t="str">
        <f>"N138299A"</f>
        <v>N138299A</v>
      </c>
      <c r="K207" t="str">
        <f t="shared" si="72"/>
        <v>INEI</v>
      </c>
      <c r="L207" t="s">
        <v>1382</v>
      </c>
      <c r="M207">
        <v>215.05</v>
      </c>
    </row>
    <row r="208" spans="1:13" x14ac:dyDescent="0.25">
      <c r="A208" t="str">
        <f t="shared" si="67"/>
        <v>E131</v>
      </c>
      <c r="B208">
        <v>1</v>
      </c>
      <c r="C208" t="str">
        <f t="shared" si="64"/>
        <v>10200</v>
      </c>
      <c r="D208" t="str">
        <f t="shared" si="65"/>
        <v>5620</v>
      </c>
      <c r="E208" t="str">
        <f t="shared" si="66"/>
        <v>094OMS</v>
      </c>
      <c r="F208" t="str">
        <f>""</f>
        <v/>
      </c>
      <c r="G208" t="str">
        <f>""</f>
        <v/>
      </c>
      <c r="H208" s="1">
        <v>40666</v>
      </c>
      <c r="I208" t="str">
        <f>"TEL00601"</f>
        <v>TEL00601</v>
      </c>
      <c r="J208" t="str">
        <f>""</f>
        <v/>
      </c>
      <c r="K208" t="str">
        <f>"AS89"</f>
        <v>AS89</v>
      </c>
      <c r="L208" t="s">
        <v>1599</v>
      </c>
      <c r="M208">
        <v>107.35</v>
      </c>
    </row>
    <row r="209" spans="1:13" x14ac:dyDescent="0.25">
      <c r="A209" t="str">
        <f t="shared" si="67"/>
        <v>E131</v>
      </c>
      <c r="B209">
        <v>1</v>
      </c>
      <c r="C209" t="str">
        <f t="shared" si="64"/>
        <v>10200</v>
      </c>
      <c r="D209" t="str">
        <f t="shared" si="65"/>
        <v>5620</v>
      </c>
      <c r="E209" t="str">
        <f t="shared" si="66"/>
        <v>094OMS</v>
      </c>
      <c r="F209" t="str">
        <f>""</f>
        <v/>
      </c>
      <c r="G209" t="str">
        <f>""</f>
        <v/>
      </c>
      <c r="H209" s="1">
        <v>40695</v>
      </c>
      <c r="I209" t="str">
        <f>"79144340"</f>
        <v>79144340</v>
      </c>
      <c r="J209" t="str">
        <f>"N138254A"</f>
        <v>N138254A</v>
      </c>
      <c r="K209" t="str">
        <f>"INEI"</f>
        <v>INEI</v>
      </c>
      <c r="L209" t="s">
        <v>1382</v>
      </c>
      <c r="M209">
        <v>121.53</v>
      </c>
    </row>
    <row r="210" spans="1:13" x14ac:dyDescent="0.25">
      <c r="A210" t="str">
        <f t="shared" si="67"/>
        <v>E131</v>
      </c>
      <c r="B210">
        <v>1</v>
      </c>
      <c r="C210" t="str">
        <f t="shared" si="64"/>
        <v>10200</v>
      </c>
      <c r="D210" t="str">
        <f t="shared" si="65"/>
        <v>5620</v>
      </c>
      <c r="E210" t="str">
        <f t="shared" si="66"/>
        <v>094OMS</v>
      </c>
      <c r="F210" t="str">
        <f>""</f>
        <v/>
      </c>
      <c r="G210" t="str">
        <f>""</f>
        <v/>
      </c>
      <c r="H210" s="1">
        <v>40695</v>
      </c>
      <c r="I210" t="str">
        <f>"79144346"</f>
        <v>79144346</v>
      </c>
      <c r="J210" t="str">
        <f>"N138299A"</f>
        <v>N138299A</v>
      </c>
      <c r="K210" t="str">
        <f>"INEI"</f>
        <v>INEI</v>
      </c>
      <c r="L210" t="s">
        <v>1382</v>
      </c>
      <c r="M210">
        <v>215.05</v>
      </c>
    </row>
    <row r="211" spans="1:13" x14ac:dyDescent="0.25">
      <c r="A211" t="str">
        <f t="shared" si="67"/>
        <v>E131</v>
      </c>
      <c r="B211">
        <v>1</v>
      </c>
      <c r="C211" t="str">
        <f t="shared" si="64"/>
        <v>10200</v>
      </c>
      <c r="D211" t="str">
        <f t="shared" si="65"/>
        <v>5620</v>
      </c>
      <c r="E211" t="str">
        <f t="shared" si="66"/>
        <v>094OMS</v>
      </c>
      <c r="F211" t="str">
        <f>""</f>
        <v/>
      </c>
      <c r="G211" t="str">
        <f>""</f>
        <v/>
      </c>
      <c r="H211" s="1">
        <v>40704</v>
      </c>
      <c r="I211" t="str">
        <f>"TEL00602"</f>
        <v>TEL00602</v>
      </c>
      <c r="J211" t="str">
        <f>""</f>
        <v/>
      </c>
      <c r="K211" t="str">
        <f>"AS89"</f>
        <v>AS89</v>
      </c>
      <c r="L211" t="s">
        <v>1598</v>
      </c>
      <c r="M211">
        <v>102.05</v>
      </c>
    </row>
    <row r="212" spans="1:13" x14ac:dyDescent="0.25">
      <c r="A212" t="str">
        <f t="shared" si="67"/>
        <v>E131</v>
      </c>
      <c r="B212">
        <v>1</v>
      </c>
      <c r="C212" t="str">
        <f t="shared" si="64"/>
        <v>10200</v>
      </c>
      <c r="D212" t="str">
        <f t="shared" si="65"/>
        <v>5620</v>
      </c>
      <c r="E212" t="str">
        <f t="shared" si="66"/>
        <v>094OMS</v>
      </c>
      <c r="F212" t="str">
        <f>""</f>
        <v/>
      </c>
      <c r="G212" t="str">
        <f>""</f>
        <v/>
      </c>
      <c r="H212" s="1">
        <v>40723</v>
      </c>
      <c r="I212" t="str">
        <f>"88048136"</f>
        <v>88048136</v>
      </c>
      <c r="J212" t="str">
        <f>"N138254A"</f>
        <v>N138254A</v>
      </c>
      <c r="K212" t="str">
        <f t="shared" ref="K212:K213" si="73">"INEI"</f>
        <v>INEI</v>
      </c>
      <c r="L212" t="s">
        <v>1382</v>
      </c>
      <c r="M212">
        <v>121.47</v>
      </c>
    </row>
    <row r="213" spans="1:13" x14ac:dyDescent="0.25">
      <c r="A213" t="str">
        <f t="shared" si="67"/>
        <v>E131</v>
      </c>
      <c r="B213">
        <v>1</v>
      </c>
      <c r="C213" t="str">
        <f t="shared" si="64"/>
        <v>10200</v>
      </c>
      <c r="D213" t="str">
        <f t="shared" si="65"/>
        <v>5620</v>
      </c>
      <c r="E213" t="str">
        <f t="shared" si="66"/>
        <v>094OMS</v>
      </c>
      <c r="F213" t="str">
        <f>""</f>
        <v/>
      </c>
      <c r="G213" t="str">
        <f>""</f>
        <v/>
      </c>
      <c r="H213" s="1">
        <v>40724</v>
      </c>
      <c r="I213" t="str">
        <f>"88048142"</f>
        <v>88048142</v>
      </c>
      <c r="J213" t="str">
        <f>"N138299A"</f>
        <v>N138299A</v>
      </c>
      <c r="K213" t="str">
        <f t="shared" si="73"/>
        <v>INEI</v>
      </c>
      <c r="L213" t="s">
        <v>1382</v>
      </c>
      <c r="M213">
        <v>215.05</v>
      </c>
    </row>
    <row r="214" spans="1:13" x14ac:dyDescent="0.25">
      <c r="A214" t="str">
        <f t="shared" si="67"/>
        <v>E131</v>
      </c>
      <c r="B214">
        <v>1</v>
      </c>
      <c r="C214" t="str">
        <f>"31040"</f>
        <v>31040</v>
      </c>
      <c r="D214" t="str">
        <f t="shared" si="65"/>
        <v>5620</v>
      </c>
      <c r="E214" t="str">
        <f t="shared" si="66"/>
        <v>094OMS</v>
      </c>
      <c r="F214" t="str">
        <f>""</f>
        <v/>
      </c>
      <c r="G214" t="str">
        <f>""</f>
        <v/>
      </c>
      <c r="H214" s="1">
        <v>40491</v>
      </c>
      <c r="I214" t="str">
        <f>"TEL00595"</f>
        <v>TEL00595</v>
      </c>
      <c r="J214" t="str">
        <f>""</f>
        <v/>
      </c>
      <c r="K214" t="str">
        <f t="shared" ref="K214:K239" si="74">"AS89"</f>
        <v>AS89</v>
      </c>
      <c r="L214" t="s">
        <v>1605</v>
      </c>
      <c r="M214">
        <v>128</v>
      </c>
    </row>
    <row r="215" spans="1:13" x14ac:dyDescent="0.25">
      <c r="A215" t="str">
        <f t="shared" si="67"/>
        <v>E131</v>
      </c>
      <c r="B215">
        <v>1</v>
      </c>
      <c r="C215" t="str">
        <f t="shared" ref="C215:C226" si="75">"32040"</f>
        <v>32040</v>
      </c>
      <c r="D215" t="str">
        <f t="shared" ref="D215:D226" si="76">"5610"</f>
        <v>5610</v>
      </c>
      <c r="E215" t="str">
        <f t="shared" ref="E215:E238" si="77">"850LOS"</f>
        <v>850LOS</v>
      </c>
      <c r="F215" t="str">
        <f>""</f>
        <v/>
      </c>
      <c r="G215" t="str">
        <f>""</f>
        <v/>
      </c>
      <c r="H215" s="1">
        <v>40395</v>
      </c>
      <c r="I215" t="str">
        <f>"TEL00592"</f>
        <v>TEL00592</v>
      </c>
      <c r="J215" t="str">
        <f>""</f>
        <v/>
      </c>
      <c r="K215" t="str">
        <f t="shared" si="74"/>
        <v>AS89</v>
      </c>
      <c r="L215" t="s">
        <v>1608</v>
      </c>
      <c r="M215">
        <v>191.44</v>
      </c>
    </row>
    <row r="216" spans="1:13" x14ac:dyDescent="0.25">
      <c r="A216" t="str">
        <f t="shared" si="67"/>
        <v>E131</v>
      </c>
      <c r="B216">
        <v>1</v>
      </c>
      <c r="C216" t="str">
        <f t="shared" si="75"/>
        <v>32040</v>
      </c>
      <c r="D216" t="str">
        <f t="shared" si="76"/>
        <v>5610</v>
      </c>
      <c r="E216" t="str">
        <f t="shared" si="77"/>
        <v>850LOS</v>
      </c>
      <c r="F216" t="str">
        <f>""</f>
        <v/>
      </c>
      <c r="G216" t="str">
        <f>""</f>
        <v/>
      </c>
      <c r="H216" s="1">
        <v>40436</v>
      </c>
      <c r="I216" t="str">
        <f>"TEL00593"</f>
        <v>TEL00593</v>
      </c>
      <c r="J216" t="str">
        <f>""</f>
        <v/>
      </c>
      <c r="K216" t="str">
        <f t="shared" si="74"/>
        <v>AS89</v>
      </c>
      <c r="L216" t="s">
        <v>1607</v>
      </c>
      <c r="M216">
        <v>185.48</v>
      </c>
    </row>
    <row r="217" spans="1:13" x14ac:dyDescent="0.25">
      <c r="A217" t="str">
        <f t="shared" si="67"/>
        <v>E131</v>
      </c>
      <c r="B217">
        <v>1</v>
      </c>
      <c r="C217" t="str">
        <f t="shared" si="75"/>
        <v>32040</v>
      </c>
      <c r="D217" t="str">
        <f t="shared" si="76"/>
        <v>5610</v>
      </c>
      <c r="E217" t="str">
        <f t="shared" si="77"/>
        <v>850LOS</v>
      </c>
      <c r="F217" t="str">
        <f>""</f>
        <v/>
      </c>
      <c r="G217" t="str">
        <f>""</f>
        <v/>
      </c>
      <c r="H217" s="1">
        <v>40459</v>
      </c>
      <c r="I217" t="str">
        <f>"TEL00594"</f>
        <v>TEL00594</v>
      </c>
      <c r="J217" t="str">
        <f>""</f>
        <v/>
      </c>
      <c r="K217" t="str">
        <f t="shared" si="74"/>
        <v>AS89</v>
      </c>
      <c r="L217" t="s">
        <v>1606</v>
      </c>
      <c r="M217">
        <v>185.81</v>
      </c>
    </row>
    <row r="218" spans="1:13" x14ac:dyDescent="0.25">
      <c r="A218" t="str">
        <f t="shared" si="67"/>
        <v>E131</v>
      </c>
      <c r="B218">
        <v>1</v>
      </c>
      <c r="C218" t="str">
        <f t="shared" si="75"/>
        <v>32040</v>
      </c>
      <c r="D218" t="str">
        <f t="shared" si="76"/>
        <v>5610</v>
      </c>
      <c r="E218" t="str">
        <f t="shared" si="77"/>
        <v>850LOS</v>
      </c>
      <c r="F218" t="str">
        <f>""</f>
        <v/>
      </c>
      <c r="G218" t="str">
        <f>""</f>
        <v/>
      </c>
      <c r="H218" s="1">
        <v>40491</v>
      </c>
      <c r="I218" t="str">
        <f>"TEL00595"</f>
        <v>TEL00595</v>
      </c>
      <c r="J218" t="str">
        <f>""</f>
        <v/>
      </c>
      <c r="K218" t="str">
        <f t="shared" si="74"/>
        <v>AS89</v>
      </c>
      <c r="L218" t="s">
        <v>1605</v>
      </c>
      <c r="M218">
        <v>185.76</v>
      </c>
    </row>
    <row r="219" spans="1:13" x14ac:dyDescent="0.25">
      <c r="A219" t="str">
        <f t="shared" si="67"/>
        <v>E131</v>
      </c>
      <c r="B219">
        <v>1</v>
      </c>
      <c r="C219" t="str">
        <f t="shared" si="75"/>
        <v>32040</v>
      </c>
      <c r="D219" t="str">
        <f t="shared" si="76"/>
        <v>5610</v>
      </c>
      <c r="E219" t="str">
        <f t="shared" si="77"/>
        <v>850LOS</v>
      </c>
      <c r="F219" t="str">
        <f>""</f>
        <v/>
      </c>
      <c r="G219" t="str">
        <f>""</f>
        <v/>
      </c>
      <c r="H219" s="1">
        <v>40520</v>
      </c>
      <c r="I219" t="str">
        <f>"TEL00596"</f>
        <v>TEL00596</v>
      </c>
      <c r="J219" t="str">
        <f>""</f>
        <v/>
      </c>
      <c r="K219" t="str">
        <f t="shared" si="74"/>
        <v>AS89</v>
      </c>
      <c r="L219" t="s">
        <v>1604</v>
      </c>
      <c r="M219">
        <v>183.1</v>
      </c>
    </row>
    <row r="220" spans="1:13" x14ac:dyDescent="0.25">
      <c r="A220" t="str">
        <f t="shared" si="67"/>
        <v>E131</v>
      </c>
      <c r="B220">
        <v>1</v>
      </c>
      <c r="C220" t="str">
        <f t="shared" si="75"/>
        <v>32040</v>
      </c>
      <c r="D220" t="str">
        <f t="shared" si="76"/>
        <v>5610</v>
      </c>
      <c r="E220" t="str">
        <f t="shared" si="77"/>
        <v>850LOS</v>
      </c>
      <c r="F220" t="str">
        <f>""</f>
        <v/>
      </c>
      <c r="G220" t="str">
        <f>""</f>
        <v/>
      </c>
      <c r="H220" s="1">
        <v>40556</v>
      </c>
      <c r="I220" t="str">
        <f>"TEL00597"</f>
        <v>TEL00597</v>
      </c>
      <c r="J220" t="str">
        <f>""</f>
        <v/>
      </c>
      <c r="K220" t="str">
        <f t="shared" si="74"/>
        <v>AS89</v>
      </c>
      <c r="L220" t="s">
        <v>1603</v>
      </c>
      <c r="M220">
        <v>183.94</v>
      </c>
    </row>
    <row r="221" spans="1:13" x14ac:dyDescent="0.25">
      <c r="A221" t="str">
        <f t="shared" si="67"/>
        <v>E131</v>
      </c>
      <c r="B221">
        <v>1</v>
      </c>
      <c r="C221" t="str">
        <f t="shared" si="75"/>
        <v>32040</v>
      </c>
      <c r="D221" t="str">
        <f t="shared" si="76"/>
        <v>5610</v>
      </c>
      <c r="E221" t="str">
        <f t="shared" si="77"/>
        <v>850LOS</v>
      </c>
      <c r="F221" t="str">
        <f>""</f>
        <v/>
      </c>
      <c r="G221" t="str">
        <f>""</f>
        <v/>
      </c>
      <c r="H221" s="1">
        <v>40578</v>
      </c>
      <c r="I221" t="str">
        <f>"TEL00598"</f>
        <v>TEL00598</v>
      </c>
      <c r="J221" t="str">
        <f>""</f>
        <v/>
      </c>
      <c r="K221" t="str">
        <f t="shared" si="74"/>
        <v>AS89</v>
      </c>
      <c r="L221" t="s">
        <v>1602</v>
      </c>
      <c r="M221">
        <v>184.64</v>
      </c>
    </row>
    <row r="222" spans="1:13" x14ac:dyDescent="0.25">
      <c r="A222" t="str">
        <f t="shared" si="67"/>
        <v>E131</v>
      </c>
      <c r="B222">
        <v>1</v>
      </c>
      <c r="C222" t="str">
        <f t="shared" si="75"/>
        <v>32040</v>
      </c>
      <c r="D222" t="str">
        <f t="shared" si="76"/>
        <v>5610</v>
      </c>
      <c r="E222" t="str">
        <f t="shared" si="77"/>
        <v>850LOS</v>
      </c>
      <c r="F222" t="str">
        <f>""</f>
        <v/>
      </c>
      <c r="G222" t="str">
        <f>""</f>
        <v/>
      </c>
      <c r="H222" s="1">
        <v>40627</v>
      </c>
      <c r="I222" t="str">
        <f>"TEL00599"</f>
        <v>TEL00599</v>
      </c>
      <c r="J222" t="str">
        <f>""</f>
        <v/>
      </c>
      <c r="K222" t="str">
        <f t="shared" si="74"/>
        <v>AS89</v>
      </c>
      <c r="L222" t="s">
        <v>1601</v>
      </c>
      <c r="M222">
        <v>184.14</v>
      </c>
    </row>
    <row r="223" spans="1:13" x14ac:dyDescent="0.25">
      <c r="A223" t="str">
        <f t="shared" si="67"/>
        <v>E131</v>
      </c>
      <c r="B223">
        <v>1</v>
      </c>
      <c r="C223" t="str">
        <f t="shared" si="75"/>
        <v>32040</v>
      </c>
      <c r="D223" t="str">
        <f t="shared" si="76"/>
        <v>5610</v>
      </c>
      <c r="E223" t="str">
        <f t="shared" si="77"/>
        <v>850LOS</v>
      </c>
      <c r="F223" t="str">
        <f>""</f>
        <v/>
      </c>
      <c r="G223" t="str">
        <f>""</f>
        <v/>
      </c>
      <c r="H223" s="1">
        <v>40651</v>
      </c>
      <c r="I223" t="str">
        <f>"TEL00600"</f>
        <v>TEL00600</v>
      </c>
      <c r="J223" t="str">
        <f>""</f>
        <v/>
      </c>
      <c r="K223" t="str">
        <f t="shared" si="74"/>
        <v>AS89</v>
      </c>
      <c r="L223" t="s">
        <v>1600</v>
      </c>
      <c r="M223">
        <v>187.61</v>
      </c>
    </row>
    <row r="224" spans="1:13" x14ac:dyDescent="0.25">
      <c r="A224" t="str">
        <f t="shared" si="67"/>
        <v>E131</v>
      </c>
      <c r="B224">
        <v>1</v>
      </c>
      <c r="C224" t="str">
        <f t="shared" si="75"/>
        <v>32040</v>
      </c>
      <c r="D224" t="str">
        <f t="shared" si="76"/>
        <v>5610</v>
      </c>
      <c r="E224" t="str">
        <f t="shared" si="77"/>
        <v>850LOS</v>
      </c>
      <c r="F224" t="str">
        <f>""</f>
        <v/>
      </c>
      <c r="G224" t="str">
        <f>""</f>
        <v/>
      </c>
      <c r="H224" s="1">
        <v>40666</v>
      </c>
      <c r="I224" t="str">
        <f>"TEL00601"</f>
        <v>TEL00601</v>
      </c>
      <c r="J224" t="str">
        <f>""</f>
        <v/>
      </c>
      <c r="K224" t="str">
        <f t="shared" si="74"/>
        <v>AS89</v>
      </c>
      <c r="L224" t="s">
        <v>1599</v>
      </c>
      <c r="M224">
        <v>183.7</v>
      </c>
    </row>
    <row r="225" spans="1:13" x14ac:dyDescent="0.25">
      <c r="A225" t="str">
        <f t="shared" si="67"/>
        <v>E131</v>
      </c>
      <c r="B225">
        <v>1</v>
      </c>
      <c r="C225" t="str">
        <f t="shared" si="75"/>
        <v>32040</v>
      </c>
      <c r="D225" t="str">
        <f t="shared" si="76"/>
        <v>5610</v>
      </c>
      <c r="E225" t="str">
        <f t="shared" si="77"/>
        <v>850LOS</v>
      </c>
      <c r="F225" t="str">
        <f>""</f>
        <v/>
      </c>
      <c r="G225" t="str">
        <f>""</f>
        <v/>
      </c>
      <c r="H225" s="1">
        <v>40704</v>
      </c>
      <c r="I225" t="str">
        <f>"TEL00602"</f>
        <v>TEL00602</v>
      </c>
      <c r="J225" t="str">
        <f>""</f>
        <v/>
      </c>
      <c r="K225" t="str">
        <f t="shared" si="74"/>
        <v>AS89</v>
      </c>
      <c r="L225" t="s">
        <v>1598</v>
      </c>
      <c r="M225">
        <v>184.31</v>
      </c>
    </row>
    <row r="226" spans="1:13" x14ac:dyDescent="0.25">
      <c r="A226" t="str">
        <f t="shared" si="67"/>
        <v>E131</v>
      </c>
      <c r="B226">
        <v>1</v>
      </c>
      <c r="C226" t="str">
        <f t="shared" si="75"/>
        <v>32040</v>
      </c>
      <c r="D226" t="str">
        <f t="shared" si="76"/>
        <v>5610</v>
      </c>
      <c r="E226" t="str">
        <f t="shared" si="77"/>
        <v>850LOS</v>
      </c>
      <c r="F226" t="str">
        <f>""</f>
        <v/>
      </c>
      <c r="G226" t="str">
        <f>""</f>
        <v/>
      </c>
      <c r="H226" s="1">
        <v>40724</v>
      </c>
      <c r="I226" t="str">
        <f>"TEL00603"</f>
        <v>TEL00603</v>
      </c>
      <c r="J226" t="str">
        <f>""</f>
        <v/>
      </c>
      <c r="K226" t="str">
        <f t="shared" si="74"/>
        <v>AS89</v>
      </c>
      <c r="L226" t="s">
        <v>1597</v>
      </c>
      <c r="M226">
        <v>185.35</v>
      </c>
    </row>
    <row r="227" spans="1:13" x14ac:dyDescent="0.25">
      <c r="A227" t="str">
        <f t="shared" si="67"/>
        <v>E131</v>
      </c>
      <c r="B227">
        <v>1</v>
      </c>
      <c r="C227" t="str">
        <f t="shared" ref="C227:C239" si="78">"43000"</f>
        <v>43000</v>
      </c>
      <c r="D227" t="str">
        <f t="shared" ref="D227:D239" si="79">"5740"</f>
        <v>5740</v>
      </c>
      <c r="E227" t="str">
        <f t="shared" si="77"/>
        <v>850LOS</v>
      </c>
      <c r="F227" t="str">
        <f>""</f>
        <v/>
      </c>
      <c r="G227" t="str">
        <f>""</f>
        <v/>
      </c>
      <c r="H227" s="1">
        <v>40395</v>
      </c>
      <c r="I227" t="str">
        <f>"TEL00592"</f>
        <v>TEL00592</v>
      </c>
      <c r="J227" t="str">
        <f>""</f>
        <v/>
      </c>
      <c r="K227" t="str">
        <f t="shared" si="74"/>
        <v>AS89</v>
      </c>
      <c r="L227" t="s">
        <v>1608</v>
      </c>
      <c r="M227">
        <v>545.03</v>
      </c>
    </row>
    <row r="228" spans="1:13" x14ac:dyDescent="0.25">
      <c r="A228" t="str">
        <f t="shared" si="67"/>
        <v>E131</v>
      </c>
      <c r="B228">
        <v>1</v>
      </c>
      <c r="C228" t="str">
        <f t="shared" si="78"/>
        <v>43000</v>
      </c>
      <c r="D228" t="str">
        <f t="shared" si="79"/>
        <v>5740</v>
      </c>
      <c r="E228" t="str">
        <f t="shared" si="77"/>
        <v>850LOS</v>
      </c>
      <c r="F228" t="str">
        <f>""</f>
        <v/>
      </c>
      <c r="G228" t="str">
        <f>""</f>
        <v/>
      </c>
      <c r="H228" s="1">
        <v>40436</v>
      </c>
      <c r="I228" t="str">
        <f>"TEL00593"</f>
        <v>TEL00593</v>
      </c>
      <c r="J228" t="str">
        <f>""</f>
        <v/>
      </c>
      <c r="K228" t="str">
        <f t="shared" si="74"/>
        <v>AS89</v>
      </c>
      <c r="L228" t="s">
        <v>1607</v>
      </c>
      <c r="M228">
        <v>549.78</v>
      </c>
    </row>
    <row r="229" spans="1:13" x14ac:dyDescent="0.25">
      <c r="A229" t="str">
        <f t="shared" si="67"/>
        <v>E131</v>
      </c>
      <c r="B229">
        <v>1</v>
      </c>
      <c r="C229" t="str">
        <f t="shared" si="78"/>
        <v>43000</v>
      </c>
      <c r="D229" t="str">
        <f t="shared" si="79"/>
        <v>5740</v>
      </c>
      <c r="E229" t="str">
        <f t="shared" si="77"/>
        <v>850LOS</v>
      </c>
      <c r="F229" t="str">
        <f>""</f>
        <v/>
      </c>
      <c r="G229" t="str">
        <f>""</f>
        <v/>
      </c>
      <c r="H229" s="1">
        <v>40459</v>
      </c>
      <c r="I229" t="str">
        <f>"TEL00594"</f>
        <v>TEL00594</v>
      </c>
      <c r="J229" t="str">
        <f>""</f>
        <v/>
      </c>
      <c r="K229" t="str">
        <f t="shared" si="74"/>
        <v>AS89</v>
      </c>
      <c r="L229" t="s">
        <v>1606</v>
      </c>
      <c r="M229">
        <v>605.82000000000005</v>
      </c>
    </row>
    <row r="230" spans="1:13" x14ac:dyDescent="0.25">
      <c r="A230" t="str">
        <f t="shared" si="67"/>
        <v>E131</v>
      </c>
      <c r="B230">
        <v>1</v>
      </c>
      <c r="C230" t="str">
        <f t="shared" si="78"/>
        <v>43000</v>
      </c>
      <c r="D230" t="str">
        <f t="shared" si="79"/>
        <v>5740</v>
      </c>
      <c r="E230" t="str">
        <f t="shared" si="77"/>
        <v>850LOS</v>
      </c>
      <c r="F230" t="str">
        <f>""</f>
        <v/>
      </c>
      <c r="G230" t="str">
        <f>""</f>
        <v/>
      </c>
      <c r="H230" s="1">
        <v>40491</v>
      </c>
      <c r="I230" t="str">
        <f>"TEL00595"</f>
        <v>TEL00595</v>
      </c>
      <c r="J230" t="str">
        <f>""</f>
        <v/>
      </c>
      <c r="K230" t="str">
        <f t="shared" si="74"/>
        <v>AS89</v>
      </c>
      <c r="L230" t="s">
        <v>1605</v>
      </c>
      <c r="M230">
        <v>571.85</v>
      </c>
    </row>
    <row r="231" spans="1:13" x14ac:dyDescent="0.25">
      <c r="A231" t="str">
        <f t="shared" si="67"/>
        <v>E131</v>
      </c>
      <c r="B231">
        <v>1</v>
      </c>
      <c r="C231" t="str">
        <f t="shared" si="78"/>
        <v>43000</v>
      </c>
      <c r="D231" t="str">
        <f t="shared" si="79"/>
        <v>5740</v>
      </c>
      <c r="E231" t="str">
        <f t="shared" si="77"/>
        <v>850LOS</v>
      </c>
      <c r="F231" t="str">
        <f>""</f>
        <v/>
      </c>
      <c r="G231" t="str">
        <f>""</f>
        <v/>
      </c>
      <c r="H231" s="1">
        <v>40520</v>
      </c>
      <c r="I231" t="str">
        <f>"TEL00596"</f>
        <v>TEL00596</v>
      </c>
      <c r="J231" t="str">
        <f>""</f>
        <v/>
      </c>
      <c r="K231" t="str">
        <f t="shared" si="74"/>
        <v>AS89</v>
      </c>
      <c r="L231" t="s">
        <v>1604</v>
      </c>
      <c r="M231">
        <v>556.30999999999995</v>
      </c>
    </row>
    <row r="232" spans="1:13" x14ac:dyDescent="0.25">
      <c r="A232" t="str">
        <f t="shared" si="67"/>
        <v>E131</v>
      </c>
      <c r="B232">
        <v>1</v>
      </c>
      <c r="C232" t="str">
        <f t="shared" si="78"/>
        <v>43000</v>
      </c>
      <c r="D232" t="str">
        <f t="shared" si="79"/>
        <v>5740</v>
      </c>
      <c r="E232" t="str">
        <f t="shared" si="77"/>
        <v>850LOS</v>
      </c>
      <c r="F232" t="str">
        <f>""</f>
        <v/>
      </c>
      <c r="G232" t="str">
        <f>""</f>
        <v/>
      </c>
      <c r="H232" s="1">
        <v>40556</v>
      </c>
      <c r="I232" t="str">
        <f>"TEL00597"</f>
        <v>TEL00597</v>
      </c>
      <c r="J232" t="str">
        <f>""</f>
        <v/>
      </c>
      <c r="K232" t="str">
        <f t="shared" si="74"/>
        <v>AS89</v>
      </c>
      <c r="L232" t="s">
        <v>1603</v>
      </c>
      <c r="M232">
        <v>552.20000000000005</v>
      </c>
    </row>
    <row r="233" spans="1:13" x14ac:dyDescent="0.25">
      <c r="A233" t="str">
        <f t="shared" si="67"/>
        <v>E131</v>
      </c>
      <c r="B233">
        <v>1</v>
      </c>
      <c r="C233" t="str">
        <f t="shared" si="78"/>
        <v>43000</v>
      </c>
      <c r="D233" t="str">
        <f t="shared" si="79"/>
        <v>5740</v>
      </c>
      <c r="E233" t="str">
        <f t="shared" si="77"/>
        <v>850LOS</v>
      </c>
      <c r="F233" t="str">
        <f>""</f>
        <v/>
      </c>
      <c r="G233" t="str">
        <f>""</f>
        <v/>
      </c>
      <c r="H233" s="1">
        <v>40578</v>
      </c>
      <c r="I233" t="str">
        <f>"TEL00598"</f>
        <v>TEL00598</v>
      </c>
      <c r="J233" t="str">
        <f>""</f>
        <v/>
      </c>
      <c r="K233" t="str">
        <f t="shared" si="74"/>
        <v>AS89</v>
      </c>
      <c r="L233" t="s">
        <v>1602</v>
      </c>
      <c r="M233">
        <v>566.08000000000004</v>
      </c>
    </row>
    <row r="234" spans="1:13" x14ac:dyDescent="0.25">
      <c r="A234" t="str">
        <f t="shared" si="67"/>
        <v>E131</v>
      </c>
      <c r="B234">
        <v>1</v>
      </c>
      <c r="C234" t="str">
        <f t="shared" si="78"/>
        <v>43000</v>
      </c>
      <c r="D234" t="str">
        <f t="shared" si="79"/>
        <v>5740</v>
      </c>
      <c r="E234" t="str">
        <f t="shared" si="77"/>
        <v>850LOS</v>
      </c>
      <c r="F234" t="str">
        <f>""</f>
        <v/>
      </c>
      <c r="G234" t="str">
        <f>""</f>
        <v/>
      </c>
      <c r="H234" s="1">
        <v>40627</v>
      </c>
      <c r="I234" t="str">
        <f>"TEL00599"</f>
        <v>TEL00599</v>
      </c>
      <c r="J234" t="str">
        <f>""</f>
        <v/>
      </c>
      <c r="K234" t="str">
        <f t="shared" si="74"/>
        <v>AS89</v>
      </c>
      <c r="L234" t="s">
        <v>1601</v>
      </c>
      <c r="M234">
        <v>568.66999999999996</v>
      </c>
    </row>
    <row r="235" spans="1:13" x14ac:dyDescent="0.25">
      <c r="A235" t="str">
        <f t="shared" si="67"/>
        <v>E131</v>
      </c>
      <c r="B235">
        <v>1</v>
      </c>
      <c r="C235" t="str">
        <f t="shared" si="78"/>
        <v>43000</v>
      </c>
      <c r="D235" t="str">
        <f t="shared" si="79"/>
        <v>5740</v>
      </c>
      <c r="E235" t="str">
        <f t="shared" si="77"/>
        <v>850LOS</v>
      </c>
      <c r="F235" t="str">
        <f>""</f>
        <v/>
      </c>
      <c r="G235" t="str">
        <f>""</f>
        <v/>
      </c>
      <c r="H235" s="1">
        <v>40651</v>
      </c>
      <c r="I235" t="str">
        <f>"TEL00600"</f>
        <v>TEL00600</v>
      </c>
      <c r="J235" t="str">
        <f>""</f>
        <v/>
      </c>
      <c r="K235" t="str">
        <f t="shared" si="74"/>
        <v>AS89</v>
      </c>
      <c r="L235" t="s">
        <v>1600</v>
      </c>
      <c r="M235">
        <v>554.63</v>
      </c>
    </row>
    <row r="236" spans="1:13" x14ac:dyDescent="0.25">
      <c r="A236" t="str">
        <f t="shared" si="67"/>
        <v>E131</v>
      </c>
      <c r="B236">
        <v>1</v>
      </c>
      <c r="C236" t="str">
        <f t="shared" si="78"/>
        <v>43000</v>
      </c>
      <c r="D236" t="str">
        <f t="shared" si="79"/>
        <v>5740</v>
      </c>
      <c r="E236" t="str">
        <f t="shared" si="77"/>
        <v>850LOS</v>
      </c>
      <c r="F236" t="str">
        <f>""</f>
        <v/>
      </c>
      <c r="G236" t="str">
        <f>""</f>
        <v/>
      </c>
      <c r="H236" s="1">
        <v>40666</v>
      </c>
      <c r="I236" t="str">
        <f>"TEL00601"</f>
        <v>TEL00601</v>
      </c>
      <c r="J236" t="str">
        <f>""</f>
        <v/>
      </c>
      <c r="K236" t="str">
        <f t="shared" si="74"/>
        <v>AS89</v>
      </c>
      <c r="L236" t="s">
        <v>1599</v>
      </c>
      <c r="M236">
        <v>566.6</v>
      </c>
    </row>
    <row r="237" spans="1:13" x14ac:dyDescent="0.25">
      <c r="A237" t="str">
        <f t="shared" si="67"/>
        <v>E131</v>
      </c>
      <c r="B237">
        <v>1</v>
      </c>
      <c r="C237" t="str">
        <f t="shared" si="78"/>
        <v>43000</v>
      </c>
      <c r="D237" t="str">
        <f t="shared" si="79"/>
        <v>5740</v>
      </c>
      <c r="E237" t="str">
        <f t="shared" si="77"/>
        <v>850LOS</v>
      </c>
      <c r="F237" t="str">
        <f>""</f>
        <v/>
      </c>
      <c r="G237" t="str">
        <f>""</f>
        <v/>
      </c>
      <c r="H237" s="1">
        <v>40704</v>
      </c>
      <c r="I237" t="str">
        <f>"TEL00602"</f>
        <v>TEL00602</v>
      </c>
      <c r="J237" t="str">
        <f>""</f>
        <v/>
      </c>
      <c r="K237" t="str">
        <f t="shared" si="74"/>
        <v>AS89</v>
      </c>
      <c r="L237" t="s">
        <v>1598</v>
      </c>
      <c r="M237">
        <v>679.21</v>
      </c>
    </row>
    <row r="238" spans="1:13" x14ac:dyDescent="0.25">
      <c r="A238" t="str">
        <f t="shared" si="67"/>
        <v>E131</v>
      </c>
      <c r="B238">
        <v>1</v>
      </c>
      <c r="C238" t="str">
        <f t="shared" si="78"/>
        <v>43000</v>
      </c>
      <c r="D238" t="str">
        <f t="shared" si="79"/>
        <v>5740</v>
      </c>
      <c r="E238" t="str">
        <f t="shared" si="77"/>
        <v>850LOS</v>
      </c>
      <c r="F238" t="str">
        <f>""</f>
        <v/>
      </c>
      <c r="G238" t="str">
        <f>""</f>
        <v/>
      </c>
      <c r="H238" s="1">
        <v>40724</v>
      </c>
      <c r="I238" t="str">
        <f>"TEL00603"</f>
        <v>TEL00603</v>
      </c>
      <c r="J238" t="str">
        <f>""</f>
        <v/>
      </c>
      <c r="K238" t="str">
        <f t="shared" si="74"/>
        <v>AS89</v>
      </c>
      <c r="L238" t="s">
        <v>1597</v>
      </c>
      <c r="M238">
        <v>567.44000000000005</v>
      </c>
    </row>
    <row r="239" spans="1:13" x14ac:dyDescent="0.25">
      <c r="A239" t="str">
        <f t="shared" si="67"/>
        <v>E131</v>
      </c>
      <c r="B239">
        <v>1</v>
      </c>
      <c r="C239" t="str">
        <f t="shared" si="78"/>
        <v>43000</v>
      </c>
      <c r="D239" t="str">
        <f t="shared" si="79"/>
        <v>5740</v>
      </c>
      <c r="E239" t="str">
        <f t="shared" ref="E239" si="80">"850PKE"</f>
        <v>850PKE</v>
      </c>
      <c r="F239" t="str">
        <f>""</f>
        <v/>
      </c>
      <c r="G239" t="str">
        <f>""</f>
        <v/>
      </c>
      <c r="H239" s="1">
        <v>40651</v>
      </c>
      <c r="I239" t="str">
        <f>"TEL00600"</f>
        <v>TEL00600</v>
      </c>
      <c r="J239" t="str">
        <f>""</f>
        <v/>
      </c>
      <c r="K239" t="str">
        <f t="shared" si="74"/>
        <v>AS89</v>
      </c>
      <c r="L239" t="s">
        <v>1600</v>
      </c>
      <c r="M239">
        <v>101.13</v>
      </c>
    </row>
    <row r="240" spans="1:13" x14ac:dyDescent="0.25">
      <c r="A240" t="str">
        <f t="shared" ref="A240:A255" si="81">"E133"</f>
        <v>E133</v>
      </c>
      <c r="B240">
        <v>1</v>
      </c>
      <c r="C240" t="str">
        <f t="shared" ref="C240:C243" si="82">"10200"</f>
        <v>10200</v>
      </c>
      <c r="D240" t="str">
        <f t="shared" ref="D240:D243" si="83">"5620"</f>
        <v>5620</v>
      </c>
      <c r="E240" t="str">
        <f t="shared" ref="E240:E243" si="84">"094OMS"</f>
        <v>094OMS</v>
      </c>
      <c r="F240" t="str">
        <f>""</f>
        <v/>
      </c>
      <c r="G240" t="str">
        <f>""</f>
        <v/>
      </c>
      <c r="H240" s="1">
        <v>40456</v>
      </c>
      <c r="I240" t="str">
        <f>"00041802"</f>
        <v>00041802</v>
      </c>
      <c r="J240" t="str">
        <f t="shared" ref="J240:J243" si="85">"N171000R"</f>
        <v>N171000R</v>
      </c>
      <c r="K240" t="str">
        <f t="shared" ref="K240:K243" si="86">"INEI"</f>
        <v>INEI</v>
      </c>
      <c r="L240" t="s">
        <v>78</v>
      </c>
      <c r="M240">
        <v>750</v>
      </c>
    </row>
    <row r="241" spans="1:13" x14ac:dyDescent="0.25">
      <c r="A241" t="str">
        <f t="shared" si="81"/>
        <v>E133</v>
      </c>
      <c r="B241">
        <v>1</v>
      </c>
      <c r="C241" t="str">
        <f t="shared" si="82"/>
        <v>10200</v>
      </c>
      <c r="D241" t="str">
        <f t="shared" si="83"/>
        <v>5620</v>
      </c>
      <c r="E241" t="str">
        <f t="shared" si="84"/>
        <v>094OMS</v>
      </c>
      <c r="F241" t="str">
        <f>""</f>
        <v/>
      </c>
      <c r="G241" t="str">
        <f>""</f>
        <v/>
      </c>
      <c r="H241" s="1">
        <v>40533</v>
      </c>
      <c r="I241" t="str">
        <f>"0042898"</f>
        <v>0042898</v>
      </c>
      <c r="J241" t="str">
        <f t="shared" si="85"/>
        <v>N171000R</v>
      </c>
      <c r="K241" t="str">
        <f t="shared" si="86"/>
        <v>INEI</v>
      </c>
      <c r="L241" t="s">
        <v>78</v>
      </c>
      <c r="M241">
        <v>750</v>
      </c>
    </row>
    <row r="242" spans="1:13" x14ac:dyDescent="0.25">
      <c r="A242" t="str">
        <f t="shared" si="81"/>
        <v>E133</v>
      </c>
      <c r="B242">
        <v>1</v>
      </c>
      <c r="C242" t="str">
        <f t="shared" si="82"/>
        <v>10200</v>
      </c>
      <c r="D242" t="str">
        <f t="shared" si="83"/>
        <v>5620</v>
      </c>
      <c r="E242" t="str">
        <f t="shared" si="84"/>
        <v>094OMS</v>
      </c>
      <c r="F242" t="str">
        <f>""</f>
        <v/>
      </c>
      <c r="G242" t="str">
        <f>""</f>
        <v/>
      </c>
      <c r="H242" s="1">
        <v>40625</v>
      </c>
      <c r="I242" t="str">
        <f>"00043529"</f>
        <v>00043529</v>
      </c>
      <c r="J242" t="str">
        <f t="shared" si="85"/>
        <v>N171000R</v>
      </c>
      <c r="K242" t="str">
        <f t="shared" si="86"/>
        <v>INEI</v>
      </c>
      <c r="L242" t="s">
        <v>78</v>
      </c>
      <c r="M242">
        <v>750</v>
      </c>
    </row>
    <row r="243" spans="1:13" x14ac:dyDescent="0.25">
      <c r="A243" t="str">
        <f t="shared" si="81"/>
        <v>E133</v>
      </c>
      <c r="B243">
        <v>1</v>
      </c>
      <c r="C243" t="str">
        <f t="shared" si="82"/>
        <v>10200</v>
      </c>
      <c r="D243" t="str">
        <f t="shared" si="83"/>
        <v>5620</v>
      </c>
      <c r="E243" t="str">
        <f t="shared" si="84"/>
        <v>094OMS</v>
      </c>
      <c r="F243" t="str">
        <f>""</f>
        <v/>
      </c>
      <c r="G243" t="str">
        <f>""</f>
        <v/>
      </c>
      <c r="H243" s="1">
        <v>40718</v>
      </c>
      <c r="I243" t="str">
        <f>"00044280"</f>
        <v>00044280</v>
      </c>
      <c r="J243" t="str">
        <f t="shared" si="85"/>
        <v>N171000R</v>
      </c>
      <c r="K243" t="str">
        <f t="shared" si="86"/>
        <v>INEI</v>
      </c>
      <c r="L243" t="s">
        <v>78</v>
      </c>
      <c r="M243">
        <v>750</v>
      </c>
    </row>
    <row r="244" spans="1:13" x14ac:dyDescent="0.25">
      <c r="A244" t="str">
        <f t="shared" si="81"/>
        <v>E133</v>
      </c>
      <c r="B244">
        <v>1</v>
      </c>
      <c r="C244" t="str">
        <f t="shared" ref="C244:C255" si="87">"43003"</f>
        <v>43003</v>
      </c>
      <c r="D244" t="str">
        <f t="shared" ref="D244:D255" si="88">"5740"</f>
        <v>5740</v>
      </c>
      <c r="E244" t="str">
        <f t="shared" ref="E244:E255" si="89">"850LOS"</f>
        <v>850LOS</v>
      </c>
      <c r="F244" t="str">
        <f>""</f>
        <v/>
      </c>
      <c r="G244" t="str">
        <f>""</f>
        <v/>
      </c>
      <c r="H244" s="1">
        <v>40392</v>
      </c>
      <c r="I244" t="str">
        <f>"I0097784"</f>
        <v>I0097784</v>
      </c>
      <c r="J244" t="str">
        <f>"N138259A"</f>
        <v>N138259A</v>
      </c>
      <c r="K244" t="str">
        <f>"INEI"</f>
        <v>INEI</v>
      </c>
      <c r="L244" t="s">
        <v>1381</v>
      </c>
      <c r="M244">
        <v>473.36</v>
      </c>
    </row>
    <row r="245" spans="1:13" x14ac:dyDescent="0.25">
      <c r="A245" t="str">
        <f t="shared" si="81"/>
        <v>E133</v>
      </c>
      <c r="B245">
        <v>1</v>
      </c>
      <c r="C245" t="str">
        <f t="shared" si="87"/>
        <v>43003</v>
      </c>
      <c r="D245" t="str">
        <f t="shared" si="88"/>
        <v>5740</v>
      </c>
      <c r="E245" t="str">
        <f t="shared" si="89"/>
        <v>850LOS</v>
      </c>
      <c r="F245" t="str">
        <f>""</f>
        <v/>
      </c>
      <c r="G245" t="str">
        <f>""</f>
        <v/>
      </c>
      <c r="H245" s="1">
        <v>40422</v>
      </c>
      <c r="I245" t="str">
        <f>"I0098058"</f>
        <v>I0098058</v>
      </c>
      <c r="J245" t="str">
        <f t="shared" ref="J245:J255" si="90">"N138259A"</f>
        <v>N138259A</v>
      </c>
      <c r="K245" t="str">
        <f t="shared" ref="K245:K255" si="91">"INEI"</f>
        <v>INEI</v>
      </c>
      <c r="L245" t="s">
        <v>1381</v>
      </c>
      <c r="M245">
        <v>474.43</v>
      </c>
    </row>
    <row r="246" spans="1:13" x14ac:dyDescent="0.25">
      <c r="A246" t="str">
        <f t="shared" si="81"/>
        <v>E133</v>
      </c>
      <c r="B246">
        <v>1</v>
      </c>
      <c r="C246" t="str">
        <f t="shared" si="87"/>
        <v>43003</v>
      </c>
      <c r="D246" t="str">
        <f t="shared" si="88"/>
        <v>5740</v>
      </c>
      <c r="E246" t="str">
        <f t="shared" si="89"/>
        <v>850LOS</v>
      </c>
      <c r="F246" t="str">
        <f>""</f>
        <v/>
      </c>
      <c r="G246" t="str">
        <f>""</f>
        <v/>
      </c>
      <c r="H246" s="1">
        <v>40452</v>
      </c>
      <c r="I246" t="str">
        <f>"I0098369"</f>
        <v>I0098369</v>
      </c>
      <c r="J246" t="str">
        <f t="shared" si="90"/>
        <v>N138259A</v>
      </c>
      <c r="K246" t="str">
        <f t="shared" si="91"/>
        <v>INEI</v>
      </c>
      <c r="L246" t="s">
        <v>1381</v>
      </c>
      <c r="M246">
        <v>475.8</v>
      </c>
    </row>
    <row r="247" spans="1:13" x14ac:dyDescent="0.25">
      <c r="A247" t="str">
        <f t="shared" si="81"/>
        <v>E133</v>
      </c>
      <c r="B247">
        <v>1</v>
      </c>
      <c r="C247" t="str">
        <f t="shared" si="87"/>
        <v>43003</v>
      </c>
      <c r="D247" t="str">
        <f t="shared" si="88"/>
        <v>5740</v>
      </c>
      <c r="E247" t="str">
        <f t="shared" si="89"/>
        <v>850LOS</v>
      </c>
      <c r="F247" t="str">
        <f>""</f>
        <v/>
      </c>
      <c r="G247" t="str">
        <f>""</f>
        <v/>
      </c>
      <c r="H247" s="1">
        <v>40483</v>
      </c>
      <c r="I247" t="str">
        <f>"I0098700"</f>
        <v>I0098700</v>
      </c>
      <c r="J247" t="str">
        <f t="shared" si="90"/>
        <v>N138259A</v>
      </c>
      <c r="K247" t="str">
        <f t="shared" si="91"/>
        <v>INEI</v>
      </c>
      <c r="L247" t="s">
        <v>1381</v>
      </c>
      <c r="M247">
        <v>474.87</v>
      </c>
    </row>
    <row r="248" spans="1:13" x14ac:dyDescent="0.25">
      <c r="A248" t="str">
        <f t="shared" si="81"/>
        <v>E133</v>
      </c>
      <c r="B248">
        <v>1</v>
      </c>
      <c r="C248" t="str">
        <f t="shared" si="87"/>
        <v>43003</v>
      </c>
      <c r="D248" t="str">
        <f t="shared" si="88"/>
        <v>5740</v>
      </c>
      <c r="E248" t="str">
        <f t="shared" si="89"/>
        <v>850LOS</v>
      </c>
      <c r="F248" t="str">
        <f>""</f>
        <v/>
      </c>
      <c r="G248" t="str">
        <f>""</f>
        <v/>
      </c>
      <c r="H248" s="1">
        <v>40512</v>
      </c>
      <c r="I248" t="str">
        <f>"I0098994"</f>
        <v>I0098994</v>
      </c>
      <c r="J248" t="str">
        <f t="shared" si="90"/>
        <v>N138259A</v>
      </c>
      <c r="K248" t="str">
        <f t="shared" si="91"/>
        <v>INEI</v>
      </c>
      <c r="L248" t="s">
        <v>1381</v>
      </c>
      <c r="M248">
        <v>475.53</v>
      </c>
    </row>
    <row r="249" spans="1:13" x14ac:dyDescent="0.25">
      <c r="A249" t="str">
        <f t="shared" si="81"/>
        <v>E133</v>
      </c>
      <c r="B249">
        <v>1</v>
      </c>
      <c r="C249" t="str">
        <f t="shared" si="87"/>
        <v>43003</v>
      </c>
      <c r="D249" t="str">
        <f t="shared" si="88"/>
        <v>5740</v>
      </c>
      <c r="E249" t="str">
        <f t="shared" si="89"/>
        <v>850LOS</v>
      </c>
      <c r="F249" t="str">
        <f>""</f>
        <v/>
      </c>
      <c r="G249" t="str">
        <f>""</f>
        <v/>
      </c>
      <c r="H249" s="1">
        <v>40542</v>
      </c>
      <c r="I249" t="str">
        <f>"I0099291"</f>
        <v>I0099291</v>
      </c>
      <c r="J249" t="str">
        <f t="shared" si="90"/>
        <v>N138259A</v>
      </c>
      <c r="K249" t="str">
        <f t="shared" si="91"/>
        <v>INEI</v>
      </c>
      <c r="L249" t="s">
        <v>1381</v>
      </c>
      <c r="M249">
        <v>476.04</v>
      </c>
    </row>
    <row r="250" spans="1:13" x14ac:dyDescent="0.25">
      <c r="A250" t="str">
        <f t="shared" si="81"/>
        <v>E133</v>
      </c>
      <c r="B250">
        <v>1</v>
      </c>
      <c r="C250" t="str">
        <f t="shared" si="87"/>
        <v>43003</v>
      </c>
      <c r="D250" t="str">
        <f t="shared" si="88"/>
        <v>5740</v>
      </c>
      <c r="E250" t="str">
        <f t="shared" si="89"/>
        <v>850LOS</v>
      </c>
      <c r="F250" t="str">
        <f>""</f>
        <v/>
      </c>
      <c r="G250" t="str">
        <f>""</f>
        <v/>
      </c>
      <c r="H250" s="1">
        <v>40571</v>
      </c>
      <c r="I250" t="str">
        <f>"I0099563"</f>
        <v>I0099563</v>
      </c>
      <c r="J250" t="str">
        <f t="shared" si="90"/>
        <v>N138259A</v>
      </c>
      <c r="K250" t="str">
        <f t="shared" si="91"/>
        <v>INEI</v>
      </c>
      <c r="L250" t="s">
        <v>1381</v>
      </c>
      <c r="M250">
        <v>480.56</v>
      </c>
    </row>
    <row r="251" spans="1:13" x14ac:dyDescent="0.25">
      <c r="A251" t="str">
        <f t="shared" si="81"/>
        <v>E133</v>
      </c>
      <c r="B251">
        <v>1</v>
      </c>
      <c r="C251" t="str">
        <f t="shared" si="87"/>
        <v>43003</v>
      </c>
      <c r="D251" t="str">
        <f t="shared" si="88"/>
        <v>5740</v>
      </c>
      <c r="E251" t="str">
        <f t="shared" si="89"/>
        <v>850LOS</v>
      </c>
      <c r="F251" t="str">
        <f>""</f>
        <v/>
      </c>
      <c r="G251" t="str">
        <f>""</f>
        <v/>
      </c>
      <c r="H251" s="1">
        <v>40603</v>
      </c>
      <c r="I251" t="str">
        <f>"I0099926"</f>
        <v>I0099926</v>
      </c>
      <c r="J251" t="str">
        <f t="shared" si="90"/>
        <v>N138259A</v>
      </c>
      <c r="K251" t="str">
        <f t="shared" si="91"/>
        <v>INEI</v>
      </c>
      <c r="L251" t="s">
        <v>1381</v>
      </c>
      <c r="M251">
        <v>478.24</v>
      </c>
    </row>
    <row r="252" spans="1:13" x14ac:dyDescent="0.25">
      <c r="A252" t="str">
        <f t="shared" si="81"/>
        <v>E133</v>
      </c>
      <c r="B252">
        <v>1</v>
      </c>
      <c r="C252" t="str">
        <f t="shared" si="87"/>
        <v>43003</v>
      </c>
      <c r="D252" t="str">
        <f t="shared" si="88"/>
        <v>5740</v>
      </c>
      <c r="E252" t="str">
        <f t="shared" si="89"/>
        <v>850LOS</v>
      </c>
      <c r="F252" t="str">
        <f>""</f>
        <v/>
      </c>
      <c r="G252" t="str">
        <f>""</f>
        <v/>
      </c>
      <c r="H252" s="1">
        <v>40662</v>
      </c>
      <c r="I252" t="str">
        <f>"I0100511"</f>
        <v>I0100511</v>
      </c>
      <c r="J252" t="str">
        <f t="shared" si="90"/>
        <v>N138259A</v>
      </c>
      <c r="K252" t="str">
        <f t="shared" si="91"/>
        <v>INEI</v>
      </c>
      <c r="L252" t="s">
        <v>1381</v>
      </c>
      <c r="M252">
        <v>479.6</v>
      </c>
    </row>
    <row r="253" spans="1:13" x14ac:dyDescent="0.25">
      <c r="A253" t="str">
        <f t="shared" si="81"/>
        <v>E133</v>
      </c>
      <c r="B253">
        <v>1</v>
      </c>
      <c r="C253" t="str">
        <f t="shared" si="87"/>
        <v>43003</v>
      </c>
      <c r="D253" t="str">
        <f t="shared" si="88"/>
        <v>5740</v>
      </c>
      <c r="E253" t="str">
        <f t="shared" si="89"/>
        <v>850LOS</v>
      </c>
      <c r="F253" t="str">
        <f>""</f>
        <v/>
      </c>
      <c r="G253" t="str">
        <f>""</f>
        <v/>
      </c>
      <c r="H253" s="1">
        <v>40662</v>
      </c>
      <c r="I253" t="str">
        <f>"I0100513"</f>
        <v>I0100513</v>
      </c>
      <c r="J253" t="str">
        <f t="shared" si="90"/>
        <v>N138259A</v>
      </c>
      <c r="K253" t="str">
        <f t="shared" si="91"/>
        <v>INEI</v>
      </c>
      <c r="L253" t="s">
        <v>1381</v>
      </c>
      <c r="M253">
        <v>482.83</v>
      </c>
    </row>
    <row r="254" spans="1:13" x14ac:dyDescent="0.25">
      <c r="A254" t="str">
        <f t="shared" si="81"/>
        <v>E133</v>
      </c>
      <c r="B254">
        <v>1</v>
      </c>
      <c r="C254" t="str">
        <f t="shared" si="87"/>
        <v>43003</v>
      </c>
      <c r="D254" t="str">
        <f t="shared" si="88"/>
        <v>5740</v>
      </c>
      <c r="E254" t="str">
        <f t="shared" si="89"/>
        <v>850LOS</v>
      </c>
      <c r="F254" t="str">
        <f>""</f>
        <v/>
      </c>
      <c r="G254" t="str">
        <f>""</f>
        <v/>
      </c>
      <c r="H254" s="1">
        <v>40695</v>
      </c>
      <c r="I254" t="str">
        <f>"I0100879"</f>
        <v>I0100879</v>
      </c>
      <c r="J254" t="str">
        <f t="shared" si="90"/>
        <v>N138259A</v>
      </c>
      <c r="K254" t="str">
        <f t="shared" si="91"/>
        <v>INEI</v>
      </c>
      <c r="L254" t="s">
        <v>1381</v>
      </c>
      <c r="M254">
        <v>480.04</v>
      </c>
    </row>
    <row r="255" spans="1:13" x14ac:dyDescent="0.25">
      <c r="A255" t="str">
        <f t="shared" si="81"/>
        <v>E133</v>
      </c>
      <c r="B255">
        <v>1</v>
      </c>
      <c r="C255" t="str">
        <f t="shared" si="87"/>
        <v>43003</v>
      </c>
      <c r="D255" t="str">
        <f t="shared" si="88"/>
        <v>5740</v>
      </c>
      <c r="E255" t="str">
        <f t="shared" si="89"/>
        <v>850LOS</v>
      </c>
      <c r="F255" t="str">
        <f>""</f>
        <v/>
      </c>
      <c r="G255" t="str">
        <f>""</f>
        <v/>
      </c>
      <c r="H255" s="1">
        <v>40724</v>
      </c>
      <c r="I255" t="str">
        <f>"I0101238"</f>
        <v>I0101238</v>
      </c>
      <c r="J255" t="str">
        <f t="shared" si="90"/>
        <v>N138259A</v>
      </c>
      <c r="K255" t="str">
        <f t="shared" si="91"/>
        <v>INEI</v>
      </c>
      <c r="L255" t="s">
        <v>1381</v>
      </c>
      <c r="M255">
        <v>479.07</v>
      </c>
    </row>
    <row r="256" spans="1:13" x14ac:dyDescent="0.25">
      <c r="A256" t="str">
        <f>"E150"</f>
        <v>E150</v>
      </c>
      <c r="B256">
        <v>1</v>
      </c>
      <c r="C256" t="str">
        <f>"10200"</f>
        <v>10200</v>
      </c>
      <c r="D256" t="str">
        <f>"5620"</f>
        <v>5620</v>
      </c>
      <c r="E256" t="str">
        <f>"094OMS"</f>
        <v>094OMS</v>
      </c>
      <c r="F256" t="str">
        <f>""</f>
        <v/>
      </c>
      <c r="G256" t="str">
        <f>""</f>
        <v/>
      </c>
      <c r="H256" s="1">
        <v>40421</v>
      </c>
      <c r="I256" t="str">
        <f>"MPG00383"</f>
        <v>MPG00383</v>
      </c>
      <c r="J256" t="str">
        <f>""</f>
        <v/>
      </c>
      <c r="K256" t="str">
        <f>"AS89"</f>
        <v>AS89</v>
      </c>
      <c r="L256" t="s">
        <v>1596</v>
      </c>
      <c r="M256" s="2">
        <v>41000</v>
      </c>
    </row>
    <row r="257" spans="1:13" x14ac:dyDescent="0.25">
      <c r="A257" t="str">
        <f>"E150"</f>
        <v>E150</v>
      </c>
      <c r="B257">
        <v>1</v>
      </c>
      <c r="C257" t="str">
        <f>"10200"</f>
        <v>10200</v>
      </c>
      <c r="D257" t="str">
        <f>"5620"</f>
        <v>5620</v>
      </c>
      <c r="E257" t="str">
        <f>"094OMS"</f>
        <v>094OMS</v>
      </c>
      <c r="F257" t="str">
        <f>""</f>
        <v/>
      </c>
      <c r="G257" t="str">
        <f>""</f>
        <v/>
      </c>
      <c r="H257" s="1">
        <v>40605</v>
      </c>
      <c r="I257" t="str">
        <f>"188706A"</f>
        <v>188706A</v>
      </c>
      <c r="J257" t="str">
        <f>""</f>
        <v/>
      </c>
      <c r="K257" t="str">
        <f>"INNI"</f>
        <v>INNI</v>
      </c>
      <c r="L257" t="s">
        <v>92</v>
      </c>
      <c r="M257" s="2">
        <v>2100</v>
      </c>
    </row>
    <row r="258" spans="1:13" x14ac:dyDescent="0.25">
      <c r="A258" t="str">
        <f>"E150"</f>
        <v>E150</v>
      </c>
      <c r="B258">
        <v>1</v>
      </c>
      <c r="C258" t="str">
        <f>"10200"</f>
        <v>10200</v>
      </c>
      <c r="D258" t="str">
        <f>"5620"</f>
        <v>5620</v>
      </c>
      <c r="E258" t="str">
        <f>"094OMS"</f>
        <v>094OMS</v>
      </c>
      <c r="F258" t="str">
        <f>""</f>
        <v/>
      </c>
      <c r="G258" t="str">
        <f>""</f>
        <v/>
      </c>
      <c r="H258" s="1">
        <v>40640</v>
      </c>
      <c r="I258" t="str">
        <f>"188709"</f>
        <v>188709</v>
      </c>
      <c r="J258" t="str">
        <f>""</f>
        <v/>
      </c>
      <c r="K258" t="str">
        <f>"INNI"</f>
        <v>INNI</v>
      </c>
      <c r="L258" t="s">
        <v>179</v>
      </c>
      <c r="M258" s="2">
        <v>5042.5</v>
      </c>
    </row>
    <row r="259" spans="1:13" x14ac:dyDescent="0.25">
      <c r="A259" t="str">
        <f>"E150"</f>
        <v>E150</v>
      </c>
      <c r="B259">
        <v>1</v>
      </c>
      <c r="C259" t="str">
        <f>"32040"</f>
        <v>32040</v>
      </c>
      <c r="D259" t="str">
        <f>"5610"</f>
        <v>5610</v>
      </c>
      <c r="E259" t="str">
        <f>"850LOS"</f>
        <v>850LOS</v>
      </c>
      <c r="F259" t="str">
        <f>""</f>
        <v/>
      </c>
      <c r="G259" t="str">
        <f>""</f>
        <v/>
      </c>
      <c r="H259" s="1">
        <v>40482</v>
      </c>
      <c r="I259" t="str">
        <f>"MPG00385"</f>
        <v>MPG00385</v>
      </c>
      <c r="J259" t="str">
        <f>""</f>
        <v/>
      </c>
      <c r="K259" t="str">
        <f t="shared" ref="K259:K290" si="92">"AS89"</f>
        <v>AS89</v>
      </c>
      <c r="L259" t="s">
        <v>1379</v>
      </c>
      <c r="M259" s="2">
        <v>5500</v>
      </c>
    </row>
    <row r="260" spans="1:13" x14ac:dyDescent="0.25">
      <c r="A260" t="str">
        <f t="shared" ref="A260:A289" si="93">"E160"</f>
        <v>E160</v>
      </c>
      <c r="B260">
        <v>1</v>
      </c>
      <c r="C260" t="str">
        <f t="shared" ref="C260:C269" si="94">"10200"</f>
        <v>10200</v>
      </c>
      <c r="D260" t="str">
        <f t="shared" ref="D260:D269" si="95">"5620"</f>
        <v>5620</v>
      </c>
      <c r="E260" t="str">
        <f t="shared" ref="E260:E269" si="96">"094OMS"</f>
        <v>094OMS</v>
      </c>
      <c r="F260" t="str">
        <f>""</f>
        <v/>
      </c>
      <c r="G260" t="str">
        <f>""</f>
        <v/>
      </c>
      <c r="H260" s="1">
        <v>40360</v>
      </c>
      <c r="I260" t="str">
        <f>"PHY00533"</f>
        <v>PHY00533</v>
      </c>
      <c r="J260" t="str">
        <f>"W0036764"</f>
        <v>W0036764</v>
      </c>
      <c r="K260" t="str">
        <f t="shared" si="92"/>
        <v>AS89</v>
      </c>
      <c r="L260" t="s">
        <v>1095</v>
      </c>
      <c r="M260">
        <v>654.03</v>
      </c>
    </row>
    <row r="261" spans="1:13" x14ac:dyDescent="0.25">
      <c r="A261" t="str">
        <f t="shared" si="93"/>
        <v>E160</v>
      </c>
      <c r="B261">
        <v>1</v>
      </c>
      <c r="C261" t="str">
        <f t="shared" si="94"/>
        <v>10200</v>
      </c>
      <c r="D261" t="str">
        <f t="shared" si="95"/>
        <v>5620</v>
      </c>
      <c r="E261" t="str">
        <f t="shared" si="96"/>
        <v>094OMS</v>
      </c>
      <c r="F261" t="str">
        <f>""</f>
        <v/>
      </c>
      <c r="G261" t="str">
        <f>""</f>
        <v/>
      </c>
      <c r="H261" s="1">
        <v>40391</v>
      </c>
      <c r="I261" t="str">
        <f>"PHY00536"</f>
        <v>PHY00536</v>
      </c>
      <c r="J261" t="str">
        <f>"W0036764"</f>
        <v>W0036764</v>
      </c>
      <c r="K261" t="str">
        <f t="shared" si="92"/>
        <v>AS89</v>
      </c>
      <c r="L261" t="s">
        <v>1095</v>
      </c>
      <c r="M261">
        <v>162.78</v>
      </c>
    </row>
    <row r="262" spans="1:13" x14ac:dyDescent="0.25">
      <c r="A262" t="str">
        <f t="shared" si="93"/>
        <v>E160</v>
      </c>
      <c r="B262">
        <v>1</v>
      </c>
      <c r="C262" t="str">
        <f t="shared" si="94"/>
        <v>10200</v>
      </c>
      <c r="D262" t="str">
        <f t="shared" si="95"/>
        <v>5620</v>
      </c>
      <c r="E262" t="str">
        <f t="shared" si="96"/>
        <v>094OMS</v>
      </c>
      <c r="F262" t="str">
        <f>""</f>
        <v/>
      </c>
      <c r="G262" t="str">
        <f>""</f>
        <v/>
      </c>
      <c r="H262" s="1">
        <v>40452</v>
      </c>
      <c r="I262" t="str">
        <f>"PHY00539"</f>
        <v>PHY00539</v>
      </c>
      <c r="J262" t="str">
        <f>"W0036764"</f>
        <v>W0036764</v>
      </c>
      <c r="K262" t="str">
        <f t="shared" si="92"/>
        <v>AS89</v>
      </c>
      <c r="L262" t="s">
        <v>1095</v>
      </c>
      <c r="M262">
        <v>194.51</v>
      </c>
    </row>
    <row r="263" spans="1:13" x14ac:dyDescent="0.25">
      <c r="A263" t="str">
        <f t="shared" si="93"/>
        <v>E160</v>
      </c>
      <c r="B263">
        <v>1</v>
      </c>
      <c r="C263" t="str">
        <f t="shared" si="94"/>
        <v>10200</v>
      </c>
      <c r="D263" t="str">
        <f t="shared" si="95"/>
        <v>5620</v>
      </c>
      <c r="E263" t="str">
        <f t="shared" si="96"/>
        <v>094OMS</v>
      </c>
      <c r="F263" t="str">
        <f>""</f>
        <v/>
      </c>
      <c r="G263" t="str">
        <f>""</f>
        <v/>
      </c>
      <c r="H263" s="1">
        <v>40513</v>
      </c>
      <c r="I263" t="str">
        <f>"PHY00543"</f>
        <v>PHY00543</v>
      </c>
      <c r="J263" t="str">
        <f>"W0002151"</f>
        <v>W0002151</v>
      </c>
      <c r="K263" t="str">
        <f t="shared" si="92"/>
        <v>AS89</v>
      </c>
      <c r="L263" t="s">
        <v>429</v>
      </c>
      <c r="M263">
        <v>290.14999999999998</v>
      </c>
    </row>
    <row r="264" spans="1:13" x14ac:dyDescent="0.25">
      <c r="A264" t="str">
        <f t="shared" si="93"/>
        <v>E160</v>
      </c>
      <c r="B264">
        <v>1</v>
      </c>
      <c r="C264" t="str">
        <f t="shared" si="94"/>
        <v>10200</v>
      </c>
      <c r="D264" t="str">
        <f t="shared" si="95"/>
        <v>5620</v>
      </c>
      <c r="E264" t="str">
        <f t="shared" si="96"/>
        <v>094OMS</v>
      </c>
      <c r="F264" t="str">
        <f>""</f>
        <v/>
      </c>
      <c r="G264" t="str">
        <f>""</f>
        <v/>
      </c>
      <c r="H264" s="1">
        <v>40513</v>
      </c>
      <c r="I264" t="str">
        <f>"PHY00543"</f>
        <v>PHY00543</v>
      </c>
      <c r="J264" t="str">
        <f>"W0036764"</f>
        <v>W0036764</v>
      </c>
      <c r="K264" t="str">
        <f t="shared" si="92"/>
        <v>AS89</v>
      </c>
      <c r="L264" t="s">
        <v>1095</v>
      </c>
      <c r="M264">
        <v>439.31</v>
      </c>
    </row>
    <row r="265" spans="1:13" x14ac:dyDescent="0.25">
      <c r="A265" t="str">
        <f t="shared" si="93"/>
        <v>E160</v>
      </c>
      <c r="B265">
        <v>1</v>
      </c>
      <c r="C265" t="str">
        <f t="shared" si="94"/>
        <v>10200</v>
      </c>
      <c r="D265" t="str">
        <f t="shared" si="95"/>
        <v>5620</v>
      </c>
      <c r="E265" t="str">
        <f t="shared" si="96"/>
        <v>094OMS</v>
      </c>
      <c r="F265" t="str">
        <f>""</f>
        <v/>
      </c>
      <c r="G265" t="str">
        <f>""</f>
        <v/>
      </c>
      <c r="H265" s="1">
        <v>40544</v>
      </c>
      <c r="I265" t="str">
        <f>"PHY00545"</f>
        <v>PHY00545</v>
      </c>
      <c r="J265" t="str">
        <f>"W0002151"</f>
        <v>W0002151</v>
      </c>
      <c r="K265" t="str">
        <f t="shared" si="92"/>
        <v>AS89</v>
      </c>
      <c r="L265" t="s">
        <v>429</v>
      </c>
      <c r="M265">
        <v>277.58</v>
      </c>
    </row>
    <row r="266" spans="1:13" x14ac:dyDescent="0.25">
      <c r="A266" t="str">
        <f t="shared" si="93"/>
        <v>E160</v>
      </c>
      <c r="B266">
        <v>1</v>
      </c>
      <c r="C266" t="str">
        <f t="shared" si="94"/>
        <v>10200</v>
      </c>
      <c r="D266" t="str">
        <f t="shared" si="95"/>
        <v>5620</v>
      </c>
      <c r="E266" t="str">
        <f t="shared" si="96"/>
        <v>094OMS</v>
      </c>
      <c r="F266" t="str">
        <f>""</f>
        <v/>
      </c>
      <c r="G266" t="str">
        <f>""</f>
        <v/>
      </c>
      <c r="H266" s="1">
        <v>40544</v>
      </c>
      <c r="I266" t="str">
        <f>"PHY00545"</f>
        <v>PHY00545</v>
      </c>
      <c r="J266" t="str">
        <f>"W0036764"</f>
        <v>W0036764</v>
      </c>
      <c r="K266" t="str">
        <f t="shared" si="92"/>
        <v>AS89</v>
      </c>
      <c r="L266" t="s">
        <v>1095</v>
      </c>
      <c r="M266" s="2">
        <v>1012.61</v>
      </c>
    </row>
    <row r="267" spans="1:13" x14ac:dyDescent="0.25">
      <c r="A267" t="str">
        <f t="shared" si="93"/>
        <v>E160</v>
      </c>
      <c r="B267">
        <v>1</v>
      </c>
      <c r="C267" t="str">
        <f t="shared" si="94"/>
        <v>10200</v>
      </c>
      <c r="D267" t="str">
        <f t="shared" si="95"/>
        <v>5620</v>
      </c>
      <c r="E267" t="str">
        <f t="shared" si="96"/>
        <v>094OMS</v>
      </c>
      <c r="F267" t="str">
        <f>""</f>
        <v/>
      </c>
      <c r="G267" t="str">
        <f>""</f>
        <v/>
      </c>
      <c r="H267" s="1">
        <v>40544</v>
      </c>
      <c r="I267" t="str">
        <f>"PHY00545"</f>
        <v>PHY00545</v>
      </c>
      <c r="J267" t="str">
        <f>"W0069091"</f>
        <v>W0069091</v>
      </c>
      <c r="K267" t="str">
        <f t="shared" si="92"/>
        <v>AS89</v>
      </c>
      <c r="L267" t="s">
        <v>1595</v>
      </c>
      <c r="M267">
        <v>769.64</v>
      </c>
    </row>
    <row r="268" spans="1:13" x14ac:dyDescent="0.25">
      <c r="A268" t="str">
        <f t="shared" si="93"/>
        <v>E160</v>
      </c>
      <c r="B268">
        <v>1</v>
      </c>
      <c r="C268" t="str">
        <f t="shared" si="94"/>
        <v>10200</v>
      </c>
      <c r="D268" t="str">
        <f t="shared" si="95"/>
        <v>5620</v>
      </c>
      <c r="E268" t="str">
        <f t="shared" si="96"/>
        <v>094OMS</v>
      </c>
      <c r="F268" t="str">
        <f>""</f>
        <v/>
      </c>
      <c r="G268" t="str">
        <f>""</f>
        <v/>
      </c>
      <c r="H268" s="1">
        <v>40575</v>
      </c>
      <c r="I268" t="str">
        <f>"PHY00550"</f>
        <v>PHY00550</v>
      </c>
      <c r="J268" t="str">
        <f>"W0036764"</f>
        <v>W0036764</v>
      </c>
      <c r="K268" t="str">
        <f t="shared" si="92"/>
        <v>AS89</v>
      </c>
      <c r="L268" t="s">
        <v>1095</v>
      </c>
      <c r="M268">
        <v>402.51</v>
      </c>
    </row>
    <row r="269" spans="1:13" x14ac:dyDescent="0.25">
      <c r="A269" t="str">
        <f t="shared" si="93"/>
        <v>E160</v>
      </c>
      <c r="B269">
        <v>1</v>
      </c>
      <c r="C269" t="str">
        <f t="shared" si="94"/>
        <v>10200</v>
      </c>
      <c r="D269" t="str">
        <f t="shared" si="95"/>
        <v>5620</v>
      </c>
      <c r="E269" t="str">
        <f t="shared" si="96"/>
        <v>094OMS</v>
      </c>
      <c r="F269" t="str">
        <f>""</f>
        <v/>
      </c>
      <c r="G269" t="str">
        <f>""</f>
        <v/>
      </c>
      <c r="H269" s="1">
        <v>40603</v>
      </c>
      <c r="I269" t="str">
        <f>"PHY00551"</f>
        <v>PHY00551</v>
      </c>
      <c r="J269" t="str">
        <f>"W0036764"</f>
        <v>W0036764</v>
      </c>
      <c r="K269" t="str">
        <f t="shared" si="92"/>
        <v>AS89</v>
      </c>
      <c r="L269" t="s">
        <v>1095</v>
      </c>
      <c r="M269">
        <v>299.83</v>
      </c>
    </row>
    <row r="270" spans="1:13" x14ac:dyDescent="0.25">
      <c r="A270" t="str">
        <f t="shared" si="93"/>
        <v>E160</v>
      </c>
      <c r="B270">
        <v>1</v>
      </c>
      <c r="C270" t="str">
        <f>"32040"</f>
        <v>32040</v>
      </c>
      <c r="D270" t="str">
        <f>"5610"</f>
        <v>5610</v>
      </c>
      <c r="E270" t="str">
        <f t="shared" ref="E270:E284" si="97">"850LOS"</f>
        <v>850LOS</v>
      </c>
      <c r="F270" t="str">
        <f>""</f>
        <v/>
      </c>
      <c r="G270" t="str">
        <f>""</f>
        <v/>
      </c>
      <c r="H270" s="1">
        <v>40360</v>
      </c>
      <c r="I270" t="str">
        <f>"PHY00533"</f>
        <v>PHY00533</v>
      </c>
      <c r="J270" t="str">
        <f>"W0060224"</f>
        <v>W0060224</v>
      </c>
      <c r="K270" t="str">
        <f t="shared" si="92"/>
        <v>AS89</v>
      </c>
      <c r="L270" t="s">
        <v>1372</v>
      </c>
      <c r="M270" s="2">
        <v>6664.77</v>
      </c>
    </row>
    <row r="271" spans="1:13" x14ac:dyDescent="0.25">
      <c r="A271" t="str">
        <f t="shared" si="93"/>
        <v>E160</v>
      </c>
      <c r="B271">
        <v>1</v>
      </c>
      <c r="C271" t="str">
        <f>"32040"</f>
        <v>32040</v>
      </c>
      <c r="D271" t="str">
        <f>"5610"</f>
        <v>5610</v>
      </c>
      <c r="E271" t="str">
        <f t="shared" si="97"/>
        <v>850LOS</v>
      </c>
      <c r="F271" t="str">
        <f>""</f>
        <v/>
      </c>
      <c r="G271" t="str">
        <f>""</f>
        <v/>
      </c>
      <c r="H271" s="1">
        <v>40391</v>
      </c>
      <c r="I271" t="str">
        <f>"PHY00536"</f>
        <v>PHY00536</v>
      </c>
      <c r="J271" t="str">
        <f>"W0060224"</f>
        <v>W0060224</v>
      </c>
      <c r="K271" t="str">
        <f t="shared" si="92"/>
        <v>AS89</v>
      </c>
      <c r="L271" t="s">
        <v>1372</v>
      </c>
      <c r="M271">
        <v>982.58</v>
      </c>
    </row>
    <row r="272" spans="1:13" x14ac:dyDescent="0.25">
      <c r="A272" t="str">
        <f t="shared" si="93"/>
        <v>E160</v>
      </c>
      <c r="B272">
        <v>1</v>
      </c>
      <c r="C272" t="str">
        <f>"32040"</f>
        <v>32040</v>
      </c>
      <c r="D272" t="str">
        <f>"5610"</f>
        <v>5610</v>
      </c>
      <c r="E272" t="str">
        <f t="shared" si="97"/>
        <v>850LOS</v>
      </c>
      <c r="F272" t="str">
        <f>""</f>
        <v/>
      </c>
      <c r="G272" t="str">
        <f>""</f>
        <v/>
      </c>
      <c r="H272" s="1">
        <v>40422</v>
      </c>
      <c r="I272" t="str">
        <f>"PHY00538"</f>
        <v>PHY00538</v>
      </c>
      <c r="J272" t="str">
        <f>"W0060224"</f>
        <v>W0060224</v>
      </c>
      <c r="K272" t="str">
        <f t="shared" si="92"/>
        <v>AS89</v>
      </c>
      <c r="L272" t="s">
        <v>1372</v>
      </c>
      <c r="M272" s="2">
        <v>2297.25</v>
      </c>
    </row>
    <row r="273" spans="1:13" x14ac:dyDescent="0.25">
      <c r="A273" t="str">
        <f t="shared" si="93"/>
        <v>E160</v>
      </c>
      <c r="B273">
        <v>1</v>
      </c>
      <c r="C273" t="str">
        <f>"32040"</f>
        <v>32040</v>
      </c>
      <c r="D273" t="str">
        <f>"5610"</f>
        <v>5610</v>
      </c>
      <c r="E273" t="str">
        <f t="shared" si="97"/>
        <v>850LOS</v>
      </c>
      <c r="F273" t="str">
        <f>""</f>
        <v/>
      </c>
      <c r="G273" t="str">
        <f>""</f>
        <v/>
      </c>
      <c r="H273" s="1">
        <v>40513</v>
      </c>
      <c r="I273" t="str">
        <f>"PHY00543"</f>
        <v>PHY00543</v>
      </c>
      <c r="J273" t="str">
        <f>"W0060224"</f>
        <v>W0060224</v>
      </c>
      <c r="K273" t="str">
        <f t="shared" si="92"/>
        <v>AS89</v>
      </c>
      <c r="L273" t="s">
        <v>1372</v>
      </c>
      <c r="M273" s="2">
        <v>2070.87</v>
      </c>
    </row>
    <row r="274" spans="1:13" x14ac:dyDescent="0.25">
      <c r="A274" t="str">
        <f t="shared" si="93"/>
        <v>E160</v>
      </c>
      <c r="B274">
        <v>1</v>
      </c>
      <c r="C274" t="str">
        <f t="shared" ref="C274:C289" si="98">"43000"</f>
        <v>43000</v>
      </c>
      <c r="D274" t="str">
        <f t="shared" ref="D274:D289" si="99">"5740"</f>
        <v>5740</v>
      </c>
      <c r="E274" t="str">
        <f t="shared" si="97"/>
        <v>850LOS</v>
      </c>
      <c r="F274" t="str">
        <f>""</f>
        <v/>
      </c>
      <c r="G274" t="str">
        <f>""</f>
        <v/>
      </c>
      <c r="H274" s="1">
        <v>40422</v>
      </c>
      <c r="I274" t="str">
        <f>"PHY00538"</f>
        <v>PHY00538</v>
      </c>
      <c r="J274" t="str">
        <f>"W0059501"</f>
        <v>W0059501</v>
      </c>
      <c r="K274" t="str">
        <f t="shared" si="92"/>
        <v>AS89</v>
      </c>
      <c r="L274" t="s">
        <v>1594</v>
      </c>
      <c r="M274">
        <v>479.53</v>
      </c>
    </row>
    <row r="275" spans="1:13" x14ac:dyDescent="0.25">
      <c r="A275" t="str">
        <f t="shared" si="93"/>
        <v>E160</v>
      </c>
      <c r="B275">
        <v>1</v>
      </c>
      <c r="C275" t="str">
        <f t="shared" si="98"/>
        <v>43000</v>
      </c>
      <c r="D275" t="str">
        <f t="shared" si="99"/>
        <v>5740</v>
      </c>
      <c r="E275" t="str">
        <f t="shared" si="97"/>
        <v>850LOS</v>
      </c>
      <c r="F275" t="str">
        <f>""</f>
        <v/>
      </c>
      <c r="G275" t="str">
        <f>""</f>
        <v/>
      </c>
      <c r="H275" s="1">
        <v>40483</v>
      </c>
      <c r="I275" t="str">
        <f>"PHY00541"</f>
        <v>PHY00541</v>
      </c>
      <c r="J275" t="str">
        <f>"W0060410"</f>
        <v>W0060410</v>
      </c>
      <c r="K275" t="str">
        <f t="shared" si="92"/>
        <v>AS89</v>
      </c>
      <c r="L275" t="s">
        <v>1371</v>
      </c>
      <c r="M275">
        <v>180.24</v>
      </c>
    </row>
    <row r="276" spans="1:13" x14ac:dyDescent="0.25">
      <c r="A276" t="str">
        <f t="shared" si="93"/>
        <v>E160</v>
      </c>
      <c r="B276">
        <v>1</v>
      </c>
      <c r="C276" t="str">
        <f t="shared" si="98"/>
        <v>43000</v>
      </c>
      <c r="D276" t="str">
        <f t="shared" si="99"/>
        <v>5740</v>
      </c>
      <c r="E276" t="str">
        <f t="shared" si="97"/>
        <v>850LOS</v>
      </c>
      <c r="F276" t="str">
        <f>""</f>
        <v/>
      </c>
      <c r="G276" t="str">
        <f>""</f>
        <v/>
      </c>
      <c r="H276" s="1">
        <v>40513</v>
      </c>
      <c r="I276" t="str">
        <f>"PHY00543"</f>
        <v>PHY00543</v>
      </c>
      <c r="J276" t="str">
        <f>"W0063412"</f>
        <v>W0063412</v>
      </c>
      <c r="K276" t="str">
        <f t="shared" si="92"/>
        <v>AS89</v>
      </c>
      <c r="L276" t="s">
        <v>1593</v>
      </c>
      <c r="M276">
        <v>557.46</v>
      </c>
    </row>
    <row r="277" spans="1:13" x14ac:dyDescent="0.25">
      <c r="A277" t="str">
        <f t="shared" si="93"/>
        <v>E160</v>
      </c>
      <c r="B277">
        <v>1</v>
      </c>
      <c r="C277" t="str">
        <f t="shared" si="98"/>
        <v>43000</v>
      </c>
      <c r="D277" t="str">
        <f t="shared" si="99"/>
        <v>5740</v>
      </c>
      <c r="E277" t="str">
        <f t="shared" si="97"/>
        <v>850LOS</v>
      </c>
      <c r="F277" t="str">
        <f>""</f>
        <v/>
      </c>
      <c r="G277" t="str">
        <f>""</f>
        <v/>
      </c>
      <c r="H277" s="1">
        <v>40575</v>
      </c>
      <c r="I277" t="str">
        <f>"PHY00550"</f>
        <v>PHY00550</v>
      </c>
      <c r="J277" t="str">
        <f>"W0002219"</f>
        <v>W0002219</v>
      </c>
      <c r="K277" t="str">
        <f t="shared" si="92"/>
        <v>AS89</v>
      </c>
      <c r="L277" t="s">
        <v>724</v>
      </c>
      <c r="M277">
        <v>259.27</v>
      </c>
    </row>
    <row r="278" spans="1:13" x14ac:dyDescent="0.25">
      <c r="A278" t="str">
        <f t="shared" si="93"/>
        <v>E160</v>
      </c>
      <c r="B278">
        <v>1</v>
      </c>
      <c r="C278" t="str">
        <f t="shared" si="98"/>
        <v>43000</v>
      </c>
      <c r="D278" t="str">
        <f t="shared" si="99"/>
        <v>5740</v>
      </c>
      <c r="E278" t="str">
        <f t="shared" si="97"/>
        <v>850LOS</v>
      </c>
      <c r="F278" t="str">
        <f>""</f>
        <v/>
      </c>
      <c r="G278" t="str">
        <f>""</f>
        <v/>
      </c>
      <c r="H278" s="1">
        <v>40603</v>
      </c>
      <c r="I278" t="str">
        <f>"PHY00551"</f>
        <v>PHY00551</v>
      </c>
      <c r="J278" t="str">
        <f>"W0002219"</f>
        <v>W0002219</v>
      </c>
      <c r="K278" t="str">
        <f t="shared" si="92"/>
        <v>AS89</v>
      </c>
      <c r="L278" t="s">
        <v>724</v>
      </c>
      <c r="M278">
        <v>142.24</v>
      </c>
    </row>
    <row r="279" spans="1:13" x14ac:dyDescent="0.25">
      <c r="A279" t="str">
        <f t="shared" si="93"/>
        <v>E160</v>
      </c>
      <c r="B279">
        <v>1</v>
      </c>
      <c r="C279" t="str">
        <f t="shared" si="98"/>
        <v>43000</v>
      </c>
      <c r="D279" t="str">
        <f t="shared" si="99"/>
        <v>5740</v>
      </c>
      <c r="E279" t="str">
        <f t="shared" si="97"/>
        <v>850LOS</v>
      </c>
      <c r="F279" t="str">
        <f>""</f>
        <v/>
      </c>
      <c r="G279" t="str">
        <f>""</f>
        <v/>
      </c>
      <c r="H279" s="1">
        <v>40603</v>
      </c>
      <c r="I279" t="str">
        <f>"PHY00551"</f>
        <v>PHY00551</v>
      </c>
      <c r="J279" t="str">
        <f>"W0069093"</f>
        <v>W0069093</v>
      </c>
      <c r="K279" t="str">
        <f t="shared" si="92"/>
        <v>AS89</v>
      </c>
      <c r="L279" t="s">
        <v>1592</v>
      </c>
      <c r="M279">
        <v>333.01</v>
      </c>
    </row>
    <row r="280" spans="1:13" x14ac:dyDescent="0.25">
      <c r="A280" t="str">
        <f t="shared" si="93"/>
        <v>E160</v>
      </c>
      <c r="B280">
        <v>1</v>
      </c>
      <c r="C280" t="str">
        <f t="shared" si="98"/>
        <v>43000</v>
      </c>
      <c r="D280" t="str">
        <f t="shared" si="99"/>
        <v>5740</v>
      </c>
      <c r="E280" t="str">
        <f t="shared" si="97"/>
        <v>850LOS</v>
      </c>
      <c r="F280" t="str">
        <f>""</f>
        <v/>
      </c>
      <c r="G280" t="str">
        <f>""</f>
        <v/>
      </c>
      <c r="H280" s="1">
        <v>40634</v>
      </c>
      <c r="I280" t="str">
        <f>"PHY00553"</f>
        <v>PHY00553</v>
      </c>
      <c r="J280" t="str">
        <f>"W0069093"</f>
        <v>W0069093</v>
      </c>
      <c r="K280" t="str">
        <f t="shared" si="92"/>
        <v>AS89</v>
      </c>
      <c r="L280" t="s">
        <v>1592</v>
      </c>
      <c r="M280" s="2">
        <v>1003.29</v>
      </c>
    </row>
    <row r="281" spans="1:13" x14ac:dyDescent="0.25">
      <c r="A281" t="str">
        <f t="shared" si="93"/>
        <v>E160</v>
      </c>
      <c r="B281">
        <v>1</v>
      </c>
      <c r="C281" t="str">
        <f t="shared" si="98"/>
        <v>43000</v>
      </c>
      <c r="D281" t="str">
        <f t="shared" si="99"/>
        <v>5740</v>
      </c>
      <c r="E281" t="str">
        <f t="shared" si="97"/>
        <v>850LOS</v>
      </c>
      <c r="F281" t="str">
        <f>""</f>
        <v/>
      </c>
      <c r="G281" t="str">
        <f>""</f>
        <v/>
      </c>
      <c r="H281" s="1">
        <v>40664</v>
      </c>
      <c r="I281" t="str">
        <f>"PHY00555"</f>
        <v>PHY00555</v>
      </c>
      <c r="J281" t="str">
        <f>"W0002219"</f>
        <v>W0002219</v>
      </c>
      <c r="K281" t="str">
        <f t="shared" si="92"/>
        <v>AS89</v>
      </c>
      <c r="L281" t="s">
        <v>724</v>
      </c>
      <c r="M281">
        <v>216.87</v>
      </c>
    </row>
    <row r="282" spans="1:13" x14ac:dyDescent="0.25">
      <c r="A282" t="str">
        <f t="shared" si="93"/>
        <v>E160</v>
      </c>
      <c r="B282">
        <v>1</v>
      </c>
      <c r="C282" t="str">
        <f t="shared" si="98"/>
        <v>43000</v>
      </c>
      <c r="D282" t="str">
        <f t="shared" si="99"/>
        <v>5740</v>
      </c>
      <c r="E282" t="str">
        <f t="shared" si="97"/>
        <v>850LOS</v>
      </c>
      <c r="F282" t="str">
        <f>""</f>
        <v/>
      </c>
      <c r="G282" t="str">
        <f>""</f>
        <v/>
      </c>
      <c r="H282" s="1">
        <v>40664</v>
      </c>
      <c r="I282" t="str">
        <f>"PHY00555"</f>
        <v>PHY00555</v>
      </c>
      <c r="J282" t="str">
        <f>"W0071861"</f>
        <v>W0071861</v>
      </c>
      <c r="K282" t="str">
        <f t="shared" si="92"/>
        <v>AS89</v>
      </c>
      <c r="L282" t="s">
        <v>1591</v>
      </c>
      <c r="M282">
        <v>702.07</v>
      </c>
    </row>
    <row r="283" spans="1:13" x14ac:dyDescent="0.25">
      <c r="A283" t="str">
        <f t="shared" si="93"/>
        <v>E160</v>
      </c>
      <c r="B283">
        <v>1</v>
      </c>
      <c r="C283" t="str">
        <f t="shared" si="98"/>
        <v>43000</v>
      </c>
      <c r="D283" t="str">
        <f t="shared" si="99"/>
        <v>5740</v>
      </c>
      <c r="E283" t="str">
        <f t="shared" si="97"/>
        <v>850LOS</v>
      </c>
      <c r="F283" t="str">
        <f>""</f>
        <v/>
      </c>
      <c r="G283" t="str">
        <f>""</f>
        <v/>
      </c>
      <c r="H283" s="1">
        <v>40695</v>
      </c>
      <c r="I283" t="str">
        <f>"PHY00558"</f>
        <v>PHY00558</v>
      </c>
      <c r="J283" t="str">
        <f>"W0076054"</f>
        <v>W0076054</v>
      </c>
      <c r="K283" t="str">
        <f t="shared" si="92"/>
        <v>AS89</v>
      </c>
      <c r="L283" t="s">
        <v>1590</v>
      </c>
      <c r="M283">
        <v>195.69</v>
      </c>
    </row>
    <row r="284" spans="1:13" x14ac:dyDescent="0.25">
      <c r="A284" t="str">
        <f t="shared" si="93"/>
        <v>E160</v>
      </c>
      <c r="B284">
        <v>1</v>
      </c>
      <c r="C284" t="str">
        <f t="shared" si="98"/>
        <v>43000</v>
      </c>
      <c r="D284" t="str">
        <f t="shared" si="99"/>
        <v>5740</v>
      </c>
      <c r="E284" t="str">
        <f t="shared" si="97"/>
        <v>850LOS</v>
      </c>
      <c r="F284" t="str">
        <f>""</f>
        <v/>
      </c>
      <c r="G284" t="str">
        <f>""</f>
        <v/>
      </c>
      <c r="H284" s="1">
        <v>40695</v>
      </c>
      <c r="I284" t="str">
        <f>"PHY00558"</f>
        <v>PHY00558</v>
      </c>
      <c r="J284" t="str">
        <f>"W0077590"</f>
        <v>W0077590</v>
      </c>
      <c r="K284" t="str">
        <f t="shared" si="92"/>
        <v>AS89</v>
      </c>
      <c r="L284" t="s">
        <v>1589</v>
      </c>
      <c r="M284">
        <v>406.97</v>
      </c>
    </row>
    <row r="285" spans="1:13" x14ac:dyDescent="0.25">
      <c r="A285" t="str">
        <f t="shared" si="93"/>
        <v>E160</v>
      </c>
      <c r="B285">
        <v>1</v>
      </c>
      <c r="C285" t="str">
        <f t="shared" si="98"/>
        <v>43000</v>
      </c>
      <c r="D285" t="str">
        <f t="shared" si="99"/>
        <v>5740</v>
      </c>
      <c r="E285" t="str">
        <f t="shared" ref="E285:E289" si="100">"850PKE"</f>
        <v>850PKE</v>
      </c>
      <c r="F285" t="str">
        <f>""</f>
        <v/>
      </c>
      <c r="G285" t="str">
        <f>""</f>
        <v/>
      </c>
      <c r="H285" s="1">
        <v>40360</v>
      </c>
      <c r="I285" t="str">
        <f>"PHY00533"</f>
        <v>PHY00533</v>
      </c>
      <c r="J285" t="str">
        <f>"W0002153"</f>
        <v>W0002153</v>
      </c>
      <c r="K285" t="str">
        <f t="shared" si="92"/>
        <v>AS89</v>
      </c>
      <c r="L285" t="s">
        <v>719</v>
      </c>
      <c r="M285">
        <v>112.86</v>
      </c>
    </row>
    <row r="286" spans="1:13" x14ac:dyDescent="0.25">
      <c r="A286" t="str">
        <f t="shared" si="93"/>
        <v>E160</v>
      </c>
      <c r="B286">
        <v>1</v>
      </c>
      <c r="C286" t="str">
        <f t="shared" si="98"/>
        <v>43000</v>
      </c>
      <c r="D286" t="str">
        <f t="shared" si="99"/>
        <v>5740</v>
      </c>
      <c r="E286" t="str">
        <f t="shared" si="100"/>
        <v>850PKE</v>
      </c>
      <c r="F286" t="str">
        <f>""</f>
        <v/>
      </c>
      <c r="G286" t="str">
        <f>""</f>
        <v/>
      </c>
      <c r="H286" s="1">
        <v>40513</v>
      </c>
      <c r="I286" t="str">
        <f>"PHY00543"</f>
        <v>PHY00543</v>
      </c>
      <c r="J286" t="str">
        <f>"W0069079"</f>
        <v>W0069079</v>
      </c>
      <c r="K286" t="str">
        <f t="shared" si="92"/>
        <v>AS89</v>
      </c>
      <c r="L286" t="s">
        <v>1587</v>
      </c>
      <c r="M286">
        <v>843.74</v>
      </c>
    </row>
    <row r="287" spans="1:13" x14ac:dyDescent="0.25">
      <c r="A287" t="str">
        <f t="shared" si="93"/>
        <v>E160</v>
      </c>
      <c r="B287">
        <v>1</v>
      </c>
      <c r="C287" t="str">
        <f t="shared" si="98"/>
        <v>43000</v>
      </c>
      <c r="D287" t="str">
        <f t="shared" si="99"/>
        <v>5740</v>
      </c>
      <c r="E287" t="str">
        <f t="shared" si="100"/>
        <v>850PKE</v>
      </c>
      <c r="F287" t="str">
        <f>""</f>
        <v/>
      </c>
      <c r="G287" t="str">
        <f>""</f>
        <v/>
      </c>
      <c r="H287" s="1">
        <v>40544</v>
      </c>
      <c r="I287" t="str">
        <f>"PHY00545"</f>
        <v>PHY00545</v>
      </c>
      <c r="J287" t="str">
        <f>"W0069079"</f>
        <v>W0069079</v>
      </c>
      <c r="K287" t="str">
        <f t="shared" si="92"/>
        <v>AS89</v>
      </c>
      <c r="L287" t="s">
        <v>1587</v>
      </c>
      <c r="M287">
        <v>193.95</v>
      </c>
    </row>
    <row r="288" spans="1:13" x14ac:dyDescent="0.25">
      <c r="A288" t="str">
        <f t="shared" si="93"/>
        <v>E160</v>
      </c>
      <c r="B288">
        <v>1</v>
      </c>
      <c r="C288" t="str">
        <f t="shared" si="98"/>
        <v>43000</v>
      </c>
      <c r="D288" t="str">
        <f t="shared" si="99"/>
        <v>5740</v>
      </c>
      <c r="E288" t="str">
        <f t="shared" si="100"/>
        <v>850PKE</v>
      </c>
      <c r="F288" t="str">
        <f>""</f>
        <v/>
      </c>
      <c r="G288" t="str">
        <f>""</f>
        <v/>
      </c>
      <c r="H288" s="1">
        <v>40695</v>
      </c>
      <c r="I288" t="str">
        <f>"PHY00558"</f>
        <v>PHY00558</v>
      </c>
      <c r="J288" t="str">
        <f>"W0076047"</f>
        <v>W0076047</v>
      </c>
      <c r="K288" t="str">
        <f t="shared" si="92"/>
        <v>AS89</v>
      </c>
      <c r="L288" t="s">
        <v>1586</v>
      </c>
      <c r="M288">
        <v>171.21</v>
      </c>
    </row>
    <row r="289" spans="1:13" x14ac:dyDescent="0.25">
      <c r="A289" t="str">
        <f t="shared" si="93"/>
        <v>E160</v>
      </c>
      <c r="B289">
        <v>1</v>
      </c>
      <c r="C289" t="str">
        <f t="shared" si="98"/>
        <v>43000</v>
      </c>
      <c r="D289" t="str">
        <f t="shared" si="99"/>
        <v>5740</v>
      </c>
      <c r="E289" t="str">
        <f t="shared" si="100"/>
        <v>850PKE</v>
      </c>
      <c r="F289" t="str">
        <f>""</f>
        <v/>
      </c>
      <c r="G289" t="str">
        <f>""</f>
        <v/>
      </c>
      <c r="H289" s="1">
        <v>40695</v>
      </c>
      <c r="I289" t="str">
        <f>"PHY00558"</f>
        <v>PHY00558</v>
      </c>
      <c r="J289" t="str">
        <f>"W0077238"</f>
        <v>W0077238</v>
      </c>
      <c r="K289" t="str">
        <f t="shared" si="92"/>
        <v>AS89</v>
      </c>
      <c r="L289" t="s">
        <v>1585</v>
      </c>
      <c r="M289">
        <v>710.41</v>
      </c>
    </row>
    <row r="290" spans="1:13" x14ac:dyDescent="0.25">
      <c r="A290" t="str">
        <f t="shared" ref="A290:A294" si="101">"E162"</f>
        <v>E162</v>
      </c>
      <c r="B290">
        <v>1</v>
      </c>
      <c r="C290" t="str">
        <f>"32040"</f>
        <v>32040</v>
      </c>
      <c r="D290" t="str">
        <f>"5610"</f>
        <v>5610</v>
      </c>
      <c r="E290" t="str">
        <f t="shared" ref="E290:E294" si="102">"850LOS"</f>
        <v>850LOS</v>
      </c>
      <c r="F290" t="str">
        <f>""</f>
        <v/>
      </c>
      <c r="G290" t="str">
        <f>""</f>
        <v/>
      </c>
      <c r="H290" s="1">
        <v>40602</v>
      </c>
      <c r="I290" t="str">
        <f>"PCD00469"</f>
        <v>PCD00469</v>
      </c>
      <c r="J290" t="str">
        <f>"137906"</f>
        <v>137906</v>
      </c>
      <c r="K290" t="str">
        <f t="shared" si="92"/>
        <v>AS89</v>
      </c>
      <c r="L290" t="s">
        <v>1584</v>
      </c>
      <c r="M290">
        <v>198.8</v>
      </c>
    </row>
    <row r="291" spans="1:13" x14ac:dyDescent="0.25">
      <c r="A291" t="str">
        <f t="shared" si="101"/>
        <v>E162</v>
      </c>
      <c r="B291">
        <v>1</v>
      </c>
      <c r="C291" t="str">
        <f>"43000"</f>
        <v>43000</v>
      </c>
      <c r="D291" t="str">
        <f>"5740"</f>
        <v>5740</v>
      </c>
      <c r="E291" t="str">
        <f t="shared" si="102"/>
        <v>850LOS</v>
      </c>
      <c r="F291" t="str">
        <f>""</f>
        <v/>
      </c>
      <c r="G291" t="str">
        <f>""</f>
        <v/>
      </c>
      <c r="H291" s="1">
        <v>40389</v>
      </c>
      <c r="I291" t="str">
        <f>"G1101046"</f>
        <v>G1101046</v>
      </c>
      <c r="J291" t="str">
        <f>""</f>
        <v/>
      </c>
      <c r="K291" t="str">
        <f>"J096"</f>
        <v>J096</v>
      </c>
      <c r="L291" t="s">
        <v>1352</v>
      </c>
      <c r="M291">
        <v>900</v>
      </c>
    </row>
    <row r="292" spans="1:13" x14ac:dyDescent="0.25">
      <c r="A292" t="str">
        <f t="shared" si="101"/>
        <v>E162</v>
      </c>
      <c r="B292">
        <v>1</v>
      </c>
      <c r="C292" t="str">
        <f>"43000"</f>
        <v>43000</v>
      </c>
      <c r="D292" t="str">
        <f>"5740"</f>
        <v>5740</v>
      </c>
      <c r="E292" t="str">
        <f t="shared" si="102"/>
        <v>850LOS</v>
      </c>
      <c r="F292" t="str">
        <f>""</f>
        <v/>
      </c>
      <c r="G292" t="str">
        <f>""</f>
        <v/>
      </c>
      <c r="H292" s="1">
        <v>40472</v>
      </c>
      <c r="I292" t="str">
        <f>"G1104063"</f>
        <v>G1104063</v>
      </c>
      <c r="J292" t="str">
        <f>""</f>
        <v/>
      </c>
      <c r="K292" t="str">
        <f>"J096"</f>
        <v>J096</v>
      </c>
      <c r="L292" t="s">
        <v>1354</v>
      </c>
      <c r="M292">
        <v>900</v>
      </c>
    </row>
    <row r="293" spans="1:13" x14ac:dyDescent="0.25">
      <c r="A293" t="str">
        <f t="shared" si="101"/>
        <v>E162</v>
      </c>
      <c r="B293">
        <v>1</v>
      </c>
      <c r="C293" t="str">
        <f>"43000"</f>
        <v>43000</v>
      </c>
      <c r="D293" t="str">
        <f>"5740"</f>
        <v>5740</v>
      </c>
      <c r="E293" t="str">
        <f t="shared" si="102"/>
        <v>850LOS</v>
      </c>
      <c r="F293" t="str">
        <f>""</f>
        <v/>
      </c>
      <c r="G293" t="str">
        <f>""</f>
        <v/>
      </c>
      <c r="H293" s="1">
        <v>40562</v>
      </c>
      <c r="I293" t="str">
        <f>"G1107067"</f>
        <v>G1107067</v>
      </c>
      <c r="J293" t="str">
        <f>""</f>
        <v/>
      </c>
      <c r="K293" t="str">
        <f>"J096"</f>
        <v>J096</v>
      </c>
      <c r="L293" t="s">
        <v>1353</v>
      </c>
      <c r="M293">
        <v>900</v>
      </c>
    </row>
    <row r="294" spans="1:13" x14ac:dyDescent="0.25">
      <c r="A294" t="str">
        <f t="shared" si="101"/>
        <v>E162</v>
      </c>
      <c r="B294">
        <v>1</v>
      </c>
      <c r="C294" t="str">
        <f>"43000"</f>
        <v>43000</v>
      </c>
      <c r="D294" t="str">
        <f>"5740"</f>
        <v>5740</v>
      </c>
      <c r="E294" t="str">
        <f t="shared" si="102"/>
        <v>850LOS</v>
      </c>
      <c r="F294" t="str">
        <f>""</f>
        <v/>
      </c>
      <c r="G294" t="str">
        <f>""</f>
        <v/>
      </c>
      <c r="H294" s="1">
        <v>40635</v>
      </c>
      <c r="I294" t="str">
        <f>"G1110120"</f>
        <v>G1110120</v>
      </c>
      <c r="J294" t="str">
        <f>""</f>
        <v/>
      </c>
      <c r="K294" t="str">
        <f>"J096"</f>
        <v>J096</v>
      </c>
      <c r="L294" t="s">
        <v>1354</v>
      </c>
      <c r="M294">
        <v>900</v>
      </c>
    </row>
    <row r="295" spans="1:13" x14ac:dyDescent="0.25">
      <c r="A295" t="str">
        <f>"E163"</f>
        <v>E163</v>
      </c>
      <c r="B295">
        <v>1</v>
      </c>
      <c r="C295" t="str">
        <f>"10200"</f>
        <v>10200</v>
      </c>
      <c r="D295" t="str">
        <f>"5620"</f>
        <v>5620</v>
      </c>
      <c r="E295" t="str">
        <f>"094OMS"</f>
        <v>094OMS</v>
      </c>
      <c r="F295" t="str">
        <f>""</f>
        <v/>
      </c>
      <c r="G295" t="str">
        <f>""</f>
        <v/>
      </c>
      <c r="H295" s="1">
        <v>40724</v>
      </c>
      <c r="I295" t="str">
        <f>"188715A"</f>
        <v>188715A</v>
      </c>
      <c r="J295" t="str">
        <f>""</f>
        <v/>
      </c>
      <c r="K295" t="str">
        <f>"INNI"</f>
        <v>INNI</v>
      </c>
      <c r="L295" t="s">
        <v>1583</v>
      </c>
      <c r="M295" s="2">
        <v>1109.8399999999999</v>
      </c>
    </row>
    <row r="296" spans="1:13" x14ac:dyDescent="0.25">
      <c r="A296" t="str">
        <f>"E163"</f>
        <v>E163</v>
      </c>
      <c r="B296">
        <v>1</v>
      </c>
      <c r="C296" t="str">
        <f>"43000"</f>
        <v>43000</v>
      </c>
      <c r="D296" t="str">
        <f>"5740"</f>
        <v>5740</v>
      </c>
      <c r="E296" t="str">
        <f>"850LOS"</f>
        <v>850LOS</v>
      </c>
      <c r="F296" t="str">
        <f>""</f>
        <v/>
      </c>
      <c r="G296" t="str">
        <f>""</f>
        <v/>
      </c>
      <c r="H296" s="1">
        <v>40482</v>
      </c>
      <c r="I296" t="str">
        <f>"PCD00450"</f>
        <v>PCD00450</v>
      </c>
      <c r="J296" t="str">
        <f>"130838"</f>
        <v>130838</v>
      </c>
      <c r="K296" t="str">
        <f>"AS89"</f>
        <v>AS89</v>
      </c>
      <c r="L296" t="s">
        <v>1582</v>
      </c>
      <c r="M296">
        <v>585.9</v>
      </c>
    </row>
    <row r="297" spans="1:13" x14ac:dyDescent="0.25">
      <c r="A297" t="str">
        <f t="shared" ref="A297:A306" si="103">"E164"</f>
        <v>E164</v>
      </c>
      <c r="B297">
        <v>1</v>
      </c>
      <c r="C297" t="str">
        <f t="shared" ref="C297:C306" si="104">"10200"</f>
        <v>10200</v>
      </c>
      <c r="D297" t="str">
        <f t="shared" ref="D297:D306" si="105">"5620"</f>
        <v>5620</v>
      </c>
      <c r="E297" t="str">
        <f t="shared" ref="E297:E306" si="106">"094OMS"</f>
        <v>094OMS</v>
      </c>
      <c r="F297" t="str">
        <f>""</f>
        <v/>
      </c>
      <c r="G297" t="str">
        <f>""</f>
        <v/>
      </c>
      <c r="H297" s="1">
        <v>40390</v>
      </c>
      <c r="I297" t="str">
        <f>"LKS00177"</f>
        <v>LKS00177</v>
      </c>
      <c r="J297" t="str">
        <f t="shared" ref="J297:J306" si="107">"L30034"</f>
        <v>L30034</v>
      </c>
      <c r="K297" t="str">
        <f t="shared" ref="K297:K306" si="108">"LKW1"</f>
        <v>LKW1</v>
      </c>
      <c r="L297" t="s">
        <v>133</v>
      </c>
      <c r="M297">
        <v>203.69</v>
      </c>
    </row>
    <row r="298" spans="1:13" x14ac:dyDescent="0.25">
      <c r="A298" t="str">
        <f t="shared" si="103"/>
        <v>E164</v>
      </c>
      <c r="B298">
        <v>1</v>
      </c>
      <c r="C298" t="str">
        <f t="shared" si="104"/>
        <v>10200</v>
      </c>
      <c r="D298" t="str">
        <f t="shared" si="105"/>
        <v>5620</v>
      </c>
      <c r="E298" t="str">
        <f t="shared" si="106"/>
        <v>094OMS</v>
      </c>
      <c r="F298" t="str">
        <f>""</f>
        <v/>
      </c>
      <c r="G298" t="str">
        <f>""</f>
        <v/>
      </c>
      <c r="H298" s="1">
        <v>40421</v>
      </c>
      <c r="I298" t="str">
        <f>"LKS00178"</f>
        <v>LKS00178</v>
      </c>
      <c r="J298" t="str">
        <f t="shared" si="107"/>
        <v>L30034</v>
      </c>
      <c r="K298" t="str">
        <f t="shared" si="108"/>
        <v>LKW1</v>
      </c>
      <c r="L298" t="s">
        <v>133</v>
      </c>
      <c r="M298">
        <v>103.97</v>
      </c>
    </row>
    <row r="299" spans="1:13" x14ac:dyDescent="0.25">
      <c r="A299" t="str">
        <f t="shared" si="103"/>
        <v>E164</v>
      </c>
      <c r="B299">
        <v>1</v>
      </c>
      <c r="C299" t="str">
        <f t="shared" si="104"/>
        <v>10200</v>
      </c>
      <c r="D299" t="str">
        <f t="shared" si="105"/>
        <v>5620</v>
      </c>
      <c r="E299" t="str">
        <f t="shared" si="106"/>
        <v>094OMS</v>
      </c>
      <c r="F299" t="str">
        <f>""</f>
        <v/>
      </c>
      <c r="G299" t="str">
        <f>""</f>
        <v/>
      </c>
      <c r="H299" s="1">
        <v>40451</v>
      </c>
      <c r="I299" t="str">
        <f>"LKS00179"</f>
        <v>LKS00179</v>
      </c>
      <c r="J299" t="str">
        <f t="shared" si="107"/>
        <v>L30034</v>
      </c>
      <c r="K299" t="str">
        <f t="shared" si="108"/>
        <v>LKW1</v>
      </c>
      <c r="L299" t="s">
        <v>133</v>
      </c>
      <c r="M299">
        <v>109.59</v>
      </c>
    </row>
    <row r="300" spans="1:13" x14ac:dyDescent="0.25">
      <c r="A300" t="str">
        <f t="shared" si="103"/>
        <v>E164</v>
      </c>
      <c r="B300">
        <v>1</v>
      </c>
      <c r="C300" t="str">
        <f t="shared" si="104"/>
        <v>10200</v>
      </c>
      <c r="D300" t="str">
        <f t="shared" si="105"/>
        <v>5620</v>
      </c>
      <c r="E300" t="str">
        <f t="shared" si="106"/>
        <v>094OMS</v>
      </c>
      <c r="F300" t="str">
        <f>""</f>
        <v/>
      </c>
      <c r="G300" t="str">
        <f>""</f>
        <v/>
      </c>
      <c r="H300" s="1">
        <v>40482</v>
      </c>
      <c r="I300" t="str">
        <f>"LKS00180"</f>
        <v>LKS00180</v>
      </c>
      <c r="J300" t="str">
        <f t="shared" si="107"/>
        <v>L30034</v>
      </c>
      <c r="K300" t="str">
        <f t="shared" si="108"/>
        <v>LKW1</v>
      </c>
      <c r="L300" t="s">
        <v>133</v>
      </c>
      <c r="M300">
        <v>361.92</v>
      </c>
    </row>
    <row r="301" spans="1:13" x14ac:dyDescent="0.25">
      <c r="A301" t="str">
        <f t="shared" si="103"/>
        <v>E164</v>
      </c>
      <c r="B301">
        <v>1</v>
      </c>
      <c r="C301" t="str">
        <f t="shared" si="104"/>
        <v>10200</v>
      </c>
      <c r="D301" t="str">
        <f t="shared" si="105"/>
        <v>5620</v>
      </c>
      <c r="E301" t="str">
        <f t="shared" si="106"/>
        <v>094OMS</v>
      </c>
      <c r="F301" t="str">
        <f>""</f>
        <v/>
      </c>
      <c r="G301" t="str">
        <f>""</f>
        <v/>
      </c>
      <c r="H301" s="1">
        <v>40512</v>
      </c>
      <c r="I301" t="str">
        <f>"LKS00181"</f>
        <v>LKS00181</v>
      </c>
      <c r="J301" t="str">
        <f t="shared" si="107"/>
        <v>L30034</v>
      </c>
      <c r="K301" t="str">
        <f t="shared" si="108"/>
        <v>LKW1</v>
      </c>
      <c r="L301" t="s">
        <v>133</v>
      </c>
      <c r="M301">
        <v>194.4</v>
      </c>
    </row>
    <row r="302" spans="1:13" x14ac:dyDescent="0.25">
      <c r="A302" t="str">
        <f t="shared" si="103"/>
        <v>E164</v>
      </c>
      <c r="B302">
        <v>1</v>
      </c>
      <c r="C302" t="str">
        <f t="shared" si="104"/>
        <v>10200</v>
      </c>
      <c r="D302" t="str">
        <f t="shared" si="105"/>
        <v>5620</v>
      </c>
      <c r="E302" t="str">
        <f t="shared" si="106"/>
        <v>094OMS</v>
      </c>
      <c r="F302" t="str">
        <f>""</f>
        <v/>
      </c>
      <c r="G302" t="str">
        <f>""</f>
        <v/>
      </c>
      <c r="H302" s="1">
        <v>40574</v>
      </c>
      <c r="I302" t="str">
        <f>"LKS00183"</f>
        <v>LKS00183</v>
      </c>
      <c r="J302" t="str">
        <f t="shared" si="107"/>
        <v>L30034</v>
      </c>
      <c r="K302" t="str">
        <f t="shared" si="108"/>
        <v>LKW1</v>
      </c>
      <c r="L302" t="s">
        <v>133</v>
      </c>
      <c r="M302">
        <v>115.35</v>
      </c>
    </row>
    <row r="303" spans="1:13" x14ac:dyDescent="0.25">
      <c r="A303" t="str">
        <f t="shared" si="103"/>
        <v>E164</v>
      </c>
      <c r="B303">
        <v>1</v>
      </c>
      <c r="C303" t="str">
        <f t="shared" si="104"/>
        <v>10200</v>
      </c>
      <c r="D303" t="str">
        <f t="shared" si="105"/>
        <v>5620</v>
      </c>
      <c r="E303" t="str">
        <f t="shared" si="106"/>
        <v>094OMS</v>
      </c>
      <c r="F303" t="str">
        <f>""</f>
        <v/>
      </c>
      <c r="G303" t="str">
        <f>""</f>
        <v/>
      </c>
      <c r="H303" s="1">
        <v>40602</v>
      </c>
      <c r="I303" t="str">
        <f>"LKS00184"</f>
        <v>LKS00184</v>
      </c>
      <c r="J303" t="str">
        <f t="shared" si="107"/>
        <v>L30034</v>
      </c>
      <c r="K303" t="str">
        <f t="shared" si="108"/>
        <v>LKW1</v>
      </c>
      <c r="L303" t="s">
        <v>133</v>
      </c>
      <c r="M303">
        <v>328.54</v>
      </c>
    </row>
    <row r="304" spans="1:13" x14ac:dyDescent="0.25">
      <c r="A304" t="str">
        <f t="shared" si="103"/>
        <v>E164</v>
      </c>
      <c r="B304">
        <v>1</v>
      </c>
      <c r="C304" t="str">
        <f t="shared" si="104"/>
        <v>10200</v>
      </c>
      <c r="D304" t="str">
        <f t="shared" si="105"/>
        <v>5620</v>
      </c>
      <c r="E304" t="str">
        <f t="shared" si="106"/>
        <v>094OMS</v>
      </c>
      <c r="F304" t="str">
        <f>""</f>
        <v/>
      </c>
      <c r="G304" t="str">
        <f>""</f>
        <v/>
      </c>
      <c r="H304" s="1">
        <v>40633</v>
      </c>
      <c r="I304" t="str">
        <f>"LKS00185"</f>
        <v>LKS00185</v>
      </c>
      <c r="J304" t="str">
        <f t="shared" si="107"/>
        <v>L30034</v>
      </c>
      <c r="K304" t="str">
        <f t="shared" si="108"/>
        <v>LKW1</v>
      </c>
      <c r="L304" t="s">
        <v>133</v>
      </c>
      <c r="M304">
        <v>383.11</v>
      </c>
    </row>
    <row r="305" spans="1:13" x14ac:dyDescent="0.25">
      <c r="A305" t="str">
        <f t="shared" si="103"/>
        <v>E164</v>
      </c>
      <c r="B305">
        <v>1</v>
      </c>
      <c r="C305" t="str">
        <f t="shared" si="104"/>
        <v>10200</v>
      </c>
      <c r="D305" t="str">
        <f t="shared" si="105"/>
        <v>5620</v>
      </c>
      <c r="E305" t="str">
        <f t="shared" si="106"/>
        <v>094OMS</v>
      </c>
      <c r="F305" t="str">
        <f>""</f>
        <v/>
      </c>
      <c r="G305" t="str">
        <f>""</f>
        <v/>
      </c>
      <c r="H305" s="1">
        <v>40663</v>
      </c>
      <c r="I305" t="str">
        <f>"LKS00186"</f>
        <v>LKS00186</v>
      </c>
      <c r="J305" t="str">
        <f t="shared" si="107"/>
        <v>L30034</v>
      </c>
      <c r="K305" t="str">
        <f t="shared" si="108"/>
        <v>LKW1</v>
      </c>
      <c r="L305" t="s">
        <v>133</v>
      </c>
      <c r="M305">
        <v>586.22</v>
      </c>
    </row>
    <row r="306" spans="1:13" x14ac:dyDescent="0.25">
      <c r="A306" t="str">
        <f t="shared" si="103"/>
        <v>E164</v>
      </c>
      <c r="B306">
        <v>1</v>
      </c>
      <c r="C306" t="str">
        <f t="shared" si="104"/>
        <v>10200</v>
      </c>
      <c r="D306" t="str">
        <f t="shared" si="105"/>
        <v>5620</v>
      </c>
      <c r="E306" t="str">
        <f t="shared" si="106"/>
        <v>094OMS</v>
      </c>
      <c r="F306" t="str">
        <f>""</f>
        <v/>
      </c>
      <c r="G306" t="str">
        <f>""</f>
        <v/>
      </c>
      <c r="H306" s="1">
        <v>40694</v>
      </c>
      <c r="I306" t="str">
        <f>"LKS00187"</f>
        <v>LKS00187</v>
      </c>
      <c r="J306" t="str">
        <f t="shared" si="107"/>
        <v>L30034</v>
      </c>
      <c r="K306" t="str">
        <f t="shared" si="108"/>
        <v>LKW1</v>
      </c>
      <c r="L306" t="s">
        <v>133</v>
      </c>
      <c r="M306">
        <v>392.41</v>
      </c>
    </row>
    <row r="307" spans="1:13" x14ac:dyDescent="0.25">
      <c r="A307" t="str">
        <f>"E165"</f>
        <v>E165</v>
      </c>
      <c r="B307">
        <v>1</v>
      </c>
      <c r="C307" t="str">
        <f t="shared" ref="C307:C317" si="109">"43000"</f>
        <v>43000</v>
      </c>
      <c r="D307" t="str">
        <f t="shared" ref="D307:D317" si="110">"5740"</f>
        <v>5740</v>
      </c>
      <c r="E307" t="str">
        <f>"850PKC"</f>
        <v>850PKC</v>
      </c>
      <c r="F307" t="str">
        <f>""</f>
        <v/>
      </c>
      <c r="G307" t="str">
        <f>""</f>
        <v/>
      </c>
      <c r="H307" s="1">
        <v>40482</v>
      </c>
      <c r="I307" t="str">
        <f>"G1104181"</f>
        <v>G1104181</v>
      </c>
      <c r="J307" t="str">
        <f>""</f>
        <v/>
      </c>
      <c r="K307" t="str">
        <f>"J079"</f>
        <v>J079</v>
      </c>
      <c r="L307" t="s">
        <v>1581</v>
      </c>
      <c r="M307">
        <v>179.03</v>
      </c>
    </row>
    <row r="308" spans="1:13" x14ac:dyDescent="0.25">
      <c r="A308" t="str">
        <f t="shared" ref="A308:A317" si="111">"E166"</f>
        <v>E166</v>
      </c>
      <c r="B308">
        <v>1</v>
      </c>
      <c r="C308" t="str">
        <f t="shared" si="109"/>
        <v>43000</v>
      </c>
      <c r="D308" t="str">
        <f t="shared" si="110"/>
        <v>5740</v>
      </c>
      <c r="E308" t="str">
        <f t="shared" ref="E308:E317" si="112">"850LOS"</f>
        <v>850LOS</v>
      </c>
      <c r="F308" t="str">
        <f t="shared" ref="F308:F316" si="113">"PKOLOT"</f>
        <v>PKOLOT</v>
      </c>
      <c r="G308" t="str">
        <f>""</f>
        <v/>
      </c>
      <c r="H308" s="1">
        <v>40534</v>
      </c>
      <c r="I308" t="str">
        <f>"112457"</f>
        <v>112457</v>
      </c>
      <c r="J308" t="str">
        <f t="shared" ref="J308:J316" si="114">"N076383E"</f>
        <v>N076383E</v>
      </c>
      <c r="K308" t="str">
        <f t="shared" ref="K308:K316" si="115">"INEI"</f>
        <v>INEI</v>
      </c>
      <c r="L308" t="s">
        <v>140</v>
      </c>
      <c r="M308">
        <v>556.05999999999995</v>
      </c>
    </row>
    <row r="309" spans="1:13" x14ac:dyDescent="0.25">
      <c r="A309" t="str">
        <f t="shared" si="111"/>
        <v>E166</v>
      </c>
      <c r="B309">
        <v>1</v>
      </c>
      <c r="C309" t="str">
        <f t="shared" si="109"/>
        <v>43000</v>
      </c>
      <c r="D309" t="str">
        <f t="shared" si="110"/>
        <v>5740</v>
      </c>
      <c r="E309" t="str">
        <f t="shared" si="112"/>
        <v>850LOS</v>
      </c>
      <c r="F309" t="str">
        <f t="shared" si="113"/>
        <v>PKOLOT</v>
      </c>
      <c r="G309" t="str">
        <f>""</f>
        <v/>
      </c>
      <c r="H309" s="1">
        <v>40534</v>
      </c>
      <c r="I309" t="str">
        <f>"112458A"</f>
        <v>112458A</v>
      </c>
      <c r="J309" t="str">
        <f t="shared" si="114"/>
        <v>N076383E</v>
      </c>
      <c r="K309" t="str">
        <f t="shared" si="115"/>
        <v>INEI</v>
      </c>
      <c r="L309" t="s">
        <v>140</v>
      </c>
      <c r="M309">
        <v>556.05999999999995</v>
      </c>
    </row>
    <row r="310" spans="1:13" x14ac:dyDescent="0.25">
      <c r="A310" t="str">
        <f t="shared" si="111"/>
        <v>E166</v>
      </c>
      <c r="B310">
        <v>1</v>
      </c>
      <c r="C310" t="str">
        <f t="shared" si="109"/>
        <v>43000</v>
      </c>
      <c r="D310" t="str">
        <f t="shared" si="110"/>
        <v>5740</v>
      </c>
      <c r="E310" t="str">
        <f t="shared" si="112"/>
        <v>850LOS</v>
      </c>
      <c r="F310" t="str">
        <f t="shared" si="113"/>
        <v>PKOLOT</v>
      </c>
      <c r="G310" t="str">
        <f>""</f>
        <v/>
      </c>
      <c r="H310" s="1">
        <v>40557</v>
      </c>
      <c r="I310" t="str">
        <f>"113036C"</f>
        <v>113036C</v>
      </c>
      <c r="J310" t="str">
        <f t="shared" si="114"/>
        <v>N076383E</v>
      </c>
      <c r="K310" t="str">
        <f t="shared" si="115"/>
        <v>INEI</v>
      </c>
      <c r="L310" t="s">
        <v>140</v>
      </c>
      <c r="M310">
        <v>560.77</v>
      </c>
    </row>
    <row r="311" spans="1:13" x14ac:dyDescent="0.25">
      <c r="A311" t="str">
        <f t="shared" si="111"/>
        <v>E166</v>
      </c>
      <c r="B311">
        <v>1</v>
      </c>
      <c r="C311" t="str">
        <f t="shared" si="109"/>
        <v>43000</v>
      </c>
      <c r="D311" t="str">
        <f t="shared" si="110"/>
        <v>5740</v>
      </c>
      <c r="E311" t="str">
        <f t="shared" si="112"/>
        <v>850LOS</v>
      </c>
      <c r="F311" t="str">
        <f t="shared" si="113"/>
        <v>PKOLOT</v>
      </c>
      <c r="G311" t="str">
        <f>""</f>
        <v/>
      </c>
      <c r="H311" s="1">
        <v>40571</v>
      </c>
      <c r="I311" t="str">
        <f>"113115B"</f>
        <v>113115B</v>
      </c>
      <c r="J311" t="str">
        <f t="shared" si="114"/>
        <v>N076383E</v>
      </c>
      <c r="K311" t="str">
        <f t="shared" si="115"/>
        <v>INEI</v>
      </c>
      <c r="L311" t="s">
        <v>140</v>
      </c>
      <c r="M311">
        <v>306.5</v>
      </c>
    </row>
    <row r="312" spans="1:13" x14ac:dyDescent="0.25">
      <c r="A312" t="str">
        <f t="shared" si="111"/>
        <v>E166</v>
      </c>
      <c r="B312">
        <v>1</v>
      </c>
      <c r="C312" t="str">
        <f t="shared" si="109"/>
        <v>43000</v>
      </c>
      <c r="D312" t="str">
        <f t="shared" si="110"/>
        <v>5740</v>
      </c>
      <c r="E312" t="str">
        <f t="shared" si="112"/>
        <v>850LOS</v>
      </c>
      <c r="F312" t="str">
        <f t="shared" si="113"/>
        <v>PKOLOT</v>
      </c>
      <c r="G312" t="str">
        <f>""</f>
        <v/>
      </c>
      <c r="H312" s="1">
        <v>40571</v>
      </c>
      <c r="I312" t="str">
        <f>"113208A"</f>
        <v>113208A</v>
      </c>
      <c r="J312" t="str">
        <f t="shared" si="114"/>
        <v>N076383E</v>
      </c>
      <c r="K312" t="str">
        <f t="shared" si="115"/>
        <v>INEI</v>
      </c>
      <c r="L312" t="s">
        <v>140</v>
      </c>
      <c r="M312">
        <v>528.94000000000005</v>
      </c>
    </row>
    <row r="313" spans="1:13" x14ac:dyDescent="0.25">
      <c r="A313" t="str">
        <f t="shared" si="111"/>
        <v>E166</v>
      </c>
      <c r="B313">
        <v>1</v>
      </c>
      <c r="C313" t="str">
        <f t="shared" si="109"/>
        <v>43000</v>
      </c>
      <c r="D313" t="str">
        <f t="shared" si="110"/>
        <v>5740</v>
      </c>
      <c r="E313" t="str">
        <f t="shared" si="112"/>
        <v>850LOS</v>
      </c>
      <c r="F313" t="str">
        <f t="shared" si="113"/>
        <v>PKOLOT</v>
      </c>
      <c r="G313" t="str">
        <f>""</f>
        <v/>
      </c>
      <c r="H313" s="1">
        <v>40626</v>
      </c>
      <c r="I313" t="str">
        <f>"114101A"</f>
        <v>114101A</v>
      </c>
      <c r="J313" t="str">
        <f t="shared" si="114"/>
        <v>N076383E</v>
      </c>
      <c r="K313" t="str">
        <f t="shared" si="115"/>
        <v>INEI</v>
      </c>
      <c r="L313" t="s">
        <v>140</v>
      </c>
      <c r="M313">
        <v>306.5</v>
      </c>
    </row>
    <row r="314" spans="1:13" x14ac:dyDescent="0.25">
      <c r="A314" t="str">
        <f t="shared" si="111"/>
        <v>E166</v>
      </c>
      <c r="B314">
        <v>1</v>
      </c>
      <c r="C314" t="str">
        <f t="shared" si="109"/>
        <v>43000</v>
      </c>
      <c r="D314" t="str">
        <f t="shared" si="110"/>
        <v>5740</v>
      </c>
      <c r="E314" t="str">
        <f t="shared" si="112"/>
        <v>850LOS</v>
      </c>
      <c r="F314" t="str">
        <f t="shared" si="113"/>
        <v>PKOLOT</v>
      </c>
      <c r="G314" t="str">
        <f>""</f>
        <v/>
      </c>
      <c r="H314" s="1">
        <v>40626</v>
      </c>
      <c r="I314" t="str">
        <f>"114247A"</f>
        <v>114247A</v>
      </c>
      <c r="J314" t="str">
        <f t="shared" si="114"/>
        <v>N076383E</v>
      </c>
      <c r="K314" t="str">
        <f t="shared" si="115"/>
        <v>INEI</v>
      </c>
      <c r="L314" t="s">
        <v>140</v>
      </c>
      <c r="M314">
        <v>528.94000000000005</v>
      </c>
    </row>
    <row r="315" spans="1:13" x14ac:dyDescent="0.25">
      <c r="A315" t="str">
        <f t="shared" si="111"/>
        <v>E166</v>
      </c>
      <c r="B315">
        <v>1</v>
      </c>
      <c r="C315" t="str">
        <f t="shared" si="109"/>
        <v>43000</v>
      </c>
      <c r="D315" t="str">
        <f t="shared" si="110"/>
        <v>5740</v>
      </c>
      <c r="E315" t="str">
        <f t="shared" si="112"/>
        <v>850LOS</v>
      </c>
      <c r="F315" t="str">
        <f t="shared" si="113"/>
        <v>PKOLOT</v>
      </c>
      <c r="G315" t="str">
        <f>""</f>
        <v/>
      </c>
      <c r="H315" s="1">
        <v>40667</v>
      </c>
      <c r="I315" t="str">
        <f>"114963"</f>
        <v>114963</v>
      </c>
      <c r="J315" t="str">
        <f t="shared" si="114"/>
        <v>N076383E</v>
      </c>
      <c r="K315" t="str">
        <f t="shared" si="115"/>
        <v>INEI</v>
      </c>
      <c r="L315" t="s">
        <v>140</v>
      </c>
      <c r="M315">
        <v>529.91</v>
      </c>
    </row>
    <row r="316" spans="1:13" x14ac:dyDescent="0.25">
      <c r="A316" t="str">
        <f t="shared" si="111"/>
        <v>E166</v>
      </c>
      <c r="B316">
        <v>1</v>
      </c>
      <c r="C316" t="str">
        <f t="shared" si="109"/>
        <v>43000</v>
      </c>
      <c r="D316" t="str">
        <f t="shared" si="110"/>
        <v>5740</v>
      </c>
      <c r="E316" t="str">
        <f t="shared" si="112"/>
        <v>850LOS</v>
      </c>
      <c r="F316" t="str">
        <f t="shared" si="113"/>
        <v>PKOLOT</v>
      </c>
      <c r="G316" t="str">
        <f>""</f>
        <v/>
      </c>
      <c r="H316" s="1">
        <v>40696</v>
      </c>
      <c r="I316" t="str">
        <f>"116101"</f>
        <v>116101</v>
      </c>
      <c r="J316" t="str">
        <f t="shared" si="114"/>
        <v>N076383E</v>
      </c>
      <c r="K316" t="str">
        <f t="shared" si="115"/>
        <v>INEI</v>
      </c>
      <c r="L316" t="s">
        <v>140</v>
      </c>
      <c r="M316">
        <v>529.91</v>
      </c>
    </row>
    <row r="317" spans="1:13" x14ac:dyDescent="0.25">
      <c r="A317" t="str">
        <f t="shared" si="111"/>
        <v>E166</v>
      </c>
      <c r="B317">
        <v>1</v>
      </c>
      <c r="C317" t="str">
        <f t="shared" si="109"/>
        <v>43000</v>
      </c>
      <c r="D317" t="str">
        <f t="shared" si="110"/>
        <v>5740</v>
      </c>
      <c r="E317" t="str">
        <f t="shared" si="112"/>
        <v>850LOS</v>
      </c>
      <c r="F317" t="str">
        <f>""</f>
        <v/>
      </c>
      <c r="G317" t="str">
        <f>""</f>
        <v/>
      </c>
      <c r="H317" s="1">
        <v>40724</v>
      </c>
      <c r="I317" t="str">
        <f>"ACG02103"</f>
        <v>ACG02103</v>
      </c>
      <c r="J317" t="str">
        <f>"117582"</f>
        <v>117582</v>
      </c>
      <c r="K317" t="str">
        <f>"ZZ89"</f>
        <v>ZZ89</v>
      </c>
      <c r="L317" t="s">
        <v>1542</v>
      </c>
      <c r="M317" s="2">
        <v>1059.83</v>
      </c>
    </row>
    <row r="318" spans="1:13" x14ac:dyDescent="0.25">
      <c r="A318" t="str">
        <f t="shared" ref="A318:A322" si="116">"E171"</f>
        <v>E171</v>
      </c>
      <c r="B318">
        <v>1</v>
      </c>
      <c r="C318" t="str">
        <f>"32040"</f>
        <v>32040</v>
      </c>
      <c r="D318" t="str">
        <f>"5610"</f>
        <v>5610</v>
      </c>
      <c r="E318" t="str">
        <f>"850LOS"</f>
        <v>850LOS</v>
      </c>
      <c r="F318" t="str">
        <f>""</f>
        <v/>
      </c>
      <c r="G318" t="str">
        <f>""</f>
        <v/>
      </c>
      <c r="H318" s="1">
        <v>40543</v>
      </c>
      <c r="I318" t="str">
        <f>"PRT00302"</f>
        <v>PRT00302</v>
      </c>
      <c r="J318" t="str">
        <f>"555300"</f>
        <v>555300</v>
      </c>
      <c r="K318" t="str">
        <f t="shared" ref="K318:K322" si="117">"PR01"</f>
        <v>PR01</v>
      </c>
      <c r="L318" t="s">
        <v>1580</v>
      </c>
      <c r="M318">
        <v>613.91</v>
      </c>
    </row>
    <row r="319" spans="1:13" x14ac:dyDescent="0.25">
      <c r="A319" t="str">
        <f t="shared" si="116"/>
        <v>E171</v>
      </c>
      <c r="B319">
        <v>1</v>
      </c>
      <c r="C319" t="str">
        <f t="shared" ref="C319:C322" si="118">"43000"</f>
        <v>43000</v>
      </c>
      <c r="D319" t="str">
        <f t="shared" ref="D319:D322" si="119">"5740"</f>
        <v>5740</v>
      </c>
      <c r="E319" t="str">
        <f>"850LOS"</f>
        <v>850LOS</v>
      </c>
      <c r="F319" t="str">
        <f>""</f>
        <v/>
      </c>
      <c r="G319" t="str">
        <f>""</f>
        <v/>
      </c>
      <c r="H319" s="1">
        <v>40451</v>
      </c>
      <c r="I319" t="str">
        <f>"PRT00299"</f>
        <v>PRT00299</v>
      </c>
      <c r="J319" t="str">
        <f>"524848"</f>
        <v>524848</v>
      </c>
      <c r="K319" t="str">
        <f t="shared" si="117"/>
        <v>PR01</v>
      </c>
      <c r="L319" t="s">
        <v>1340</v>
      </c>
      <c r="M319">
        <v>842.56</v>
      </c>
    </row>
    <row r="320" spans="1:13" x14ac:dyDescent="0.25">
      <c r="A320" t="str">
        <f t="shared" si="116"/>
        <v>E171</v>
      </c>
      <c r="B320">
        <v>1</v>
      </c>
      <c r="C320" t="str">
        <f t="shared" si="118"/>
        <v>43000</v>
      </c>
      <c r="D320" t="str">
        <f t="shared" si="119"/>
        <v>5740</v>
      </c>
      <c r="E320" t="str">
        <f>"850LOS"</f>
        <v>850LOS</v>
      </c>
      <c r="F320" t="str">
        <f>""</f>
        <v/>
      </c>
      <c r="G320" t="str">
        <f>""</f>
        <v/>
      </c>
      <c r="H320" s="1">
        <v>40694</v>
      </c>
      <c r="I320" t="str">
        <f>"PRT00311"</f>
        <v>PRT00311</v>
      </c>
      <c r="J320" t="str">
        <f>"586257"</f>
        <v>586257</v>
      </c>
      <c r="K320" t="str">
        <f t="shared" si="117"/>
        <v>PR01</v>
      </c>
      <c r="L320" t="s">
        <v>1579</v>
      </c>
      <c r="M320">
        <v>656.17</v>
      </c>
    </row>
    <row r="321" spans="1:13" x14ac:dyDescent="0.25">
      <c r="A321" t="str">
        <f t="shared" si="116"/>
        <v>E171</v>
      </c>
      <c r="B321">
        <v>1</v>
      </c>
      <c r="C321" t="str">
        <f t="shared" si="118"/>
        <v>43000</v>
      </c>
      <c r="D321" t="str">
        <f t="shared" si="119"/>
        <v>5740</v>
      </c>
      <c r="E321" t="str">
        <f>"850PKE"</f>
        <v>850PKE</v>
      </c>
      <c r="F321" t="str">
        <f>""</f>
        <v/>
      </c>
      <c r="G321" t="str">
        <f>""</f>
        <v/>
      </c>
      <c r="H321" s="1">
        <v>40512</v>
      </c>
      <c r="I321" t="str">
        <f>"PRT00301"</f>
        <v>PRT00301</v>
      </c>
      <c r="J321" t="str">
        <f>"532628"</f>
        <v>532628</v>
      </c>
      <c r="K321" t="str">
        <f t="shared" si="117"/>
        <v>PR01</v>
      </c>
      <c r="L321" t="s">
        <v>1578</v>
      </c>
      <c r="M321">
        <v>343.59</v>
      </c>
    </row>
    <row r="322" spans="1:13" x14ac:dyDescent="0.25">
      <c r="A322" t="str">
        <f t="shared" si="116"/>
        <v>E171</v>
      </c>
      <c r="B322">
        <v>1</v>
      </c>
      <c r="C322" t="str">
        <f t="shared" si="118"/>
        <v>43000</v>
      </c>
      <c r="D322" t="str">
        <f t="shared" si="119"/>
        <v>5740</v>
      </c>
      <c r="E322" t="str">
        <f>"850PKE"</f>
        <v>850PKE</v>
      </c>
      <c r="F322" t="str">
        <f>""</f>
        <v/>
      </c>
      <c r="G322" t="str">
        <f>""</f>
        <v/>
      </c>
      <c r="H322" s="1">
        <v>40543</v>
      </c>
      <c r="I322" t="str">
        <f>"PRT00302"</f>
        <v>PRT00302</v>
      </c>
      <c r="J322" t="str">
        <f>"553886"</f>
        <v>553886</v>
      </c>
      <c r="K322" t="str">
        <f t="shared" si="117"/>
        <v>PR01</v>
      </c>
      <c r="L322" t="s">
        <v>1577</v>
      </c>
      <c r="M322">
        <v>210.58</v>
      </c>
    </row>
    <row r="323" spans="1:13" x14ac:dyDescent="0.25">
      <c r="A323" t="str">
        <f t="shared" ref="A323:A333" si="120">"E172"</f>
        <v>E172</v>
      </c>
      <c r="B323">
        <v>1</v>
      </c>
      <c r="C323" t="str">
        <f>"10200"</f>
        <v>10200</v>
      </c>
      <c r="D323" t="str">
        <f>"5620"</f>
        <v>5620</v>
      </c>
      <c r="E323" t="str">
        <f>"094OMS"</f>
        <v>094OMS</v>
      </c>
      <c r="F323" t="str">
        <f>""</f>
        <v/>
      </c>
      <c r="G323" t="str">
        <f>""</f>
        <v/>
      </c>
      <c r="H323" s="1">
        <v>40388</v>
      </c>
      <c r="I323" t="str">
        <f>"COP00240"</f>
        <v>COP00240</v>
      </c>
      <c r="J323" t="str">
        <f t="shared" ref="J323:J333" si="121">"JOB ORDR"</f>
        <v>JOB ORDR</v>
      </c>
      <c r="K323" t="str">
        <f t="shared" ref="K323:K345" si="122">"AS89"</f>
        <v>AS89</v>
      </c>
      <c r="L323" t="s">
        <v>1576</v>
      </c>
      <c r="M323">
        <v>125.52</v>
      </c>
    </row>
    <row r="324" spans="1:13" x14ac:dyDescent="0.25">
      <c r="A324" t="str">
        <f t="shared" si="120"/>
        <v>E172</v>
      </c>
      <c r="B324">
        <v>1</v>
      </c>
      <c r="C324" t="str">
        <f t="shared" ref="C324:C332" si="123">"43000"</f>
        <v>43000</v>
      </c>
      <c r="D324" t="str">
        <f t="shared" ref="D324:D333" si="124">"5740"</f>
        <v>5740</v>
      </c>
      <c r="E324" t="str">
        <f t="shared" ref="E324:E331" si="125">"850LOS"</f>
        <v>850LOS</v>
      </c>
      <c r="F324" t="str">
        <f>""</f>
        <v/>
      </c>
      <c r="G324" t="str">
        <f>""</f>
        <v/>
      </c>
      <c r="H324" s="1">
        <v>40416</v>
      </c>
      <c r="I324" t="str">
        <f>"COP00241"</f>
        <v>COP00241</v>
      </c>
      <c r="J324" t="str">
        <f t="shared" si="121"/>
        <v>JOB ORDR</v>
      </c>
      <c r="K324" t="str">
        <f t="shared" si="122"/>
        <v>AS89</v>
      </c>
      <c r="L324" t="s">
        <v>1575</v>
      </c>
      <c r="M324">
        <v>496.41</v>
      </c>
    </row>
    <row r="325" spans="1:13" x14ac:dyDescent="0.25">
      <c r="A325" t="str">
        <f t="shared" si="120"/>
        <v>E172</v>
      </c>
      <c r="B325">
        <v>1</v>
      </c>
      <c r="C325" t="str">
        <f t="shared" si="123"/>
        <v>43000</v>
      </c>
      <c r="D325" t="str">
        <f t="shared" si="124"/>
        <v>5740</v>
      </c>
      <c r="E325" t="str">
        <f t="shared" si="125"/>
        <v>850LOS</v>
      </c>
      <c r="F325" t="str">
        <f>""</f>
        <v/>
      </c>
      <c r="G325" t="str">
        <f>""</f>
        <v/>
      </c>
      <c r="H325" s="1">
        <v>40450</v>
      </c>
      <c r="I325" t="str">
        <f>"COP00242"</f>
        <v>COP00242</v>
      </c>
      <c r="J325" t="str">
        <f t="shared" si="121"/>
        <v>JOB ORDR</v>
      </c>
      <c r="K325" t="str">
        <f t="shared" si="122"/>
        <v>AS89</v>
      </c>
      <c r="L325" t="s">
        <v>1574</v>
      </c>
      <c r="M325" s="2">
        <v>1735.33</v>
      </c>
    </row>
    <row r="326" spans="1:13" x14ac:dyDescent="0.25">
      <c r="A326" t="str">
        <f t="shared" si="120"/>
        <v>E172</v>
      </c>
      <c r="B326">
        <v>1</v>
      </c>
      <c r="C326" t="str">
        <f t="shared" si="123"/>
        <v>43000</v>
      </c>
      <c r="D326" t="str">
        <f t="shared" si="124"/>
        <v>5740</v>
      </c>
      <c r="E326" t="str">
        <f t="shared" si="125"/>
        <v>850LOS</v>
      </c>
      <c r="F326" t="str">
        <f>""</f>
        <v/>
      </c>
      <c r="G326" t="str">
        <f>""</f>
        <v/>
      </c>
      <c r="H326" s="1">
        <v>40480</v>
      </c>
      <c r="I326" t="str">
        <f>"COP00243"</f>
        <v>COP00243</v>
      </c>
      <c r="J326" t="str">
        <f t="shared" si="121"/>
        <v>JOB ORDR</v>
      </c>
      <c r="K326" t="str">
        <f t="shared" si="122"/>
        <v>AS89</v>
      </c>
      <c r="L326" t="s">
        <v>1573</v>
      </c>
      <c r="M326">
        <v>286.14999999999998</v>
      </c>
    </row>
    <row r="327" spans="1:13" x14ac:dyDescent="0.25">
      <c r="A327" t="str">
        <f t="shared" si="120"/>
        <v>E172</v>
      </c>
      <c r="B327">
        <v>1</v>
      </c>
      <c r="C327" t="str">
        <f t="shared" si="123"/>
        <v>43000</v>
      </c>
      <c r="D327" t="str">
        <f t="shared" si="124"/>
        <v>5740</v>
      </c>
      <c r="E327" t="str">
        <f t="shared" si="125"/>
        <v>850LOS</v>
      </c>
      <c r="F327" t="str">
        <f>""</f>
        <v/>
      </c>
      <c r="G327" t="str">
        <f>""</f>
        <v/>
      </c>
      <c r="H327" s="1">
        <v>40512</v>
      </c>
      <c r="I327" t="str">
        <f>"COP00244"</f>
        <v>COP00244</v>
      </c>
      <c r="J327" t="str">
        <f t="shared" si="121"/>
        <v>JOB ORDR</v>
      </c>
      <c r="K327" t="str">
        <f t="shared" si="122"/>
        <v>AS89</v>
      </c>
      <c r="L327" t="s">
        <v>1566</v>
      </c>
      <c r="M327">
        <v>275.62</v>
      </c>
    </row>
    <row r="328" spans="1:13" x14ac:dyDescent="0.25">
      <c r="A328" t="str">
        <f t="shared" si="120"/>
        <v>E172</v>
      </c>
      <c r="B328">
        <v>1</v>
      </c>
      <c r="C328" t="str">
        <f t="shared" si="123"/>
        <v>43000</v>
      </c>
      <c r="D328" t="str">
        <f t="shared" si="124"/>
        <v>5740</v>
      </c>
      <c r="E328" t="str">
        <f t="shared" si="125"/>
        <v>850LOS</v>
      </c>
      <c r="F328" t="str">
        <f>""</f>
        <v/>
      </c>
      <c r="G328" t="str">
        <f>""</f>
        <v/>
      </c>
      <c r="H328" s="1">
        <v>40541</v>
      </c>
      <c r="I328" t="str">
        <f>"COP00245"</f>
        <v>COP00245</v>
      </c>
      <c r="J328" t="str">
        <f t="shared" si="121"/>
        <v>JOB ORDR</v>
      </c>
      <c r="K328" t="str">
        <f t="shared" si="122"/>
        <v>AS89</v>
      </c>
      <c r="L328" t="s">
        <v>1570</v>
      </c>
      <c r="M328">
        <v>232.4</v>
      </c>
    </row>
    <row r="329" spans="1:13" x14ac:dyDescent="0.25">
      <c r="A329" t="str">
        <f t="shared" si="120"/>
        <v>E172</v>
      </c>
      <c r="B329">
        <v>1</v>
      </c>
      <c r="C329" t="str">
        <f t="shared" si="123"/>
        <v>43000</v>
      </c>
      <c r="D329" t="str">
        <f t="shared" si="124"/>
        <v>5740</v>
      </c>
      <c r="E329" t="str">
        <f t="shared" si="125"/>
        <v>850LOS</v>
      </c>
      <c r="F329" t="str">
        <f>""</f>
        <v/>
      </c>
      <c r="G329" t="str">
        <f>""</f>
        <v/>
      </c>
      <c r="H329" s="1">
        <v>40570</v>
      </c>
      <c r="I329" t="str">
        <f>"COP00246"</f>
        <v>COP00246</v>
      </c>
      <c r="J329" t="str">
        <f t="shared" si="121"/>
        <v>JOB ORDR</v>
      </c>
      <c r="K329" t="str">
        <f t="shared" si="122"/>
        <v>AS89</v>
      </c>
      <c r="L329" t="s">
        <v>1572</v>
      </c>
      <c r="M329">
        <v>117.5</v>
      </c>
    </row>
    <row r="330" spans="1:13" x14ac:dyDescent="0.25">
      <c r="A330" t="str">
        <f t="shared" si="120"/>
        <v>E172</v>
      </c>
      <c r="B330">
        <v>1</v>
      </c>
      <c r="C330" t="str">
        <f t="shared" si="123"/>
        <v>43000</v>
      </c>
      <c r="D330" t="str">
        <f t="shared" si="124"/>
        <v>5740</v>
      </c>
      <c r="E330" t="str">
        <f t="shared" si="125"/>
        <v>850LOS</v>
      </c>
      <c r="F330" t="str">
        <f>""</f>
        <v/>
      </c>
      <c r="G330" t="str">
        <f>""</f>
        <v/>
      </c>
      <c r="H330" s="1">
        <v>40661</v>
      </c>
      <c r="I330" t="str">
        <f>"COP00249"</f>
        <v>COP00249</v>
      </c>
      <c r="J330" t="str">
        <f t="shared" si="121"/>
        <v>JOB ORDR</v>
      </c>
      <c r="K330" t="str">
        <f t="shared" si="122"/>
        <v>AS89</v>
      </c>
      <c r="L330" t="s">
        <v>1571</v>
      </c>
      <c r="M330">
        <v>395.15</v>
      </c>
    </row>
    <row r="331" spans="1:13" x14ac:dyDescent="0.25">
      <c r="A331" t="str">
        <f t="shared" si="120"/>
        <v>E172</v>
      </c>
      <c r="B331">
        <v>1</v>
      </c>
      <c r="C331" t="str">
        <f t="shared" si="123"/>
        <v>43000</v>
      </c>
      <c r="D331" t="str">
        <f t="shared" si="124"/>
        <v>5740</v>
      </c>
      <c r="E331" t="str">
        <f t="shared" si="125"/>
        <v>850LOS</v>
      </c>
      <c r="F331" t="str">
        <f>""</f>
        <v/>
      </c>
      <c r="G331" t="str">
        <f>""</f>
        <v/>
      </c>
      <c r="H331" s="1">
        <v>40694</v>
      </c>
      <c r="I331" t="str">
        <f>"COP00250"</f>
        <v>COP00250</v>
      </c>
      <c r="J331" t="str">
        <f t="shared" si="121"/>
        <v>JOB ORDR</v>
      </c>
      <c r="K331" t="str">
        <f t="shared" si="122"/>
        <v>AS89</v>
      </c>
      <c r="L331" t="s">
        <v>1560</v>
      </c>
      <c r="M331">
        <v>380.87</v>
      </c>
    </row>
    <row r="332" spans="1:13" x14ac:dyDescent="0.25">
      <c r="A332" t="str">
        <f t="shared" si="120"/>
        <v>E172</v>
      </c>
      <c r="B332">
        <v>1</v>
      </c>
      <c r="C332" t="str">
        <f t="shared" si="123"/>
        <v>43000</v>
      </c>
      <c r="D332" t="str">
        <f t="shared" si="124"/>
        <v>5740</v>
      </c>
      <c r="E332" t="str">
        <f>"850PKE"</f>
        <v>850PKE</v>
      </c>
      <c r="F332" t="str">
        <f>""</f>
        <v/>
      </c>
      <c r="G332" t="str">
        <f>""</f>
        <v/>
      </c>
      <c r="H332" s="1">
        <v>40541</v>
      </c>
      <c r="I332" t="str">
        <f>"COP00245"</f>
        <v>COP00245</v>
      </c>
      <c r="J332" t="str">
        <f t="shared" si="121"/>
        <v>JOB ORDR</v>
      </c>
      <c r="K332" t="str">
        <f t="shared" si="122"/>
        <v>AS89</v>
      </c>
      <c r="L332" t="s">
        <v>1570</v>
      </c>
      <c r="M332">
        <v>192.65</v>
      </c>
    </row>
    <row r="333" spans="1:13" x14ac:dyDescent="0.25">
      <c r="A333" t="str">
        <f t="shared" si="120"/>
        <v>E172</v>
      </c>
      <c r="B333">
        <v>1</v>
      </c>
      <c r="C333" t="str">
        <f>"43007"</f>
        <v>43007</v>
      </c>
      <c r="D333" t="str">
        <f t="shared" si="124"/>
        <v>5740</v>
      </c>
      <c r="E333" t="str">
        <f>"850GAR"</f>
        <v>850GAR</v>
      </c>
      <c r="F333" t="str">
        <f>""</f>
        <v/>
      </c>
      <c r="G333" t="str">
        <f>""</f>
        <v/>
      </c>
      <c r="H333" s="1">
        <v>40512</v>
      </c>
      <c r="I333" t="str">
        <f>"COP00244"</f>
        <v>COP00244</v>
      </c>
      <c r="J333" t="str">
        <f t="shared" si="121"/>
        <v>JOB ORDR</v>
      </c>
      <c r="K333" t="str">
        <f t="shared" si="122"/>
        <v>AS89</v>
      </c>
      <c r="L333" t="s">
        <v>1566</v>
      </c>
      <c r="M333">
        <v>310.08</v>
      </c>
    </row>
    <row r="334" spans="1:13" x14ac:dyDescent="0.25">
      <c r="A334" t="str">
        <f t="shared" ref="A334:A345" si="126">"E173"</f>
        <v>E173</v>
      </c>
      <c r="B334">
        <v>1</v>
      </c>
      <c r="C334" t="str">
        <f t="shared" ref="C334" si="127">"10200"</f>
        <v>10200</v>
      </c>
      <c r="D334" t="str">
        <f t="shared" ref="D334" si="128">"5620"</f>
        <v>5620</v>
      </c>
      <c r="E334" t="str">
        <f t="shared" ref="E334" si="129">"094OMS"</f>
        <v>094OMS</v>
      </c>
      <c r="F334" t="str">
        <f>""</f>
        <v/>
      </c>
      <c r="G334" t="str">
        <f>""</f>
        <v/>
      </c>
      <c r="H334" s="1">
        <v>40602</v>
      </c>
      <c r="I334" t="str">
        <f>"CSS00125"</f>
        <v>CSS00125</v>
      </c>
      <c r="J334" t="str">
        <f t="shared" ref="J334:J345" si="130">"AUDITRON"</f>
        <v>AUDITRON</v>
      </c>
      <c r="K334" t="str">
        <f t="shared" si="122"/>
        <v>AS89</v>
      </c>
      <c r="L334" t="s">
        <v>1563</v>
      </c>
      <c r="M334">
        <v>104.82</v>
      </c>
    </row>
    <row r="335" spans="1:13" x14ac:dyDescent="0.25">
      <c r="A335" t="str">
        <f t="shared" si="126"/>
        <v>E173</v>
      </c>
      <c r="B335">
        <v>1</v>
      </c>
      <c r="C335" t="str">
        <f t="shared" ref="C335:C345" si="131">"43000"</f>
        <v>43000</v>
      </c>
      <c r="D335" t="str">
        <f t="shared" ref="D335:D345" si="132">"5740"</f>
        <v>5740</v>
      </c>
      <c r="E335" t="str">
        <f t="shared" ref="E335:E345" si="133">"850LOS"</f>
        <v>850LOS</v>
      </c>
      <c r="F335" t="str">
        <f>""</f>
        <v/>
      </c>
      <c r="G335" t="str">
        <f>""</f>
        <v/>
      </c>
      <c r="H335" s="1">
        <v>40417</v>
      </c>
      <c r="I335" t="str">
        <f>"CSS00119"</f>
        <v>CSS00119</v>
      </c>
      <c r="J335" t="str">
        <f t="shared" si="130"/>
        <v>AUDITRON</v>
      </c>
      <c r="K335" t="str">
        <f t="shared" si="122"/>
        <v>AS89</v>
      </c>
      <c r="L335" t="s">
        <v>1569</v>
      </c>
      <c r="M335">
        <v>104.55</v>
      </c>
    </row>
    <row r="336" spans="1:13" x14ac:dyDescent="0.25">
      <c r="A336" t="str">
        <f t="shared" si="126"/>
        <v>E173</v>
      </c>
      <c r="B336">
        <v>1</v>
      </c>
      <c r="C336" t="str">
        <f t="shared" si="131"/>
        <v>43000</v>
      </c>
      <c r="D336" t="str">
        <f t="shared" si="132"/>
        <v>5740</v>
      </c>
      <c r="E336" t="str">
        <f t="shared" si="133"/>
        <v>850LOS</v>
      </c>
      <c r="F336" t="str">
        <f>""</f>
        <v/>
      </c>
      <c r="G336" t="str">
        <f>""</f>
        <v/>
      </c>
      <c r="H336" s="1">
        <v>40451</v>
      </c>
      <c r="I336" t="str">
        <f>"CSS00120"</f>
        <v>CSS00120</v>
      </c>
      <c r="J336" t="str">
        <f t="shared" si="130"/>
        <v>AUDITRON</v>
      </c>
      <c r="K336" t="str">
        <f t="shared" si="122"/>
        <v>AS89</v>
      </c>
      <c r="L336" t="s">
        <v>1568</v>
      </c>
      <c r="M336">
        <v>100.4</v>
      </c>
    </row>
    <row r="337" spans="1:13" x14ac:dyDescent="0.25">
      <c r="A337" t="str">
        <f t="shared" si="126"/>
        <v>E173</v>
      </c>
      <c r="B337">
        <v>1</v>
      </c>
      <c r="C337" t="str">
        <f t="shared" si="131"/>
        <v>43000</v>
      </c>
      <c r="D337" t="str">
        <f t="shared" si="132"/>
        <v>5740</v>
      </c>
      <c r="E337" t="str">
        <f t="shared" si="133"/>
        <v>850LOS</v>
      </c>
      <c r="F337" t="str">
        <f>""</f>
        <v/>
      </c>
      <c r="G337" t="str">
        <f>""</f>
        <v/>
      </c>
      <c r="H337" s="1">
        <v>40482</v>
      </c>
      <c r="I337" t="str">
        <f>"CSS00121"</f>
        <v>CSS00121</v>
      </c>
      <c r="J337" t="str">
        <f t="shared" si="130"/>
        <v>AUDITRON</v>
      </c>
      <c r="K337" t="str">
        <f t="shared" si="122"/>
        <v>AS89</v>
      </c>
      <c r="L337" t="s">
        <v>1567</v>
      </c>
      <c r="M337">
        <v>130.80000000000001</v>
      </c>
    </row>
    <row r="338" spans="1:13" x14ac:dyDescent="0.25">
      <c r="A338" t="str">
        <f t="shared" si="126"/>
        <v>E173</v>
      </c>
      <c r="B338">
        <v>1</v>
      </c>
      <c r="C338" t="str">
        <f t="shared" si="131"/>
        <v>43000</v>
      </c>
      <c r="D338" t="str">
        <f t="shared" si="132"/>
        <v>5740</v>
      </c>
      <c r="E338" t="str">
        <f t="shared" si="133"/>
        <v>850LOS</v>
      </c>
      <c r="F338" t="str">
        <f>""</f>
        <v/>
      </c>
      <c r="G338" t="str">
        <f>""</f>
        <v/>
      </c>
      <c r="H338" s="1">
        <v>40512</v>
      </c>
      <c r="I338" t="str">
        <f>"CSS00122"</f>
        <v>CSS00122</v>
      </c>
      <c r="J338" t="str">
        <f t="shared" si="130"/>
        <v>AUDITRON</v>
      </c>
      <c r="K338" t="str">
        <f t="shared" si="122"/>
        <v>AS89</v>
      </c>
      <c r="L338" t="s">
        <v>1566</v>
      </c>
      <c r="M338">
        <v>106.16</v>
      </c>
    </row>
    <row r="339" spans="1:13" x14ac:dyDescent="0.25">
      <c r="A339" t="str">
        <f t="shared" si="126"/>
        <v>E173</v>
      </c>
      <c r="B339">
        <v>1</v>
      </c>
      <c r="C339" t="str">
        <f t="shared" si="131"/>
        <v>43000</v>
      </c>
      <c r="D339" t="str">
        <f t="shared" si="132"/>
        <v>5740</v>
      </c>
      <c r="E339" t="str">
        <f t="shared" si="133"/>
        <v>850LOS</v>
      </c>
      <c r="F339" t="str">
        <f>""</f>
        <v/>
      </c>
      <c r="G339" t="str">
        <f>""</f>
        <v/>
      </c>
      <c r="H339" s="1">
        <v>40542</v>
      </c>
      <c r="I339" t="str">
        <f>"CSS00123"</f>
        <v>CSS00123</v>
      </c>
      <c r="J339" t="str">
        <f t="shared" si="130"/>
        <v>AUDITRON</v>
      </c>
      <c r="K339" t="str">
        <f t="shared" si="122"/>
        <v>AS89</v>
      </c>
      <c r="L339" t="s">
        <v>1565</v>
      </c>
      <c r="M339">
        <v>101.08</v>
      </c>
    </row>
    <row r="340" spans="1:13" x14ac:dyDescent="0.25">
      <c r="A340" t="str">
        <f t="shared" si="126"/>
        <v>E173</v>
      </c>
      <c r="B340">
        <v>1</v>
      </c>
      <c r="C340" t="str">
        <f t="shared" si="131"/>
        <v>43000</v>
      </c>
      <c r="D340" t="str">
        <f t="shared" si="132"/>
        <v>5740</v>
      </c>
      <c r="E340" t="str">
        <f t="shared" si="133"/>
        <v>850LOS</v>
      </c>
      <c r="F340" t="str">
        <f>""</f>
        <v/>
      </c>
      <c r="G340" t="str">
        <f>""</f>
        <v/>
      </c>
      <c r="H340" s="1">
        <v>40574</v>
      </c>
      <c r="I340" t="str">
        <f>"CSS00124"</f>
        <v>CSS00124</v>
      </c>
      <c r="J340" t="str">
        <f t="shared" si="130"/>
        <v>AUDITRON</v>
      </c>
      <c r="K340" t="str">
        <f t="shared" si="122"/>
        <v>AS89</v>
      </c>
      <c r="L340" t="s">
        <v>1564</v>
      </c>
      <c r="M340">
        <v>102.56</v>
      </c>
    </row>
    <row r="341" spans="1:13" x14ac:dyDescent="0.25">
      <c r="A341" t="str">
        <f t="shared" si="126"/>
        <v>E173</v>
      </c>
      <c r="B341">
        <v>1</v>
      </c>
      <c r="C341" t="str">
        <f t="shared" si="131"/>
        <v>43000</v>
      </c>
      <c r="D341" t="str">
        <f t="shared" si="132"/>
        <v>5740</v>
      </c>
      <c r="E341" t="str">
        <f t="shared" si="133"/>
        <v>850LOS</v>
      </c>
      <c r="F341" t="str">
        <f>""</f>
        <v/>
      </c>
      <c r="G341" t="str">
        <f>""</f>
        <v/>
      </c>
      <c r="H341" s="1">
        <v>40602</v>
      </c>
      <c r="I341" t="str">
        <f>"CSS00125"</f>
        <v>CSS00125</v>
      </c>
      <c r="J341" t="str">
        <f t="shared" si="130"/>
        <v>AUDITRON</v>
      </c>
      <c r="K341" t="str">
        <f t="shared" si="122"/>
        <v>AS89</v>
      </c>
      <c r="L341" t="s">
        <v>1563</v>
      </c>
      <c r="M341">
        <v>106.04</v>
      </c>
    </row>
    <row r="342" spans="1:13" x14ac:dyDescent="0.25">
      <c r="A342" t="str">
        <f t="shared" si="126"/>
        <v>E173</v>
      </c>
      <c r="B342">
        <v>1</v>
      </c>
      <c r="C342" t="str">
        <f t="shared" si="131"/>
        <v>43000</v>
      </c>
      <c r="D342" t="str">
        <f t="shared" si="132"/>
        <v>5740</v>
      </c>
      <c r="E342" t="str">
        <f t="shared" si="133"/>
        <v>850LOS</v>
      </c>
      <c r="F342" t="str">
        <f>""</f>
        <v/>
      </c>
      <c r="G342" t="str">
        <f>""</f>
        <v/>
      </c>
      <c r="H342" s="1">
        <v>40633</v>
      </c>
      <c r="I342" t="str">
        <f>"CSS00126"</f>
        <v>CSS00126</v>
      </c>
      <c r="J342" t="str">
        <f t="shared" si="130"/>
        <v>AUDITRON</v>
      </c>
      <c r="K342" t="str">
        <f t="shared" si="122"/>
        <v>AS89</v>
      </c>
      <c r="L342" t="s">
        <v>1562</v>
      </c>
      <c r="M342">
        <v>116.72</v>
      </c>
    </row>
    <row r="343" spans="1:13" x14ac:dyDescent="0.25">
      <c r="A343" t="str">
        <f t="shared" si="126"/>
        <v>E173</v>
      </c>
      <c r="B343">
        <v>1</v>
      </c>
      <c r="C343" t="str">
        <f t="shared" si="131"/>
        <v>43000</v>
      </c>
      <c r="D343" t="str">
        <f t="shared" si="132"/>
        <v>5740</v>
      </c>
      <c r="E343" t="str">
        <f t="shared" si="133"/>
        <v>850LOS</v>
      </c>
      <c r="F343" t="str">
        <f>""</f>
        <v/>
      </c>
      <c r="G343" t="str">
        <f>""</f>
        <v/>
      </c>
      <c r="H343" s="1">
        <v>40662</v>
      </c>
      <c r="I343" t="str">
        <f>"CSS00127"</f>
        <v>CSS00127</v>
      </c>
      <c r="J343" t="str">
        <f t="shared" si="130"/>
        <v>AUDITRON</v>
      </c>
      <c r="K343" t="str">
        <f t="shared" si="122"/>
        <v>AS89</v>
      </c>
      <c r="L343" t="s">
        <v>1561</v>
      </c>
      <c r="M343">
        <v>174.92</v>
      </c>
    </row>
    <row r="344" spans="1:13" x14ac:dyDescent="0.25">
      <c r="A344" t="str">
        <f t="shared" si="126"/>
        <v>E173</v>
      </c>
      <c r="B344">
        <v>1</v>
      </c>
      <c r="C344" t="str">
        <f t="shared" si="131"/>
        <v>43000</v>
      </c>
      <c r="D344" t="str">
        <f t="shared" si="132"/>
        <v>5740</v>
      </c>
      <c r="E344" t="str">
        <f t="shared" si="133"/>
        <v>850LOS</v>
      </c>
      <c r="F344" t="str">
        <f>""</f>
        <v/>
      </c>
      <c r="G344" t="str">
        <f>""</f>
        <v/>
      </c>
      <c r="H344" s="1">
        <v>40694</v>
      </c>
      <c r="I344" t="str">
        <f>"CSS00128"</f>
        <v>CSS00128</v>
      </c>
      <c r="J344" t="str">
        <f t="shared" si="130"/>
        <v>AUDITRON</v>
      </c>
      <c r="K344" t="str">
        <f t="shared" si="122"/>
        <v>AS89</v>
      </c>
      <c r="L344" t="s">
        <v>1560</v>
      </c>
      <c r="M344">
        <v>123.6</v>
      </c>
    </row>
    <row r="345" spans="1:13" x14ac:dyDescent="0.25">
      <c r="A345" t="str">
        <f t="shared" si="126"/>
        <v>E173</v>
      </c>
      <c r="B345">
        <v>1</v>
      </c>
      <c r="C345" t="str">
        <f t="shared" si="131"/>
        <v>43000</v>
      </c>
      <c r="D345" t="str">
        <f t="shared" si="132"/>
        <v>5740</v>
      </c>
      <c r="E345" t="str">
        <f t="shared" si="133"/>
        <v>850LOS</v>
      </c>
      <c r="F345" t="str">
        <f>""</f>
        <v/>
      </c>
      <c r="G345" t="str">
        <f>""</f>
        <v/>
      </c>
      <c r="H345" s="1">
        <v>40724</v>
      </c>
      <c r="I345" t="str">
        <f>"CSS00129"</f>
        <v>CSS00129</v>
      </c>
      <c r="J345" t="str">
        <f t="shared" si="130"/>
        <v>AUDITRON</v>
      </c>
      <c r="K345" t="str">
        <f t="shared" si="122"/>
        <v>AS89</v>
      </c>
      <c r="L345" t="s">
        <v>1559</v>
      </c>
      <c r="M345">
        <v>118.16</v>
      </c>
    </row>
    <row r="346" spans="1:13" x14ac:dyDescent="0.25">
      <c r="A346" t="str">
        <f t="shared" ref="A346:A349" si="134">"E190"</f>
        <v>E190</v>
      </c>
      <c r="B346">
        <v>1</v>
      </c>
      <c r="C346" t="str">
        <f>"10200"</f>
        <v>10200</v>
      </c>
      <c r="D346" t="str">
        <f>"5620"</f>
        <v>5620</v>
      </c>
      <c r="E346" t="str">
        <f>"094OMS"</f>
        <v>094OMS</v>
      </c>
      <c r="F346" t="str">
        <f>""</f>
        <v/>
      </c>
      <c r="G346" t="str">
        <f>""</f>
        <v/>
      </c>
      <c r="H346" s="1">
        <v>40662</v>
      </c>
      <c r="I346" t="str">
        <f>"PCD00479"</f>
        <v>PCD00479</v>
      </c>
      <c r="J346" t="str">
        <f>"142305"</f>
        <v>142305</v>
      </c>
      <c r="K346" t="str">
        <f>"AS89"</f>
        <v>AS89</v>
      </c>
      <c r="L346" t="s">
        <v>1558</v>
      </c>
      <c r="M346">
        <v>150</v>
      </c>
    </row>
    <row r="347" spans="1:13" x14ac:dyDescent="0.25">
      <c r="A347" t="str">
        <f t="shared" si="134"/>
        <v>E190</v>
      </c>
      <c r="B347">
        <v>1</v>
      </c>
      <c r="C347" t="str">
        <f>"10200"</f>
        <v>10200</v>
      </c>
      <c r="D347" t="str">
        <f>"5620"</f>
        <v>5620</v>
      </c>
      <c r="E347" t="str">
        <f>"094OMS"</f>
        <v>094OMS</v>
      </c>
      <c r="F347" t="str">
        <f>""</f>
        <v/>
      </c>
      <c r="G347" t="str">
        <f>""</f>
        <v/>
      </c>
      <c r="H347" s="1">
        <v>40683</v>
      </c>
      <c r="I347" t="str">
        <f>"V90306"</f>
        <v>V90306</v>
      </c>
      <c r="J347" t="str">
        <f>""</f>
        <v/>
      </c>
      <c r="K347" t="str">
        <f>"INNI"</f>
        <v>INNI</v>
      </c>
      <c r="L347" t="s">
        <v>478</v>
      </c>
      <c r="M347">
        <v>174</v>
      </c>
    </row>
    <row r="348" spans="1:13" x14ac:dyDescent="0.25">
      <c r="A348" t="str">
        <f t="shared" si="134"/>
        <v>E190</v>
      </c>
      <c r="B348">
        <v>1</v>
      </c>
      <c r="C348" t="str">
        <f t="shared" ref="C348:C349" si="135">"43000"</f>
        <v>43000</v>
      </c>
      <c r="D348" t="str">
        <f t="shared" ref="D348:D349" si="136">"5740"</f>
        <v>5740</v>
      </c>
      <c r="E348" t="str">
        <f t="shared" ref="E348:E349" si="137">"850LOS"</f>
        <v>850LOS</v>
      </c>
      <c r="F348" t="str">
        <f>""</f>
        <v/>
      </c>
      <c r="G348" t="str">
        <f>""</f>
        <v/>
      </c>
      <c r="H348" s="1">
        <v>40390</v>
      </c>
      <c r="I348" t="str">
        <f>"PCD00433"</f>
        <v>PCD00433</v>
      </c>
      <c r="J348" t="str">
        <f>"126152"</f>
        <v>126152</v>
      </c>
      <c r="K348" t="str">
        <f>"AS89"</f>
        <v>AS89</v>
      </c>
      <c r="L348" t="s">
        <v>1557</v>
      </c>
      <c r="M348">
        <v>188.19</v>
      </c>
    </row>
    <row r="349" spans="1:13" x14ac:dyDescent="0.25">
      <c r="A349" t="str">
        <f t="shared" si="134"/>
        <v>E190</v>
      </c>
      <c r="B349">
        <v>1</v>
      </c>
      <c r="C349" t="str">
        <f t="shared" si="135"/>
        <v>43000</v>
      </c>
      <c r="D349" t="str">
        <f t="shared" si="136"/>
        <v>5740</v>
      </c>
      <c r="E349" t="str">
        <f t="shared" si="137"/>
        <v>850LOS</v>
      </c>
      <c r="F349" t="str">
        <f>""</f>
        <v/>
      </c>
      <c r="G349" t="str">
        <f>""</f>
        <v/>
      </c>
      <c r="H349" s="1">
        <v>40482</v>
      </c>
      <c r="I349" t="str">
        <f>"PCD00450"</f>
        <v>PCD00450</v>
      </c>
      <c r="J349" t="str">
        <f>"131831"</f>
        <v>131831</v>
      </c>
      <c r="K349" t="str">
        <f>"AS89"</f>
        <v>AS89</v>
      </c>
      <c r="L349" t="s">
        <v>1556</v>
      </c>
      <c r="M349">
        <v>100</v>
      </c>
    </row>
    <row r="350" spans="1:13" x14ac:dyDescent="0.25">
      <c r="A350" t="str">
        <f t="shared" ref="A350:A358" si="138">"E191"</f>
        <v>E191</v>
      </c>
      <c r="B350">
        <v>1</v>
      </c>
      <c r="C350" t="str">
        <f t="shared" ref="C350:C356" si="139">"10200"</f>
        <v>10200</v>
      </c>
      <c r="D350" t="str">
        <f t="shared" ref="D350:D356" si="140">"5620"</f>
        <v>5620</v>
      </c>
      <c r="E350" t="str">
        <f t="shared" ref="E350:E356" si="141">"094OMS"</f>
        <v>094OMS</v>
      </c>
      <c r="F350" t="str">
        <f>""</f>
        <v/>
      </c>
      <c r="G350" t="str">
        <f>""</f>
        <v/>
      </c>
      <c r="H350" s="1">
        <v>40390</v>
      </c>
      <c r="I350" t="str">
        <f>"PCD00433"</f>
        <v>PCD00433</v>
      </c>
      <c r="J350" t="str">
        <f>"126242"</f>
        <v>126242</v>
      </c>
      <c r="K350" t="str">
        <f>"AS89"</f>
        <v>AS89</v>
      </c>
      <c r="L350" t="s">
        <v>1555</v>
      </c>
      <c r="M350">
        <v>325</v>
      </c>
    </row>
    <row r="351" spans="1:13" x14ac:dyDescent="0.25">
      <c r="A351" t="str">
        <f t="shared" si="138"/>
        <v>E191</v>
      </c>
      <c r="B351">
        <v>1</v>
      </c>
      <c r="C351" t="str">
        <f t="shared" si="139"/>
        <v>10200</v>
      </c>
      <c r="D351" t="str">
        <f t="shared" si="140"/>
        <v>5620</v>
      </c>
      <c r="E351" t="str">
        <f t="shared" si="141"/>
        <v>094OMS</v>
      </c>
      <c r="F351" t="str">
        <f>""</f>
        <v/>
      </c>
      <c r="G351" t="str">
        <f>""</f>
        <v/>
      </c>
      <c r="H351" s="1">
        <v>40390</v>
      </c>
      <c r="I351" t="str">
        <f>"PCD00433"</f>
        <v>PCD00433</v>
      </c>
      <c r="J351" t="str">
        <f>"126806"</f>
        <v>126806</v>
      </c>
      <c r="K351" t="str">
        <f>"AS89"</f>
        <v>AS89</v>
      </c>
      <c r="L351" t="s">
        <v>1554</v>
      </c>
      <c r="M351">
        <v>199</v>
      </c>
    </row>
    <row r="352" spans="1:13" x14ac:dyDescent="0.25">
      <c r="A352" t="str">
        <f t="shared" si="138"/>
        <v>E191</v>
      </c>
      <c r="B352">
        <v>1</v>
      </c>
      <c r="C352" t="str">
        <f t="shared" si="139"/>
        <v>10200</v>
      </c>
      <c r="D352" t="str">
        <f t="shared" si="140"/>
        <v>5620</v>
      </c>
      <c r="E352" t="str">
        <f t="shared" si="141"/>
        <v>094OMS</v>
      </c>
      <c r="F352" t="str">
        <f>""</f>
        <v/>
      </c>
      <c r="G352" t="str">
        <f>""</f>
        <v/>
      </c>
      <c r="H352" s="1">
        <v>40469</v>
      </c>
      <c r="I352" t="str">
        <f>"183025"</f>
        <v>183025</v>
      </c>
      <c r="J352" t="str">
        <f>""</f>
        <v/>
      </c>
      <c r="K352" t="str">
        <f>"INNI"</f>
        <v>INNI</v>
      </c>
      <c r="L352" t="s">
        <v>1553</v>
      </c>
      <c r="M352">
        <v>450</v>
      </c>
    </row>
    <row r="353" spans="1:13" x14ac:dyDescent="0.25">
      <c r="A353" t="str">
        <f t="shared" si="138"/>
        <v>E191</v>
      </c>
      <c r="B353">
        <v>1</v>
      </c>
      <c r="C353" t="str">
        <f t="shared" si="139"/>
        <v>10200</v>
      </c>
      <c r="D353" t="str">
        <f t="shared" si="140"/>
        <v>5620</v>
      </c>
      <c r="E353" t="str">
        <f t="shared" si="141"/>
        <v>094OMS</v>
      </c>
      <c r="F353" t="str">
        <f>""</f>
        <v/>
      </c>
      <c r="G353" t="str">
        <f>""</f>
        <v/>
      </c>
      <c r="H353" s="1">
        <v>40472</v>
      </c>
      <c r="I353" t="str">
        <f>"183026"</f>
        <v>183026</v>
      </c>
      <c r="J353" t="str">
        <f>""</f>
        <v/>
      </c>
      <c r="K353" t="str">
        <f>"INNI"</f>
        <v>INNI</v>
      </c>
      <c r="L353" t="s">
        <v>181</v>
      </c>
      <c r="M353">
        <v>400</v>
      </c>
    </row>
    <row r="354" spans="1:13" x14ac:dyDescent="0.25">
      <c r="A354" t="str">
        <f t="shared" si="138"/>
        <v>E191</v>
      </c>
      <c r="B354">
        <v>1</v>
      </c>
      <c r="C354" t="str">
        <f t="shared" si="139"/>
        <v>10200</v>
      </c>
      <c r="D354" t="str">
        <f t="shared" si="140"/>
        <v>5620</v>
      </c>
      <c r="E354" t="str">
        <f t="shared" si="141"/>
        <v>094OMS</v>
      </c>
      <c r="F354" t="str">
        <f>""</f>
        <v/>
      </c>
      <c r="G354" t="str">
        <f>""</f>
        <v/>
      </c>
      <c r="H354" s="1">
        <v>40633</v>
      </c>
      <c r="I354" t="str">
        <f>"PCD00475"</f>
        <v>PCD00475</v>
      </c>
      <c r="J354" t="str">
        <f>"139927"</f>
        <v>139927</v>
      </c>
      <c r="K354" t="str">
        <f t="shared" ref="K354:K358" si="142">"AS89"</f>
        <v>AS89</v>
      </c>
      <c r="L354" t="s">
        <v>1552</v>
      </c>
      <c r="M354">
        <v>175</v>
      </c>
    </row>
    <row r="355" spans="1:13" x14ac:dyDescent="0.25">
      <c r="A355" t="str">
        <f t="shared" si="138"/>
        <v>E191</v>
      </c>
      <c r="B355">
        <v>1</v>
      </c>
      <c r="C355" t="str">
        <f t="shared" si="139"/>
        <v>10200</v>
      </c>
      <c r="D355" t="str">
        <f t="shared" si="140"/>
        <v>5620</v>
      </c>
      <c r="E355" t="str">
        <f t="shared" si="141"/>
        <v>094OMS</v>
      </c>
      <c r="F355" t="str">
        <f>""</f>
        <v/>
      </c>
      <c r="G355" t="str">
        <f>""</f>
        <v/>
      </c>
      <c r="H355" s="1">
        <v>40724</v>
      </c>
      <c r="I355" t="str">
        <f>"PCD00489"</f>
        <v>PCD00489</v>
      </c>
      <c r="J355" t="str">
        <f>"146658"</f>
        <v>146658</v>
      </c>
      <c r="K355" t="str">
        <f t="shared" si="142"/>
        <v>AS89</v>
      </c>
      <c r="L355" t="s">
        <v>1551</v>
      </c>
      <c r="M355">
        <v>396</v>
      </c>
    </row>
    <row r="356" spans="1:13" x14ac:dyDescent="0.25">
      <c r="A356" t="str">
        <f t="shared" si="138"/>
        <v>E191</v>
      </c>
      <c r="B356">
        <v>1</v>
      </c>
      <c r="C356" t="str">
        <f t="shared" si="139"/>
        <v>10200</v>
      </c>
      <c r="D356" t="str">
        <f t="shared" si="140"/>
        <v>5620</v>
      </c>
      <c r="E356" t="str">
        <f t="shared" si="141"/>
        <v>094OMS</v>
      </c>
      <c r="F356" t="str">
        <f>""</f>
        <v/>
      </c>
      <c r="G356" t="str">
        <f>""</f>
        <v/>
      </c>
      <c r="H356" s="1">
        <v>40724</v>
      </c>
      <c r="I356" t="str">
        <f>"PCD00489"</f>
        <v>PCD00489</v>
      </c>
      <c r="J356" t="str">
        <f>"146667"</f>
        <v>146667</v>
      </c>
      <c r="K356" t="str">
        <f t="shared" si="142"/>
        <v>AS89</v>
      </c>
      <c r="L356" t="s">
        <v>1550</v>
      </c>
      <c r="M356">
        <v>420</v>
      </c>
    </row>
    <row r="357" spans="1:13" x14ac:dyDescent="0.25">
      <c r="A357" t="str">
        <f t="shared" si="138"/>
        <v>E191</v>
      </c>
      <c r="B357">
        <v>1</v>
      </c>
      <c r="C357" t="str">
        <f>"43000"</f>
        <v>43000</v>
      </c>
      <c r="D357" t="str">
        <f>"5740"</f>
        <v>5740</v>
      </c>
      <c r="E357" t="str">
        <f>"850LOS"</f>
        <v>850LOS</v>
      </c>
      <c r="F357" t="str">
        <f>""</f>
        <v/>
      </c>
      <c r="G357" t="str">
        <f>""</f>
        <v/>
      </c>
      <c r="H357" s="1">
        <v>40602</v>
      </c>
      <c r="I357" t="str">
        <f>"PCD00469"</f>
        <v>PCD00469</v>
      </c>
      <c r="J357" t="str">
        <f>"137680"</f>
        <v>137680</v>
      </c>
      <c r="K357" t="str">
        <f t="shared" si="142"/>
        <v>AS89</v>
      </c>
      <c r="L357" t="s">
        <v>1549</v>
      </c>
      <c r="M357">
        <v>195</v>
      </c>
    </row>
    <row r="358" spans="1:13" x14ac:dyDescent="0.25">
      <c r="A358" t="str">
        <f t="shared" si="138"/>
        <v>E191</v>
      </c>
      <c r="B358">
        <v>1</v>
      </c>
      <c r="C358" t="str">
        <f>"43000"</f>
        <v>43000</v>
      </c>
      <c r="D358" t="str">
        <f>"5740"</f>
        <v>5740</v>
      </c>
      <c r="E358" t="str">
        <f>"850LOS"</f>
        <v>850LOS</v>
      </c>
      <c r="F358" t="str">
        <f>""</f>
        <v/>
      </c>
      <c r="G358" t="str">
        <f>""</f>
        <v/>
      </c>
      <c r="H358" s="1">
        <v>40602</v>
      </c>
      <c r="I358" t="str">
        <f>"PCD00469"</f>
        <v>PCD00469</v>
      </c>
      <c r="J358" t="str">
        <f>"138597"</f>
        <v>138597</v>
      </c>
      <c r="K358" t="str">
        <f t="shared" si="142"/>
        <v>AS89</v>
      </c>
      <c r="L358" t="s">
        <v>1548</v>
      </c>
      <c r="M358">
        <v>217</v>
      </c>
    </row>
    <row r="359" spans="1:13" x14ac:dyDescent="0.25">
      <c r="A359" t="str">
        <f t="shared" ref="A359" si="143">"E192"</f>
        <v>E192</v>
      </c>
      <c r="B359">
        <v>1</v>
      </c>
      <c r="C359" t="str">
        <f t="shared" ref="C359" si="144">"10200"</f>
        <v>10200</v>
      </c>
      <c r="D359" t="str">
        <f t="shared" ref="D359" si="145">"5620"</f>
        <v>5620</v>
      </c>
      <c r="E359" t="str">
        <f t="shared" ref="E359" si="146">"094OMS"</f>
        <v>094OMS</v>
      </c>
      <c r="F359" t="str">
        <f>""</f>
        <v/>
      </c>
      <c r="G359" t="str">
        <f>""</f>
        <v/>
      </c>
      <c r="H359" s="1">
        <v>40633</v>
      </c>
      <c r="I359" t="str">
        <f>"PCD00475"</f>
        <v>PCD00475</v>
      </c>
      <c r="J359" t="str">
        <f>"140808"</f>
        <v>140808</v>
      </c>
      <c r="K359" t="str">
        <f>"AS89"</f>
        <v>AS89</v>
      </c>
      <c r="L359" t="s">
        <v>1547</v>
      </c>
      <c r="M359">
        <v>365</v>
      </c>
    </row>
    <row r="360" spans="1:13" x14ac:dyDescent="0.25">
      <c r="A360" t="str">
        <f>"E193"</f>
        <v>E193</v>
      </c>
      <c r="B360">
        <v>1</v>
      </c>
      <c r="C360" t="str">
        <f>"10200"</f>
        <v>10200</v>
      </c>
      <c r="D360" t="str">
        <f>"5620"</f>
        <v>5620</v>
      </c>
      <c r="E360" t="str">
        <f>"094OMS"</f>
        <v>094OMS</v>
      </c>
      <c r="F360" t="str">
        <f>""</f>
        <v/>
      </c>
      <c r="G360" t="str">
        <f>""</f>
        <v/>
      </c>
      <c r="H360" s="1">
        <v>40543</v>
      </c>
      <c r="I360" t="str">
        <f>"PCD00459"</f>
        <v>PCD00459</v>
      </c>
      <c r="J360" t="str">
        <f>"135564"</f>
        <v>135564</v>
      </c>
      <c r="K360" t="str">
        <f>"AS89"</f>
        <v>AS89</v>
      </c>
      <c r="L360" t="s">
        <v>1545</v>
      </c>
      <c r="M360">
        <v>300</v>
      </c>
    </row>
    <row r="361" spans="1:13" x14ac:dyDescent="0.25">
      <c r="A361" t="str">
        <f>"E193"</f>
        <v>E193</v>
      </c>
      <c r="B361">
        <v>1</v>
      </c>
      <c r="C361" t="str">
        <f>"43000"</f>
        <v>43000</v>
      </c>
      <c r="D361" t="str">
        <f>"5740"</f>
        <v>5740</v>
      </c>
      <c r="E361" t="str">
        <f>"850LOS"</f>
        <v>850LOS</v>
      </c>
      <c r="F361" t="str">
        <f>""</f>
        <v/>
      </c>
      <c r="G361" t="str">
        <f>""</f>
        <v/>
      </c>
      <c r="H361" s="1">
        <v>40694</v>
      </c>
      <c r="I361" t="str">
        <f>"PCD00485"</f>
        <v>PCD00485</v>
      </c>
      <c r="J361" t="str">
        <f>"144329"</f>
        <v>144329</v>
      </c>
      <c r="K361" t="str">
        <f>"AS89"</f>
        <v>AS89</v>
      </c>
      <c r="L361" t="s">
        <v>1544</v>
      </c>
      <c r="M361">
        <v>225</v>
      </c>
    </row>
    <row r="362" spans="1:13" x14ac:dyDescent="0.25">
      <c r="A362" t="str">
        <f t="shared" ref="A362:A365" si="147">"E210"</f>
        <v>E210</v>
      </c>
      <c r="B362">
        <v>1</v>
      </c>
      <c r="C362" t="str">
        <f>"10200"</f>
        <v>10200</v>
      </c>
      <c r="D362" t="str">
        <f>"5620"</f>
        <v>5620</v>
      </c>
      <c r="E362" t="str">
        <f>"094OMS"</f>
        <v>094OMS</v>
      </c>
      <c r="F362" t="str">
        <f>""</f>
        <v/>
      </c>
      <c r="G362" t="str">
        <f>""</f>
        <v/>
      </c>
      <c r="H362" s="1">
        <v>40616</v>
      </c>
      <c r="I362" t="str">
        <f>"188705"</f>
        <v>188705</v>
      </c>
      <c r="J362" t="str">
        <f>""</f>
        <v/>
      </c>
      <c r="K362" t="str">
        <f>"INNI"</f>
        <v>INNI</v>
      </c>
      <c r="L362" t="s">
        <v>864</v>
      </c>
      <c r="M362">
        <v>590.67999999999995</v>
      </c>
    </row>
    <row r="363" spans="1:13" x14ac:dyDescent="0.25">
      <c r="A363" t="str">
        <f t="shared" si="147"/>
        <v>E210</v>
      </c>
      <c r="B363">
        <v>1</v>
      </c>
      <c r="C363" t="str">
        <f>"43000"</f>
        <v>43000</v>
      </c>
      <c r="D363" t="str">
        <f t="shared" ref="D363:D376" si="148">"5740"</f>
        <v>5740</v>
      </c>
      <c r="E363" t="str">
        <f>"850LOS"</f>
        <v>850LOS</v>
      </c>
      <c r="F363" t="str">
        <f>""</f>
        <v/>
      </c>
      <c r="G363" t="str">
        <f>""</f>
        <v/>
      </c>
      <c r="H363" s="1">
        <v>40482</v>
      </c>
      <c r="I363" t="str">
        <f>"G1104180"</f>
        <v>G1104180</v>
      </c>
      <c r="J363" t="str">
        <f>""</f>
        <v/>
      </c>
      <c r="K363" t="str">
        <f>"J079"</f>
        <v>J079</v>
      </c>
      <c r="L363" t="s">
        <v>1543</v>
      </c>
      <c r="M363" s="2">
        <v>5500</v>
      </c>
    </row>
    <row r="364" spans="1:13" x14ac:dyDescent="0.25">
      <c r="A364" t="str">
        <f t="shared" si="147"/>
        <v>E210</v>
      </c>
      <c r="B364">
        <v>1</v>
      </c>
      <c r="C364" t="str">
        <f>"43000"</f>
        <v>43000</v>
      </c>
      <c r="D364" t="str">
        <f t="shared" si="148"/>
        <v>5740</v>
      </c>
      <c r="E364" t="str">
        <f>"850LOS"</f>
        <v>850LOS</v>
      </c>
      <c r="F364" t="str">
        <f>""</f>
        <v/>
      </c>
      <c r="G364" t="str">
        <f>""</f>
        <v/>
      </c>
      <c r="H364" s="1">
        <v>40723</v>
      </c>
      <c r="I364" t="str">
        <f>"G1112271"</f>
        <v>G1112271</v>
      </c>
      <c r="J364" t="str">
        <f>"183029"</f>
        <v>183029</v>
      </c>
      <c r="K364" t="str">
        <f>"J079"</f>
        <v>J079</v>
      </c>
      <c r="L364" t="s">
        <v>1515</v>
      </c>
      <c r="M364" s="2">
        <v>16875</v>
      </c>
    </row>
    <row r="365" spans="1:13" x14ac:dyDescent="0.25">
      <c r="A365" t="str">
        <f t="shared" si="147"/>
        <v>E210</v>
      </c>
      <c r="B365">
        <v>1</v>
      </c>
      <c r="C365" t="str">
        <f>"43000"</f>
        <v>43000</v>
      </c>
      <c r="D365" t="str">
        <f t="shared" si="148"/>
        <v>5740</v>
      </c>
      <c r="E365" t="str">
        <f>"850PKE"</f>
        <v>850PKE</v>
      </c>
      <c r="F365" t="str">
        <f>""</f>
        <v/>
      </c>
      <c r="G365" t="str">
        <f>""</f>
        <v/>
      </c>
      <c r="H365" s="1">
        <v>40450</v>
      </c>
      <c r="I365" t="str">
        <f>"00003158"</f>
        <v>00003158</v>
      </c>
      <c r="J365" t="str">
        <f>"B125379"</f>
        <v>B125379</v>
      </c>
      <c r="K365" t="str">
        <f>"INNI"</f>
        <v>INNI</v>
      </c>
      <c r="L365" t="s">
        <v>225</v>
      </c>
      <c r="M365">
        <v>127.15</v>
      </c>
    </row>
    <row r="366" spans="1:13" x14ac:dyDescent="0.25">
      <c r="A366" t="str">
        <f t="shared" ref="A366:A376" si="149">"E213"</f>
        <v>E213</v>
      </c>
      <c r="B366">
        <v>1</v>
      </c>
      <c r="C366" t="str">
        <f t="shared" ref="C366:C376" si="150">"43000"</f>
        <v>43000</v>
      </c>
      <c r="D366" t="str">
        <f t="shared" si="148"/>
        <v>5740</v>
      </c>
      <c r="E366" t="str">
        <f t="shared" ref="E366:E376" si="151">"850PKE"</f>
        <v>850PKE</v>
      </c>
      <c r="F366" t="str">
        <f>""</f>
        <v/>
      </c>
      <c r="G366" t="str">
        <f>""</f>
        <v/>
      </c>
      <c r="H366" s="1">
        <v>40473</v>
      </c>
      <c r="I366" t="str">
        <f>"00003200"</f>
        <v>00003200</v>
      </c>
      <c r="J366" t="str">
        <f t="shared" ref="J366:J376" si="152">"B125380"</f>
        <v>B125380</v>
      </c>
      <c r="K366" t="str">
        <f t="shared" ref="K366:K376" si="153">"INNI"</f>
        <v>INNI</v>
      </c>
      <c r="L366" t="s">
        <v>225</v>
      </c>
      <c r="M366">
        <v>127.15</v>
      </c>
    </row>
    <row r="367" spans="1:13" x14ac:dyDescent="0.25">
      <c r="A367" t="str">
        <f t="shared" si="149"/>
        <v>E213</v>
      </c>
      <c r="B367">
        <v>1</v>
      </c>
      <c r="C367" t="str">
        <f t="shared" si="150"/>
        <v>43000</v>
      </c>
      <c r="D367" t="str">
        <f t="shared" si="148"/>
        <v>5740</v>
      </c>
      <c r="E367" t="str">
        <f t="shared" si="151"/>
        <v>850PKE</v>
      </c>
      <c r="F367" t="str">
        <f>""</f>
        <v/>
      </c>
      <c r="G367" t="str">
        <f>""</f>
        <v/>
      </c>
      <c r="H367" s="1">
        <v>40501</v>
      </c>
      <c r="I367" t="str">
        <f>"00003245"</f>
        <v>00003245</v>
      </c>
      <c r="J367" t="str">
        <f t="shared" si="152"/>
        <v>B125380</v>
      </c>
      <c r="K367" t="str">
        <f t="shared" si="153"/>
        <v>INNI</v>
      </c>
      <c r="L367" t="s">
        <v>225</v>
      </c>
      <c r="M367">
        <v>127.15</v>
      </c>
    </row>
    <row r="368" spans="1:13" x14ac:dyDescent="0.25">
      <c r="A368" t="str">
        <f t="shared" si="149"/>
        <v>E213</v>
      </c>
      <c r="B368">
        <v>1</v>
      </c>
      <c r="C368" t="str">
        <f t="shared" si="150"/>
        <v>43000</v>
      </c>
      <c r="D368" t="str">
        <f t="shared" si="148"/>
        <v>5740</v>
      </c>
      <c r="E368" t="str">
        <f t="shared" si="151"/>
        <v>850PKE</v>
      </c>
      <c r="F368" t="str">
        <f>""</f>
        <v/>
      </c>
      <c r="G368" t="str">
        <f>""</f>
        <v/>
      </c>
      <c r="H368" s="1">
        <v>40519</v>
      </c>
      <c r="I368" t="str">
        <f>"00003340"</f>
        <v>00003340</v>
      </c>
      <c r="J368" t="str">
        <f t="shared" si="152"/>
        <v>B125380</v>
      </c>
      <c r="K368" t="str">
        <f t="shared" si="153"/>
        <v>INNI</v>
      </c>
      <c r="L368" t="s">
        <v>225</v>
      </c>
      <c r="M368">
        <v>127.15</v>
      </c>
    </row>
    <row r="369" spans="1:13" x14ac:dyDescent="0.25">
      <c r="A369" t="str">
        <f t="shared" si="149"/>
        <v>E213</v>
      </c>
      <c r="B369">
        <v>1</v>
      </c>
      <c r="C369" t="str">
        <f t="shared" si="150"/>
        <v>43000</v>
      </c>
      <c r="D369" t="str">
        <f t="shared" si="148"/>
        <v>5740</v>
      </c>
      <c r="E369" t="str">
        <f t="shared" si="151"/>
        <v>850PKE</v>
      </c>
      <c r="F369" t="str">
        <f>""</f>
        <v/>
      </c>
      <c r="G369" t="str">
        <f>""</f>
        <v/>
      </c>
      <c r="H369" s="1">
        <v>40526</v>
      </c>
      <c r="I369" t="str">
        <f>"00003026"</f>
        <v>00003026</v>
      </c>
      <c r="J369" t="str">
        <f t="shared" si="152"/>
        <v>B125380</v>
      </c>
      <c r="K369" t="str">
        <f t="shared" si="153"/>
        <v>INNI</v>
      </c>
      <c r="L369" t="s">
        <v>225</v>
      </c>
      <c r="M369">
        <v>127.15</v>
      </c>
    </row>
    <row r="370" spans="1:13" x14ac:dyDescent="0.25">
      <c r="A370" t="str">
        <f t="shared" si="149"/>
        <v>E213</v>
      </c>
      <c r="B370">
        <v>1</v>
      </c>
      <c r="C370" t="str">
        <f t="shared" si="150"/>
        <v>43000</v>
      </c>
      <c r="D370" t="str">
        <f t="shared" si="148"/>
        <v>5740</v>
      </c>
      <c r="E370" t="str">
        <f t="shared" si="151"/>
        <v>850PKE</v>
      </c>
      <c r="F370" t="str">
        <f>""</f>
        <v/>
      </c>
      <c r="G370" t="str">
        <f>""</f>
        <v/>
      </c>
      <c r="H370" s="1">
        <v>40526</v>
      </c>
      <c r="I370" t="str">
        <f>"00003068"</f>
        <v>00003068</v>
      </c>
      <c r="J370" t="str">
        <f t="shared" si="152"/>
        <v>B125380</v>
      </c>
      <c r="K370" t="str">
        <f t="shared" si="153"/>
        <v>INNI</v>
      </c>
      <c r="L370" t="s">
        <v>225</v>
      </c>
      <c r="M370">
        <v>127.15</v>
      </c>
    </row>
    <row r="371" spans="1:13" x14ac:dyDescent="0.25">
      <c r="A371" t="str">
        <f t="shared" si="149"/>
        <v>E213</v>
      </c>
      <c r="B371">
        <v>1</v>
      </c>
      <c r="C371" t="str">
        <f t="shared" si="150"/>
        <v>43000</v>
      </c>
      <c r="D371" t="str">
        <f t="shared" si="148"/>
        <v>5740</v>
      </c>
      <c r="E371" t="str">
        <f t="shared" si="151"/>
        <v>850PKE</v>
      </c>
      <c r="F371" t="str">
        <f>""</f>
        <v/>
      </c>
      <c r="G371" t="str">
        <f>""</f>
        <v/>
      </c>
      <c r="H371" s="1">
        <v>40553</v>
      </c>
      <c r="I371" t="str">
        <f>"00003373"</f>
        <v>00003373</v>
      </c>
      <c r="J371" t="str">
        <f t="shared" si="152"/>
        <v>B125380</v>
      </c>
      <c r="K371" t="str">
        <f t="shared" si="153"/>
        <v>INNI</v>
      </c>
      <c r="L371" t="s">
        <v>225</v>
      </c>
      <c r="M371">
        <v>127.15</v>
      </c>
    </row>
    <row r="372" spans="1:13" x14ac:dyDescent="0.25">
      <c r="A372" t="str">
        <f t="shared" si="149"/>
        <v>E213</v>
      </c>
      <c r="B372">
        <v>1</v>
      </c>
      <c r="C372" t="str">
        <f t="shared" si="150"/>
        <v>43000</v>
      </c>
      <c r="D372" t="str">
        <f t="shared" si="148"/>
        <v>5740</v>
      </c>
      <c r="E372" t="str">
        <f t="shared" si="151"/>
        <v>850PKE</v>
      </c>
      <c r="F372" t="str">
        <f>""</f>
        <v/>
      </c>
      <c r="G372" t="str">
        <f>""</f>
        <v/>
      </c>
      <c r="H372" s="1">
        <v>40583</v>
      </c>
      <c r="I372" t="str">
        <f>"00003433"</f>
        <v>00003433</v>
      </c>
      <c r="J372" t="str">
        <f t="shared" si="152"/>
        <v>B125380</v>
      </c>
      <c r="K372" t="str">
        <f t="shared" si="153"/>
        <v>INNI</v>
      </c>
      <c r="L372" t="s">
        <v>225</v>
      </c>
      <c r="M372">
        <v>127.15</v>
      </c>
    </row>
    <row r="373" spans="1:13" x14ac:dyDescent="0.25">
      <c r="A373" t="str">
        <f t="shared" si="149"/>
        <v>E213</v>
      </c>
      <c r="B373">
        <v>1</v>
      </c>
      <c r="C373" t="str">
        <f t="shared" si="150"/>
        <v>43000</v>
      </c>
      <c r="D373" t="str">
        <f t="shared" si="148"/>
        <v>5740</v>
      </c>
      <c r="E373" t="str">
        <f t="shared" si="151"/>
        <v>850PKE</v>
      </c>
      <c r="F373" t="str">
        <f>""</f>
        <v/>
      </c>
      <c r="G373" t="str">
        <f>""</f>
        <v/>
      </c>
      <c r="H373" s="1">
        <v>40618</v>
      </c>
      <c r="I373" t="str">
        <f>"00003485"</f>
        <v>00003485</v>
      </c>
      <c r="J373" t="str">
        <f t="shared" si="152"/>
        <v>B125380</v>
      </c>
      <c r="K373" t="str">
        <f t="shared" si="153"/>
        <v>INNI</v>
      </c>
      <c r="L373" t="s">
        <v>225</v>
      </c>
      <c r="M373">
        <v>127.15</v>
      </c>
    </row>
    <row r="374" spans="1:13" x14ac:dyDescent="0.25">
      <c r="A374" t="str">
        <f t="shared" si="149"/>
        <v>E213</v>
      </c>
      <c r="B374">
        <v>1</v>
      </c>
      <c r="C374" t="str">
        <f t="shared" si="150"/>
        <v>43000</v>
      </c>
      <c r="D374" t="str">
        <f t="shared" si="148"/>
        <v>5740</v>
      </c>
      <c r="E374" t="str">
        <f t="shared" si="151"/>
        <v>850PKE</v>
      </c>
      <c r="F374" t="str">
        <f>""</f>
        <v/>
      </c>
      <c r="G374" t="str">
        <f>""</f>
        <v/>
      </c>
      <c r="H374" s="1">
        <v>40644</v>
      </c>
      <c r="I374" t="str">
        <f>"00003585"</f>
        <v>00003585</v>
      </c>
      <c r="J374" t="str">
        <f t="shared" si="152"/>
        <v>B125380</v>
      </c>
      <c r="K374" t="str">
        <f t="shared" si="153"/>
        <v>INNI</v>
      </c>
      <c r="L374" t="s">
        <v>225</v>
      </c>
      <c r="M374">
        <v>127.15</v>
      </c>
    </row>
    <row r="375" spans="1:13" x14ac:dyDescent="0.25">
      <c r="A375" t="str">
        <f t="shared" si="149"/>
        <v>E213</v>
      </c>
      <c r="B375">
        <v>1</v>
      </c>
      <c r="C375" t="str">
        <f t="shared" si="150"/>
        <v>43000</v>
      </c>
      <c r="D375" t="str">
        <f t="shared" si="148"/>
        <v>5740</v>
      </c>
      <c r="E375" t="str">
        <f t="shared" si="151"/>
        <v>850PKE</v>
      </c>
      <c r="F375" t="str">
        <f>""</f>
        <v/>
      </c>
      <c r="G375" t="str">
        <f>""</f>
        <v/>
      </c>
      <c r="H375" s="1">
        <v>40669</v>
      </c>
      <c r="I375" t="str">
        <f>"00003637"</f>
        <v>00003637</v>
      </c>
      <c r="J375" t="str">
        <f t="shared" si="152"/>
        <v>B125380</v>
      </c>
      <c r="K375" t="str">
        <f t="shared" si="153"/>
        <v>INNI</v>
      </c>
      <c r="L375" t="s">
        <v>225</v>
      </c>
      <c r="M375">
        <v>127.15</v>
      </c>
    </row>
    <row r="376" spans="1:13" x14ac:dyDescent="0.25">
      <c r="A376" t="str">
        <f t="shared" si="149"/>
        <v>E213</v>
      </c>
      <c r="B376">
        <v>1</v>
      </c>
      <c r="C376" t="str">
        <f t="shared" si="150"/>
        <v>43000</v>
      </c>
      <c r="D376" t="str">
        <f t="shared" si="148"/>
        <v>5740</v>
      </c>
      <c r="E376" t="str">
        <f t="shared" si="151"/>
        <v>850PKE</v>
      </c>
      <c r="F376" t="str">
        <f>""</f>
        <v/>
      </c>
      <c r="G376" t="str">
        <f>""</f>
        <v/>
      </c>
      <c r="H376" s="1">
        <v>40703</v>
      </c>
      <c r="I376" t="str">
        <f>"00003688"</f>
        <v>00003688</v>
      </c>
      <c r="J376" t="str">
        <f t="shared" si="152"/>
        <v>B125380</v>
      </c>
      <c r="K376" t="str">
        <f t="shared" si="153"/>
        <v>INNI</v>
      </c>
      <c r="L376" t="s">
        <v>225</v>
      </c>
      <c r="M376">
        <v>127.15</v>
      </c>
    </row>
    <row r="377" spans="1:13" x14ac:dyDescent="0.25">
      <c r="A377" t="str">
        <f t="shared" ref="A377:A405" si="154">"E216"</f>
        <v>E216</v>
      </c>
      <c r="B377">
        <v>1</v>
      </c>
      <c r="C377" t="str">
        <f t="shared" ref="C377:C380" si="155">"10200"</f>
        <v>10200</v>
      </c>
      <c r="D377" t="str">
        <f t="shared" ref="D377:D382" si="156">"5620"</f>
        <v>5620</v>
      </c>
      <c r="E377" t="str">
        <f t="shared" ref="E377:E382" si="157">"094OMS"</f>
        <v>094OMS</v>
      </c>
      <c r="F377" t="str">
        <f>""</f>
        <v/>
      </c>
      <c r="G377" t="str">
        <f>""</f>
        <v/>
      </c>
      <c r="H377" s="1">
        <v>40361</v>
      </c>
      <c r="I377" t="str">
        <f>"1000724"</f>
        <v>1000724</v>
      </c>
      <c r="J377" t="str">
        <f>"N076270F"</f>
        <v>N076270F</v>
      </c>
      <c r="K377" t="str">
        <f>"INEI"</f>
        <v>INEI</v>
      </c>
      <c r="L377" t="s">
        <v>226</v>
      </c>
      <c r="M377" s="2">
        <v>4611.25</v>
      </c>
    </row>
    <row r="378" spans="1:13" x14ac:dyDescent="0.25">
      <c r="A378" t="str">
        <f t="shared" si="154"/>
        <v>E216</v>
      </c>
      <c r="B378">
        <v>1</v>
      </c>
      <c r="C378" t="str">
        <f t="shared" si="155"/>
        <v>10200</v>
      </c>
      <c r="D378" t="str">
        <f t="shared" si="156"/>
        <v>5620</v>
      </c>
      <c r="E378" t="str">
        <f t="shared" si="157"/>
        <v>094OMS</v>
      </c>
      <c r="F378" t="str">
        <f>""</f>
        <v/>
      </c>
      <c r="G378" t="str">
        <f>""</f>
        <v/>
      </c>
      <c r="H378" s="1">
        <v>40429</v>
      </c>
      <c r="I378" t="str">
        <f>"1000724A"</f>
        <v>1000724A</v>
      </c>
      <c r="J378" t="str">
        <f>""</f>
        <v/>
      </c>
      <c r="K378" t="str">
        <f>"INNI"</f>
        <v>INNI</v>
      </c>
      <c r="L378" t="s">
        <v>226</v>
      </c>
      <c r="M378" s="2">
        <v>4250</v>
      </c>
    </row>
    <row r="379" spans="1:13" x14ac:dyDescent="0.25">
      <c r="A379" t="str">
        <f t="shared" si="154"/>
        <v>E216</v>
      </c>
      <c r="B379">
        <v>1</v>
      </c>
      <c r="C379" t="str">
        <f t="shared" si="155"/>
        <v>10200</v>
      </c>
      <c r="D379" t="str">
        <f t="shared" si="156"/>
        <v>5620</v>
      </c>
      <c r="E379" t="str">
        <f t="shared" si="157"/>
        <v>094OMS</v>
      </c>
      <c r="F379" t="str">
        <f>""</f>
        <v/>
      </c>
      <c r="G379" t="str">
        <f>""</f>
        <v/>
      </c>
      <c r="H379" s="1">
        <v>40443</v>
      </c>
      <c r="I379" t="str">
        <f>"2998C"</f>
        <v>2998C</v>
      </c>
      <c r="J379" t="str">
        <f>"N113831C"</f>
        <v>N113831C</v>
      </c>
      <c r="K379" t="str">
        <f>"INEI"</f>
        <v>INEI</v>
      </c>
      <c r="L379" t="s">
        <v>33</v>
      </c>
      <c r="M379" s="2">
        <v>1757.7</v>
      </c>
    </row>
    <row r="380" spans="1:13" x14ac:dyDescent="0.25">
      <c r="A380" t="str">
        <f t="shared" si="154"/>
        <v>E216</v>
      </c>
      <c r="B380">
        <v>1</v>
      </c>
      <c r="C380" t="str">
        <f t="shared" si="155"/>
        <v>10200</v>
      </c>
      <c r="D380" t="str">
        <f t="shared" si="156"/>
        <v>5620</v>
      </c>
      <c r="E380" t="str">
        <f t="shared" si="157"/>
        <v>094OMS</v>
      </c>
      <c r="F380" t="str">
        <f>""</f>
        <v/>
      </c>
      <c r="G380" t="str">
        <f>""</f>
        <v/>
      </c>
      <c r="H380" s="1">
        <v>40492</v>
      </c>
      <c r="I380" t="str">
        <f>"PA003631"</f>
        <v>PA003631</v>
      </c>
      <c r="J380" t="str">
        <f>"F183007"</f>
        <v>F183007</v>
      </c>
      <c r="K380" t="str">
        <f>"INEI"</f>
        <v>INEI</v>
      </c>
      <c r="L380" t="s">
        <v>1231</v>
      </c>
      <c r="M380" s="2">
        <v>1166.92</v>
      </c>
    </row>
    <row r="381" spans="1:13" x14ac:dyDescent="0.25">
      <c r="A381" t="str">
        <f t="shared" si="154"/>
        <v>E216</v>
      </c>
      <c r="B381">
        <v>1</v>
      </c>
      <c r="C381" t="str">
        <f t="shared" ref="C381" si="158">"14185"</f>
        <v>14185</v>
      </c>
      <c r="D381" t="str">
        <f t="shared" si="156"/>
        <v>5620</v>
      </c>
      <c r="E381" t="str">
        <f t="shared" si="157"/>
        <v>094OMS</v>
      </c>
      <c r="F381" t="str">
        <f>""</f>
        <v/>
      </c>
      <c r="G381" t="str">
        <f>""</f>
        <v/>
      </c>
      <c r="H381" s="1">
        <v>40361</v>
      </c>
      <c r="I381" t="str">
        <f>"1000724"</f>
        <v>1000724</v>
      </c>
      <c r="J381" t="str">
        <f>"N076270F"</f>
        <v>N076270F</v>
      </c>
      <c r="K381" t="str">
        <f>"INEI"</f>
        <v>INEI</v>
      </c>
      <c r="L381" t="s">
        <v>226</v>
      </c>
      <c r="M381" s="2">
        <v>4611.25</v>
      </c>
    </row>
    <row r="382" spans="1:13" x14ac:dyDescent="0.25">
      <c r="A382" t="str">
        <f t="shared" si="154"/>
        <v>E216</v>
      </c>
      <c r="B382">
        <v>1</v>
      </c>
      <c r="C382" t="str">
        <f>"31040"</f>
        <v>31040</v>
      </c>
      <c r="D382" t="str">
        <f t="shared" si="156"/>
        <v>5620</v>
      </c>
      <c r="E382" t="str">
        <f t="shared" si="157"/>
        <v>094OMS</v>
      </c>
      <c r="F382" t="str">
        <f>""</f>
        <v/>
      </c>
      <c r="G382" t="str">
        <f>""</f>
        <v/>
      </c>
      <c r="H382" s="1">
        <v>40492</v>
      </c>
      <c r="I382" t="str">
        <f>"G1105063"</f>
        <v>G1105063</v>
      </c>
      <c r="J382" t="str">
        <f>"N124193C"</f>
        <v>N124193C</v>
      </c>
      <c r="K382" t="str">
        <f>"J096"</f>
        <v>J096</v>
      </c>
      <c r="L382" t="s">
        <v>1306</v>
      </c>
      <c r="M382">
        <v>250</v>
      </c>
    </row>
    <row r="383" spans="1:13" x14ac:dyDescent="0.25">
      <c r="A383" t="str">
        <f t="shared" si="154"/>
        <v>E216</v>
      </c>
      <c r="B383">
        <v>1</v>
      </c>
      <c r="C383" t="str">
        <f t="shared" ref="C383:C388" si="159">"43000"</f>
        <v>43000</v>
      </c>
      <c r="D383" t="str">
        <f t="shared" ref="D383:D426" si="160">"5740"</f>
        <v>5740</v>
      </c>
      <c r="E383" t="str">
        <f t="shared" ref="E383:E387" si="161">"850LOS"</f>
        <v>850LOS</v>
      </c>
      <c r="F383" t="str">
        <f>""</f>
        <v/>
      </c>
      <c r="G383" t="str">
        <f>""</f>
        <v/>
      </c>
      <c r="H383" s="1">
        <v>40402</v>
      </c>
      <c r="I383" t="str">
        <f>"M001056"</f>
        <v>M001056</v>
      </c>
      <c r="J383" t="str">
        <f>"N125348A"</f>
        <v>N125348A</v>
      </c>
      <c r="K383" t="str">
        <f>"INEI"</f>
        <v>INEI</v>
      </c>
      <c r="L383" t="s">
        <v>229</v>
      </c>
      <c r="M383" s="2">
        <v>5592.09</v>
      </c>
    </row>
    <row r="384" spans="1:13" x14ac:dyDescent="0.25">
      <c r="A384" t="str">
        <f t="shared" si="154"/>
        <v>E216</v>
      </c>
      <c r="B384">
        <v>1</v>
      </c>
      <c r="C384" t="str">
        <f t="shared" si="159"/>
        <v>43000</v>
      </c>
      <c r="D384" t="str">
        <f t="shared" si="160"/>
        <v>5740</v>
      </c>
      <c r="E384" t="str">
        <f t="shared" si="161"/>
        <v>850LOS</v>
      </c>
      <c r="F384" t="str">
        <f>""</f>
        <v/>
      </c>
      <c r="G384" t="str">
        <f>""</f>
        <v/>
      </c>
      <c r="H384" s="1">
        <v>40408</v>
      </c>
      <c r="I384" t="str">
        <f>"F001418"</f>
        <v>F001418</v>
      </c>
      <c r="J384" t="str">
        <f>"N125348A"</f>
        <v>N125348A</v>
      </c>
      <c r="K384" t="str">
        <f>"INEI"</f>
        <v>INEI</v>
      </c>
      <c r="L384" t="s">
        <v>229</v>
      </c>
      <c r="M384" s="2">
        <v>20237.849999999999</v>
      </c>
    </row>
    <row r="385" spans="1:13" x14ac:dyDescent="0.25">
      <c r="A385" t="str">
        <f t="shared" si="154"/>
        <v>E216</v>
      </c>
      <c r="B385">
        <v>1</v>
      </c>
      <c r="C385" t="str">
        <f t="shared" si="159"/>
        <v>43000</v>
      </c>
      <c r="D385" t="str">
        <f t="shared" si="160"/>
        <v>5740</v>
      </c>
      <c r="E385" t="str">
        <f t="shared" si="161"/>
        <v>850LOS</v>
      </c>
      <c r="F385" t="str">
        <f>""</f>
        <v/>
      </c>
      <c r="G385" t="str">
        <f>""</f>
        <v/>
      </c>
      <c r="H385" s="1">
        <v>40492</v>
      </c>
      <c r="I385" t="str">
        <f>"G1105063"</f>
        <v>G1105063</v>
      </c>
      <c r="J385" t="str">
        <f>"N124193C"</f>
        <v>N124193C</v>
      </c>
      <c r="K385" t="str">
        <f>"J096"</f>
        <v>J096</v>
      </c>
      <c r="L385" t="s">
        <v>1306</v>
      </c>
      <c r="M385">
        <v>250</v>
      </c>
    </row>
    <row r="386" spans="1:13" x14ac:dyDescent="0.25">
      <c r="A386" t="str">
        <f t="shared" si="154"/>
        <v>E216</v>
      </c>
      <c r="B386">
        <v>1</v>
      </c>
      <c r="C386" t="str">
        <f t="shared" si="159"/>
        <v>43000</v>
      </c>
      <c r="D386" t="str">
        <f t="shared" si="160"/>
        <v>5740</v>
      </c>
      <c r="E386" t="str">
        <f t="shared" si="161"/>
        <v>850LOS</v>
      </c>
      <c r="F386" t="str">
        <f>""</f>
        <v/>
      </c>
      <c r="G386" t="str">
        <f>""</f>
        <v/>
      </c>
      <c r="H386" s="1">
        <v>40724</v>
      </c>
      <c r="I386" t="str">
        <f>"ACG02103"</f>
        <v>ACG02103</v>
      </c>
      <c r="J386" t="str">
        <f>"F002191"</f>
        <v>F002191</v>
      </c>
      <c r="K386" t="str">
        <f>"ZZ89"</f>
        <v>ZZ89</v>
      </c>
      <c r="L386" t="s">
        <v>1542</v>
      </c>
      <c r="M386" s="2">
        <v>1224.6199999999999</v>
      </c>
    </row>
    <row r="387" spans="1:13" x14ac:dyDescent="0.25">
      <c r="A387" t="str">
        <f t="shared" si="154"/>
        <v>E216</v>
      </c>
      <c r="B387">
        <v>1</v>
      </c>
      <c r="C387" t="str">
        <f t="shared" si="159"/>
        <v>43000</v>
      </c>
      <c r="D387" t="str">
        <f t="shared" si="160"/>
        <v>5740</v>
      </c>
      <c r="E387" t="str">
        <f t="shared" si="161"/>
        <v>850LOS</v>
      </c>
      <c r="F387" t="str">
        <f>""</f>
        <v/>
      </c>
      <c r="G387" t="str">
        <f>""</f>
        <v/>
      </c>
      <c r="H387" s="1">
        <v>40724</v>
      </c>
      <c r="I387" t="str">
        <f>"ACG02103"</f>
        <v>ACG02103</v>
      </c>
      <c r="J387" t="str">
        <f>"M001517"</f>
        <v>M001517</v>
      </c>
      <c r="K387" t="str">
        <f>"ZZ89"</f>
        <v>ZZ89</v>
      </c>
      <c r="L387" t="s">
        <v>1542</v>
      </c>
      <c r="M387">
        <v>199.55</v>
      </c>
    </row>
    <row r="388" spans="1:13" x14ac:dyDescent="0.25">
      <c r="A388" t="str">
        <f t="shared" si="154"/>
        <v>E216</v>
      </c>
      <c r="B388">
        <v>1</v>
      </c>
      <c r="C388" t="str">
        <f t="shared" si="159"/>
        <v>43000</v>
      </c>
      <c r="D388" t="str">
        <f t="shared" si="160"/>
        <v>5740</v>
      </c>
      <c r="E388" t="str">
        <f>"850PKE"</f>
        <v>850PKE</v>
      </c>
      <c r="F388" t="str">
        <f>""</f>
        <v/>
      </c>
      <c r="G388" t="str">
        <f>""</f>
        <v/>
      </c>
      <c r="H388" s="1">
        <v>40539</v>
      </c>
      <c r="I388" t="str">
        <f>"183036"</f>
        <v>183036</v>
      </c>
      <c r="J388" t="str">
        <f>""</f>
        <v/>
      </c>
      <c r="K388" t="str">
        <f>"INNI"</f>
        <v>INNI</v>
      </c>
      <c r="L388" t="s">
        <v>229</v>
      </c>
      <c r="M388" s="2">
        <v>1497.5</v>
      </c>
    </row>
    <row r="389" spans="1:13" x14ac:dyDescent="0.25">
      <c r="A389" t="str">
        <f t="shared" si="154"/>
        <v>E216</v>
      </c>
      <c r="B389">
        <v>1</v>
      </c>
      <c r="C389" t="str">
        <f t="shared" ref="C389:C405" si="162">"43003"</f>
        <v>43003</v>
      </c>
      <c r="D389" t="str">
        <f t="shared" si="160"/>
        <v>5740</v>
      </c>
      <c r="E389" t="str">
        <f t="shared" ref="E389:E425" si="163">"850LOS"</f>
        <v>850LOS</v>
      </c>
      <c r="F389" t="str">
        <f>""</f>
        <v/>
      </c>
      <c r="G389" t="str">
        <f>""</f>
        <v/>
      </c>
      <c r="H389" s="1">
        <v>40385</v>
      </c>
      <c r="I389" t="str">
        <f>"135198A"</f>
        <v>135198A</v>
      </c>
      <c r="J389" t="str">
        <f t="shared" ref="J389:J390" si="164">"N125316"</f>
        <v>N125316</v>
      </c>
      <c r="K389" t="str">
        <f>"INEI"</f>
        <v>INEI</v>
      </c>
      <c r="L389" t="s">
        <v>1189</v>
      </c>
      <c r="M389">
        <v>825</v>
      </c>
    </row>
    <row r="390" spans="1:13" x14ac:dyDescent="0.25">
      <c r="A390" t="str">
        <f t="shared" si="154"/>
        <v>E216</v>
      </c>
      <c r="B390">
        <v>1</v>
      </c>
      <c r="C390" t="str">
        <f t="shared" si="162"/>
        <v>43003</v>
      </c>
      <c r="D390" t="str">
        <f t="shared" si="160"/>
        <v>5740</v>
      </c>
      <c r="E390" t="str">
        <f t="shared" si="163"/>
        <v>850LOS</v>
      </c>
      <c r="F390" t="str">
        <f>""</f>
        <v/>
      </c>
      <c r="G390" t="str">
        <f>""</f>
        <v/>
      </c>
      <c r="H390" s="1">
        <v>40385</v>
      </c>
      <c r="I390" t="str">
        <f>"134356A"</f>
        <v>134356A</v>
      </c>
      <c r="J390" t="str">
        <f t="shared" si="164"/>
        <v>N125316</v>
      </c>
      <c r="K390" t="str">
        <f t="shared" ref="K390:K395" si="165">"INEI"</f>
        <v>INEI</v>
      </c>
      <c r="L390" t="s">
        <v>1189</v>
      </c>
      <c r="M390">
        <v>973.25</v>
      </c>
    </row>
    <row r="391" spans="1:13" x14ac:dyDescent="0.25">
      <c r="A391" t="str">
        <f t="shared" si="154"/>
        <v>E216</v>
      </c>
      <c r="B391">
        <v>1</v>
      </c>
      <c r="C391" t="str">
        <f t="shared" si="162"/>
        <v>43003</v>
      </c>
      <c r="D391" t="str">
        <f t="shared" si="160"/>
        <v>5740</v>
      </c>
      <c r="E391" t="str">
        <f t="shared" si="163"/>
        <v>850LOS</v>
      </c>
      <c r="F391" t="str">
        <f>""</f>
        <v/>
      </c>
      <c r="G391" t="str">
        <f>""</f>
        <v/>
      </c>
      <c r="H391" s="1">
        <v>40406</v>
      </c>
      <c r="I391" t="str">
        <f>"136013A"</f>
        <v>136013A</v>
      </c>
      <c r="J391" t="str">
        <f>"N125316A"</f>
        <v>N125316A</v>
      </c>
      <c r="K391" t="str">
        <f t="shared" si="165"/>
        <v>INEI</v>
      </c>
      <c r="L391" t="s">
        <v>1189</v>
      </c>
      <c r="M391">
        <v>825</v>
      </c>
    </row>
    <row r="392" spans="1:13" x14ac:dyDescent="0.25">
      <c r="A392" t="str">
        <f t="shared" si="154"/>
        <v>E216</v>
      </c>
      <c r="B392">
        <v>1</v>
      </c>
      <c r="C392" t="str">
        <f t="shared" si="162"/>
        <v>43003</v>
      </c>
      <c r="D392" t="str">
        <f t="shared" si="160"/>
        <v>5740</v>
      </c>
      <c r="E392" t="str">
        <f t="shared" si="163"/>
        <v>850LOS</v>
      </c>
      <c r="F392" t="str">
        <f>""</f>
        <v/>
      </c>
      <c r="G392" t="str">
        <f>""</f>
        <v/>
      </c>
      <c r="H392" s="1">
        <v>40407</v>
      </c>
      <c r="I392" t="str">
        <f>"4132843"</f>
        <v>4132843</v>
      </c>
      <c r="J392" t="str">
        <f>"N183002A"</f>
        <v>N183002A</v>
      </c>
      <c r="K392" t="str">
        <f t="shared" si="165"/>
        <v>INEI</v>
      </c>
      <c r="L392" t="s">
        <v>1304</v>
      </c>
      <c r="M392">
        <v>650</v>
      </c>
    </row>
    <row r="393" spans="1:13" x14ac:dyDescent="0.25">
      <c r="A393" t="str">
        <f t="shared" si="154"/>
        <v>E216</v>
      </c>
      <c r="B393">
        <v>1</v>
      </c>
      <c r="C393" t="str">
        <f t="shared" si="162"/>
        <v>43003</v>
      </c>
      <c r="D393" t="str">
        <f t="shared" si="160"/>
        <v>5740</v>
      </c>
      <c r="E393" t="str">
        <f t="shared" si="163"/>
        <v>850LOS</v>
      </c>
      <c r="F393" t="str">
        <f>""</f>
        <v/>
      </c>
      <c r="G393" t="str">
        <f>""</f>
        <v/>
      </c>
      <c r="H393" s="1">
        <v>40430</v>
      </c>
      <c r="I393" t="str">
        <f>"136801"</f>
        <v>136801</v>
      </c>
      <c r="J393" t="str">
        <f t="shared" ref="J393:J395" si="166">"N125316A"</f>
        <v>N125316A</v>
      </c>
      <c r="K393" t="str">
        <f t="shared" si="165"/>
        <v>INEI</v>
      </c>
      <c r="L393" t="s">
        <v>1189</v>
      </c>
      <c r="M393">
        <v>825</v>
      </c>
    </row>
    <row r="394" spans="1:13" x14ac:dyDescent="0.25">
      <c r="A394" t="str">
        <f t="shared" si="154"/>
        <v>E216</v>
      </c>
      <c r="B394">
        <v>1</v>
      </c>
      <c r="C394" t="str">
        <f t="shared" si="162"/>
        <v>43003</v>
      </c>
      <c r="D394" t="str">
        <f t="shared" si="160"/>
        <v>5740</v>
      </c>
      <c r="E394" t="str">
        <f t="shared" si="163"/>
        <v>850LOS</v>
      </c>
      <c r="F394" t="str">
        <f>""</f>
        <v/>
      </c>
      <c r="G394" t="str">
        <f>""</f>
        <v/>
      </c>
      <c r="H394" s="1">
        <v>40457</v>
      </c>
      <c r="I394" t="str">
        <f>"137828"</f>
        <v>137828</v>
      </c>
      <c r="J394" t="str">
        <f t="shared" si="166"/>
        <v>N125316A</v>
      </c>
      <c r="K394" t="str">
        <f t="shared" si="165"/>
        <v>INEI</v>
      </c>
      <c r="L394" t="s">
        <v>1189</v>
      </c>
      <c r="M394">
        <v>825</v>
      </c>
    </row>
    <row r="395" spans="1:13" x14ac:dyDescent="0.25">
      <c r="A395" t="str">
        <f t="shared" si="154"/>
        <v>E216</v>
      </c>
      <c r="B395">
        <v>1</v>
      </c>
      <c r="C395" t="str">
        <f t="shared" si="162"/>
        <v>43003</v>
      </c>
      <c r="D395" t="str">
        <f t="shared" si="160"/>
        <v>5740</v>
      </c>
      <c r="E395" t="str">
        <f t="shared" si="163"/>
        <v>850LOS</v>
      </c>
      <c r="F395" t="str">
        <f>""</f>
        <v/>
      </c>
      <c r="G395" t="str">
        <f>""</f>
        <v/>
      </c>
      <c r="H395" s="1">
        <v>40491</v>
      </c>
      <c r="I395" t="str">
        <f>"138926"</f>
        <v>138926</v>
      </c>
      <c r="J395" t="str">
        <f t="shared" si="166"/>
        <v>N125316A</v>
      </c>
      <c r="K395" t="str">
        <f t="shared" si="165"/>
        <v>INEI</v>
      </c>
      <c r="L395" t="s">
        <v>1189</v>
      </c>
      <c r="M395">
        <v>825</v>
      </c>
    </row>
    <row r="396" spans="1:13" x14ac:dyDescent="0.25">
      <c r="A396" t="str">
        <f t="shared" si="154"/>
        <v>E216</v>
      </c>
      <c r="B396">
        <v>1</v>
      </c>
      <c r="C396" t="str">
        <f t="shared" si="162"/>
        <v>43003</v>
      </c>
      <c r="D396" t="str">
        <f t="shared" si="160"/>
        <v>5740</v>
      </c>
      <c r="E396" t="str">
        <f t="shared" si="163"/>
        <v>850LOS</v>
      </c>
      <c r="F396" t="str">
        <f>""</f>
        <v/>
      </c>
      <c r="G396" t="str">
        <f>""</f>
        <v/>
      </c>
      <c r="H396" s="1">
        <v>40519</v>
      </c>
      <c r="I396" t="str">
        <f>"139854"</f>
        <v>139854</v>
      </c>
      <c r="J396" t="str">
        <f>"N125316A"</f>
        <v>N125316A</v>
      </c>
      <c r="K396" t="str">
        <f>"INEI"</f>
        <v>INEI</v>
      </c>
      <c r="L396" t="s">
        <v>1189</v>
      </c>
      <c r="M396">
        <v>825</v>
      </c>
    </row>
    <row r="397" spans="1:13" x14ac:dyDescent="0.25">
      <c r="A397" t="str">
        <f t="shared" si="154"/>
        <v>E216</v>
      </c>
      <c r="B397">
        <v>1</v>
      </c>
      <c r="C397" t="str">
        <f t="shared" si="162"/>
        <v>43003</v>
      </c>
      <c r="D397" t="str">
        <f t="shared" si="160"/>
        <v>5740</v>
      </c>
      <c r="E397" t="str">
        <f t="shared" si="163"/>
        <v>850LOS</v>
      </c>
      <c r="F397" t="str">
        <f>""</f>
        <v/>
      </c>
      <c r="G397" t="str">
        <f>""</f>
        <v/>
      </c>
      <c r="H397" s="1">
        <v>40553</v>
      </c>
      <c r="I397" t="str">
        <f>"140912A"</f>
        <v>140912A</v>
      </c>
      <c r="J397" t="str">
        <f>"N125316A"</f>
        <v>N125316A</v>
      </c>
      <c r="K397" t="str">
        <f>"INEI"</f>
        <v>INEI</v>
      </c>
      <c r="L397" t="s">
        <v>1189</v>
      </c>
      <c r="M397">
        <v>825</v>
      </c>
    </row>
    <row r="398" spans="1:13" x14ac:dyDescent="0.25">
      <c r="A398" t="str">
        <f t="shared" si="154"/>
        <v>E216</v>
      </c>
      <c r="B398">
        <v>1</v>
      </c>
      <c r="C398" t="str">
        <f t="shared" si="162"/>
        <v>43003</v>
      </c>
      <c r="D398" t="str">
        <f t="shared" si="160"/>
        <v>5740</v>
      </c>
      <c r="E398" t="str">
        <f t="shared" si="163"/>
        <v>850LOS</v>
      </c>
      <c r="F398" t="str">
        <f>""</f>
        <v/>
      </c>
      <c r="G398" t="str">
        <f>""</f>
        <v/>
      </c>
      <c r="H398" s="1">
        <v>40574</v>
      </c>
      <c r="I398" t="str">
        <f>"PCD00464"</f>
        <v>PCD00464</v>
      </c>
      <c r="J398" t="str">
        <f>"137230"</f>
        <v>137230</v>
      </c>
      <c r="K398" t="str">
        <f>"AS89"</f>
        <v>AS89</v>
      </c>
      <c r="L398" t="s">
        <v>1541</v>
      </c>
      <c r="M398">
        <v>105</v>
      </c>
    </row>
    <row r="399" spans="1:13" x14ac:dyDescent="0.25">
      <c r="A399" t="str">
        <f t="shared" si="154"/>
        <v>E216</v>
      </c>
      <c r="B399">
        <v>1</v>
      </c>
      <c r="C399" t="str">
        <f t="shared" si="162"/>
        <v>43003</v>
      </c>
      <c r="D399" t="str">
        <f t="shared" si="160"/>
        <v>5740</v>
      </c>
      <c r="E399" t="str">
        <f t="shared" si="163"/>
        <v>850LOS</v>
      </c>
      <c r="F399" t="str">
        <f>""</f>
        <v/>
      </c>
      <c r="G399" t="str">
        <f>""</f>
        <v/>
      </c>
      <c r="H399" s="1">
        <v>40581</v>
      </c>
      <c r="I399" t="str">
        <f>"141982"</f>
        <v>141982</v>
      </c>
      <c r="J399" t="str">
        <f t="shared" ref="J399:J403" si="167">"N125316A"</f>
        <v>N125316A</v>
      </c>
      <c r="K399" t="str">
        <f>"INEI"</f>
        <v>INEI</v>
      </c>
      <c r="L399" t="s">
        <v>1189</v>
      </c>
      <c r="M399">
        <v>825</v>
      </c>
    </row>
    <row r="400" spans="1:13" x14ac:dyDescent="0.25">
      <c r="A400" t="str">
        <f t="shared" si="154"/>
        <v>E216</v>
      </c>
      <c r="B400">
        <v>1</v>
      </c>
      <c r="C400" t="str">
        <f t="shared" si="162"/>
        <v>43003</v>
      </c>
      <c r="D400" t="str">
        <f t="shared" si="160"/>
        <v>5740</v>
      </c>
      <c r="E400" t="str">
        <f t="shared" si="163"/>
        <v>850LOS</v>
      </c>
      <c r="F400" t="str">
        <f>""</f>
        <v/>
      </c>
      <c r="G400" t="str">
        <f>""</f>
        <v/>
      </c>
      <c r="H400" s="1">
        <v>40620</v>
      </c>
      <c r="I400" t="str">
        <f>"142823"</f>
        <v>142823</v>
      </c>
      <c r="J400" t="str">
        <f t="shared" si="167"/>
        <v>N125316A</v>
      </c>
      <c r="K400" t="str">
        <f t="shared" ref="K400:K403" si="168">"INEI"</f>
        <v>INEI</v>
      </c>
      <c r="L400" t="s">
        <v>1189</v>
      </c>
      <c r="M400" s="2">
        <v>1650</v>
      </c>
    </row>
    <row r="401" spans="1:13" x14ac:dyDescent="0.25">
      <c r="A401" t="str">
        <f t="shared" si="154"/>
        <v>E216</v>
      </c>
      <c r="B401">
        <v>1</v>
      </c>
      <c r="C401" t="str">
        <f t="shared" si="162"/>
        <v>43003</v>
      </c>
      <c r="D401" t="str">
        <f t="shared" si="160"/>
        <v>5740</v>
      </c>
      <c r="E401" t="str">
        <f t="shared" si="163"/>
        <v>850LOS</v>
      </c>
      <c r="F401" t="str">
        <f>""</f>
        <v/>
      </c>
      <c r="G401" t="str">
        <f>""</f>
        <v/>
      </c>
      <c r="H401" s="1">
        <v>40620</v>
      </c>
      <c r="I401" t="str">
        <f>"143666"</f>
        <v>143666</v>
      </c>
      <c r="J401" t="str">
        <f t="shared" si="167"/>
        <v>N125316A</v>
      </c>
      <c r="K401" t="str">
        <f t="shared" si="168"/>
        <v>INEI</v>
      </c>
      <c r="L401" t="s">
        <v>1189</v>
      </c>
      <c r="M401">
        <v>825</v>
      </c>
    </row>
    <row r="402" spans="1:13" x14ac:dyDescent="0.25">
      <c r="A402" t="str">
        <f t="shared" si="154"/>
        <v>E216</v>
      </c>
      <c r="B402">
        <v>1</v>
      </c>
      <c r="C402" t="str">
        <f t="shared" si="162"/>
        <v>43003</v>
      </c>
      <c r="D402" t="str">
        <f t="shared" si="160"/>
        <v>5740</v>
      </c>
      <c r="E402" t="str">
        <f t="shared" si="163"/>
        <v>850LOS</v>
      </c>
      <c r="F402" t="str">
        <f>""</f>
        <v/>
      </c>
      <c r="G402" t="str">
        <f>""</f>
        <v/>
      </c>
      <c r="H402" s="1">
        <v>40653</v>
      </c>
      <c r="I402" t="str">
        <f>"144726"</f>
        <v>144726</v>
      </c>
      <c r="J402" t="str">
        <f t="shared" si="167"/>
        <v>N125316A</v>
      </c>
      <c r="K402" t="str">
        <f t="shared" si="168"/>
        <v>INEI</v>
      </c>
      <c r="L402" t="s">
        <v>1189</v>
      </c>
      <c r="M402">
        <v>825</v>
      </c>
    </row>
    <row r="403" spans="1:13" x14ac:dyDescent="0.25">
      <c r="A403" t="str">
        <f t="shared" si="154"/>
        <v>E216</v>
      </c>
      <c r="B403">
        <v>1</v>
      </c>
      <c r="C403" t="str">
        <f t="shared" si="162"/>
        <v>43003</v>
      </c>
      <c r="D403" t="str">
        <f t="shared" si="160"/>
        <v>5740</v>
      </c>
      <c r="E403" t="str">
        <f t="shared" si="163"/>
        <v>850LOS</v>
      </c>
      <c r="F403" t="str">
        <f>""</f>
        <v/>
      </c>
      <c r="G403" t="str">
        <f>""</f>
        <v/>
      </c>
      <c r="H403" s="1">
        <v>40673</v>
      </c>
      <c r="I403" t="str">
        <f>"145726"</f>
        <v>145726</v>
      </c>
      <c r="J403" t="str">
        <f t="shared" si="167"/>
        <v>N125316A</v>
      </c>
      <c r="K403" t="str">
        <f t="shared" si="168"/>
        <v>INEI</v>
      </c>
      <c r="L403" t="s">
        <v>1189</v>
      </c>
      <c r="M403">
        <v>825</v>
      </c>
    </row>
    <row r="404" spans="1:13" x14ac:dyDescent="0.25">
      <c r="A404" t="str">
        <f t="shared" si="154"/>
        <v>E216</v>
      </c>
      <c r="B404">
        <v>1</v>
      </c>
      <c r="C404" t="str">
        <f t="shared" si="162"/>
        <v>43003</v>
      </c>
      <c r="D404" t="str">
        <f t="shared" si="160"/>
        <v>5740</v>
      </c>
      <c r="E404" t="str">
        <f t="shared" si="163"/>
        <v>850LOS</v>
      </c>
      <c r="F404" t="str">
        <f>""</f>
        <v/>
      </c>
      <c r="G404" t="str">
        <f>""</f>
        <v/>
      </c>
      <c r="H404" s="1">
        <v>40724</v>
      </c>
      <c r="I404" t="str">
        <f>"ACG02090"</f>
        <v>ACG02090</v>
      </c>
      <c r="J404" t="str">
        <f>"148306A"</f>
        <v>148306A</v>
      </c>
      <c r="K404" t="str">
        <f>"AS79"</f>
        <v>AS79</v>
      </c>
      <c r="L404" t="s">
        <v>1540</v>
      </c>
      <c r="M404">
        <v>896.78</v>
      </c>
    </row>
    <row r="405" spans="1:13" x14ac:dyDescent="0.25">
      <c r="A405" t="str">
        <f t="shared" si="154"/>
        <v>E216</v>
      </c>
      <c r="B405">
        <v>1</v>
      </c>
      <c r="C405" t="str">
        <f t="shared" si="162"/>
        <v>43003</v>
      </c>
      <c r="D405" t="str">
        <f t="shared" si="160"/>
        <v>5740</v>
      </c>
      <c r="E405" t="str">
        <f t="shared" si="163"/>
        <v>850LOS</v>
      </c>
      <c r="F405" t="str">
        <f>""</f>
        <v/>
      </c>
      <c r="G405" t="str">
        <f>""</f>
        <v/>
      </c>
      <c r="H405" s="1">
        <v>40724</v>
      </c>
      <c r="I405" t="str">
        <f>"ACG02090"</f>
        <v>ACG02090</v>
      </c>
      <c r="J405" t="str">
        <f>"148307"</f>
        <v>148307</v>
      </c>
      <c r="K405" t="str">
        <f>"AS79"</f>
        <v>AS79</v>
      </c>
      <c r="L405" t="s">
        <v>1540</v>
      </c>
      <c r="M405">
        <v>896.78</v>
      </c>
    </row>
    <row r="406" spans="1:13" x14ac:dyDescent="0.25">
      <c r="A406" t="str">
        <f t="shared" ref="A406:A426" si="169">"E217"</f>
        <v>E217</v>
      </c>
      <c r="B406">
        <v>1</v>
      </c>
      <c r="C406" t="str">
        <f t="shared" ref="C406:C417" si="170">"43000"</f>
        <v>43000</v>
      </c>
      <c r="D406" t="str">
        <f t="shared" si="160"/>
        <v>5740</v>
      </c>
      <c r="E406" t="str">
        <f t="shared" si="163"/>
        <v>850LOS</v>
      </c>
      <c r="F406" t="str">
        <f>""</f>
        <v/>
      </c>
      <c r="G406" t="str">
        <f>""</f>
        <v/>
      </c>
      <c r="H406" s="1">
        <v>40400</v>
      </c>
      <c r="I406" t="str">
        <f>"CMG00664"</f>
        <v>CMG00664</v>
      </c>
      <c r="J406" t="str">
        <f>""</f>
        <v/>
      </c>
      <c r="K406" t="str">
        <f>"J089"</f>
        <v>J089</v>
      </c>
      <c r="L406" t="s">
        <v>1539</v>
      </c>
      <c r="M406">
        <v>353.26</v>
      </c>
    </row>
    <row r="407" spans="1:13" x14ac:dyDescent="0.25">
      <c r="A407" t="str">
        <f t="shared" si="169"/>
        <v>E217</v>
      </c>
      <c r="B407">
        <v>1</v>
      </c>
      <c r="C407" t="str">
        <f t="shared" si="170"/>
        <v>43000</v>
      </c>
      <c r="D407" t="str">
        <f t="shared" si="160"/>
        <v>5740</v>
      </c>
      <c r="E407" t="str">
        <f t="shared" si="163"/>
        <v>850LOS</v>
      </c>
      <c r="F407" t="str">
        <f>""</f>
        <v/>
      </c>
      <c r="G407" t="str">
        <f>""</f>
        <v/>
      </c>
      <c r="H407" s="1">
        <v>40448</v>
      </c>
      <c r="I407" t="str">
        <f>"CMG00668"</f>
        <v>CMG00668</v>
      </c>
      <c r="J407" t="str">
        <f>""</f>
        <v/>
      </c>
      <c r="K407" t="str">
        <f>"J089"</f>
        <v>J089</v>
      </c>
      <c r="L407" t="s">
        <v>1538</v>
      </c>
      <c r="M407">
        <v>262.86</v>
      </c>
    </row>
    <row r="408" spans="1:13" x14ac:dyDescent="0.25">
      <c r="A408" t="str">
        <f t="shared" si="169"/>
        <v>E217</v>
      </c>
      <c r="B408">
        <v>1</v>
      </c>
      <c r="C408" t="str">
        <f t="shared" si="170"/>
        <v>43000</v>
      </c>
      <c r="D408" t="str">
        <f t="shared" si="160"/>
        <v>5740</v>
      </c>
      <c r="E408" t="str">
        <f t="shared" si="163"/>
        <v>850LOS</v>
      </c>
      <c r="F408" t="str">
        <f>""</f>
        <v/>
      </c>
      <c r="G408" t="str">
        <f>""</f>
        <v/>
      </c>
      <c r="H408" s="1">
        <v>40462</v>
      </c>
      <c r="I408" t="str">
        <f>"CMG00674"</f>
        <v>CMG00674</v>
      </c>
      <c r="J408" t="str">
        <f>""</f>
        <v/>
      </c>
      <c r="K408" t="str">
        <f>"CM89"</f>
        <v>CM89</v>
      </c>
      <c r="L408" t="s">
        <v>1537</v>
      </c>
      <c r="M408" s="2">
        <v>5109.97</v>
      </c>
    </row>
    <row r="409" spans="1:13" x14ac:dyDescent="0.25">
      <c r="A409" t="str">
        <f t="shared" si="169"/>
        <v>E217</v>
      </c>
      <c r="B409">
        <v>1</v>
      </c>
      <c r="C409" t="str">
        <f t="shared" si="170"/>
        <v>43000</v>
      </c>
      <c r="D409" t="str">
        <f t="shared" si="160"/>
        <v>5740</v>
      </c>
      <c r="E409" t="str">
        <f t="shared" si="163"/>
        <v>850LOS</v>
      </c>
      <c r="F409" t="str">
        <f>""</f>
        <v/>
      </c>
      <c r="G409" t="str">
        <f>""</f>
        <v/>
      </c>
      <c r="H409" s="1">
        <v>40494</v>
      </c>
      <c r="I409" t="str">
        <f>"CMG00677"</f>
        <v>CMG00677</v>
      </c>
      <c r="J409" t="str">
        <f>""</f>
        <v/>
      </c>
      <c r="K409" t="str">
        <f>"CM89"</f>
        <v>CM89</v>
      </c>
      <c r="L409" t="s">
        <v>1536</v>
      </c>
      <c r="M409">
        <v>578.33000000000004</v>
      </c>
    </row>
    <row r="410" spans="1:13" x14ac:dyDescent="0.25">
      <c r="A410" t="str">
        <f t="shared" si="169"/>
        <v>E217</v>
      </c>
      <c r="B410">
        <v>1</v>
      </c>
      <c r="C410" t="str">
        <f t="shared" si="170"/>
        <v>43000</v>
      </c>
      <c r="D410" t="str">
        <f t="shared" si="160"/>
        <v>5740</v>
      </c>
      <c r="E410" t="str">
        <f t="shared" si="163"/>
        <v>850LOS</v>
      </c>
      <c r="F410" t="str">
        <f>""</f>
        <v/>
      </c>
      <c r="G410" t="str">
        <f>""</f>
        <v/>
      </c>
      <c r="H410" s="1">
        <v>40526</v>
      </c>
      <c r="I410" t="str">
        <f>"CMG00681"</f>
        <v>CMG00681</v>
      </c>
      <c r="J410" t="str">
        <f>""</f>
        <v/>
      </c>
      <c r="K410" t="str">
        <f>"CM89"</f>
        <v>CM89</v>
      </c>
      <c r="L410" t="s">
        <v>1535</v>
      </c>
      <c r="M410">
        <v>474.97</v>
      </c>
    </row>
    <row r="411" spans="1:13" x14ac:dyDescent="0.25">
      <c r="A411" t="str">
        <f t="shared" si="169"/>
        <v>E217</v>
      </c>
      <c r="B411">
        <v>1</v>
      </c>
      <c r="C411" t="str">
        <f t="shared" si="170"/>
        <v>43000</v>
      </c>
      <c r="D411" t="str">
        <f t="shared" si="160"/>
        <v>5740</v>
      </c>
      <c r="E411" t="str">
        <f t="shared" si="163"/>
        <v>850LOS</v>
      </c>
      <c r="F411" t="str">
        <f>""</f>
        <v/>
      </c>
      <c r="G411" t="str">
        <f>""</f>
        <v/>
      </c>
      <c r="H411" s="1">
        <v>40555</v>
      </c>
      <c r="I411" t="str">
        <f>"CMG00684"</f>
        <v>CMG00684</v>
      </c>
      <c r="J411" t="str">
        <f>""</f>
        <v/>
      </c>
      <c r="K411" t="str">
        <f>"CM89"</f>
        <v>CM89</v>
      </c>
      <c r="L411" t="s">
        <v>1534</v>
      </c>
      <c r="M411">
        <v>484.76</v>
      </c>
    </row>
    <row r="412" spans="1:13" x14ac:dyDescent="0.25">
      <c r="A412" t="str">
        <f t="shared" si="169"/>
        <v>E217</v>
      </c>
      <c r="B412">
        <v>1</v>
      </c>
      <c r="C412" t="str">
        <f t="shared" si="170"/>
        <v>43000</v>
      </c>
      <c r="D412" t="str">
        <f t="shared" si="160"/>
        <v>5740</v>
      </c>
      <c r="E412" t="str">
        <f t="shared" si="163"/>
        <v>850LOS</v>
      </c>
      <c r="F412" t="str">
        <f>""</f>
        <v/>
      </c>
      <c r="G412" t="str">
        <f>""</f>
        <v/>
      </c>
      <c r="H412" s="1">
        <v>40588</v>
      </c>
      <c r="I412" t="str">
        <f>"CMG00688"</f>
        <v>CMG00688</v>
      </c>
      <c r="J412" t="str">
        <f>""</f>
        <v/>
      </c>
      <c r="K412" t="str">
        <f>"CM89"</f>
        <v>CM89</v>
      </c>
      <c r="L412" t="s">
        <v>1533</v>
      </c>
      <c r="M412" s="2">
        <v>1593.4</v>
      </c>
    </row>
    <row r="413" spans="1:13" x14ac:dyDescent="0.25">
      <c r="A413" t="str">
        <f t="shared" si="169"/>
        <v>E217</v>
      </c>
      <c r="B413">
        <v>1</v>
      </c>
      <c r="C413" t="str">
        <f t="shared" si="170"/>
        <v>43000</v>
      </c>
      <c r="D413" t="str">
        <f t="shared" si="160"/>
        <v>5740</v>
      </c>
      <c r="E413" t="str">
        <f t="shared" si="163"/>
        <v>850LOS</v>
      </c>
      <c r="F413" t="str">
        <f>""</f>
        <v/>
      </c>
      <c r="G413" t="str">
        <f>""</f>
        <v/>
      </c>
      <c r="H413" s="1">
        <v>40616</v>
      </c>
      <c r="I413" t="str">
        <f>"CMG00691"</f>
        <v>CMG00691</v>
      </c>
      <c r="J413" t="str">
        <f>""</f>
        <v/>
      </c>
      <c r="K413" t="str">
        <f>"J089"</f>
        <v>J089</v>
      </c>
      <c r="L413" t="s">
        <v>1532</v>
      </c>
      <c r="M413">
        <v>466.99</v>
      </c>
    </row>
    <row r="414" spans="1:13" x14ac:dyDescent="0.25">
      <c r="A414" t="str">
        <f t="shared" si="169"/>
        <v>E217</v>
      </c>
      <c r="B414">
        <v>1</v>
      </c>
      <c r="C414" t="str">
        <f t="shared" si="170"/>
        <v>43000</v>
      </c>
      <c r="D414" t="str">
        <f t="shared" si="160"/>
        <v>5740</v>
      </c>
      <c r="E414" t="str">
        <f t="shared" si="163"/>
        <v>850LOS</v>
      </c>
      <c r="F414" t="str">
        <f>""</f>
        <v/>
      </c>
      <c r="G414" t="str">
        <f>""</f>
        <v/>
      </c>
      <c r="H414" s="1">
        <v>40648</v>
      </c>
      <c r="I414" t="str">
        <f>"CMG00696"</f>
        <v>CMG00696</v>
      </c>
      <c r="J414" t="str">
        <f>""</f>
        <v/>
      </c>
      <c r="K414" t="str">
        <f>"CM89"</f>
        <v>CM89</v>
      </c>
      <c r="L414" t="s">
        <v>1531</v>
      </c>
      <c r="M414" s="2">
        <v>1447.37</v>
      </c>
    </row>
    <row r="415" spans="1:13" x14ac:dyDescent="0.25">
      <c r="A415" t="str">
        <f t="shared" si="169"/>
        <v>E217</v>
      </c>
      <c r="B415">
        <v>1</v>
      </c>
      <c r="C415" t="str">
        <f t="shared" si="170"/>
        <v>43000</v>
      </c>
      <c r="D415" t="str">
        <f t="shared" si="160"/>
        <v>5740</v>
      </c>
      <c r="E415" t="str">
        <f t="shared" si="163"/>
        <v>850LOS</v>
      </c>
      <c r="F415" t="str">
        <f>""</f>
        <v/>
      </c>
      <c r="G415" t="str">
        <f>""</f>
        <v/>
      </c>
      <c r="H415" s="1">
        <v>40676</v>
      </c>
      <c r="I415" t="str">
        <f>"CMG00700"</f>
        <v>CMG00700</v>
      </c>
      <c r="J415" t="str">
        <f>""</f>
        <v/>
      </c>
      <c r="K415" t="str">
        <f>"CM89"</f>
        <v>CM89</v>
      </c>
      <c r="L415" t="s">
        <v>1530</v>
      </c>
      <c r="M415">
        <v>752.77</v>
      </c>
    </row>
    <row r="416" spans="1:13" x14ac:dyDescent="0.25">
      <c r="A416" t="str">
        <f t="shared" si="169"/>
        <v>E217</v>
      </c>
      <c r="B416">
        <v>1</v>
      </c>
      <c r="C416" t="str">
        <f t="shared" si="170"/>
        <v>43000</v>
      </c>
      <c r="D416" t="str">
        <f t="shared" si="160"/>
        <v>5740</v>
      </c>
      <c r="E416" t="str">
        <f t="shared" si="163"/>
        <v>850LOS</v>
      </c>
      <c r="F416" t="str">
        <f>""</f>
        <v/>
      </c>
      <c r="G416" t="str">
        <f>""</f>
        <v/>
      </c>
      <c r="H416" s="1">
        <v>40715</v>
      </c>
      <c r="I416" t="str">
        <f>"CMG00705"</f>
        <v>CMG00705</v>
      </c>
      <c r="J416" t="str">
        <f>""</f>
        <v/>
      </c>
      <c r="K416" t="str">
        <f>"CM89"</f>
        <v>CM89</v>
      </c>
      <c r="L416" t="s">
        <v>1529</v>
      </c>
      <c r="M416">
        <v>492.88</v>
      </c>
    </row>
    <row r="417" spans="1:13" x14ac:dyDescent="0.25">
      <c r="A417" t="str">
        <f t="shared" si="169"/>
        <v>E217</v>
      </c>
      <c r="B417">
        <v>1</v>
      </c>
      <c r="C417" t="str">
        <f t="shared" si="170"/>
        <v>43000</v>
      </c>
      <c r="D417" t="str">
        <f t="shared" si="160"/>
        <v>5740</v>
      </c>
      <c r="E417" t="str">
        <f t="shared" si="163"/>
        <v>850LOS</v>
      </c>
      <c r="F417" t="str">
        <f>""</f>
        <v/>
      </c>
      <c r="G417" t="str">
        <f>""</f>
        <v/>
      </c>
      <c r="H417" s="1">
        <v>40724</v>
      </c>
      <c r="I417" t="str">
        <f>"CMG00710"</f>
        <v>CMG00710</v>
      </c>
      <c r="J417" t="str">
        <f>""</f>
        <v/>
      </c>
      <c r="K417" t="str">
        <f>"CM89"</f>
        <v>CM89</v>
      </c>
      <c r="L417" t="s">
        <v>1528</v>
      </c>
      <c r="M417">
        <v>985.8</v>
      </c>
    </row>
    <row r="418" spans="1:13" x14ac:dyDescent="0.25">
      <c r="A418" t="str">
        <f t="shared" si="169"/>
        <v>E217</v>
      </c>
      <c r="B418">
        <v>1</v>
      </c>
      <c r="C418" t="str">
        <f t="shared" ref="C418:C426" si="171">"43003"</f>
        <v>43003</v>
      </c>
      <c r="D418" t="str">
        <f t="shared" si="160"/>
        <v>5740</v>
      </c>
      <c r="E418" t="str">
        <f t="shared" si="163"/>
        <v>850LOS</v>
      </c>
      <c r="F418" t="str">
        <f>""</f>
        <v/>
      </c>
      <c r="G418" t="str">
        <f>""</f>
        <v/>
      </c>
      <c r="H418" s="1">
        <v>40482</v>
      </c>
      <c r="I418" t="str">
        <f>"G1104083"</f>
        <v>G1104083</v>
      </c>
      <c r="J418" t="str">
        <f>""</f>
        <v/>
      </c>
      <c r="K418" t="str">
        <f>"J096"</f>
        <v>J096</v>
      </c>
      <c r="L418" t="s">
        <v>1187</v>
      </c>
      <c r="M418">
        <v>747.47</v>
      </c>
    </row>
    <row r="419" spans="1:13" x14ac:dyDescent="0.25">
      <c r="A419" t="str">
        <f t="shared" si="169"/>
        <v>E217</v>
      </c>
      <c r="B419">
        <v>1</v>
      </c>
      <c r="C419" t="str">
        <f t="shared" si="171"/>
        <v>43003</v>
      </c>
      <c r="D419" t="str">
        <f t="shared" si="160"/>
        <v>5740</v>
      </c>
      <c r="E419" t="str">
        <f t="shared" si="163"/>
        <v>850LOS</v>
      </c>
      <c r="F419" t="str">
        <f>""</f>
        <v/>
      </c>
      <c r="G419" t="str">
        <f>""</f>
        <v/>
      </c>
      <c r="H419" s="1">
        <v>40512</v>
      </c>
      <c r="I419" t="str">
        <f>"G1105117"</f>
        <v>G1105117</v>
      </c>
      <c r="J419" t="str">
        <f>""</f>
        <v/>
      </c>
      <c r="K419" t="str">
        <f>"J096"</f>
        <v>J096</v>
      </c>
      <c r="L419" t="s">
        <v>1187</v>
      </c>
      <c r="M419">
        <v>754.8</v>
      </c>
    </row>
    <row r="420" spans="1:13" x14ac:dyDescent="0.25">
      <c r="A420" t="str">
        <f t="shared" si="169"/>
        <v>E217</v>
      </c>
      <c r="B420">
        <v>1</v>
      </c>
      <c r="C420" t="str">
        <f t="shared" si="171"/>
        <v>43003</v>
      </c>
      <c r="D420" t="str">
        <f t="shared" si="160"/>
        <v>5740</v>
      </c>
      <c r="E420" t="str">
        <f t="shared" si="163"/>
        <v>850LOS</v>
      </c>
      <c r="F420" t="str">
        <f>""</f>
        <v/>
      </c>
      <c r="G420" t="str">
        <f>""</f>
        <v/>
      </c>
      <c r="H420" s="1">
        <v>40512</v>
      </c>
      <c r="I420" t="str">
        <f>"G1105136"</f>
        <v>G1105136</v>
      </c>
      <c r="J420" t="str">
        <f>""</f>
        <v/>
      </c>
      <c r="K420" t="str">
        <f>"J079"</f>
        <v>J079</v>
      </c>
      <c r="L420" t="s">
        <v>1187</v>
      </c>
      <c r="M420">
        <v>754.8</v>
      </c>
    </row>
    <row r="421" spans="1:13" x14ac:dyDescent="0.25">
      <c r="A421" t="str">
        <f t="shared" si="169"/>
        <v>E217</v>
      </c>
      <c r="B421">
        <v>1</v>
      </c>
      <c r="C421" t="str">
        <f t="shared" si="171"/>
        <v>43003</v>
      </c>
      <c r="D421" t="str">
        <f t="shared" si="160"/>
        <v>5740</v>
      </c>
      <c r="E421" t="str">
        <f t="shared" si="163"/>
        <v>850LOS</v>
      </c>
      <c r="F421" t="str">
        <f>""</f>
        <v/>
      </c>
      <c r="G421" t="str">
        <f>""</f>
        <v/>
      </c>
      <c r="H421" s="1">
        <v>40581</v>
      </c>
      <c r="I421" t="str">
        <f>"G1108020"</f>
        <v>G1108020</v>
      </c>
      <c r="J421" t="str">
        <f>""</f>
        <v/>
      </c>
      <c r="K421" t="str">
        <f>"J079"</f>
        <v>J079</v>
      </c>
      <c r="L421" t="s">
        <v>1187</v>
      </c>
      <c r="M421" s="2">
        <v>1094.8399999999999</v>
      </c>
    </row>
    <row r="422" spans="1:13" x14ac:dyDescent="0.25">
      <c r="A422" t="str">
        <f t="shared" si="169"/>
        <v>E217</v>
      </c>
      <c r="B422">
        <v>1</v>
      </c>
      <c r="C422" t="str">
        <f t="shared" si="171"/>
        <v>43003</v>
      </c>
      <c r="D422" t="str">
        <f t="shared" si="160"/>
        <v>5740</v>
      </c>
      <c r="E422" t="str">
        <f t="shared" si="163"/>
        <v>850LOS</v>
      </c>
      <c r="F422" t="str">
        <f>""</f>
        <v/>
      </c>
      <c r="G422" t="str">
        <f>""</f>
        <v/>
      </c>
      <c r="H422" s="1">
        <v>40602</v>
      </c>
      <c r="I422" t="str">
        <f>"G1108134"</f>
        <v>G1108134</v>
      </c>
      <c r="J422" t="str">
        <f>""</f>
        <v/>
      </c>
      <c r="K422" t="str">
        <f>"J079"</f>
        <v>J079</v>
      </c>
      <c r="L422" t="s">
        <v>1187</v>
      </c>
      <c r="M422">
        <v>688.33</v>
      </c>
    </row>
    <row r="423" spans="1:13" x14ac:dyDescent="0.25">
      <c r="A423" t="str">
        <f t="shared" si="169"/>
        <v>E217</v>
      </c>
      <c r="B423">
        <v>1</v>
      </c>
      <c r="C423" t="str">
        <f t="shared" si="171"/>
        <v>43003</v>
      </c>
      <c r="D423" t="str">
        <f t="shared" si="160"/>
        <v>5740</v>
      </c>
      <c r="E423" t="str">
        <f t="shared" si="163"/>
        <v>850LOS</v>
      </c>
      <c r="F423" t="str">
        <f>""</f>
        <v/>
      </c>
      <c r="G423" t="str">
        <f>""</f>
        <v/>
      </c>
      <c r="H423" s="1">
        <v>40648</v>
      </c>
      <c r="I423" t="str">
        <f>"G1110058"</f>
        <v>G1110058</v>
      </c>
      <c r="J423" t="str">
        <f>""</f>
        <v/>
      </c>
      <c r="K423" t="str">
        <f>"J096"</f>
        <v>J096</v>
      </c>
      <c r="L423" t="s">
        <v>1187</v>
      </c>
      <c r="M423">
        <v>753.13</v>
      </c>
    </row>
    <row r="424" spans="1:13" x14ac:dyDescent="0.25">
      <c r="A424" t="str">
        <f t="shared" si="169"/>
        <v>E217</v>
      </c>
      <c r="B424">
        <v>1</v>
      </c>
      <c r="C424" t="str">
        <f t="shared" si="171"/>
        <v>43003</v>
      </c>
      <c r="D424" t="str">
        <f t="shared" si="160"/>
        <v>5740</v>
      </c>
      <c r="E424" t="str">
        <f t="shared" si="163"/>
        <v>850LOS</v>
      </c>
      <c r="F424" t="str">
        <f>""</f>
        <v/>
      </c>
      <c r="G424" t="str">
        <f>""</f>
        <v/>
      </c>
      <c r="H424" s="1">
        <v>40689</v>
      </c>
      <c r="I424" t="str">
        <f>"G1111180"</f>
        <v>G1111180</v>
      </c>
      <c r="J424" t="str">
        <f>""</f>
        <v/>
      </c>
      <c r="K424" t="str">
        <f>"J079"</f>
        <v>J079</v>
      </c>
      <c r="L424" t="s">
        <v>1187</v>
      </c>
      <c r="M424" s="2">
        <v>1649.92</v>
      </c>
    </row>
    <row r="425" spans="1:13" x14ac:dyDescent="0.25">
      <c r="A425" t="str">
        <f t="shared" si="169"/>
        <v>E217</v>
      </c>
      <c r="B425">
        <v>1</v>
      </c>
      <c r="C425" t="str">
        <f t="shared" si="171"/>
        <v>43003</v>
      </c>
      <c r="D425" t="str">
        <f t="shared" si="160"/>
        <v>5740</v>
      </c>
      <c r="E425" t="str">
        <f t="shared" si="163"/>
        <v>850LOS</v>
      </c>
      <c r="F425" t="str">
        <f>""</f>
        <v/>
      </c>
      <c r="G425" t="str">
        <f>""</f>
        <v/>
      </c>
      <c r="H425" s="1">
        <v>40723</v>
      </c>
      <c r="I425" t="str">
        <f>"G1112300"</f>
        <v>G1112300</v>
      </c>
      <c r="J425" t="str">
        <f>""</f>
        <v/>
      </c>
      <c r="K425" t="str">
        <f>"J096"</f>
        <v>J096</v>
      </c>
      <c r="L425" t="s">
        <v>1468</v>
      </c>
      <c r="M425">
        <v>898.67</v>
      </c>
    </row>
    <row r="426" spans="1:13" x14ac:dyDescent="0.25">
      <c r="A426" t="str">
        <f t="shared" si="169"/>
        <v>E217</v>
      </c>
      <c r="B426">
        <v>1</v>
      </c>
      <c r="C426" t="str">
        <f t="shared" si="171"/>
        <v>43003</v>
      </c>
      <c r="D426" t="str">
        <f t="shared" si="160"/>
        <v>5740</v>
      </c>
      <c r="E426" t="str">
        <f>"850PAY"</f>
        <v>850PAY</v>
      </c>
      <c r="F426" t="str">
        <f>""</f>
        <v/>
      </c>
      <c r="G426" t="str">
        <f>""</f>
        <v/>
      </c>
      <c r="H426" s="1">
        <v>40414</v>
      </c>
      <c r="I426" t="str">
        <f>"G1102092"</f>
        <v>G1102092</v>
      </c>
      <c r="J426" t="str">
        <f>""</f>
        <v/>
      </c>
      <c r="K426" t="str">
        <f>"J079"</f>
        <v>J079</v>
      </c>
      <c r="L426" t="s">
        <v>1187</v>
      </c>
      <c r="M426">
        <v>361.21</v>
      </c>
    </row>
    <row r="427" spans="1:13" x14ac:dyDescent="0.25">
      <c r="A427" t="str">
        <f t="shared" ref="A427:A454" si="172">"E231"</f>
        <v>E231</v>
      </c>
      <c r="B427">
        <v>1</v>
      </c>
      <c r="C427" t="str">
        <f t="shared" ref="C427:C438" si="173">"10200"</f>
        <v>10200</v>
      </c>
      <c r="D427" t="str">
        <f t="shared" ref="D427:D438" si="174">"5620"</f>
        <v>5620</v>
      </c>
      <c r="E427" t="str">
        <f t="shared" ref="E427:E438" si="175">"094OMS"</f>
        <v>094OMS</v>
      </c>
      <c r="F427" t="str">
        <f>""</f>
        <v/>
      </c>
      <c r="G427" t="str">
        <f>""</f>
        <v/>
      </c>
      <c r="H427" s="1">
        <v>40390</v>
      </c>
      <c r="I427" t="str">
        <f>"MPG00381"</f>
        <v>MPG00381</v>
      </c>
      <c r="J427" t="str">
        <f>""</f>
        <v/>
      </c>
      <c r="K427" t="str">
        <f t="shared" ref="K427:K454" si="176">"AS89"</f>
        <v>AS89</v>
      </c>
      <c r="L427" t="s">
        <v>1527</v>
      </c>
      <c r="M427" s="2">
        <v>1557.57</v>
      </c>
    </row>
    <row r="428" spans="1:13" x14ac:dyDescent="0.25">
      <c r="A428" t="str">
        <f t="shared" si="172"/>
        <v>E231</v>
      </c>
      <c r="B428">
        <v>1</v>
      </c>
      <c r="C428" t="str">
        <f t="shared" si="173"/>
        <v>10200</v>
      </c>
      <c r="D428" t="str">
        <f t="shared" si="174"/>
        <v>5620</v>
      </c>
      <c r="E428" t="str">
        <f t="shared" si="175"/>
        <v>094OMS</v>
      </c>
      <c r="F428" t="str">
        <f>""</f>
        <v/>
      </c>
      <c r="G428" t="str">
        <f>""</f>
        <v/>
      </c>
      <c r="H428" s="1">
        <v>40421</v>
      </c>
      <c r="I428" t="str">
        <f>"MPG00383"</f>
        <v>MPG00383</v>
      </c>
      <c r="J428" t="str">
        <f>""</f>
        <v/>
      </c>
      <c r="K428" t="str">
        <f t="shared" si="176"/>
        <v>AS89</v>
      </c>
      <c r="L428" t="s">
        <v>1526</v>
      </c>
      <c r="M428" s="2">
        <v>1540.68</v>
      </c>
    </row>
    <row r="429" spans="1:13" x14ac:dyDescent="0.25">
      <c r="A429" t="str">
        <f t="shared" si="172"/>
        <v>E231</v>
      </c>
      <c r="B429">
        <v>1</v>
      </c>
      <c r="C429" t="str">
        <f t="shared" si="173"/>
        <v>10200</v>
      </c>
      <c r="D429" t="str">
        <f t="shared" si="174"/>
        <v>5620</v>
      </c>
      <c r="E429" t="str">
        <f t="shared" si="175"/>
        <v>094OMS</v>
      </c>
      <c r="F429" t="str">
        <f>""</f>
        <v/>
      </c>
      <c r="G429" t="str">
        <f>""</f>
        <v/>
      </c>
      <c r="H429" s="1">
        <v>40451</v>
      </c>
      <c r="I429" t="str">
        <f>"MPG00384"</f>
        <v>MPG00384</v>
      </c>
      <c r="J429" t="str">
        <f>""</f>
        <v/>
      </c>
      <c r="K429" t="str">
        <f t="shared" si="176"/>
        <v>AS89</v>
      </c>
      <c r="L429" t="s">
        <v>1525</v>
      </c>
      <c r="M429" s="2">
        <v>1778.96</v>
      </c>
    </row>
    <row r="430" spans="1:13" x14ac:dyDescent="0.25">
      <c r="A430" t="str">
        <f t="shared" si="172"/>
        <v>E231</v>
      </c>
      <c r="B430">
        <v>1</v>
      </c>
      <c r="C430" t="str">
        <f t="shared" si="173"/>
        <v>10200</v>
      </c>
      <c r="D430" t="str">
        <f t="shared" si="174"/>
        <v>5620</v>
      </c>
      <c r="E430" t="str">
        <f t="shared" si="175"/>
        <v>094OMS</v>
      </c>
      <c r="F430" t="str">
        <f>""</f>
        <v/>
      </c>
      <c r="G430" t="str">
        <f>""</f>
        <v/>
      </c>
      <c r="H430" s="1">
        <v>40482</v>
      </c>
      <c r="I430" t="str">
        <f>"MPG00385"</f>
        <v>MPG00385</v>
      </c>
      <c r="J430" t="str">
        <f>""</f>
        <v/>
      </c>
      <c r="K430" t="str">
        <f t="shared" si="176"/>
        <v>AS89</v>
      </c>
      <c r="L430" t="s">
        <v>1524</v>
      </c>
      <c r="M430" s="2">
        <v>1943.24</v>
      </c>
    </row>
    <row r="431" spans="1:13" x14ac:dyDescent="0.25">
      <c r="A431" t="str">
        <f t="shared" si="172"/>
        <v>E231</v>
      </c>
      <c r="B431">
        <v>1</v>
      </c>
      <c r="C431" t="str">
        <f t="shared" si="173"/>
        <v>10200</v>
      </c>
      <c r="D431" t="str">
        <f t="shared" si="174"/>
        <v>5620</v>
      </c>
      <c r="E431" t="str">
        <f t="shared" si="175"/>
        <v>094OMS</v>
      </c>
      <c r="F431" t="str">
        <f>""</f>
        <v/>
      </c>
      <c r="G431" t="str">
        <f>""</f>
        <v/>
      </c>
      <c r="H431" s="1">
        <v>40512</v>
      </c>
      <c r="I431" t="str">
        <f>"MPG00387"</f>
        <v>MPG00387</v>
      </c>
      <c r="J431" t="str">
        <f>""</f>
        <v/>
      </c>
      <c r="K431" t="str">
        <f t="shared" si="176"/>
        <v>AS89</v>
      </c>
      <c r="L431" t="s">
        <v>1523</v>
      </c>
      <c r="M431" s="2">
        <v>1872.04</v>
      </c>
    </row>
    <row r="432" spans="1:13" x14ac:dyDescent="0.25">
      <c r="A432" t="str">
        <f t="shared" si="172"/>
        <v>E231</v>
      </c>
      <c r="B432">
        <v>1</v>
      </c>
      <c r="C432" t="str">
        <f t="shared" si="173"/>
        <v>10200</v>
      </c>
      <c r="D432" t="str">
        <f t="shared" si="174"/>
        <v>5620</v>
      </c>
      <c r="E432" t="str">
        <f t="shared" si="175"/>
        <v>094OMS</v>
      </c>
      <c r="F432" t="str">
        <f>""</f>
        <v/>
      </c>
      <c r="G432" t="str">
        <f>""</f>
        <v/>
      </c>
      <c r="H432" s="1">
        <v>40543</v>
      </c>
      <c r="I432" t="str">
        <f>"MPG00388"</f>
        <v>MPG00388</v>
      </c>
      <c r="J432" t="str">
        <f>""</f>
        <v/>
      </c>
      <c r="K432" t="str">
        <f t="shared" si="176"/>
        <v>AS89</v>
      </c>
      <c r="L432" t="s">
        <v>1522</v>
      </c>
      <c r="M432" s="2">
        <v>1677.6</v>
      </c>
    </row>
    <row r="433" spans="1:13" x14ac:dyDescent="0.25">
      <c r="A433" t="str">
        <f t="shared" si="172"/>
        <v>E231</v>
      </c>
      <c r="B433">
        <v>1</v>
      </c>
      <c r="C433" t="str">
        <f t="shared" si="173"/>
        <v>10200</v>
      </c>
      <c r="D433" t="str">
        <f t="shared" si="174"/>
        <v>5620</v>
      </c>
      <c r="E433" t="str">
        <f t="shared" si="175"/>
        <v>094OMS</v>
      </c>
      <c r="F433" t="str">
        <f>""</f>
        <v/>
      </c>
      <c r="G433" t="str">
        <f>""</f>
        <v/>
      </c>
      <c r="H433" s="1">
        <v>40574</v>
      </c>
      <c r="I433" t="str">
        <f>"MPG00389"</f>
        <v>MPG00389</v>
      </c>
      <c r="J433" t="str">
        <f>""</f>
        <v/>
      </c>
      <c r="K433" t="str">
        <f t="shared" si="176"/>
        <v>AS89</v>
      </c>
      <c r="L433" t="s">
        <v>1521</v>
      </c>
      <c r="M433" s="2">
        <v>1620.21</v>
      </c>
    </row>
    <row r="434" spans="1:13" x14ac:dyDescent="0.25">
      <c r="A434" t="str">
        <f t="shared" si="172"/>
        <v>E231</v>
      </c>
      <c r="B434">
        <v>1</v>
      </c>
      <c r="C434" t="str">
        <f t="shared" si="173"/>
        <v>10200</v>
      </c>
      <c r="D434" t="str">
        <f t="shared" si="174"/>
        <v>5620</v>
      </c>
      <c r="E434" t="str">
        <f t="shared" si="175"/>
        <v>094OMS</v>
      </c>
      <c r="F434" t="str">
        <f>""</f>
        <v/>
      </c>
      <c r="G434" t="str">
        <f>""</f>
        <v/>
      </c>
      <c r="H434" s="1">
        <v>40602</v>
      </c>
      <c r="I434" t="str">
        <f>"MPG00390"</f>
        <v>MPG00390</v>
      </c>
      <c r="J434" t="str">
        <f>""</f>
        <v/>
      </c>
      <c r="K434" t="str">
        <f t="shared" si="176"/>
        <v>AS89</v>
      </c>
      <c r="L434" t="s">
        <v>1520</v>
      </c>
      <c r="M434" s="2">
        <v>1779.91</v>
      </c>
    </row>
    <row r="435" spans="1:13" x14ac:dyDescent="0.25">
      <c r="A435" t="str">
        <f t="shared" si="172"/>
        <v>E231</v>
      </c>
      <c r="B435">
        <v>1</v>
      </c>
      <c r="C435" t="str">
        <f t="shared" si="173"/>
        <v>10200</v>
      </c>
      <c r="D435" t="str">
        <f t="shared" si="174"/>
        <v>5620</v>
      </c>
      <c r="E435" t="str">
        <f t="shared" si="175"/>
        <v>094OMS</v>
      </c>
      <c r="F435" t="str">
        <f>""</f>
        <v/>
      </c>
      <c r="G435" t="str">
        <f>""</f>
        <v/>
      </c>
      <c r="H435" s="1">
        <v>40633</v>
      </c>
      <c r="I435" t="str">
        <f>"MPG00392"</f>
        <v>MPG00392</v>
      </c>
      <c r="J435" t="str">
        <f>""</f>
        <v/>
      </c>
      <c r="K435" t="str">
        <f t="shared" si="176"/>
        <v>AS89</v>
      </c>
      <c r="L435" t="s">
        <v>1519</v>
      </c>
      <c r="M435" s="2">
        <v>2307.7600000000002</v>
      </c>
    </row>
    <row r="436" spans="1:13" x14ac:dyDescent="0.25">
      <c r="A436" t="str">
        <f t="shared" si="172"/>
        <v>E231</v>
      </c>
      <c r="B436">
        <v>1</v>
      </c>
      <c r="C436" t="str">
        <f t="shared" si="173"/>
        <v>10200</v>
      </c>
      <c r="D436" t="str">
        <f t="shared" si="174"/>
        <v>5620</v>
      </c>
      <c r="E436" t="str">
        <f t="shared" si="175"/>
        <v>094OMS</v>
      </c>
      <c r="F436" t="str">
        <f>""</f>
        <v/>
      </c>
      <c r="G436" t="str">
        <f>""</f>
        <v/>
      </c>
      <c r="H436" s="1">
        <v>40663</v>
      </c>
      <c r="I436" t="str">
        <f>"MPG00393"</f>
        <v>MPG00393</v>
      </c>
      <c r="J436" t="str">
        <f>""</f>
        <v/>
      </c>
      <c r="K436" t="str">
        <f t="shared" si="176"/>
        <v>AS89</v>
      </c>
      <c r="L436" t="s">
        <v>1518</v>
      </c>
      <c r="M436" s="2">
        <v>2148.5500000000002</v>
      </c>
    </row>
    <row r="437" spans="1:13" x14ac:dyDescent="0.25">
      <c r="A437" t="str">
        <f t="shared" si="172"/>
        <v>E231</v>
      </c>
      <c r="B437">
        <v>1</v>
      </c>
      <c r="C437" t="str">
        <f t="shared" si="173"/>
        <v>10200</v>
      </c>
      <c r="D437" t="str">
        <f t="shared" si="174"/>
        <v>5620</v>
      </c>
      <c r="E437" t="str">
        <f t="shared" si="175"/>
        <v>094OMS</v>
      </c>
      <c r="F437" t="str">
        <f>""</f>
        <v/>
      </c>
      <c r="G437" t="str">
        <f>""</f>
        <v/>
      </c>
      <c r="H437" s="1">
        <v>40694</v>
      </c>
      <c r="I437" t="str">
        <f>"MPG00394"</f>
        <v>MPG00394</v>
      </c>
      <c r="J437" t="str">
        <f>""</f>
        <v/>
      </c>
      <c r="K437" t="str">
        <f t="shared" si="176"/>
        <v>AS89</v>
      </c>
      <c r="L437" t="s">
        <v>1517</v>
      </c>
      <c r="M437" s="2">
        <v>2456.62</v>
      </c>
    </row>
    <row r="438" spans="1:13" x14ac:dyDescent="0.25">
      <c r="A438" t="str">
        <f t="shared" si="172"/>
        <v>E231</v>
      </c>
      <c r="B438">
        <v>1</v>
      </c>
      <c r="C438" t="str">
        <f t="shared" si="173"/>
        <v>10200</v>
      </c>
      <c r="D438" t="str">
        <f t="shared" si="174"/>
        <v>5620</v>
      </c>
      <c r="E438" t="str">
        <f t="shared" si="175"/>
        <v>094OMS</v>
      </c>
      <c r="F438" t="str">
        <f>""</f>
        <v/>
      </c>
      <c r="G438" t="str">
        <f>""</f>
        <v/>
      </c>
      <c r="H438" s="1">
        <v>40724</v>
      </c>
      <c r="I438" t="str">
        <f>"MPG00395"</f>
        <v>MPG00395</v>
      </c>
      <c r="J438" t="str">
        <f>""</f>
        <v/>
      </c>
      <c r="K438" t="str">
        <f t="shared" si="176"/>
        <v>AS89</v>
      </c>
      <c r="L438" t="s">
        <v>1516</v>
      </c>
      <c r="M438" s="2">
        <v>2300.87</v>
      </c>
    </row>
    <row r="439" spans="1:13" x14ac:dyDescent="0.25">
      <c r="A439" t="str">
        <f t="shared" si="172"/>
        <v>E231</v>
      </c>
      <c r="B439">
        <v>1</v>
      </c>
      <c r="C439" t="str">
        <f t="shared" ref="C439:C442" si="177">"32040"</f>
        <v>32040</v>
      </c>
      <c r="D439" t="str">
        <f t="shared" ref="D439:D442" si="178">"5610"</f>
        <v>5610</v>
      </c>
      <c r="E439" t="str">
        <f t="shared" ref="E439:E455" si="179">"850LOS"</f>
        <v>850LOS</v>
      </c>
      <c r="F439" t="str">
        <f>""</f>
        <v/>
      </c>
      <c r="G439" t="str">
        <f>""</f>
        <v/>
      </c>
      <c r="H439" s="1">
        <v>40451</v>
      </c>
      <c r="I439" t="str">
        <f>"MPG00384"</f>
        <v>MPG00384</v>
      </c>
      <c r="J439" t="str">
        <f>""</f>
        <v/>
      </c>
      <c r="K439" t="str">
        <f t="shared" si="176"/>
        <v>AS89</v>
      </c>
      <c r="L439" t="s">
        <v>1525</v>
      </c>
      <c r="M439">
        <v>149.11000000000001</v>
      </c>
    </row>
    <row r="440" spans="1:13" x14ac:dyDescent="0.25">
      <c r="A440" t="str">
        <f t="shared" si="172"/>
        <v>E231</v>
      </c>
      <c r="B440">
        <v>1</v>
      </c>
      <c r="C440" t="str">
        <f t="shared" si="177"/>
        <v>32040</v>
      </c>
      <c r="D440" t="str">
        <f t="shared" si="178"/>
        <v>5610</v>
      </c>
      <c r="E440" t="str">
        <f t="shared" si="179"/>
        <v>850LOS</v>
      </c>
      <c r="F440" t="str">
        <f>""</f>
        <v/>
      </c>
      <c r="G440" t="str">
        <f>""</f>
        <v/>
      </c>
      <c r="H440" s="1">
        <v>40543</v>
      </c>
      <c r="I440" t="str">
        <f>"MPG00388"</f>
        <v>MPG00388</v>
      </c>
      <c r="J440" t="str">
        <f>""</f>
        <v/>
      </c>
      <c r="K440" t="str">
        <f t="shared" si="176"/>
        <v>AS89</v>
      </c>
      <c r="L440" t="s">
        <v>1522</v>
      </c>
      <c r="M440">
        <v>124.56</v>
      </c>
    </row>
    <row r="441" spans="1:13" x14ac:dyDescent="0.25">
      <c r="A441" t="str">
        <f t="shared" si="172"/>
        <v>E231</v>
      </c>
      <c r="B441">
        <v>1</v>
      </c>
      <c r="C441" t="str">
        <f t="shared" si="177"/>
        <v>32040</v>
      </c>
      <c r="D441" t="str">
        <f t="shared" si="178"/>
        <v>5610</v>
      </c>
      <c r="E441" t="str">
        <f t="shared" si="179"/>
        <v>850LOS</v>
      </c>
      <c r="F441" t="str">
        <f>""</f>
        <v/>
      </c>
      <c r="G441" t="str">
        <f>""</f>
        <v/>
      </c>
      <c r="H441" s="1">
        <v>40633</v>
      </c>
      <c r="I441" t="str">
        <f>"MPG00392"</f>
        <v>MPG00392</v>
      </c>
      <c r="J441" t="str">
        <f>""</f>
        <v/>
      </c>
      <c r="K441" t="str">
        <f t="shared" si="176"/>
        <v>AS89</v>
      </c>
      <c r="L441" t="s">
        <v>1519</v>
      </c>
      <c r="M441">
        <v>161.61000000000001</v>
      </c>
    </row>
    <row r="442" spans="1:13" x14ac:dyDescent="0.25">
      <c r="A442" t="str">
        <f t="shared" si="172"/>
        <v>E231</v>
      </c>
      <c r="B442">
        <v>1</v>
      </c>
      <c r="C442" t="str">
        <f t="shared" si="177"/>
        <v>32040</v>
      </c>
      <c r="D442" t="str">
        <f t="shared" si="178"/>
        <v>5610</v>
      </c>
      <c r="E442" t="str">
        <f t="shared" si="179"/>
        <v>850LOS</v>
      </c>
      <c r="F442" t="str">
        <f>""</f>
        <v/>
      </c>
      <c r="G442" t="str">
        <f>""</f>
        <v/>
      </c>
      <c r="H442" s="1">
        <v>40724</v>
      </c>
      <c r="I442" t="str">
        <f>"MPG00395"</f>
        <v>MPG00395</v>
      </c>
      <c r="J442" t="str">
        <f>""</f>
        <v/>
      </c>
      <c r="K442" t="str">
        <f t="shared" si="176"/>
        <v>AS89</v>
      </c>
      <c r="L442" t="s">
        <v>1516</v>
      </c>
      <c r="M442">
        <v>106.21</v>
      </c>
    </row>
    <row r="443" spans="1:13" x14ac:dyDescent="0.25">
      <c r="A443" t="str">
        <f t="shared" si="172"/>
        <v>E231</v>
      </c>
      <c r="B443">
        <v>1</v>
      </c>
      <c r="C443" t="str">
        <f t="shared" ref="C443:C455" si="180">"43000"</f>
        <v>43000</v>
      </c>
      <c r="D443" t="str">
        <f t="shared" ref="D443:D455" si="181">"5740"</f>
        <v>5740</v>
      </c>
      <c r="E443" t="str">
        <f t="shared" si="179"/>
        <v>850LOS</v>
      </c>
      <c r="F443" t="str">
        <f>""</f>
        <v/>
      </c>
      <c r="G443" t="str">
        <f>""</f>
        <v/>
      </c>
      <c r="H443" s="1">
        <v>40390</v>
      </c>
      <c r="I443" t="str">
        <f>"MPG00381"</f>
        <v>MPG00381</v>
      </c>
      <c r="J443" t="str">
        <f>""</f>
        <v/>
      </c>
      <c r="K443" t="str">
        <f t="shared" si="176"/>
        <v>AS89</v>
      </c>
      <c r="L443" t="s">
        <v>1527</v>
      </c>
      <c r="M443">
        <v>663.32</v>
      </c>
    </row>
    <row r="444" spans="1:13" x14ac:dyDescent="0.25">
      <c r="A444" t="str">
        <f t="shared" si="172"/>
        <v>E231</v>
      </c>
      <c r="B444">
        <v>1</v>
      </c>
      <c r="C444" t="str">
        <f t="shared" si="180"/>
        <v>43000</v>
      </c>
      <c r="D444" t="str">
        <f t="shared" si="181"/>
        <v>5740</v>
      </c>
      <c r="E444" t="str">
        <f t="shared" si="179"/>
        <v>850LOS</v>
      </c>
      <c r="F444" t="str">
        <f>""</f>
        <v/>
      </c>
      <c r="G444" t="str">
        <f>""</f>
        <v/>
      </c>
      <c r="H444" s="1">
        <v>40421</v>
      </c>
      <c r="I444" t="str">
        <f>"MPG00383"</f>
        <v>MPG00383</v>
      </c>
      <c r="J444" t="str">
        <f>""</f>
        <v/>
      </c>
      <c r="K444" t="str">
        <f t="shared" si="176"/>
        <v>AS89</v>
      </c>
      <c r="L444" t="s">
        <v>1526</v>
      </c>
      <c r="M444">
        <v>777.37</v>
      </c>
    </row>
    <row r="445" spans="1:13" x14ac:dyDescent="0.25">
      <c r="A445" t="str">
        <f t="shared" si="172"/>
        <v>E231</v>
      </c>
      <c r="B445">
        <v>1</v>
      </c>
      <c r="C445" t="str">
        <f t="shared" si="180"/>
        <v>43000</v>
      </c>
      <c r="D445" t="str">
        <f t="shared" si="181"/>
        <v>5740</v>
      </c>
      <c r="E445" t="str">
        <f t="shared" si="179"/>
        <v>850LOS</v>
      </c>
      <c r="F445" t="str">
        <f>""</f>
        <v/>
      </c>
      <c r="G445" t="str">
        <f>""</f>
        <v/>
      </c>
      <c r="H445" s="1">
        <v>40451</v>
      </c>
      <c r="I445" t="str">
        <f>"MPG00384"</f>
        <v>MPG00384</v>
      </c>
      <c r="J445" t="str">
        <f>""</f>
        <v/>
      </c>
      <c r="K445" t="str">
        <f t="shared" si="176"/>
        <v>AS89</v>
      </c>
      <c r="L445" t="s">
        <v>1525</v>
      </c>
      <c r="M445">
        <v>951.93</v>
      </c>
    </row>
    <row r="446" spans="1:13" x14ac:dyDescent="0.25">
      <c r="A446" t="str">
        <f t="shared" si="172"/>
        <v>E231</v>
      </c>
      <c r="B446">
        <v>1</v>
      </c>
      <c r="C446" t="str">
        <f t="shared" si="180"/>
        <v>43000</v>
      </c>
      <c r="D446" t="str">
        <f t="shared" si="181"/>
        <v>5740</v>
      </c>
      <c r="E446" t="str">
        <f t="shared" si="179"/>
        <v>850LOS</v>
      </c>
      <c r="F446" t="str">
        <f>""</f>
        <v/>
      </c>
      <c r="G446" t="str">
        <f>""</f>
        <v/>
      </c>
      <c r="H446" s="1">
        <v>40482</v>
      </c>
      <c r="I446" t="str">
        <f>"MPG00385"</f>
        <v>MPG00385</v>
      </c>
      <c r="J446" t="str">
        <f>""</f>
        <v/>
      </c>
      <c r="K446" t="str">
        <f t="shared" si="176"/>
        <v>AS89</v>
      </c>
      <c r="L446" t="s">
        <v>1524</v>
      </c>
      <c r="M446">
        <v>788.96</v>
      </c>
    </row>
    <row r="447" spans="1:13" x14ac:dyDescent="0.25">
      <c r="A447" t="str">
        <f t="shared" si="172"/>
        <v>E231</v>
      </c>
      <c r="B447">
        <v>1</v>
      </c>
      <c r="C447" t="str">
        <f t="shared" si="180"/>
        <v>43000</v>
      </c>
      <c r="D447" t="str">
        <f t="shared" si="181"/>
        <v>5740</v>
      </c>
      <c r="E447" t="str">
        <f t="shared" si="179"/>
        <v>850LOS</v>
      </c>
      <c r="F447" t="str">
        <f>""</f>
        <v/>
      </c>
      <c r="G447" t="str">
        <f>""</f>
        <v/>
      </c>
      <c r="H447" s="1">
        <v>40512</v>
      </c>
      <c r="I447" t="str">
        <f>"MPG00387"</f>
        <v>MPG00387</v>
      </c>
      <c r="J447" t="str">
        <f>""</f>
        <v/>
      </c>
      <c r="K447" t="str">
        <f t="shared" si="176"/>
        <v>AS89</v>
      </c>
      <c r="L447" t="s">
        <v>1523</v>
      </c>
      <c r="M447">
        <v>813.18</v>
      </c>
    </row>
    <row r="448" spans="1:13" x14ac:dyDescent="0.25">
      <c r="A448" t="str">
        <f t="shared" si="172"/>
        <v>E231</v>
      </c>
      <c r="B448">
        <v>1</v>
      </c>
      <c r="C448" t="str">
        <f t="shared" si="180"/>
        <v>43000</v>
      </c>
      <c r="D448" t="str">
        <f t="shared" si="181"/>
        <v>5740</v>
      </c>
      <c r="E448" t="str">
        <f t="shared" si="179"/>
        <v>850LOS</v>
      </c>
      <c r="F448" t="str">
        <f>""</f>
        <v/>
      </c>
      <c r="G448" t="str">
        <f>""</f>
        <v/>
      </c>
      <c r="H448" s="1">
        <v>40543</v>
      </c>
      <c r="I448" t="str">
        <f>"MPG00388"</f>
        <v>MPG00388</v>
      </c>
      <c r="J448" t="str">
        <f>""</f>
        <v/>
      </c>
      <c r="K448" t="str">
        <f t="shared" si="176"/>
        <v>AS89</v>
      </c>
      <c r="L448" t="s">
        <v>1522</v>
      </c>
      <c r="M448">
        <v>808.64</v>
      </c>
    </row>
    <row r="449" spans="1:13" x14ac:dyDescent="0.25">
      <c r="A449" t="str">
        <f t="shared" si="172"/>
        <v>E231</v>
      </c>
      <c r="B449">
        <v>1</v>
      </c>
      <c r="C449" t="str">
        <f t="shared" si="180"/>
        <v>43000</v>
      </c>
      <c r="D449" t="str">
        <f t="shared" si="181"/>
        <v>5740</v>
      </c>
      <c r="E449" t="str">
        <f t="shared" si="179"/>
        <v>850LOS</v>
      </c>
      <c r="F449" t="str">
        <f>""</f>
        <v/>
      </c>
      <c r="G449" t="str">
        <f>""</f>
        <v/>
      </c>
      <c r="H449" s="1">
        <v>40574</v>
      </c>
      <c r="I449" t="str">
        <f>"MPG00389"</f>
        <v>MPG00389</v>
      </c>
      <c r="J449" t="str">
        <f>""</f>
        <v/>
      </c>
      <c r="K449" t="str">
        <f t="shared" si="176"/>
        <v>AS89</v>
      </c>
      <c r="L449" t="s">
        <v>1521</v>
      </c>
      <c r="M449">
        <v>978.12</v>
      </c>
    </row>
    <row r="450" spans="1:13" x14ac:dyDescent="0.25">
      <c r="A450" t="str">
        <f t="shared" si="172"/>
        <v>E231</v>
      </c>
      <c r="B450">
        <v>1</v>
      </c>
      <c r="C450" t="str">
        <f t="shared" si="180"/>
        <v>43000</v>
      </c>
      <c r="D450" t="str">
        <f t="shared" si="181"/>
        <v>5740</v>
      </c>
      <c r="E450" t="str">
        <f t="shared" si="179"/>
        <v>850LOS</v>
      </c>
      <c r="F450" t="str">
        <f>""</f>
        <v/>
      </c>
      <c r="G450" t="str">
        <f>""</f>
        <v/>
      </c>
      <c r="H450" s="1">
        <v>40602</v>
      </c>
      <c r="I450" t="str">
        <f>"MPG00390"</f>
        <v>MPG00390</v>
      </c>
      <c r="J450" t="str">
        <f>""</f>
        <v/>
      </c>
      <c r="K450" t="str">
        <f t="shared" si="176"/>
        <v>AS89</v>
      </c>
      <c r="L450" t="s">
        <v>1520</v>
      </c>
      <c r="M450">
        <v>955.01</v>
      </c>
    </row>
    <row r="451" spans="1:13" x14ac:dyDescent="0.25">
      <c r="A451" t="str">
        <f t="shared" si="172"/>
        <v>E231</v>
      </c>
      <c r="B451">
        <v>1</v>
      </c>
      <c r="C451" t="str">
        <f t="shared" si="180"/>
        <v>43000</v>
      </c>
      <c r="D451" t="str">
        <f t="shared" si="181"/>
        <v>5740</v>
      </c>
      <c r="E451" t="str">
        <f t="shared" si="179"/>
        <v>850LOS</v>
      </c>
      <c r="F451" t="str">
        <f>""</f>
        <v/>
      </c>
      <c r="G451" t="str">
        <f>""</f>
        <v/>
      </c>
      <c r="H451" s="1">
        <v>40633</v>
      </c>
      <c r="I451" t="str">
        <f>"MPG00392"</f>
        <v>MPG00392</v>
      </c>
      <c r="J451" t="str">
        <f>""</f>
        <v/>
      </c>
      <c r="K451" t="str">
        <f t="shared" si="176"/>
        <v>AS89</v>
      </c>
      <c r="L451" t="s">
        <v>1519</v>
      </c>
      <c r="M451" s="2">
        <v>1344.49</v>
      </c>
    </row>
    <row r="452" spans="1:13" x14ac:dyDescent="0.25">
      <c r="A452" t="str">
        <f t="shared" si="172"/>
        <v>E231</v>
      </c>
      <c r="B452">
        <v>1</v>
      </c>
      <c r="C452" t="str">
        <f t="shared" si="180"/>
        <v>43000</v>
      </c>
      <c r="D452" t="str">
        <f t="shared" si="181"/>
        <v>5740</v>
      </c>
      <c r="E452" t="str">
        <f t="shared" si="179"/>
        <v>850LOS</v>
      </c>
      <c r="F452" t="str">
        <f>""</f>
        <v/>
      </c>
      <c r="G452" t="str">
        <f>""</f>
        <v/>
      </c>
      <c r="H452" s="1">
        <v>40663</v>
      </c>
      <c r="I452" t="str">
        <f>"MPG00393"</f>
        <v>MPG00393</v>
      </c>
      <c r="J452" t="str">
        <f>""</f>
        <v/>
      </c>
      <c r="K452" t="str">
        <f t="shared" si="176"/>
        <v>AS89</v>
      </c>
      <c r="L452" t="s">
        <v>1518</v>
      </c>
      <c r="M452" s="2">
        <v>1115.52</v>
      </c>
    </row>
    <row r="453" spans="1:13" x14ac:dyDescent="0.25">
      <c r="A453" t="str">
        <f t="shared" si="172"/>
        <v>E231</v>
      </c>
      <c r="B453">
        <v>1</v>
      </c>
      <c r="C453" t="str">
        <f t="shared" si="180"/>
        <v>43000</v>
      </c>
      <c r="D453" t="str">
        <f t="shared" si="181"/>
        <v>5740</v>
      </c>
      <c r="E453" t="str">
        <f t="shared" si="179"/>
        <v>850LOS</v>
      </c>
      <c r="F453" t="str">
        <f>""</f>
        <v/>
      </c>
      <c r="G453" t="str">
        <f>""</f>
        <v/>
      </c>
      <c r="H453" s="1">
        <v>40694</v>
      </c>
      <c r="I453" t="str">
        <f>"MPG00394"</f>
        <v>MPG00394</v>
      </c>
      <c r="J453" t="str">
        <f>""</f>
        <v/>
      </c>
      <c r="K453" t="str">
        <f t="shared" si="176"/>
        <v>AS89</v>
      </c>
      <c r="L453" t="s">
        <v>1517</v>
      </c>
      <c r="M453" s="2">
        <v>1510.82</v>
      </c>
    </row>
    <row r="454" spans="1:13" x14ac:dyDescent="0.25">
      <c r="A454" t="str">
        <f t="shared" si="172"/>
        <v>E231</v>
      </c>
      <c r="B454">
        <v>1</v>
      </c>
      <c r="C454" t="str">
        <f t="shared" si="180"/>
        <v>43000</v>
      </c>
      <c r="D454" t="str">
        <f t="shared" si="181"/>
        <v>5740</v>
      </c>
      <c r="E454" t="str">
        <f t="shared" si="179"/>
        <v>850LOS</v>
      </c>
      <c r="F454" t="str">
        <f>""</f>
        <v/>
      </c>
      <c r="G454" t="str">
        <f>""</f>
        <v/>
      </c>
      <c r="H454" s="1">
        <v>40724</v>
      </c>
      <c r="I454" t="str">
        <f>"MPG00395"</f>
        <v>MPG00395</v>
      </c>
      <c r="J454" t="str">
        <f>""</f>
        <v/>
      </c>
      <c r="K454" t="str">
        <f t="shared" si="176"/>
        <v>AS89</v>
      </c>
      <c r="L454" t="s">
        <v>1516</v>
      </c>
      <c r="M454">
        <v>970.27</v>
      </c>
    </row>
    <row r="455" spans="1:13" x14ac:dyDescent="0.25">
      <c r="A455" t="str">
        <f t="shared" ref="A455" si="182">"E232"</f>
        <v>E232</v>
      </c>
      <c r="B455">
        <v>1</v>
      </c>
      <c r="C455" t="str">
        <f t="shared" si="180"/>
        <v>43000</v>
      </c>
      <c r="D455" t="str">
        <f t="shared" si="181"/>
        <v>5740</v>
      </c>
      <c r="E455" t="str">
        <f t="shared" si="179"/>
        <v>850LOS</v>
      </c>
      <c r="F455" t="str">
        <f>""</f>
        <v/>
      </c>
      <c r="G455" t="str">
        <f>""</f>
        <v/>
      </c>
      <c r="H455" s="1">
        <v>40486</v>
      </c>
      <c r="I455" t="str">
        <f>"183029"</f>
        <v>183029</v>
      </c>
      <c r="J455" t="str">
        <f>""</f>
        <v/>
      </c>
      <c r="K455" t="str">
        <f>"INNI"</f>
        <v>INNI</v>
      </c>
      <c r="L455" t="s">
        <v>92</v>
      </c>
      <c r="M455" s="2">
        <v>16875</v>
      </c>
    </row>
    <row r="456" spans="1:13" x14ac:dyDescent="0.25">
      <c r="A456" t="str">
        <f t="shared" ref="A456:A459" si="183">"E241"</f>
        <v>E241</v>
      </c>
      <c r="B456">
        <v>1</v>
      </c>
      <c r="C456" t="str">
        <f>"10200"</f>
        <v>10200</v>
      </c>
      <c r="D456" t="str">
        <f>"5620"</f>
        <v>5620</v>
      </c>
      <c r="E456" t="str">
        <f>"094OMS"</f>
        <v>094OMS</v>
      </c>
      <c r="F456" t="str">
        <f>""</f>
        <v/>
      </c>
      <c r="G456" t="str">
        <f>""</f>
        <v/>
      </c>
      <c r="H456" s="1">
        <v>40542</v>
      </c>
      <c r="I456" t="str">
        <f>"PCD00458"</f>
        <v>PCD00458</v>
      </c>
      <c r="J456" t="str">
        <f>"134144"</f>
        <v>134144</v>
      </c>
      <c r="K456" t="str">
        <f>"AS89"</f>
        <v>AS89</v>
      </c>
      <c r="L456" t="s">
        <v>1514</v>
      </c>
      <c r="M456">
        <v>200.47</v>
      </c>
    </row>
    <row r="457" spans="1:13" x14ac:dyDescent="0.25">
      <c r="A457" t="str">
        <f t="shared" si="183"/>
        <v>E241</v>
      </c>
      <c r="B457">
        <v>1</v>
      </c>
      <c r="C457" t="str">
        <f>"10200"</f>
        <v>10200</v>
      </c>
      <c r="D457" t="str">
        <f>"5620"</f>
        <v>5620</v>
      </c>
      <c r="E457" t="str">
        <f>"094OMS"</f>
        <v>094OMS</v>
      </c>
      <c r="F457" t="str">
        <f>""</f>
        <v/>
      </c>
      <c r="G457" t="str">
        <f>""</f>
        <v/>
      </c>
      <c r="H457" s="1">
        <v>40542</v>
      </c>
      <c r="I457" t="str">
        <f>"PCD00458"</f>
        <v>PCD00458</v>
      </c>
      <c r="J457" t="str">
        <f>"134454"</f>
        <v>134454</v>
      </c>
      <c r="K457" t="str">
        <f>"AS89"</f>
        <v>AS89</v>
      </c>
      <c r="L457" t="s">
        <v>1513</v>
      </c>
      <c r="M457">
        <v>276.51</v>
      </c>
    </row>
    <row r="458" spans="1:13" x14ac:dyDescent="0.25">
      <c r="A458" t="str">
        <f t="shared" si="183"/>
        <v>E241</v>
      </c>
      <c r="B458">
        <v>1</v>
      </c>
      <c r="C458" t="str">
        <f>"43000"</f>
        <v>43000</v>
      </c>
      <c r="D458" t="str">
        <f>"5740"</f>
        <v>5740</v>
      </c>
      <c r="E458" t="str">
        <f>"850LOS"</f>
        <v>850LOS</v>
      </c>
      <c r="F458" t="str">
        <f>""</f>
        <v/>
      </c>
      <c r="G458" t="str">
        <f>""</f>
        <v/>
      </c>
      <c r="H458" s="1">
        <v>40451</v>
      </c>
      <c r="I458" t="str">
        <f>"SPU00110"</f>
        <v>SPU00110</v>
      </c>
      <c r="J458" t="str">
        <f>""</f>
        <v/>
      </c>
      <c r="K458" t="str">
        <f>"AS96"</f>
        <v>AS96</v>
      </c>
      <c r="L458" t="s">
        <v>1512</v>
      </c>
      <c r="M458">
        <v>327.75</v>
      </c>
    </row>
    <row r="459" spans="1:13" x14ac:dyDescent="0.25">
      <c r="A459" t="str">
        <f t="shared" si="183"/>
        <v>E241</v>
      </c>
      <c r="B459">
        <v>1</v>
      </c>
      <c r="C459" t="str">
        <f>"43000"</f>
        <v>43000</v>
      </c>
      <c r="D459" t="str">
        <f>"5740"</f>
        <v>5740</v>
      </c>
      <c r="E459" t="str">
        <f>"850LOS"</f>
        <v>850LOS</v>
      </c>
      <c r="F459" t="str">
        <f>""</f>
        <v/>
      </c>
      <c r="G459" t="str">
        <f>""</f>
        <v/>
      </c>
      <c r="H459" s="1">
        <v>40542</v>
      </c>
      <c r="I459" t="str">
        <f>"PCD00458"</f>
        <v>PCD00458</v>
      </c>
      <c r="J459" t="str">
        <f>"135203"</f>
        <v>135203</v>
      </c>
      <c r="K459" t="str">
        <f>"AS89"</f>
        <v>AS89</v>
      </c>
      <c r="L459" t="s">
        <v>1511</v>
      </c>
      <c r="M459">
        <v>192.86</v>
      </c>
    </row>
    <row r="460" spans="1:13" x14ac:dyDescent="0.25">
      <c r="A460" t="str">
        <f t="shared" ref="A460:A472" si="184">"E247"</f>
        <v>E247</v>
      </c>
      <c r="B460">
        <v>1</v>
      </c>
      <c r="C460" t="str">
        <f t="shared" ref="C460:C471" si="185">"10200"</f>
        <v>10200</v>
      </c>
      <c r="D460" t="str">
        <f t="shared" ref="D460:D472" si="186">"5620"</f>
        <v>5620</v>
      </c>
      <c r="E460" t="str">
        <f t="shared" ref="E460:E472" si="187">"094OMS"</f>
        <v>094OMS</v>
      </c>
      <c r="F460" t="str">
        <f>""</f>
        <v/>
      </c>
      <c r="G460" t="str">
        <f>""</f>
        <v/>
      </c>
      <c r="H460" s="1">
        <v>40463</v>
      </c>
      <c r="I460" t="str">
        <f>"I0098500"</f>
        <v>I0098500</v>
      </c>
      <c r="J460" t="str">
        <f t="shared" ref="J460:J461" si="188">"N125301B"</f>
        <v>N125301B</v>
      </c>
      <c r="K460" t="str">
        <f t="shared" ref="K460:K461" si="189">"INEI"</f>
        <v>INEI</v>
      </c>
      <c r="L460" t="s">
        <v>838</v>
      </c>
      <c r="M460">
        <v>274.38</v>
      </c>
    </row>
    <row r="461" spans="1:13" x14ac:dyDescent="0.25">
      <c r="A461" t="str">
        <f t="shared" si="184"/>
        <v>E247</v>
      </c>
      <c r="B461">
        <v>1</v>
      </c>
      <c r="C461" t="str">
        <f t="shared" si="185"/>
        <v>10200</v>
      </c>
      <c r="D461" t="str">
        <f t="shared" si="186"/>
        <v>5620</v>
      </c>
      <c r="E461" t="str">
        <f t="shared" si="187"/>
        <v>094OMS</v>
      </c>
      <c r="F461" t="str">
        <f>""</f>
        <v/>
      </c>
      <c r="G461" t="str">
        <f>""</f>
        <v/>
      </c>
      <c r="H461" s="1">
        <v>40463</v>
      </c>
      <c r="I461" t="str">
        <f>"I0098501"</f>
        <v>I0098501</v>
      </c>
      <c r="J461" t="str">
        <f t="shared" si="188"/>
        <v>N125301B</v>
      </c>
      <c r="K461" t="str">
        <f t="shared" si="189"/>
        <v>INEI</v>
      </c>
      <c r="L461" t="s">
        <v>838</v>
      </c>
      <c r="M461">
        <v>211.11</v>
      </c>
    </row>
    <row r="462" spans="1:13" x14ac:dyDescent="0.25">
      <c r="A462" t="str">
        <f t="shared" si="184"/>
        <v>E247</v>
      </c>
      <c r="B462">
        <v>1</v>
      </c>
      <c r="C462" t="str">
        <f t="shared" si="185"/>
        <v>10200</v>
      </c>
      <c r="D462" t="str">
        <f t="shared" si="186"/>
        <v>5620</v>
      </c>
      <c r="E462" t="str">
        <f t="shared" si="187"/>
        <v>094OMS</v>
      </c>
      <c r="F462" t="str">
        <f>""</f>
        <v/>
      </c>
      <c r="G462" t="str">
        <f>""</f>
        <v/>
      </c>
      <c r="H462" s="1">
        <v>40482</v>
      </c>
      <c r="I462" t="str">
        <f>"G1104202"</f>
        <v>G1104202</v>
      </c>
      <c r="J462" t="str">
        <f>"I0097964"</f>
        <v>I0097964</v>
      </c>
      <c r="K462" t="str">
        <f>"J096"</f>
        <v>J096</v>
      </c>
      <c r="L462" t="s">
        <v>1508</v>
      </c>
      <c r="M462">
        <v>130.82</v>
      </c>
    </row>
    <row r="463" spans="1:13" x14ac:dyDescent="0.25">
      <c r="A463" t="str">
        <f t="shared" si="184"/>
        <v>E247</v>
      </c>
      <c r="B463">
        <v>1</v>
      </c>
      <c r="C463" t="str">
        <f t="shared" si="185"/>
        <v>10200</v>
      </c>
      <c r="D463" t="str">
        <f t="shared" si="186"/>
        <v>5620</v>
      </c>
      <c r="E463" t="str">
        <f t="shared" si="187"/>
        <v>094OMS</v>
      </c>
      <c r="F463" t="str">
        <f>""</f>
        <v/>
      </c>
      <c r="G463" t="str">
        <f>""</f>
        <v/>
      </c>
      <c r="H463" s="1">
        <v>40490</v>
      </c>
      <c r="I463" t="str">
        <f>"I0098818"</f>
        <v>I0098818</v>
      </c>
      <c r="J463" t="str">
        <f>"N125301B"</f>
        <v>N125301B</v>
      </c>
      <c r="K463" t="str">
        <f>"INEI"</f>
        <v>INEI</v>
      </c>
      <c r="L463" t="s">
        <v>838</v>
      </c>
      <c r="M463">
        <v>207.64</v>
      </c>
    </row>
    <row r="464" spans="1:13" x14ac:dyDescent="0.25">
      <c r="A464" t="str">
        <f t="shared" si="184"/>
        <v>E247</v>
      </c>
      <c r="B464">
        <v>1</v>
      </c>
      <c r="C464" t="str">
        <f t="shared" si="185"/>
        <v>10200</v>
      </c>
      <c r="D464" t="str">
        <f t="shared" si="186"/>
        <v>5620</v>
      </c>
      <c r="E464" t="str">
        <f t="shared" si="187"/>
        <v>094OMS</v>
      </c>
      <c r="F464" t="str">
        <f>""</f>
        <v/>
      </c>
      <c r="G464" t="str">
        <f>""</f>
        <v/>
      </c>
      <c r="H464" s="1">
        <v>40541</v>
      </c>
      <c r="I464" t="str">
        <f>"I0099288"</f>
        <v>I0099288</v>
      </c>
      <c r="J464" t="str">
        <f>"N125301C"</f>
        <v>N125301C</v>
      </c>
      <c r="K464" t="str">
        <f>"INEI"</f>
        <v>INEI</v>
      </c>
      <c r="L464" t="s">
        <v>838</v>
      </c>
      <c r="M464">
        <v>300.61</v>
      </c>
    </row>
    <row r="465" spans="1:13" x14ac:dyDescent="0.25">
      <c r="A465" t="str">
        <f t="shared" si="184"/>
        <v>E247</v>
      </c>
      <c r="B465">
        <v>1</v>
      </c>
      <c r="C465" t="str">
        <f t="shared" si="185"/>
        <v>10200</v>
      </c>
      <c r="D465" t="str">
        <f t="shared" si="186"/>
        <v>5620</v>
      </c>
      <c r="E465" t="str">
        <f t="shared" si="187"/>
        <v>094OMS</v>
      </c>
      <c r="F465" t="str">
        <f>""</f>
        <v/>
      </c>
      <c r="G465" t="str">
        <f>""</f>
        <v/>
      </c>
      <c r="H465" s="1">
        <v>40547</v>
      </c>
      <c r="I465" t="str">
        <f>"I0099310"</f>
        <v>I0099310</v>
      </c>
      <c r="J465" t="str">
        <f>"N125301C"</f>
        <v>N125301C</v>
      </c>
      <c r="K465" t="str">
        <f>"INEI"</f>
        <v>INEI</v>
      </c>
      <c r="L465" t="s">
        <v>838</v>
      </c>
      <c r="M465">
        <v>338.4</v>
      </c>
    </row>
    <row r="466" spans="1:13" x14ac:dyDescent="0.25">
      <c r="A466" t="str">
        <f t="shared" si="184"/>
        <v>E247</v>
      </c>
      <c r="B466">
        <v>1</v>
      </c>
      <c r="C466" t="str">
        <f t="shared" si="185"/>
        <v>10200</v>
      </c>
      <c r="D466" t="str">
        <f t="shared" si="186"/>
        <v>5620</v>
      </c>
      <c r="E466" t="str">
        <f t="shared" si="187"/>
        <v>094OMS</v>
      </c>
      <c r="F466" t="str">
        <f>""</f>
        <v/>
      </c>
      <c r="G466" t="str">
        <f>""</f>
        <v/>
      </c>
      <c r="H466" s="1">
        <v>40577</v>
      </c>
      <c r="I466" t="str">
        <f>"I0099616"</f>
        <v>I0099616</v>
      </c>
      <c r="J466" t="str">
        <f t="shared" ref="J466:J471" si="190">"N125301C"</f>
        <v>N125301C</v>
      </c>
      <c r="K466" t="str">
        <f t="shared" ref="K466:K471" si="191">"INEI"</f>
        <v>INEI</v>
      </c>
      <c r="L466" t="s">
        <v>838</v>
      </c>
      <c r="M466">
        <v>259.76</v>
      </c>
    </row>
    <row r="467" spans="1:13" x14ac:dyDescent="0.25">
      <c r="A467" t="str">
        <f t="shared" si="184"/>
        <v>E247</v>
      </c>
      <c r="B467">
        <v>1</v>
      </c>
      <c r="C467" t="str">
        <f t="shared" si="185"/>
        <v>10200</v>
      </c>
      <c r="D467" t="str">
        <f t="shared" si="186"/>
        <v>5620</v>
      </c>
      <c r="E467" t="str">
        <f t="shared" si="187"/>
        <v>094OMS</v>
      </c>
      <c r="F467" t="str">
        <f>""</f>
        <v/>
      </c>
      <c r="G467" t="str">
        <f>""</f>
        <v/>
      </c>
      <c r="H467" s="1">
        <v>40624</v>
      </c>
      <c r="I467" t="str">
        <f>"I0100139"</f>
        <v>I0100139</v>
      </c>
      <c r="J467" t="str">
        <f t="shared" si="190"/>
        <v>N125301C</v>
      </c>
      <c r="K467" t="str">
        <f t="shared" si="191"/>
        <v>INEI</v>
      </c>
      <c r="L467" t="s">
        <v>838</v>
      </c>
      <c r="M467">
        <v>178.15</v>
      </c>
    </row>
    <row r="468" spans="1:13" x14ac:dyDescent="0.25">
      <c r="A468" t="str">
        <f t="shared" si="184"/>
        <v>E247</v>
      </c>
      <c r="B468">
        <v>1</v>
      </c>
      <c r="C468" t="str">
        <f t="shared" si="185"/>
        <v>10200</v>
      </c>
      <c r="D468" t="str">
        <f t="shared" si="186"/>
        <v>5620</v>
      </c>
      <c r="E468" t="str">
        <f t="shared" si="187"/>
        <v>094OMS</v>
      </c>
      <c r="F468" t="str">
        <f>""</f>
        <v/>
      </c>
      <c r="G468" t="str">
        <f>""</f>
        <v/>
      </c>
      <c r="H468" s="1">
        <v>40638</v>
      </c>
      <c r="I468" t="str">
        <f>"I0100227"</f>
        <v>I0100227</v>
      </c>
      <c r="J468" t="str">
        <f t="shared" si="190"/>
        <v>N125301C</v>
      </c>
      <c r="K468" t="str">
        <f t="shared" si="191"/>
        <v>INEI</v>
      </c>
      <c r="L468" t="s">
        <v>838</v>
      </c>
      <c r="M468">
        <v>328.92</v>
      </c>
    </row>
    <row r="469" spans="1:13" x14ac:dyDescent="0.25">
      <c r="A469" t="str">
        <f t="shared" si="184"/>
        <v>E247</v>
      </c>
      <c r="B469">
        <v>1</v>
      </c>
      <c r="C469" t="str">
        <f t="shared" si="185"/>
        <v>10200</v>
      </c>
      <c r="D469" t="str">
        <f t="shared" si="186"/>
        <v>5620</v>
      </c>
      <c r="E469" t="str">
        <f t="shared" si="187"/>
        <v>094OMS</v>
      </c>
      <c r="F469" t="str">
        <f>""</f>
        <v/>
      </c>
      <c r="G469" t="str">
        <f>""</f>
        <v/>
      </c>
      <c r="H469" s="1">
        <v>40667</v>
      </c>
      <c r="I469" t="str">
        <f>"I0100567"</f>
        <v>I0100567</v>
      </c>
      <c r="J469" t="str">
        <f t="shared" si="190"/>
        <v>N125301C</v>
      </c>
      <c r="K469" t="str">
        <f t="shared" si="191"/>
        <v>INEI</v>
      </c>
      <c r="L469" t="s">
        <v>838</v>
      </c>
      <c r="M469">
        <v>211.96</v>
      </c>
    </row>
    <row r="470" spans="1:13" x14ac:dyDescent="0.25">
      <c r="A470" t="str">
        <f t="shared" si="184"/>
        <v>E247</v>
      </c>
      <c r="B470">
        <v>1</v>
      </c>
      <c r="C470" t="str">
        <f t="shared" si="185"/>
        <v>10200</v>
      </c>
      <c r="D470" t="str">
        <f t="shared" si="186"/>
        <v>5620</v>
      </c>
      <c r="E470" t="str">
        <f t="shared" si="187"/>
        <v>094OMS</v>
      </c>
      <c r="F470" t="str">
        <f>""</f>
        <v/>
      </c>
      <c r="G470" t="str">
        <f>""</f>
        <v/>
      </c>
      <c r="H470" s="1">
        <v>40697</v>
      </c>
      <c r="I470" t="str">
        <f>"I0100912"</f>
        <v>I0100912</v>
      </c>
      <c r="J470" t="str">
        <f t="shared" si="190"/>
        <v>N125301C</v>
      </c>
      <c r="K470" t="str">
        <f t="shared" si="191"/>
        <v>INEI</v>
      </c>
      <c r="L470" t="s">
        <v>838</v>
      </c>
      <c r="M470">
        <v>280.99</v>
      </c>
    </row>
    <row r="471" spans="1:13" x14ac:dyDescent="0.25">
      <c r="A471" t="str">
        <f t="shared" si="184"/>
        <v>E247</v>
      </c>
      <c r="B471">
        <v>1</v>
      </c>
      <c r="C471" t="str">
        <f t="shared" si="185"/>
        <v>10200</v>
      </c>
      <c r="D471" t="str">
        <f t="shared" si="186"/>
        <v>5620</v>
      </c>
      <c r="E471" t="str">
        <f t="shared" si="187"/>
        <v>094OMS</v>
      </c>
      <c r="F471" t="str">
        <f>""</f>
        <v/>
      </c>
      <c r="G471" t="str">
        <f>""</f>
        <v/>
      </c>
      <c r="H471" s="1">
        <v>40724</v>
      </c>
      <c r="I471" t="str">
        <f>"I0101337"</f>
        <v>I0101337</v>
      </c>
      <c r="J471" t="str">
        <f t="shared" si="190"/>
        <v>N125301C</v>
      </c>
      <c r="K471" t="str">
        <f t="shared" si="191"/>
        <v>INEI</v>
      </c>
      <c r="L471" t="s">
        <v>838</v>
      </c>
      <c r="M471">
        <v>276.38</v>
      </c>
    </row>
    <row r="472" spans="1:13" x14ac:dyDescent="0.25">
      <c r="A472" t="str">
        <f t="shared" si="184"/>
        <v>E247</v>
      </c>
      <c r="B472">
        <v>1</v>
      </c>
      <c r="C472" t="str">
        <f t="shared" ref="C472" si="192">"14185"</f>
        <v>14185</v>
      </c>
      <c r="D472" t="str">
        <f t="shared" si="186"/>
        <v>5620</v>
      </c>
      <c r="E472" t="str">
        <f t="shared" si="187"/>
        <v>094OMS</v>
      </c>
      <c r="F472" t="str">
        <f>""</f>
        <v/>
      </c>
      <c r="G472" t="str">
        <f>""</f>
        <v/>
      </c>
      <c r="H472" s="1">
        <v>40415</v>
      </c>
      <c r="I472" t="str">
        <f>"I0097964"</f>
        <v>I0097964</v>
      </c>
      <c r="J472" t="str">
        <f>"N125301B"</f>
        <v>N125301B</v>
      </c>
      <c r="K472" t="str">
        <f>"INEI"</f>
        <v>INEI</v>
      </c>
      <c r="L472" t="s">
        <v>838</v>
      </c>
      <c r="M472">
        <v>130.82</v>
      </c>
    </row>
    <row r="473" spans="1:13" x14ac:dyDescent="0.25">
      <c r="A473" t="str">
        <f t="shared" ref="A473" si="193">"E255"</f>
        <v>E255</v>
      </c>
      <c r="B473">
        <v>1</v>
      </c>
      <c r="C473" t="str">
        <f t="shared" ref="C473:C474" si="194">"43000"</f>
        <v>43000</v>
      </c>
      <c r="D473" t="str">
        <f t="shared" ref="D473:D474" si="195">"5740"</f>
        <v>5740</v>
      </c>
      <c r="E473" t="str">
        <f t="shared" ref="E473:E474" si="196">"850LOS"</f>
        <v>850LOS</v>
      </c>
      <c r="F473" t="str">
        <f>""</f>
        <v/>
      </c>
      <c r="G473" t="str">
        <f>""</f>
        <v/>
      </c>
      <c r="H473" s="1">
        <v>40633</v>
      </c>
      <c r="I473" t="str">
        <f>"PCD00475"</f>
        <v>PCD00475</v>
      </c>
      <c r="J473" t="str">
        <f>"139430"</f>
        <v>139430</v>
      </c>
      <c r="K473" t="str">
        <f t="shared" ref="K473:K483" si="197">"AS89"</f>
        <v>AS89</v>
      </c>
      <c r="L473" t="s">
        <v>1507</v>
      </c>
      <c r="M473">
        <v>162.74</v>
      </c>
    </row>
    <row r="474" spans="1:13" x14ac:dyDescent="0.25">
      <c r="A474" t="str">
        <f>"E256"</f>
        <v>E256</v>
      </c>
      <c r="B474">
        <v>1</v>
      </c>
      <c r="C474" t="str">
        <f t="shared" si="194"/>
        <v>43000</v>
      </c>
      <c r="D474" t="str">
        <f t="shared" si="195"/>
        <v>5740</v>
      </c>
      <c r="E474" t="str">
        <f t="shared" si="196"/>
        <v>850LOS</v>
      </c>
      <c r="F474" t="str">
        <f>"PKOLOT"</f>
        <v>PKOLOT</v>
      </c>
      <c r="G474" t="str">
        <f>""</f>
        <v/>
      </c>
      <c r="H474" s="1">
        <v>40542</v>
      </c>
      <c r="I474" t="str">
        <f>"PCD00458"</f>
        <v>PCD00458</v>
      </c>
      <c r="J474" t="str">
        <f>"134399"</f>
        <v>134399</v>
      </c>
      <c r="K474" t="str">
        <f t="shared" si="197"/>
        <v>AS89</v>
      </c>
      <c r="L474" t="s">
        <v>1506</v>
      </c>
      <c r="M474">
        <v>140</v>
      </c>
    </row>
    <row r="475" spans="1:13" x14ac:dyDescent="0.25">
      <c r="A475" t="str">
        <f t="shared" ref="A475:A491" si="198">"E257"</f>
        <v>E257</v>
      </c>
      <c r="B475">
        <v>1</v>
      </c>
      <c r="C475" t="str">
        <f t="shared" ref="C475:C488" si="199">"10200"</f>
        <v>10200</v>
      </c>
      <c r="D475" t="str">
        <f t="shared" ref="D475:D488" si="200">"5620"</f>
        <v>5620</v>
      </c>
      <c r="E475" t="str">
        <f t="shared" ref="E475:E488" si="201">"094OMS"</f>
        <v>094OMS</v>
      </c>
      <c r="F475" t="str">
        <f>""</f>
        <v/>
      </c>
      <c r="G475" t="str">
        <f>""</f>
        <v/>
      </c>
      <c r="H475" s="1">
        <v>40390</v>
      </c>
      <c r="I475" t="str">
        <f>"PCD00433"</f>
        <v>PCD00433</v>
      </c>
      <c r="J475" t="str">
        <f>"126099"</f>
        <v>126099</v>
      </c>
      <c r="K475" t="str">
        <f t="shared" si="197"/>
        <v>AS89</v>
      </c>
      <c r="L475" t="s">
        <v>1505</v>
      </c>
      <c r="M475">
        <v>111.02</v>
      </c>
    </row>
    <row r="476" spans="1:13" x14ac:dyDescent="0.25">
      <c r="A476" t="str">
        <f t="shared" si="198"/>
        <v>E257</v>
      </c>
      <c r="B476">
        <v>1</v>
      </c>
      <c r="C476" t="str">
        <f t="shared" si="199"/>
        <v>10200</v>
      </c>
      <c r="D476" t="str">
        <f t="shared" si="200"/>
        <v>5620</v>
      </c>
      <c r="E476" t="str">
        <f t="shared" si="201"/>
        <v>094OMS</v>
      </c>
      <c r="F476" t="str">
        <f>""</f>
        <v/>
      </c>
      <c r="G476" t="str">
        <f>""</f>
        <v/>
      </c>
      <c r="H476" s="1">
        <v>40390</v>
      </c>
      <c r="I476" t="str">
        <f>"PCD00433"</f>
        <v>PCD00433</v>
      </c>
      <c r="J476" t="str">
        <f>"127066"</f>
        <v>127066</v>
      </c>
      <c r="K476" t="str">
        <f t="shared" si="197"/>
        <v>AS89</v>
      </c>
      <c r="L476" t="s">
        <v>1504</v>
      </c>
      <c r="M476">
        <v>402</v>
      </c>
    </row>
    <row r="477" spans="1:13" x14ac:dyDescent="0.25">
      <c r="A477" t="str">
        <f t="shared" si="198"/>
        <v>E257</v>
      </c>
      <c r="B477">
        <v>1</v>
      </c>
      <c r="C477" t="str">
        <f t="shared" si="199"/>
        <v>10200</v>
      </c>
      <c r="D477" t="str">
        <f t="shared" si="200"/>
        <v>5620</v>
      </c>
      <c r="E477" t="str">
        <f t="shared" si="201"/>
        <v>094OMS</v>
      </c>
      <c r="F477" t="str">
        <f>""</f>
        <v/>
      </c>
      <c r="G477" t="str">
        <f>""</f>
        <v/>
      </c>
      <c r="H477" s="1">
        <v>40421</v>
      </c>
      <c r="I477" t="str">
        <f t="shared" ref="I477:I478" si="202">"PCD00438"</f>
        <v>PCD00438</v>
      </c>
      <c r="J477" t="str">
        <f>"127119"</f>
        <v>127119</v>
      </c>
      <c r="K477" t="str">
        <f t="shared" si="197"/>
        <v>AS89</v>
      </c>
      <c r="L477" t="s">
        <v>1497</v>
      </c>
      <c r="M477">
        <v>128.94999999999999</v>
      </c>
    </row>
    <row r="478" spans="1:13" x14ac:dyDescent="0.25">
      <c r="A478" t="str">
        <f t="shared" si="198"/>
        <v>E257</v>
      </c>
      <c r="B478">
        <v>1</v>
      </c>
      <c r="C478" t="str">
        <f t="shared" si="199"/>
        <v>10200</v>
      </c>
      <c r="D478" t="str">
        <f t="shared" si="200"/>
        <v>5620</v>
      </c>
      <c r="E478" t="str">
        <f t="shared" si="201"/>
        <v>094OMS</v>
      </c>
      <c r="F478" t="str">
        <f>""</f>
        <v/>
      </c>
      <c r="G478" t="str">
        <f>""</f>
        <v/>
      </c>
      <c r="H478" s="1">
        <v>40421</v>
      </c>
      <c r="I478" t="str">
        <f t="shared" si="202"/>
        <v>PCD00438</v>
      </c>
      <c r="J478" t="str">
        <f>"128045"</f>
        <v>128045</v>
      </c>
      <c r="K478" t="str">
        <f t="shared" si="197"/>
        <v>AS89</v>
      </c>
      <c r="L478" t="s">
        <v>1503</v>
      </c>
      <c r="M478">
        <v>778.49</v>
      </c>
    </row>
    <row r="479" spans="1:13" x14ac:dyDescent="0.25">
      <c r="A479" t="str">
        <f t="shared" si="198"/>
        <v>E257</v>
      </c>
      <c r="B479">
        <v>1</v>
      </c>
      <c r="C479" t="str">
        <f t="shared" si="199"/>
        <v>10200</v>
      </c>
      <c r="D479" t="str">
        <f t="shared" si="200"/>
        <v>5620</v>
      </c>
      <c r="E479" t="str">
        <f t="shared" si="201"/>
        <v>094OMS</v>
      </c>
      <c r="F479" t="str">
        <f>""</f>
        <v/>
      </c>
      <c r="G479" t="str">
        <f>""</f>
        <v/>
      </c>
      <c r="H479" s="1">
        <v>40452</v>
      </c>
      <c r="I479" t="str">
        <f>"PCD00443"</f>
        <v>PCD00443</v>
      </c>
      <c r="J479" t="str">
        <f>"129835"</f>
        <v>129835</v>
      </c>
      <c r="K479" t="str">
        <f t="shared" si="197"/>
        <v>AS89</v>
      </c>
      <c r="L479" t="s">
        <v>1502</v>
      </c>
      <c r="M479">
        <v>854.44</v>
      </c>
    </row>
    <row r="480" spans="1:13" x14ac:dyDescent="0.25">
      <c r="A480" t="str">
        <f t="shared" si="198"/>
        <v>E257</v>
      </c>
      <c r="B480">
        <v>1</v>
      </c>
      <c r="C480" t="str">
        <f t="shared" si="199"/>
        <v>10200</v>
      </c>
      <c r="D480" t="str">
        <f t="shared" si="200"/>
        <v>5620</v>
      </c>
      <c r="E480" t="str">
        <f t="shared" si="201"/>
        <v>094OMS</v>
      </c>
      <c r="F480" t="str">
        <f>""</f>
        <v/>
      </c>
      <c r="G480" t="str">
        <f>""</f>
        <v/>
      </c>
      <c r="H480" s="1">
        <v>40452</v>
      </c>
      <c r="I480" t="str">
        <f>"PCD00443"</f>
        <v>PCD00443</v>
      </c>
      <c r="J480" t="str">
        <f>"129836"</f>
        <v>129836</v>
      </c>
      <c r="K480" t="str">
        <f t="shared" si="197"/>
        <v>AS89</v>
      </c>
      <c r="L480" t="s">
        <v>1502</v>
      </c>
      <c r="M480">
        <v>189.8</v>
      </c>
    </row>
    <row r="481" spans="1:13" x14ac:dyDescent="0.25">
      <c r="A481" t="str">
        <f t="shared" si="198"/>
        <v>E257</v>
      </c>
      <c r="B481">
        <v>1</v>
      </c>
      <c r="C481" t="str">
        <f t="shared" si="199"/>
        <v>10200</v>
      </c>
      <c r="D481" t="str">
        <f t="shared" si="200"/>
        <v>5620</v>
      </c>
      <c r="E481" t="str">
        <f t="shared" si="201"/>
        <v>094OMS</v>
      </c>
      <c r="F481" t="str">
        <f>""</f>
        <v/>
      </c>
      <c r="G481" t="str">
        <f>""</f>
        <v/>
      </c>
      <c r="H481" s="1">
        <v>40482</v>
      </c>
      <c r="I481" t="str">
        <f>"PCD00450"</f>
        <v>PCD00450</v>
      </c>
      <c r="J481" t="str">
        <f>"131208"</f>
        <v>131208</v>
      </c>
      <c r="K481" t="str">
        <f t="shared" si="197"/>
        <v>AS89</v>
      </c>
      <c r="L481" t="s">
        <v>1495</v>
      </c>
      <c r="M481">
        <v>286.57</v>
      </c>
    </row>
    <row r="482" spans="1:13" x14ac:dyDescent="0.25">
      <c r="A482" t="str">
        <f t="shared" si="198"/>
        <v>E257</v>
      </c>
      <c r="B482">
        <v>1</v>
      </c>
      <c r="C482" t="str">
        <f t="shared" si="199"/>
        <v>10200</v>
      </c>
      <c r="D482" t="str">
        <f t="shared" si="200"/>
        <v>5620</v>
      </c>
      <c r="E482" t="str">
        <f t="shared" si="201"/>
        <v>094OMS</v>
      </c>
      <c r="F482" t="str">
        <f>""</f>
        <v/>
      </c>
      <c r="G482" t="str">
        <f>""</f>
        <v/>
      </c>
      <c r="H482" s="1">
        <v>40482</v>
      </c>
      <c r="I482" t="str">
        <f>"PCD00450"</f>
        <v>PCD00450</v>
      </c>
      <c r="J482" t="str">
        <f>"131581"</f>
        <v>131581</v>
      </c>
      <c r="K482" t="str">
        <f t="shared" si="197"/>
        <v>AS89</v>
      </c>
      <c r="L482" t="s">
        <v>1496</v>
      </c>
      <c r="M482">
        <v>763.56</v>
      </c>
    </row>
    <row r="483" spans="1:13" x14ac:dyDescent="0.25">
      <c r="A483" t="str">
        <f t="shared" si="198"/>
        <v>E257</v>
      </c>
      <c r="B483">
        <v>1</v>
      </c>
      <c r="C483" t="str">
        <f t="shared" si="199"/>
        <v>10200</v>
      </c>
      <c r="D483" t="str">
        <f t="shared" si="200"/>
        <v>5620</v>
      </c>
      <c r="E483" t="str">
        <f t="shared" si="201"/>
        <v>094OMS</v>
      </c>
      <c r="F483" t="str">
        <f>""</f>
        <v/>
      </c>
      <c r="G483" t="str">
        <f>""</f>
        <v/>
      </c>
      <c r="H483" s="1">
        <v>40542</v>
      </c>
      <c r="I483" t="str">
        <f>"PCD00458"</f>
        <v>PCD00458</v>
      </c>
      <c r="J483" t="str">
        <f>"134140"</f>
        <v>134140</v>
      </c>
      <c r="K483" t="str">
        <f t="shared" si="197"/>
        <v>AS89</v>
      </c>
      <c r="L483" t="s">
        <v>1501</v>
      </c>
      <c r="M483">
        <v>184.97</v>
      </c>
    </row>
    <row r="484" spans="1:13" x14ac:dyDescent="0.25">
      <c r="A484" t="str">
        <f t="shared" si="198"/>
        <v>E257</v>
      </c>
      <c r="B484">
        <v>1</v>
      </c>
      <c r="C484" t="str">
        <f t="shared" si="199"/>
        <v>10200</v>
      </c>
      <c r="D484" t="str">
        <f t="shared" si="200"/>
        <v>5620</v>
      </c>
      <c r="E484" t="str">
        <f t="shared" si="201"/>
        <v>094OMS</v>
      </c>
      <c r="F484" t="str">
        <f>""</f>
        <v/>
      </c>
      <c r="G484" t="str">
        <f>""</f>
        <v/>
      </c>
      <c r="H484" s="1">
        <v>40602</v>
      </c>
      <c r="I484" t="str">
        <f>"183040A"</f>
        <v>183040A</v>
      </c>
      <c r="J484" t="str">
        <f>""</f>
        <v/>
      </c>
      <c r="K484" t="str">
        <f>"INNI"</f>
        <v>INNI</v>
      </c>
      <c r="L484" t="s">
        <v>1498</v>
      </c>
      <c r="M484">
        <v>165.93</v>
      </c>
    </row>
    <row r="485" spans="1:13" x14ac:dyDescent="0.25">
      <c r="A485" t="str">
        <f t="shared" si="198"/>
        <v>E257</v>
      </c>
      <c r="B485">
        <v>1</v>
      </c>
      <c r="C485" t="str">
        <f t="shared" si="199"/>
        <v>10200</v>
      </c>
      <c r="D485" t="str">
        <f t="shared" si="200"/>
        <v>5620</v>
      </c>
      <c r="E485" t="str">
        <f t="shared" si="201"/>
        <v>094OMS</v>
      </c>
      <c r="F485" t="str">
        <f>""</f>
        <v/>
      </c>
      <c r="G485" t="str">
        <f>""</f>
        <v/>
      </c>
      <c r="H485" s="1">
        <v>40602</v>
      </c>
      <c r="I485" t="str">
        <f>"183040A"</f>
        <v>183040A</v>
      </c>
      <c r="J485" t="str">
        <f>""</f>
        <v/>
      </c>
      <c r="K485" t="str">
        <f>"INNI"</f>
        <v>INNI</v>
      </c>
      <c r="L485" t="s">
        <v>1498</v>
      </c>
      <c r="M485">
        <v>165.93</v>
      </c>
    </row>
    <row r="486" spans="1:13" x14ac:dyDescent="0.25">
      <c r="A486" t="str">
        <f t="shared" si="198"/>
        <v>E257</v>
      </c>
      <c r="B486">
        <v>1</v>
      </c>
      <c r="C486" t="str">
        <f t="shared" si="199"/>
        <v>10200</v>
      </c>
      <c r="D486" t="str">
        <f t="shared" si="200"/>
        <v>5620</v>
      </c>
      <c r="E486" t="str">
        <f t="shared" si="201"/>
        <v>094OMS</v>
      </c>
      <c r="F486" t="str">
        <f>""</f>
        <v/>
      </c>
      <c r="G486" t="str">
        <f>""</f>
        <v/>
      </c>
      <c r="H486" s="1">
        <v>40662</v>
      </c>
      <c r="I486" t="str">
        <f>"PCD00479"</f>
        <v>PCD00479</v>
      </c>
      <c r="J486" t="str">
        <f>"141982"</f>
        <v>141982</v>
      </c>
      <c r="K486" t="str">
        <f>"AS89"</f>
        <v>AS89</v>
      </c>
      <c r="L486" t="s">
        <v>1500</v>
      </c>
      <c r="M486">
        <v>242.43</v>
      </c>
    </row>
    <row r="487" spans="1:13" x14ac:dyDescent="0.25">
      <c r="A487" t="str">
        <f t="shared" si="198"/>
        <v>E257</v>
      </c>
      <c r="B487">
        <v>1</v>
      </c>
      <c r="C487" t="str">
        <f t="shared" si="199"/>
        <v>10200</v>
      </c>
      <c r="D487" t="str">
        <f t="shared" si="200"/>
        <v>5620</v>
      </c>
      <c r="E487" t="str">
        <f t="shared" si="201"/>
        <v>094OMS</v>
      </c>
      <c r="F487" t="str">
        <f>""</f>
        <v/>
      </c>
      <c r="G487" t="str">
        <f>""</f>
        <v/>
      </c>
      <c r="H487" s="1">
        <v>40694</v>
      </c>
      <c r="I487" t="str">
        <f>"PCD00485"</f>
        <v>PCD00485</v>
      </c>
      <c r="J487" t="str">
        <f>"145336"</f>
        <v>145336</v>
      </c>
      <c r="K487" t="str">
        <f>"AS89"</f>
        <v>AS89</v>
      </c>
      <c r="L487" t="s">
        <v>1499</v>
      </c>
      <c r="M487">
        <v>151.88</v>
      </c>
    </row>
    <row r="488" spans="1:13" x14ac:dyDescent="0.25">
      <c r="A488" t="str">
        <f t="shared" si="198"/>
        <v>E257</v>
      </c>
      <c r="B488">
        <v>1</v>
      </c>
      <c r="C488" t="str">
        <f t="shared" si="199"/>
        <v>10200</v>
      </c>
      <c r="D488" t="str">
        <f t="shared" si="200"/>
        <v>5620</v>
      </c>
      <c r="E488" t="str">
        <f t="shared" si="201"/>
        <v>094OMS</v>
      </c>
      <c r="F488" t="str">
        <f>""</f>
        <v/>
      </c>
      <c r="G488" t="str">
        <f>""</f>
        <v/>
      </c>
      <c r="H488" s="1">
        <v>40714</v>
      </c>
      <c r="I488" t="str">
        <f>"188716"</f>
        <v>188716</v>
      </c>
      <c r="J488" t="str">
        <f>""</f>
        <v/>
      </c>
      <c r="K488" t="str">
        <f>"INNI"</f>
        <v>INNI</v>
      </c>
      <c r="L488" t="s">
        <v>1498</v>
      </c>
      <c r="M488" s="2">
        <v>1522.62</v>
      </c>
    </row>
    <row r="489" spans="1:13" x14ac:dyDescent="0.25">
      <c r="A489" t="str">
        <f t="shared" si="198"/>
        <v>E257</v>
      </c>
      <c r="B489">
        <v>1</v>
      </c>
      <c r="C489" t="str">
        <f t="shared" ref="C489:C491" si="203">"43000"</f>
        <v>43000</v>
      </c>
      <c r="D489" t="str">
        <f t="shared" ref="D489:D491" si="204">"5740"</f>
        <v>5740</v>
      </c>
      <c r="E489" t="str">
        <f t="shared" ref="E489:E491" si="205">"850LOS"</f>
        <v>850LOS</v>
      </c>
      <c r="F489" t="str">
        <f>""</f>
        <v/>
      </c>
      <c r="G489" t="str">
        <f>""</f>
        <v/>
      </c>
      <c r="H489" s="1">
        <v>40421</v>
      </c>
      <c r="I489" t="str">
        <f>"PCD00438"</f>
        <v>PCD00438</v>
      </c>
      <c r="J489" t="str">
        <f>"127122"</f>
        <v>127122</v>
      </c>
      <c r="K489" t="str">
        <f t="shared" ref="K489:K492" si="206">"AS89"</f>
        <v>AS89</v>
      </c>
      <c r="L489" t="s">
        <v>1497</v>
      </c>
      <c r="M489">
        <v>274.83</v>
      </c>
    </row>
    <row r="490" spans="1:13" x14ac:dyDescent="0.25">
      <c r="A490" t="str">
        <f t="shared" si="198"/>
        <v>E257</v>
      </c>
      <c r="B490">
        <v>1</v>
      </c>
      <c r="C490" t="str">
        <f t="shared" si="203"/>
        <v>43000</v>
      </c>
      <c r="D490" t="str">
        <f t="shared" si="204"/>
        <v>5740</v>
      </c>
      <c r="E490" t="str">
        <f t="shared" si="205"/>
        <v>850LOS</v>
      </c>
      <c r="F490" t="str">
        <f>""</f>
        <v/>
      </c>
      <c r="G490" t="str">
        <f>""</f>
        <v/>
      </c>
      <c r="H490" s="1">
        <v>40482</v>
      </c>
      <c r="I490" t="str">
        <f>"PCD00450"</f>
        <v>PCD00450</v>
      </c>
      <c r="J490" t="str">
        <f>"131582"</f>
        <v>131582</v>
      </c>
      <c r="K490" t="str">
        <f t="shared" si="206"/>
        <v>AS89</v>
      </c>
      <c r="L490" t="s">
        <v>1496</v>
      </c>
      <c r="M490">
        <v>460.93</v>
      </c>
    </row>
    <row r="491" spans="1:13" x14ac:dyDescent="0.25">
      <c r="A491" t="str">
        <f t="shared" si="198"/>
        <v>E257</v>
      </c>
      <c r="B491">
        <v>1</v>
      </c>
      <c r="C491" t="str">
        <f t="shared" si="203"/>
        <v>43000</v>
      </c>
      <c r="D491" t="str">
        <f t="shared" si="204"/>
        <v>5740</v>
      </c>
      <c r="E491" t="str">
        <f t="shared" si="205"/>
        <v>850LOS</v>
      </c>
      <c r="F491" t="str">
        <f>""</f>
        <v/>
      </c>
      <c r="G491" t="str">
        <f>""</f>
        <v/>
      </c>
      <c r="H491" s="1">
        <v>40512</v>
      </c>
      <c r="I491" t="str">
        <f>"PCD00455"</f>
        <v>PCD00455</v>
      </c>
      <c r="J491" t="str">
        <f>"133240"</f>
        <v>133240</v>
      </c>
      <c r="K491" t="str">
        <f t="shared" si="206"/>
        <v>AS89</v>
      </c>
      <c r="L491" t="s">
        <v>1494</v>
      </c>
      <c r="M491">
        <v>182.71</v>
      </c>
    </row>
    <row r="492" spans="1:13" x14ac:dyDescent="0.25">
      <c r="A492" t="str">
        <f>"E260"</f>
        <v>E260</v>
      </c>
      <c r="B492">
        <v>1</v>
      </c>
      <c r="C492" t="str">
        <f>"32040"</f>
        <v>32040</v>
      </c>
      <c r="D492" t="str">
        <f>"5610"</f>
        <v>5610</v>
      </c>
      <c r="E492" t="str">
        <f>"850LOS"</f>
        <v>850LOS</v>
      </c>
      <c r="F492" t="str">
        <f>""</f>
        <v/>
      </c>
      <c r="G492" t="str">
        <f>""</f>
        <v/>
      </c>
      <c r="H492" s="1">
        <v>40596</v>
      </c>
      <c r="I492" t="str">
        <f>"ACG02025"</f>
        <v>ACG02025</v>
      </c>
      <c r="J492" t="str">
        <f>""</f>
        <v/>
      </c>
      <c r="K492" t="str">
        <f t="shared" si="206"/>
        <v>AS89</v>
      </c>
      <c r="L492" t="s">
        <v>1469</v>
      </c>
      <c r="M492">
        <v>186.72</v>
      </c>
    </row>
    <row r="493" spans="1:13" x14ac:dyDescent="0.25">
      <c r="A493" t="str">
        <f>"E262"</f>
        <v>E262</v>
      </c>
      <c r="B493">
        <v>1</v>
      </c>
      <c r="C493" t="str">
        <f>"43000"</f>
        <v>43000</v>
      </c>
      <c r="D493" t="str">
        <f>"5740"</f>
        <v>5740</v>
      </c>
      <c r="E493" t="str">
        <f>"850LOS"</f>
        <v>850LOS</v>
      </c>
      <c r="F493" t="str">
        <f>""</f>
        <v/>
      </c>
      <c r="G493" t="str">
        <f>""</f>
        <v/>
      </c>
      <c r="H493" s="1">
        <v>40511</v>
      </c>
      <c r="I493" t="str">
        <f>"183030"</f>
        <v>183030</v>
      </c>
      <c r="J493" t="str">
        <f>""</f>
        <v/>
      </c>
      <c r="K493" t="str">
        <f>"INNI"</f>
        <v>INNI</v>
      </c>
      <c r="L493" t="s">
        <v>1493</v>
      </c>
      <c r="M493">
        <v>500</v>
      </c>
    </row>
    <row r="494" spans="1:13" x14ac:dyDescent="0.25">
      <c r="A494" t="str">
        <f>"E262"</f>
        <v>E262</v>
      </c>
      <c r="B494">
        <v>1</v>
      </c>
      <c r="C494" t="str">
        <f>"43003"</f>
        <v>43003</v>
      </c>
      <c r="D494" t="str">
        <f>"5740"</f>
        <v>5740</v>
      </c>
      <c r="E494" t="str">
        <f>"850LOS"</f>
        <v>850LOS</v>
      </c>
      <c r="F494" t="str">
        <f>""</f>
        <v/>
      </c>
      <c r="G494" t="str">
        <f>""</f>
        <v/>
      </c>
      <c r="H494" s="1">
        <v>40542</v>
      </c>
      <c r="I494" t="str">
        <f>"PCD00458"</f>
        <v>PCD00458</v>
      </c>
      <c r="J494" t="str">
        <f>"134320"</f>
        <v>134320</v>
      </c>
      <c r="K494" t="str">
        <f>"AS89"</f>
        <v>AS89</v>
      </c>
      <c r="L494" t="s">
        <v>1492</v>
      </c>
      <c r="M494">
        <v>552.5</v>
      </c>
    </row>
    <row r="495" spans="1:13" x14ac:dyDescent="0.25">
      <c r="A495" t="str">
        <f t="shared" ref="A495:A498" si="207">"E263"</f>
        <v>E263</v>
      </c>
      <c r="B495">
        <v>1</v>
      </c>
      <c r="C495" t="str">
        <f>"31040"</f>
        <v>31040</v>
      </c>
      <c r="D495" t="str">
        <f>"5620"</f>
        <v>5620</v>
      </c>
      <c r="E495" t="str">
        <f>"094OMS"</f>
        <v>094OMS</v>
      </c>
      <c r="F495" t="str">
        <f>""</f>
        <v/>
      </c>
      <c r="G495" t="str">
        <f>""</f>
        <v/>
      </c>
      <c r="H495" s="1">
        <v>40466</v>
      </c>
      <c r="I495" t="str">
        <f>"245837"</f>
        <v>245837</v>
      </c>
      <c r="J495" t="str">
        <f>""</f>
        <v/>
      </c>
      <c r="K495" t="str">
        <f t="shared" ref="K495:K498" si="208">"INNI"</f>
        <v>INNI</v>
      </c>
      <c r="L495" t="s">
        <v>985</v>
      </c>
      <c r="M495">
        <v>198.79</v>
      </c>
    </row>
    <row r="496" spans="1:13" x14ac:dyDescent="0.25">
      <c r="A496" t="str">
        <f t="shared" si="207"/>
        <v>E263</v>
      </c>
      <c r="B496">
        <v>1</v>
      </c>
      <c r="C496" t="str">
        <f>"43000"</f>
        <v>43000</v>
      </c>
      <c r="D496" t="str">
        <f t="shared" ref="D496:D499" si="209">"5740"</f>
        <v>5740</v>
      </c>
      <c r="E496" t="str">
        <f>"850LOS"</f>
        <v>850LOS</v>
      </c>
      <c r="F496" t="str">
        <f>""</f>
        <v/>
      </c>
      <c r="G496" t="str">
        <f>""</f>
        <v/>
      </c>
      <c r="H496" s="1">
        <v>40434</v>
      </c>
      <c r="I496" t="str">
        <f>"Q64742"</f>
        <v>Q64742</v>
      </c>
      <c r="J496" t="str">
        <f>""</f>
        <v/>
      </c>
      <c r="K496" t="str">
        <f t="shared" si="208"/>
        <v>INNI</v>
      </c>
      <c r="L496" t="s">
        <v>284</v>
      </c>
      <c r="M496">
        <v>158.13999999999999</v>
      </c>
    </row>
    <row r="497" spans="1:13" x14ac:dyDescent="0.25">
      <c r="A497" t="str">
        <f t="shared" si="207"/>
        <v>E263</v>
      </c>
      <c r="B497">
        <v>1</v>
      </c>
      <c r="C497" t="str">
        <f>"43000"</f>
        <v>43000</v>
      </c>
      <c r="D497" t="str">
        <f t="shared" si="209"/>
        <v>5740</v>
      </c>
      <c r="E497" t="str">
        <f>"850LOS"</f>
        <v>850LOS</v>
      </c>
      <c r="F497" t="str">
        <f>""</f>
        <v/>
      </c>
      <c r="G497" t="str">
        <f>""</f>
        <v/>
      </c>
      <c r="H497" s="1">
        <v>40434</v>
      </c>
      <c r="I497" t="str">
        <f>"Q64741"</f>
        <v>Q64741</v>
      </c>
      <c r="J497" t="str">
        <f>""</f>
        <v/>
      </c>
      <c r="K497" t="str">
        <f t="shared" si="208"/>
        <v>INNI</v>
      </c>
      <c r="L497" t="s">
        <v>324</v>
      </c>
      <c r="M497">
        <v>121.26</v>
      </c>
    </row>
    <row r="498" spans="1:13" x14ac:dyDescent="0.25">
      <c r="A498" t="str">
        <f t="shared" si="207"/>
        <v>E263</v>
      </c>
      <c r="B498">
        <v>1</v>
      </c>
      <c r="C498" t="str">
        <f>"43000"</f>
        <v>43000</v>
      </c>
      <c r="D498" t="str">
        <f t="shared" si="209"/>
        <v>5740</v>
      </c>
      <c r="E498" t="str">
        <f>"850LOS"</f>
        <v>850LOS</v>
      </c>
      <c r="F498" t="str">
        <f>""</f>
        <v/>
      </c>
      <c r="G498" t="str">
        <f>""</f>
        <v/>
      </c>
      <c r="H498" s="1">
        <v>40466</v>
      </c>
      <c r="I498" t="str">
        <f>"245837"</f>
        <v>245837</v>
      </c>
      <c r="J498" t="str">
        <f>""</f>
        <v/>
      </c>
      <c r="K498" t="str">
        <f t="shared" si="208"/>
        <v>INNI</v>
      </c>
      <c r="L498" t="s">
        <v>985</v>
      </c>
      <c r="M498">
        <v>198.79</v>
      </c>
    </row>
    <row r="499" spans="1:13" x14ac:dyDescent="0.25">
      <c r="A499" t="str">
        <f>"E266"</f>
        <v>E266</v>
      </c>
      <c r="B499">
        <v>1</v>
      </c>
      <c r="C499" t="str">
        <f>"78020"</f>
        <v>78020</v>
      </c>
      <c r="D499" t="str">
        <f t="shared" si="209"/>
        <v>5740</v>
      </c>
      <c r="E499" t="str">
        <f>"850GAR"</f>
        <v>850GAR</v>
      </c>
      <c r="F499" t="str">
        <f>""</f>
        <v/>
      </c>
      <c r="G499" t="str">
        <f>""</f>
        <v/>
      </c>
      <c r="H499" s="1">
        <v>40707</v>
      </c>
      <c r="I499" t="str">
        <f>"ACG02056"</f>
        <v>ACG02056</v>
      </c>
      <c r="J499" t="str">
        <f>""</f>
        <v/>
      </c>
      <c r="K499" t="str">
        <f>"AS79"</f>
        <v>AS79</v>
      </c>
      <c r="L499" t="s">
        <v>951</v>
      </c>
      <c r="M499" s="2">
        <v>3318.15</v>
      </c>
    </row>
    <row r="500" spans="1:13" x14ac:dyDescent="0.25">
      <c r="A500" t="str">
        <f t="shared" ref="A500:A506" si="210">"E267"</f>
        <v>E267</v>
      </c>
      <c r="B500">
        <v>1</v>
      </c>
      <c r="C500" t="str">
        <f>"32040"</f>
        <v>32040</v>
      </c>
      <c r="D500" t="str">
        <f>"5610"</f>
        <v>5610</v>
      </c>
      <c r="E500" t="str">
        <f t="shared" ref="E500:E506" si="211">"850LOS"</f>
        <v>850LOS</v>
      </c>
      <c r="F500" t="str">
        <f>""</f>
        <v/>
      </c>
      <c r="G500" t="str">
        <f>""</f>
        <v/>
      </c>
      <c r="H500" s="1">
        <v>40602</v>
      </c>
      <c r="I500" t="str">
        <f>"G1108034"</f>
        <v>G1108034</v>
      </c>
      <c r="J500" t="str">
        <f>""</f>
        <v/>
      </c>
      <c r="K500" t="str">
        <f>"J096"</f>
        <v>J096</v>
      </c>
      <c r="L500" t="s">
        <v>1490</v>
      </c>
      <c r="M500" s="2">
        <v>5305</v>
      </c>
    </row>
    <row r="501" spans="1:13" x14ac:dyDescent="0.25">
      <c r="A501" t="str">
        <f t="shared" si="210"/>
        <v>E267</v>
      </c>
      <c r="B501">
        <v>1</v>
      </c>
      <c r="C501" t="str">
        <f>"32040"</f>
        <v>32040</v>
      </c>
      <c r="D501" t="str">
        <f>"5610"</f>
        <v>5610</v>
      </c>
      <c r="E501" t="str">
        <f t="shared" si="211"/>
        <v>850LOS</v>
      </c>
      <c r="F501" t="str">
        <f>""</f>
        <v/>
      </c>
      <c r="G501" t="str">
        <f>""</f>
        <v/>
      </c>
      <c r="H501" s="1">
        <v>40679</v>
      </c>
      <c r="I501" t="str">
        <f>"G1111050"</f>
        <v>G1111050</v>
      </c>
      <c r="J501" t="str">
        <f>""</f>
        <v/>
      </c>
      <c r="K501" t="str">
        <f>"J096"</f>
        <v>J096</v>
      </c>
      <c r="L501" t="s">
        <v>1489</v>
      </c>
      <c r="M501" s="2">
        <v>2847</v>
      </c>
    </row>
    <row r="502" spans="1:13" x14ac:dyDescent="0.25">
      <c r="A502" t="str">
        <f t="shared" si="210"/>
        <v>E267</v>
      </c>
      <c r="B502">
        <v>1</v>
      </c>
      <c r="C502" t="str">
        <f>"32040"</f>
        <v>32040</v>
      </c>
      <c r="D502" t="str">
        <f>"5610"</f>
        <v>5610</v>
      </c>
      <c r="E502" t="str">
        <f t="shared" si="211"/>
        <v>850LOS</v>
      </c>
      <c r="F502" t="str">
        <f>""</f>
        <v/>
      </c>
      <c r="G502" t="str">
        <f>""</f>
        <v/>
      </c>
      <c r="H502" s="1">
        <v>40724</v>
      </c>
      <c r="I502" t="str">
        <f>"ACG02086"</f>
        <v>ACG02086</v>
      </c>
      <c r="J502" t="str">
        <f>""</f>
        <v/>
      </c>
      <c r="K502" t="str">
        <f>"AS96"</f>
        <v>AS96</v>
      </c>
      <c r="L502" t="s">
        <v>1488</v>
      </c>
      <c r="M502" s="2">
        <v>3385</v>
      </c>
    </row>
    <row r="503" spans="1:13" x14ac:dyDescent="0.25">
      <c r="A503" t="str">
        <f t="shared" si="210"/>
        <v>E267</v>
      </c>
      <c r="B503">
        <v>1</v>
      </c>
      <c r="C503" t="str">
        <f>"43000"</f>
        <v>43000</v>
      </c>
      <c r="D503" t="str">
        <f>"5740"</f>
        <v>5740</v>
      </c>
      <c r="E503" t="str">
        <f t="shared" si="211"/>
        <v>850LOS</v>
      </c>
      <c r="F503" t="str">
        <f>""</f>
        <v/>
      </c>
      <c r="G503" t="str">
        <f>""</f>
        <v/>
      </c>
      <c r="H503" s="1">
        <v>40512</v>
      </c>
      <c r="I503" t="str">
        <f>"G1105133"</f>
        <v>G1105133</v>
      </c>
      <c r="J503" t="str">
        <f>""</f>
        <v/>
      </c>
      <c r="K503" t="str">
        <f>"J096"</f>
        <v>J096</v>
      </c>
      <c r="L503" t="s">
        <v>1491</v>
      </c>
      <c r="M503" s="2">
        <v>27522</v>
      </c>
    </row>
    <row r="504" spans="1:13" x14ac:dyDescent="0.25">
      <c r="A504" t="str">
        <f t="shared" si="210"/>
        <v>E267</v>
      </c>
      <c r="B504">
        <v>1</v>
      </c>
      <c r="C504" t="str">
        <f>"43000"</f>
        <v>43000</v>
      </c>
      <c r="D504" t="str">
        <f>"5740"</f>
        <v>5740</v>
      </c>
      <c r="E504" t="str">
        <f t="shared" si="211"/>
        <v>850LOS</v>
      </c>
      <c r="F504" t="str">
        <f>""</f>
        <v/>
      </c>
      <c r="G504" t="str">
        <f>""</f>
        <v/>
      </c>
      <c r="H504" s="1">
        <v>40602</v>
      </c>
      <c r="I504" t="str">
        <f>"G1108034"</f>
        <v>G1108034</v>
      </c>
      <c r="J504" t="str">
        <f>""</f>
        <v/>
      </c>
      <c r="K504" t="str">
        <f>"J096"</f>
        <v>J096</v>
      </c>
      <c r="L504" t="s">
        <v>1490</v>
      </c>
      <c r="M504" s="2">
        <v>12018</v>
      </c>
    </row>
    <row r="505" spans="1:13" x14ac:dyDescent="0.25">
      <c r="A505" t="str">
        <f t="shared" si="210"/>
        <v>E267</v>
      </c>
      <c r="B505">
        <v>1</v>
      </c>
      <c r="C505" t="str">
        <f>"43000"</f>
        <v>43000</v>
      </c>
      <c r="D505" t="str">
        <f>"5740"</f>
        <v>5740</v>
      </c>
      <c r="E505" t="str">
        <f t="shared" si="211"/>
        <v>850LOS</v>
      </c>
      <c r="F505" t="str">
        <f>""</f>
        <v/>
      </c>
      <c r="G505" t="str">
        <f>""</f>
        <v/>
      </c>
      <c r="H505" s="1">
        <v>40679</v>
      </c>
      <c r="I505" t="str">
        <f>"G1111050"</f>
        <v>G1111050</v>
      </c>
      <c r="J505" t="str">
        <f>""</f>
        <v/>
      </c>
      <c r="K505" t="str">
        <f>"J096"</f>
        <v>J096</v>
      </c>
      <c r="L505" t="s">
        <v>1489</v>
      </c>
      <c r="M505" s="2">
        <v>18302</v>
      </c>
    </row>
    <row r="506" spans="1:13" x14ac:dyDescent="0.25">
      <c r="A506" t="str">
        <f t="shared" si="210"/>
        <v>E267</v>
      </c>
      <c r="B506">
        <v>1</v>
      </c>
      <c r="C506" t="str">
        <f>"43000"</f>
        <v>43000</v>
      </c>
      <c r="D506" t="str">
        <f>"5740"</f>
        <v>5740</v>
      </c>
      <c r="E506" t="str">
        <f t="shared" si="211"/>
        <v>850LOS</v>
      </c>
      <c r="F506" t="str">
        <f>""</f>
        <v/>
      </c>
      <c r="G506" t="str">
        <f>""</f>
        <v/>
      </c>
      <c r="H506" s="1">
        <v>40724</v>
      </c>
      <c r="I506" t="str">
        <f>"ACG02086"</f>
        <v>ACG02086</v>
      </c>
      <c r="J506" t="str">
        <f>""</f>
        <v/>
      </c>
      <c r="K506" t="str">
        <f>"AS96"</f>
        <v>AS96</v>
      </c>
      <c r="L506" t="s">
        <v>1488</v>
      </c>
      <c r="M506" s="2">
        <v>2543</v>
      </c>
    </row>
    <row r="507" spans="1:13" x14ac:dyDescent="0.25">
      <c r="A507" t="str">
        <f>"E271"</f>
        <v>E271</v>
      </c>
      <c r="B507">
        <v>1</v>
      </c>
      <c r="C507" t="str">
        <f t="shared" ref="C507" si="212">"10200"</f>
        <v>10200</v>
      </c>
      <c r="D507" t="str">
        <f t="shared" ref="D507:D509" si="213">"5620"</f>
        <v>5620</v>
      </c>
      <c r="E507" t="str">
        <f t="shared" ref="E507:E509" si="214">"094OMS"</f>
        <v>094OMS</v>
      </c>
      <c r="F507" t="str">
        <f>""</f>
        <v/>
      </c>
      <c r="G507" t="str">
        <f>""</f>
        <v/>
      </c>
      <c r="H507" s="1">
        <v>40724</v>
      </c>
      <c r="I507" t="str">
        <f>"MPG00395"</f>
        <v>MPG00395</v>
      </c>
      <c r="J507" t="str">
        <f>""</f>
        <v/>
      </c>
      <c r="K507" t="str">
        <f>"AS89"</f>
        <v>AS89</v>
      </c>
      <c r="L507" t="s">
        <v>1487</v>
      </c>
      <c r="M507" s="2">
        <v>3850</v>
      </c>
    </row>
    <row r="508" spans="1:13" x14ac:dyDescent="0.25">
      <c r="A508" t="str">
        <f t="shared" ref="A508:A509" si="215">"E276"</f>
        <v>E276</v>
      </c>
      <c r="B508">
        <v>1</v>
      </c>
      <c r="C508" t="str">
        <f t="shared" ref="C508:C509" si="216">"14185"</f>
        <v>14185</v>
      </c>
      <c r="D508" t="str">
        <f t="shared" si="213"/>
        <v>5620</v>
      </c>
      <c r="E508" t="str">
        <f t="shared" si="214"/>
        <v>094OMS</v>
      </c>
      <c r="F508" t="str">
        <f>""</f>
        <v/>
      </c>
      <c r="G508" t="str">
        <f>""</f>
        <v/>
      </c>
      <c r="H508" s="1">
        <v>40409</v>
      </c>
      <c r="I508" t="str">
        <f>"G1102074"</f>
        <v>G1102074</v>
      </c>
      <c r="J508" t="str">
        <f>""</f>
        <v/>
      </c>
      <c r="K508" t="str">
        <f>"J096"</f>
        <v>J096</v>
      </c>
      <c r="L508" t="s">
        <v>1486</v>
      </c>
      <c r="M508">
        <v>235.32</v>
      </c>
    </row>
    <row r="509" spans="1:13" x14ac:dyDescent="0.25">
      <c r="A509" t="str">
        <f t="shared" si="215"/>
        <v>E276</v>
      </c>
      <c r="B509">
        <v>1</v>
      </c>
      <c r="C509" t="str">
        <f t="shared" si="216"/>
        <v>14185</v>
      </c>
      <c r="D509" t="str">
        <f t="shared" si="213"/>
        <v>5620</v>
      </c>
      <c r="E509" t="str">
        <f t="shared" si="214"/>
        <v>094OMS</v>
      </c>
      <c r="F509" t="str">
        <f>""</f>
        <v/>
      </c>
      <c r="G509" t="str">
        <f>""</f>
        <v/>
      </c>
      <c r="H509" s="1">
        <v>40482</v>
      </c>
      <c r="I509" t="str">
        <f>"G1104202"</f>
        <v>G1104202</v>
      </c>
      <c r="J509" t="str">
        <f>"K0042336"</f>
        <v>K0042336</v>
      </c>
      <c r="K509" t="str">
        <f>"J096"</f>
        <v>J096</v>
      </c>
      <c r="L509" t="s">
        <v>1485</v>
      </c>
      <c r="M509" s="2">
        <v>1448.99</v>
      </c>
    </row>
    <row r="510" spans="1:13" x14ac:dyDescent="0.25">
      <c r="A510" t="str">
        <f t="shared" ref="A510:A512" si="217">"E279"</f>
        <v>E279</v>
      </c>
      <c r="B510">
        <v>1</v>
      </c>
      <c r="C510" t="str">
        <f t="shared" ref="C510:C512" si="218">"43000"</f>
        <v>43000</v>
      </c>
      <c r="D510" t="str">
        <f t="shared" ref="D510:D512" si="219">"5740"</f>
        <v>5740</v>
      </c>
      <c r="E510" t="str">
        <f t="shared" ref="E510:E512" si="220">"850LOS"</f>
        <v>850LOS</v>
      </c>
      <c r="F510" t="str">
        <f>""</f>
        <v/>
      </c>
      <c r="G510" t="str">
        <f>""</f>
        <v/>
      </c>
      <c r="H510" s="1">
        <v>40534</v>
      </c>
      <c r="I510" t="str">
        <f>"2010715"</f>
        <v>2010715</v>
      </c>
      <c r="J510" t="str">
        <f t="shared" ref="J510:J512" si="221">"N113803C"</f>
        <v>N113803C</v>
      </c>
      <c r="K510" t="str">
        <f>"INEI"</f>
        <v>INEI</v>
      </c>
      <c r="L510" t="s">
        <v>330</v>
      </c>
      <c r="M510" s="2">
        <v>53593</v>
      </c>
    </row>
    <row r="511" spans="1:13" x14ac:dyDescent="0.25">
      <c r="A511" t="str">
        <f t="shared" si="217"/>
        <v>E279</v>
      </c>
      <c r="B511">
        <v>1</v>
      </c>
      <c r="C511" t="str">
        <f t="shared" si="218"/>
        <v>43000</v>
      </c>
      <c r="D511" t="str">
        <f t="shared" si="219"/>
        <v>5740</v>
      </c>
      <c r="E511" t="str">
        <f t="shared" si="220"/>
        <v>850LOS</v>
      </c>
      <c r="F511" t="str">
        <f>""</f>
        <v/>
      </c>
      <c r="G511" t="str">
        <f>""</f>
        <v/>
      </c>
      <c r="H511" s="1">
        <v>40617</v>
      </c>
      <c r="I511" t="str">
        <f>"011149IN"</f>
        <v>011149IN</v>
      </c>
      <c r="J511" t="str">
        <f t="shared" si="221"/>
        <v>N113803C</v>
      </c>
      <c r="K511" t="str">
        <f>"INEI"</f>
        <v>INEI</v>
      </c>
      <c r="L511" t="s">
        <v>330</v>
      </c>
      <c r="M511" s="2">
        <v>3196</v>
      </c>
    </row>
    <row r="512" spans="1:13" x14ac:dyDescent="0.25">
      <c r="A512" t="str">
        <f t="shared" si="217"/>
        <v>E279</v>
      </c>
      <c r="B512">
        <v>1</v>
      </c>
      <c r="C512" t="str">
        <f t="shared" si="218"/>
        <v>43000</v>
      </c>
      <c r="D512" t="str">
        <f t="shared" si="219"/>
        <v>5740</v>
      </c>
      <c r="E512" t="str">
        <f t="shared" si="220"/>
        <v>850LOS</v>
      </c>
      <c r="F512" t="str">
        <f>""</f>
        <v/>
      </c>
      <c r="G512" t="str">
        <f>""</f>
        <v/>
      </c>
      <c r="H512" s="1">
        <v>40708</v>
      </c>
      <c r="I512" t="str">
        <f>"011341IN"</f>
        <v>011341IN</v>
      </c>
      <c r="J512" t="str">
        <f t="shared" si="221"/>
        <v>N113803C</v>
      </c>
      <c r="K512" t="str">
        <f>"INEI"</f>
        <v>INEI</v>
      </c>
      <c r="L512" t="s">
        <v>330</v>
      </c>
      <c r="M512" s="2">
        <v>3525</v>
      </c>
    </row>
    <row r="513" spans="1:13" x14ac:dyDescent="0.25">
      <c r="A513" t="str">
        <f t="shared" ref="A513:A519" si="222">"E351"</f>
        <v>E351</v>
      </c>
      <c r="B513">
        <v>1</v>
      </c>
      <c r="C513" t="str">
        <f t="shared" ref="C513:C520" si="223">"10200"</f>
        <v>10200</v>
      </c>
      <c r="D513" t="str">
        <f t="shared" ref="D513:D520" si="224">"5620"</f>
        <v>5620</v>
      </c>
      <c r="E513" t="str">
        <f t="shared" ref="E513:E520" si="225">"094OMS"</f>
        <v>094OMS</v>
      </c>
      <c r="F513" t="str">
        <f>""</f>
        <v/>
      </c>
      <c r="G513" t="str">
        <f>""</f>
        <v/>
      </c>
      <c r="H513" s="1">
        <v>40392</v>
      </c>
      <c r="I513" t="str">
        <f>"V90297"</f>
        <v>V90297</v>
      </c>
      <c r="J513" t="str">
        <f>""</f>
        <v/>
      </c>
      <c r="K513" t="str">
        <f t="shared" ref="K513:K523" si="226">"INNI"</f>
        <v>INNI</v>
      </c>
      <c r="L513" t="s">
        <v>335</v>
      </c>
      <c r="M513">
        <v>630.63</v>
      </c>
    </row>
    <row r="514" spans="1:13" x14ac:dyDescent="0.25">
      <c r="A514" t="str">
        <f t="shared" si="222"/>
        <v>E351</v>
      </c>
      <c r="B514">
        <v>1</v>
      </c>
      <c r="C514" t="str">
        <f t="shared" si="223"/>
        <v>10200</v>
      </c>
      <c r="D514" t="str">
        <f t="shared" si="224"/>
        <v>5620</v>
      </c>
      <c r="E514" t="str">
        <f t="shared" si="225"/>
        <v>094OMS</v>
      </c>
      <c r="F514" t="str">
        <f>""</f>
        <v/>
      </c>
      <c r="G514" t="str">
        <f>""</f>
        <v/>
      </c>
      <c r="H514" s="1">
        <v>40395</v>
      </c>
      <c r="I514" t="str">
        <f>"V90298"</f>
        <v>V90298</v>
      </c>
      <c r="J514" t="str">
        <f>""</f>
        <v/>
      </c>
      <c r="K514" t="str">
        <f t="shared" si="226"/>
        <v>INNI</v>
      </c>
      <c r="L514" t="s">
        <v>1484</v>
      </c>
      <c r="M514">
        <v>202.76</v>
      </c>
    </row>
    <row r="515" spans="1:13" x14ac:dyDescent="0.25">
      <c r="A515" t="str">
        <f t="shared" si="222"/>
        <v>E351</v>
      </c>
      <c r="B515">
        <v>1</v>
      </c>
      <c r="C515" t="str">
        <f t="shared" si="223"/>
        <v>10200</v>
      </c>
      <c r="D515" t="str">
        <f t="shared" si="224"/>
        <v>5620</v>
      </c>
      <c r="E515" t="str">
        <f t="shared" si="225"/>
        <v>094OMS</v>
      </c>
      <c r="F515" t="str">
        <f>""</f>
        <v/>
      </c>
      <c r="G515" t="str">
        <f>""</f>
        <v/>
      </c>
      <c r="H515" s="1">
        <v>40456</v>
      </c>
      <c r="I515" t="str">
        <f>"V90299"</f>
        <v>V90299</v>
      </c>
      <c r="J515" t="str">
        <f>""</f>
        <v/>
      </c>
      <c r="K515" t="str">
        <f t="shared" si="226"/>
        <v>INNI</v>
      </c>
      <c r="L515" t="s">
        <v>338</v>
      </c>
      <c r="M515">
        <v>353.46</v>
      </c>
    </row>
    <row r="516" spans="1:13" x14ac:dyDescent="0.25">
      <c r="A516" t="str">
        <f t="shared" si="222"/>
        <v>E351</v>
      </c>
      <c r="B516">
        <v>1</v>
      </c>
      <c r="C516" t="str">
        <f t="shared" si="223"/>
        <v>10200</v>
      </c>
      <c r="D516" t="str">
        <f t="shared" si="224"/>
        <v>5620</v>
      </c>
      <c r="E516" t="str">
        <f t="shared" si="225"/>
        <v>094OMS</v>
      </c>
      <c r="F516" t="str">
        <f>""</f>
        <v/>
      </c>
      <c r="G516" t="str">
        <f>""</f>
        <v/>
      </c>
      <c r="H516" s="1">
        <v>40464</v>
      </c>
      <c r="I516" t="str">
        <f>"V90300"</f>
        <v>V90300</v>
      </c>
      <c r="J516" t="str">
        <f>""</f>
        <v/>
      </c>
      <c r="K516" t="str">
        <f t="shared" si="226"/>
        <v>INNI</v>
      </c>
      <c r="L516" t="s">
        <v>197</v>
      </c>
      <c r="M516">
        <v>150</v>
      </c>
    </row>
    <row r="517" spans="1:13" x14ac:dyDescent="0.25">
      <c r="A517" t="str">
        <f t="shared" si="222"/>
        <v>E351</v>
      </c>
      <c r="B517">
        <v>1</v>
      </c>
      <c r="C517" t="str">
        <f t="shared" si="223"/>
        <v>10200</v>
      </c>
      <c r="D517" t="str">
        <f t="shared" si="224"/>
        <v>5620</v>
      </c>
      <c r="E517" t="str">
        <f t="shared" si="225"/>
        <v>094OMS</v>
      </c>
      <c r="F517" t="str">
        <f>""</f>
        <v/>
      </c>
      <c r="G517" t="str">
        <f>""</f>
        <v/>
      </c>
      <c r="H517" s="1">
        <v>40514</v>
      </c>
      <c r="I517" t="str">
        <f>"V90303"</f>
        <v>V90303</v>
      </c>
      <c r="J517" t="str">
        <f>""</f>
        <v/>
      </c>
      <c r="K517" t="str">
        <f t="shared" si="226"/>
        <v>INNI</v>
      </c>
      <c r="L517" t="s">
        <v>337</v>
      </c>
      <c r="M517">
        <v>334.65</v>
      </c>
    </row>
    <row r="518" spans="1:13" x14ac:dyDescent="0.25">
      <c r="A518" t="str">
        <f t="shared" si="222"/>
        <v>E351</v>
      </c>
      <c r="B518">
        <v>1</v>
      </c>
      <c r="C518" t="str">
        <f t="shared" si="223"/>
        <v>10200</v>
      </c>
      <c r="D518" t="str">
        <f t="shared" si="224"/>
        <v>5620</v>
      </c>
      <c r="E518" t="str">
        <f t="shared" si="225"/>
        <v>094OMS</v>
      </c>
      <c r="F518" t="str">
        <f>""</f>
        <v/>
      </c>
      <c r="G518" t="str">
        <f>""</f>
        <v/>
      </c>
      <c r="H518" s="1">
        <v>40597</v>
      </c>
      <c r="I518" t="str">
        <f>"V114168"</f>
        <v>V114168</v>
      </c>
      <c r="J518" t="str">
        <f>""</f>
        <v/>
      </c>
      <c r="K518" t="str">
        <f t="shared" si="226"/>
        <v>INNI</v>
      </c>
      <c r="L518" t="s">
        <v>197</v>
      </c>
      <c r="M518">
        <v>207.81</v>
      </c>
    </row>
    <row r="519" spans="1:13" x14ac:dyDescent="0.25">
      <c r="A519" t="str">
        <f t="shared" si="222"/>
        <v>E351</v>
      </c>
      <c r="B519">
        <v>1</v>
      </c>
      <c r="C519" t="str">
        <f t="shared" si="223"/>
        <v>10200</v>
      </c>
      <c r="D519" t="str">
        <f t="shared" si="224"/>
        <v>5620</v>
      </c>
      <c r="E519" t="str">
        <f t="shared" si="225"/>
        <v>094OMS</v>
      </c>
      <c r="F519" t="str">
        <f>""</f>
        <v/>
      </c>
      <c r="G519" t="str">
        <f>""</f>
        <v/>
      </c>
      <c r="H519" s="1">
        <v>40724</v>
      </c>
      <c r="I519" t="str">
        <f>"V90308"</f>
        <v>V90308</v>
      </c>
      <c r="J519" t="str">
        <f>""</f>
        <v/>
      </c>
      <c r="K519" t="str">
        <f t="shared" si="226"/>
        <v>INNI</v>
      </c>
      <c r="L519" t="s">
        <v>1483</v>
      </c>
      <c r="M519">
        <v>127.24</v>
      </c>
    </row>
    <row r="520" spans="1:13" x14ac:dyDescent="0.25">
      <c r="A520" t="str">
        <f>"E353"</f>
        <v>E353</v>
      </c>
      <c r="B520">
        <v>1</v>
      </c>
      <c r="C520" t="str">
        <f t="shared" si="223"/>
        <v>10200</v>
      </c>
      <c r="D520" t="str">
        <f t="shared" si="224"/>
        <v>5620</v>
      </c>
      <c r="E520" t="str">
        <f t="shared" si="225"/>
        <v>094OMS</v>
      </c>
      <c r="F520" t="str">
        <f>""</f>
        <v/>
      </c>
      <c r="G520" t="str">
        <f>""</f>
        <v/>
      </c>
      <c r="H520" s="1">
        <v>40679</v>
      </c>
      <c r="I520" t="str">
        <f>"V90307"</f>
        <v>V90307</v>
      </c>
      <c r="J520" t="str">
        <f>""</f>
        <v/>
      </c>
      <c r="K520" t="str">
        <f t="shared" si="226"/>
        <v>INNI</v>
      </c>
      <c r="L520" t="s">
        <v>1235</v>
      </c>
      <c r="M520">
        <v>104.04</v>
      </c>
    </row>
    <row r="521" spans="1:13" x14ac:dyDescent="0.25">
      <c r="A521" t="str">
        <f>"E353"</f>
        <v>E353</v>
      </c>
      <c r="B521">
        <v>1</v>
      </c>
      <c r="C521" t="str">
        <f>"43000"</f>
        <v>43000</v>
      </c>
      <c r="D521" t="str">
        <f>"5740"</f>
        <v>5740</v>
      </c>
      <c r="E521" t="str">
        <f>"850LOS"</f>
        <v>850LOS</v>
      </c>
      <c r="F521" t="str">
        <f>""</f>
        <v/>
      </c>
      <c r="G521" t="str">
        <f>""</f>
        <v/>
      </c>
      <c r="H521" s="1">
        <v>40465</v>
      </c>
      <c r="I521" t="str">
        <f>"V90301"</f>
        <v>V90301</v>
      </c>
      <c r="J521" t="str">
        <f>""</f>
        <v/>
      </c>
      <c r="K521" t="str">
        <f t="shared" si="226"/>
        <v>INNI</v>
      </c>
      <c r="L521" t="s">
        <v>284</v>
      </c>
      <c r="M521">
        <v>122</v>
      </c>
    </row>
    <row r="522" spans="1:13" x14ac:dyDescent="0.25">
      <c r="A522" t="str">
        <f>"E370"</f>
        <v>E370</v>
      </c>
      <c r="B522">
        <v>1</v>
      </c>
      <c r="C522" t="str">
        <f>"43000"</f>
        <v>43000</v>
      </c>
      <c r="D522" t="str">
        <f>"5740"</f>
        <v>5740</v>
      </c>
      <c r="E522" t="str">
        <f>"850LOS"</f>
        <v>850LOS</v>
      </c>
      <c r="F522" t="str">
        <f>""</f>
        <v/>
      </c>
      <c r="G522" t="str">
        <f>""</f>
        <v/>
      </c>
      <c r="H522" s="1">
        <v>40498</v>
      </c>
      <c r="I522" t="str">
        <f>"V90302"</f>
        <v>V90302</v>
      </c>
      <c r="J522" t="str">
        <f>""</f>
        <v/>
      </c>
      <c r="K522" t="str">
        <f t="shared" si="226"/>
        <v>INNI</v>
      </c>
      <c r="L522" t="s">
        <v>284</v>
      </c>
      <c r="M522">
        <v>757.64</v>
      </c>
    </row>
    <row r="523" spans="1:13" x14ac:dyDescent="0.25">
      <c r="A523" t="str">
        <f>"E374"</f>
        <v>E374</v>
      </c>
      <c r="B523">
        <v>1</v>
      </c>
      <c r="C523" t="str">
        <f>"43000"</f>
        <v>43000</v>
      </c>
      <c r="D523" t="str">
        <f>"5740"</f>
        <v>5740</v>
      </c>
      <c r="E523" t="str">
        <f>"850LOS"</f>
        <v>850LOS</v>
      </c>
      <c r="F523" t="str">
        <f>""</f>
        <v/>
      </c>
      <c r="G523" t="str">
        <f>""</f>
        <v/>
      </c>
      <c r="H523" s="1">
        <v>40456</v>
      </c>
      <c r="I523" t="str">
        <f>"Q64745"</f>
        <v>Q64745</v>
      </c>
      <c r="J523" t="str">
        <f>""</f>
        <v/>
      </c>
      <c r="K523" t="str">
        <f t="shared" si="226"/>
        <v>INNI</v>
      </c>
      <c r="L523" t="s">
        <v>337</v>
      </c>
      <c r="M523">
        <v>311.3</v>
      </c>
    </row>
    <row r="524" spans="1:13" x14ac:dyDescent="0.25">
      <c r="A524" t="str">
        <f t="shared" ref="A524:A526" si="227">"E403"</f>
        <v>E403</v>
      </c>
      <c r="B524">
        <v>1</v>
      </c>
      <c r="C524" t="str">
        <f t="shared" ref="C524:C526" si="228">"10200"</f>
        <v>10200</v>
      </c>
      <c r="D524" t="str">
        <f t="shared" ref="D524:D531" si="229">"5620"</f>
        <v>5620</v>
      </c>
      <c r="E524" t="str">
        <f t="shared" ref="E524:E531" si="230">"094OMS"</f>
        <v>094OMS</v>
      </c>
      <c r="F524" t="str">
        <f>""</f>
        <v/>
      </c>
      <c r="G524" t="str">
        <f>""</f>
        <v/>
      </c>
      <c r="H524" s="1">
        <v>40492</v>
      </c>
      <c r="I524" t="str">
        <f>"PA003631"</f>
        <v>PA003631</v>
      </c>
      <c r="J524" t="str">
        <f>"F183007"</f>
        <v>F183007</v>
      </c>
      <c r="K524" t="str">
        <f>"INEI"</f>
        <v>INEI</v>
      </c>
      <c r="L524" t="s">
        <v>1231</v>
      </c>
      <c r="M524" s="2">
        <v>2170</v>
      </c>
    </row>
    <row r="525" spans="1:13" x14ac:dyDescent="0.25">
      <c r="A525" t="str">
        <f t="shared" si="227"/>
        <v>E403</v>
      </c>
      <c r="B525">
        <v>1</v>
      </c>
      <c r="C525" t="str">
        <f t="shared" si="228"/>
        <v>10200</v>
      </c>
      <c r="D525" t="str">
        <f t="shared" si="229"/>
        <v>5620</v>
      </c>
      <c r="E525" t="str">
        <f t="shared" si="230"/>
        <v>094OMS</v>
      </c>
      <c r="F525" t="str">
        <f>""</f>
        <v/>
      </c>
      <c r="G525" t="str">
        <f>""</f>
        <v/>
      </c>
      <c r="H525" s="1">
        <v>40492</v>
      </c>
      <c r="I525" t="str">
        <f>"PA003631"</f>
        <v>PA003631</v>
      </c>
      <c r="J525" t="str">
        <f>"F183007"</f>
        <v>F183007</v>
      </c>
      <c r="K525" t="str">
        <f>"INEI"</f>
        <v>INEI</v>
      </c>
      <c r="L525" t="s">
        <v>1231</v>
      </c>
      <c r="M525" s="2">
        <v>4312.88</v>
      </c>
    </row>
    <row r="526" spans="1:13" x14ac:dyDescent="0.25">
      <c r="A526" t="str">
        <f t="shared" si="227"/>
        <v>E403</v>
      </c>
      <c r="B526">
        <v>1</v>
      </c>
      <c r="C526" t="str">
        <f t="shared" si="228"/>
        <v>10200</v>
      </c>
      <c r="D526" t="str">
        <f t="shared" si="229"/>
        <v>5620</v>
      </c>
      <c r="E526" t="str">
        <f t="shared" si="230"/>
        <v>094OMS</v>
      </c>
      <c r="F526" t="str">
        <f>""</f>
        <v/>
      </c>
      <c r="G526" t="str">
        <f>""</f>
        <v/>
      </c>
      <c r="H526" s="1">
        <v>40724</v>
      </c>
      <c r="I526" t="str">
        <f>"SWS00085"</f>
        <v>SWS00085</v>
      </c>
      <c r="J526" t="str">
        <f>"11692"</f>
        <v>11692</v>
      </c>
      <c r="K526" t="str">
        <f>"AS89"</f>
        <v>AS89</v>
      </c>
      <c r="L526" t="s">
        <v>1482</v>
      </c>
      <c r="M526">
        <v>125</v>
      </c>
    </row>
    <row r="527" spans="1:13" x14ac:dyDescent="0.25">
      <c r="A527" t="str">
        <f t="shared" ref="A527:A538" si="231">"E404"</f>
        <v>E404</v>
      </c>
      <c r="B527">
        <v>1</v>
      </c>
      <c r="C527" t="str">
        <f>"10200"</f>
        <v>10200</v>
      </c>
      <c r="D527" t="str">
        <f t="shared" si="229"/>
        <v>5620</v>
      </c>
      <c r="E527" t="str">
        <f t="shared" si="230"/>
        <v>094OMS</v>
      </c>
      <c r="F527" t="str">
        <f>""</f>
        <v/>
      </c>
      <c r="G527" t="str">
        <f>""</f>
        <v/>
      </c>
      <c r="H527" s="1">
        <v>40390</v>
      </c>
      <c r="I527" t="str">
        <f>"PCD00433"</f>
        <v>PCD00433</v>
      </c>
      <c r="J527" t="str">
        <f>"125712"</f>
        <v>125712</v>
      </c>
      <c r="K527" t="str">
        <f>"AS89"</f>
        <v>AS89</v>
      </c>
      <c r="L527" t="s">
        <v>1481</v>
      </c>
      <c r="M527">
        <v>265.89999999999998</v>
      </c>
    </row>
    <row r="528" spans="1:13" x14ac:dyDescent="0.25">
      <c r="A528" t="str">
        <f t="shared" si="231"/>
        <v>E404</v>
      </c>
      <c r="B528">
        <v>1</v>
      </c>
      <c r="C528" t="str">
        <f>"10200"</f>
        <v>10200</v>
      </c>
      <c r="D528" t="str">
        <f t="shared" si="229"/>
        <v>5620</v>
      </c>
      <c r="E528" t="str">
        <f t="shared" si="230"/>
        <v>094OMS</v>
      </c>
      <c r="F528" t="str">
        <f>""</f>
        <v/>
      </c>
      <c r="G528" t="str">
        <f>""</f>
        <v/>
      </c>
      <c r="H528" s="1">
        <v>40451</v>
      </c>
      <c r="I528" t="str">
        <f>"167063A"</f>
        <v>167063A</v>
      </c>
      <c r="J528" t="str">
        <f>"F183022"</f>
        <v>F183022</v>
      </c>
      <c r="K528" t="str">
        <f>"INEI"</f>
        <v>INEI</v>
      </c>
      <c r="L528" t="s">
        <v>764</v>
      </c>
      <c r="M528">
        <v>232.09</v>
      </c>
    </row>
    <row r="529" spans="1:13" x14ac:dyDescent="0.25">
      <c r="A529" t="str">
        <f t="shared" si="231"/>
        <v>E404</v>
      </c>
      <c r="B529">
        <v>1</v>
      </c>
      <c r="C529" t="str">
        <f>"10200"</f>
        <v>10200</v>
      </c>
      <c r="D529" t="str">
        <f t="shared" si="229"/>
        <v>5620</v>
      </c>
      <c r="E529" t="str">
        <f t="shared" si="230"/>
        <v>094OMS</v>
      </c>
      <c r="F529" t="str">
        <f>""</f>
        <v/>
      </c>
      <c r="G529" t="str">
        <f>""</f>
        <v/>
      </c>
      <c r="H529" s="1">
        <v>40482</v>
      </c>
      <c r="I529" t="str">
        <f>"PCD00450"</f>
        <v>PCD00450</v>
      </c>
      <c r="J529" t="str">
        <f>"131215"</f>
        <v>131215</v>
      </c>
      <c r="K529" t="str">
        <f>"AS89"</f>
        <v>AS89</v>
      </c>
      <c r="L529" t="s">
        <v>1480</v>
      </c>
      <c r="M529">
        <v>169.79</v>
      </c>
    </row>
    <row r="530" spans="1:13" x14ac:dyDescent="0.25">
      <c r="A530" t="str">
        <f t="shared" si="231"/>
        <v>E404</v>
      </c>
      <c r="B530">
        <v>1</v>
      </c>
      <c r="C530" t="str">
        <f>"10200"</f>
        <v>10200</v>
      </c>
      <c r="D530" t="str">
        <f t="shared" si="229"/>
        <v>5620</v>
      </c>
      <c r="E530" t="str">
        <f t="shared" si="230"/>
        <v>094OMS</v>
      </c>
      <c r="F530" t="str">
        <f>""</f>
        <v/>
      </c>
      <c r="G530" t="str">
        <f>""</f>
        <v/>
      </c>
      <c r="H530" s="1">
        <v>40722</v>
      </c>
      <c r="I530" t="str">
        <f>"188717"</f>
        <v>188717</v>
      </c>
      <c r="J530" t="str">
        <f>""</f>
        <v/>
      </c>
      <c r="K530" t="str">
        <f>"INNI"</f>
        <v>INNI</v>
      </c>
      <c r="L530" t="s">
        <v>36</v>
      </c>
      <c r="M530" s="2">
        <v>1331.58</v>
      </c>
    </row>
    <row r="531" spans="1:13" x14ac:dyDescent="0.25">
      <c r="A531" t="str">
        <f t="shared" si="231"/>
        <v>E404</v>
      </c>
      <c r="B531">
        <v>1</v>
      </c>
      <c r="C531" t="str">
        <f>"31040"</f>
        <v>31040</v>
      </c>
      <c r="D531" t="str">
        <f t="shared" si="229"/>
        <v>5620</v>
      </c>
      <c r="E531" t="str">
        <f t="shared" si="230"/>
        <v>094OMS</v>
      </c>
      <c r="F531" t="str">
        <f>""</f>
        <v/>
      </c>
      <c r="G531" t="str">
        <f>""</f>
        <v/>
      </c>
      <c r="H531" s="1">
        <v>40477</v>
      </c>
      <c r="I531" t="str">
        <f>"167235"</f>
        <v>167235</v>
      </c>
      <c r="J531" t="str">
        <f>"F183023"</f>
        <v>F183023</v>
      </c>
      <c r="K531" t="str">
        <f>"INEI"</f>
        <v>INEI</v>
      </c>
      <c r="L531" t="s">
        <v>764</v>
      </c>
      <c r="M531">
        <v>232.09</v>
      </c>
    </row>
    <row r="532" spans="1:13" x14ac:dyDescent="0.25">
      <c r="A532" t="str">
        <f t="shared" si="231"/>
        <v>E404</v>
      </c>
      <c r="B532">
        <v>1</v>
      </c>
      <c r="C532" t="str">
        <f>"32040"</f>
        <v>32040</v>
      </c>
      <c r="D532" t="str">
        <f>"5610"</f>
        <v>5610</v>
      </c>
      <c r="E532" t="str">
        <f t="shared" ref="E532:E537" si="232">"850LOS"</f>
        <v>850LOS</v>
      </c>
      <c r="F532" t="str">
        <f>""</f>
        <v/>
      </c>
      <c r="G532" t="str">
        <f>""</f>
        <v/>
      </c>
      <c r="H532" s="1">
        <v>40452</v>
      </c>
      <c r="I532" t="str">
        <f>"PCD00443"</f>
        <v>PCD00443</v>
      </c>
      <c r="J532" t="str">
        <f>"129960"</f>
        <v>129960</v>
      </c>
      <c r="K532" t="str">
        <f>"AS89"</f>
        <v>AS89</v>
      </c>
      <c r="L532" t="s">
        <v>1479</v>
      </c>
      <c r="M532">
        <v>173.59</v>
      </c>
    </row>
    <row r="533" spans="1:13" x14ac:dyDescent="0.25">
      <c r="A533" t="str">
        <f t="shared" si="231"/>
        <v>E404</v>
      </c>
      <c r="B533">
        <v>1</v>
      </c>
      <c r="C533" t="str">
        <f t="shared" ref="C533:C537" si="233">"43000"</f>
        <v>43000</v>
      </c>
      <c r="D533" t="str">
        <f t="shared" ref="D533:D538" si="234">"5740"</f>
        <v>5740</v>
      </c>
      <c r="E533" t="str">
        <f t="shared" si="232"/>
        <v>850LOS</v>
      </c>
      <c r="F533" t="str">
        <f>""</f>
        <v/>
      </c>
      <c r="G533" t="str">
        <f>""</f>
        <v/>
      </c>
      <c r="H533" s="1">
        <v>40451</v>
      </c>
      <c r="I533" t="str">
        <f>"167063A"</f>
        <v>167063A</v>
      </c>
      <c r="J533" t="str">
        <f>"F183022"</f>
        <v>F183022</v>
      </c>
      <c r="K533" t="str">
        <f>"INEI"</f>
        <v>INEI</v>
      </c>
      <c r="L533" t="s">
        <v>764</v>
      </c>
      <c r="M533">
        <v>232.09</v>
      </c>
    </row>
    <row r="534" spans="1:13" x14ac:dyDescent="0.25">
      <c r="A534" t="str">
        <f t="shared" si="231"/>
        <v>E404</v>
      </c>
      <c r="B534">
        <v>1</v>
      </c>
      <c r="C534" t="str">
        <f t="shared" si="233"/>
        <v>43000</v>
      </c>
      <c r="D534" t="str">
        <f t="shared" si="234"/>
        <v>5740</v>
      </c>
      <c r="E534" t="str">
        <f t="shared" si="232"/>
        <v>850LOS</v>
      </c>
      <c r="F534" t="str">
        <f>""</f>
        <v/>
      </c>
      <c r="G534" t="str">
        <f>""</f>
        <v/>
      </c>
      <c r="H534" s="1">
        <v>40452</v>
      </c>
      <c r="I534" t="str">
        <f>"PCD00443"</f>
        <v>PCD00443</v>
      </c>
      <c r="J534" t="str">
        <f>"130002"</f>
        <v>130002</v>
      </c>
      <c r="K534" t="str">
        <f>"AS89"</f>
        <v>AS89</v>
      </c>
      <c r="L534" t="s">
        <v>1478</v>
      </c>
      <c r="M534">
        <v>373.24</v>
      </c>
    </row>
    <row r="535" spans="1:13" x14ac:dyDescent="0.25">
      <c r="A535" t="str">
        <f t="shared" si="231"/>
        <v>E404</v>
      </c>
      <c r="B535">
        <v>1</v>
      </c>
      <c r="C535" t="str">
        <f t="shared" si="233"/>
        <v>43000</v>
      </c>
      <c r="D535" t="str">
        <f t="shared" si="234"/>
        <v>5740</v>
      </c>
      <c r="E535" t="str">
        <f t="shared" si="232"/>
        <v>850LOS</v>
      </c>
      <c r="F535" t="str">
        <f>""</f>
        <v/>
      </c>
      <c r="G535" t="str">
        <f>""</f>
        <v/>
      </c>
      <c r="H535" s="1">
        <v>40482</v>
      </c>
      <c r="I535" t="str">
        <f>"PCD00450"</f>
        <v>PCD00450</v>
      </c>
      <c r="J535" t="str">
        <f>"131738"</f>
        <v>131738</v>
      </c>
      <c r="K535" t="str">
        <f t="shared" ref="K535:K537" si="235">"AS89"</f>
        <v>AS89</v>
      </c>
      <c r="L535" t="s">
        <v>1477</v>
      </c>
      <c r="M535">
        <v>125.86</v>
      </c>
    </row>
    <row r="536" spans="1:13" x14ac:dyDescent="0.25">
      <c r="A536" t="str">
        <f t="shared" si="231"/>
        <v>E404</v>
      </c>
      <c r="B536">
        <v>1</v>
      </c>
      <c r="C536" t="str">
        <f t="shared" si="233"/>
        <v>43000</v>
      </c>
      <c r="D536" t="str">
        <f t="shared" si="234"/>
        <v>5740</v>
      </c>
      <c r="E536" t="str">
        <f t="shared" si="232"/>
        <v>850LOS</v>
      </c>
      <c r="F536" t="str">
        <f>""</f>
        <v/>
      </c>
      <c r="G536" t="str">
        <f>""</f>
        <v/>
      </c>
      <c r="H536" s="1">
        <v>40512</v>
      </c>
      <c r="I536" t="str">
        <f>"PCD00455"</f>
        <v>PCD00455</v>
      </c>
      <c r="J536" t="str">
        <f>"133139"</f>
        <v>133139</v>
      </c>
      <c r="K536" t="str">
        <f t="shared" si="235"/>
        <v>AS89</v>
      </c>
      <c r="L536" t="s">
        <v>1476</v>
      </c>
      <c r="M536">
        <v>123.66</v>
      </c>
    </row>
    <row r="537" spans="1:13" x14ac:dyDescent="0.25">
      <c r="A537" t="str">
        <f t="shared" si="231"/>
        <v>E404</v>
      </c>
      <c r="B537">
        <v>1</v>
      </c>
      <c r="C537" t="str">
        <f t="shared" si="233"/>
        <v>43000</v>
      </c>
      <c r="D537" t="str">
        <f t="shared" si="234"/>
        <v>5740</v>
      </c>
      <c r="E537" t="str">
        <f t="shared" si="232"/>
        <v>850LOS</v>
      </c>
      <c r="F537" t="str">
        <f>""</f>
        <v/>
      </c>
      <c r="G537" t="str">
        <f>""</f>
        <v/>
      </c>
      <c r="H537" s="1">
        <v>40542</v>
      </c>
      <c r="I537" t="str">
        <f>"PCD00458"</f>
        <v>PCD00458</v>
      </c>
      <c r="J537" t="str">
        <f>"134360"</f>
        <v>134360</v>
      </c>
      <c r="K537" t="str">
        <f t="shared" si="235"/>
        <v>AS89</v>
      </c>
      <c r="L537" t="s">
        <v>1475</v>
      </c>
      <c r="M537">
        <v>739.97</v>
      </c>
    </row>
    <row r="538" spans="1:13" x14ac:dyDescent="0.25">
      <c r="A538" t="str">
        <f t="shared" si="231"/>
        <v>E404</v>
      </c>
      <c r="B538">
        <v>1</v>
      </c>
      <c r="C538" t="str">
        <f>"43003"</f>
        <v>43003</v>
      </c>
      <c r="D538" t="str">
        <f t="shared" si="234"/>
        <v>5740</v>
      </c>
      <c r="E538" t="str">
        <f>"850LOS"</f>
        <v>850LOS</v>
      </c>
      <c r="F538" t="str">
        <f>""</f>
        <v/>
      </c>
      <c r="G538" t="str">
        <f>""</f>
        <v/>
      </c>
      <c r="H538" s="1">
        <v>40708</v>
      </c>
      <c r="I538" t="str">
        <f>"188712"</f>
        <v>188712</v>
      </c>
      <c r="J538" t="str">
        <f>""</f>
        <v/>
      </c>
      <c r="K538" t="str">
        <f>"INNI"</f>
        <v>INNI</v>
      </c>
      <c r="L538" t="s">
        <v>1189</v>
      </c>
      <c r="M538" s="2">
        <v>2522.9299999999998</v>
      </c>
    </row>
    <row r="539" spans="1:13" x14ac:dyDescent="0.25">
      <c r="A539" t="str">
        <f t="shared" ref="A539:A540" si="236">"E407"</f>
        <v>E407</v>
      </c>
      <c r="B539">
        <v>1</v>
      </c>
      <c r="C539" t="str">
        <f>"32040"</f>
        <v>32040</v>
      </c>
      <c r="D539" t="str">
        <f>"5610"</f>
        <v>5610</v>
      </c>
      <c r="E539" t="str">
        <f>"850LOS"</f>
        <v>850LOS</v>
      </c>
      <c r="F539" t="str">
        <f>""</f>
        <v/>
      </c>
      <c r="G539" t="str">
        <f>""</f>
        <v/>
      </c>
      <c r="H539" s="1">
        <v>40694</v>
      </c>
      <c r="I539" t="str">
        <f>"PCD00485"</f>
        <v>PCD00485</v>
      </c>
      <c r="J539" t="str">
        <f>"144201"</f>
        <v>144201</v>
      </c>
      <c r="K539" t="str">
        <f>"AS89"</f>
        <v>AS89</v>
      </c>
      <c r="L539" t="s">
        <v>1474</v>
      </c>
      <c r="M539">
        <v>462.75</v>
      </c>
    </row>
    <row r="540" spans="1:13" x14ac:dyDescent="0.25">
      <c r="A540" t="str">
        <f t="shared" si="236"/>
        <v>E407</v>
      </c>
      <c r="B540">
        <v>1</v>
      </c>
      <c r="C540" t="str">
        <f>"43000"</f>
        <v>43000</v>
      </c>
      <c r="D540" t="str">
        <f>"5740"</f>
        <v>5740</v>
      </c>
      <c r="E540" t="str">
        <f>"850LOS"</f>
        <v>850LOS</v>
      </c>
      <c r="F540" t="str">
        <f>""</f>
        <v/>
      </c>
      <c r="G540" t="str">
        <f>""</f>
        <v/>
      </c>
      <c r="H540" s="1">
        <v>40663</v>
      </c>
      <c r="I540" t="str">
        <f>"PCD00480"</f>
        <v>PCD00480</v>
      </c>
      <c r="J540" t="str">
        <f>"143363"</f>
        <v>143363</v>
      </c>
      <c r="K540" t="str">
        <f>"AS89"</f>
        <v>AS89</v>
      </c>
      <c r="L540" t="s">
        <v>1473</v>
      </c>
      <c r="M540">
        <v>454.38</v>
      </c>
    </row>
    <row r="541" spans="1:13" x14ac:dyDescent="0.25">
      <c r="A541" t="str">
        <f t="shared" ref="A541:A544" si="237">"E408"</f>
        <v>E408</v>
      </c>
      <c r="B541">
        <v>1</v>
      </c>
      <c r="C541" t="str">
        <f t="shared" ref="C541:C543" si="238">"10200"</f>
        <v>10200</v>
      </c>
      <c r="D541" t="str">
        <f t="shared" ref="D541:D543" si="239">"5620"</f>
        <v>5620</v>
      </c>
      <c r="E541" t="str">
        <f t="shared" ref="E541:E543" si="240">"094OMS"</f>
        <v>094OMS</v>
      </c>
      <c r="F541" t="str">
        <f>""</f>
        <v/>
      </c>
      <c r="G541" t="str">
        <f>""</f>
        <v/>
      </c>
      <c r="H541" s="1">
        <v>40715</v>
      </c>
      <c r="I541" t="str">
        <f>"597831"</f>
        <v>597831</v>
      </c>
      <c r="J541" t="str">
        <f>"D188718"</f>
        <v>D188718</v>
      </c>
      <c r="K541" t="str">
        <f>"INEI"</f>
        <v>INEI</v>
      </c>
      <c r="L541" t="s">
        <v>366</v>
      </c>
      <c r="M541" s="2">
        <v>1787.95</v>
      </c>
    </row>
    <row r="542" spans="1:13" x14ac:dyDescent="0.25">
      <c r="A542" t="str">
        <f t="shared" si="237"/>
        <v>E408</v>
      </c>
      <c r="B542">
        <v>1</v>
      </c>
      <c r="C542" t="str">
        <f t="shared" si="238"/>
        <v>10200</v>
      </c>
      <c r="D542" t="str">
        <f t="shared" si="239"/>
        <v>5620</v>
      </c>
      <c r="E542" t="str">
        <f t="shared" si="240"/>
        <v>094OMS</v>
      </c>
      <c r="F542" t="str">
        <f>""</f>
        <v/>
      </c>
      <c r="G542" t="str">
        <f>""</f>
        <v/>
      </c>
      <c r="H542" s="1">
        <v>40715</v>
      </c>
      <c r="I542" t="str">
        <f>"597831"</f>
        <v>597831</v>
      </c>
      <c r="J542" t="str">
        <f>"D188718"</f>
        <v>D188718</v>
      </c>
      <c r="K542" t="str">
        <f>"INEI"</f>
        <v>INEI</v>
      </c>
      <c r="L542" t="s">
        <v>366</v>
      </c>
      <c r="M542">
        <v>513.42999999999995</v>
      </c>
    </row>
    <row r="543" spans="1:13" x14ac:dyDescent="0.25">
      <c r="A543" t="str">
        <f t="shared" si="237"/>
        <v>E408</v>
      </c>
      <c r="B543">
        <v>1</v>
      </c>
      <c r="C543" t="str">
        <f t="shared" si="238"/>
        <v>10200</v>
      </c>
      <c r="D543" t="str">
        <f t="shared" si="239"/>
        <v>5620</v>
      </c>
      <c r="E543" t="str">
        <f t="shared" si="240"/>
        <v>094OMS</v>
      </c>
      <c r="F543" t="str">
        <f>""</f>
        <v/>
      </c>
      <c r="G543" t="str">
        <f>""</f>
        <v/>
      </c>
      <c r="H543" s="1">
        <v>40724</v>
      </c>
      <c r="I543" t="str">
        <f>"188719"</f>
        <v>188719</v>
      </c>
      <c r="J543" t="str">
        <f>""</f>
        <v/>
      </c>
      <c r="K543" t="str">
        <f>"INNI"</f>
        <v>INNI</v>
      </c>
      <c r="L543" t="s">
        <v>1472</v>
      </c>
      <c r="M543">
        <v>890.78</v>
      </c>
    </row>
    <row r="544" spans="1:13" x14ac:dyDescent="0.25">
      <c r="A544" t="str">
        <f t="shared" si="237"/>
        <v>E408</v>
      </c>
      <c r="B544">
        <v>1</v>
      </c>
      <c r="C544" t="str">
        <f>"43000"</f>
        <v>43000</v>
      </c>
      <c r="D544" t="str">
        <f>"5740"</f>
        <v>5740</v>
      </c>
      <c r="E544" t="str">
        <f>"850LOS"</f>
        <v>850LOS</v>
      </c>
      <c r="F544" t="str">
        <f>""</f>
        <v/>
      </c>
      <c r="G544" t="str">
        <f>""</f>
        <v/>
      </c>
      <c r="H544" s="1">
        <v>40694</v>
      </c>
      <c r="I544" t="str">
        <f>"PCD00485"</f>
        <v>PCD00485</v>
      </c>
      <c r="J544" t="str">
        <f>"144458"</f>
        <v>144458</v>
      </c>
      <c r="K544" t="str">
        <f>"AS89"</f>
        <v>AS89</v>
      </c>
      <c r="L544" t="s">
        <v>1471</v>
      </c>
      <c r="M544">
        <v>813</v>
      </c>
    </row>
    <row r="545" spans="1:13" x14ac:dyDescent="0.25">
      <c r="A545" t="str">
        <f t="shared" ref="A545:A547" si="241">"E414"</f>
        <v>E414</v>
      </c>
      <c r="B545">
        <v>1</v>
      </c>
      <c r="C545" t="str">
        <f>"43003"</f>
        <v>43003</v>
      </c>
      <c r="D545" t="str">
        <f t="shared" ref="D545:D549" si="242">"5740"</f>
        <v>5740</v>
      </c>
      <c r="E545" t="str">
        <f>"850LOS"</f>
        <v>850LOS</v>
      </c>
      <c r="F545" t="str">
        <f>""</f>
        <v/>
      </c>
      <c r="G545" t="str">
        <f>""</f>
        <v/>
      </c>
      <c r="H545" s="1">
        <v>40501</v>
      </c>
      <c r="I545" t="str">
        <f>"10378057"</f>
        <v>10378057</v>
      </c>
      <c r="J545" t="str">
        <f>"610143"</f>
        <v>610143</v>
      </c>
      <c r="K545" t="str">
        <f>"CNCP"</f>
        <v>CNCP</v>
      </c>
      <c r="L545" t="s">
        <v>1189</v>
      </c>
      <c r="M545">
        <v>973.25</v>
      </c>
    </row>
    <row r="546" spans="1:13" x14ac:dyDescent="0.25">
      <c r="A546" t="str">
        <f t="shared" si="241"/>
        <v>E414</v>
      </c>
      <c r="B546">
        <v>1</v>
      </c>
      <c r="C546" t="str">
        <f t="shared" ref="C546:C547" si="243">"43007"</f>
        <v>43007</v>
      </c>
      <c r="D546" t="str">
        <f t="shared" si="242"/>
        <v>5740</v>
      </c>
      <c r="E546" t="str">
        <f t="shared" ref="E546:E549" si="244">"850LOS"</f>
        <v>850LOS</v>
      </c>
      <c r="F546" t="str">
        <f t="shared" ref="F546:F547" si="245">"PKOEQP"</f>
        <v>PKOEQP</v>
      </c>
      <c r="G546" t="str">
        <f>""</f>
        <v/>
      </c>
      <c r="H546" s="1">
        <v>40676</v>
      </c>
      <c r="I546" t="str">
        <f>"22726D"</f>
        <v>22726D</v>
      </c>
      <c r="J546" t="str">
        <f>"F183018"</f>
        <v>F183018</v>
      </c>
      <c r="K546" t="str">
        <f>"INEI"</f>
        <v>INEI</v>
      </c>
      <c r="L546" t="s">
        <v>1470</v>
      </c>
      <c r="M546" s="2">
        <v>20108.41</v>
      </c>
    </row>
    <row r="547" spans="1:13" x14ac:dyDescent="0.25">
      <c r="A547" t="str">
        <f t="shared" si="241"/>
        <v>E414</v>
      </c>
      <c r="B547">
        <v>1</v>
      </c>
      <c r="C547" t="str">
        <f t="shared" si="243"/>
        <v>43007</v>
      </c>
      <c r="D547" t="str">
        <f t="shared" si="242"/>
        <v>5740</v>
      </c>
      <c r="E547" t="str">
        <f t="shared" si="244"/>
        <v>850LOS</v>
      </c>
      <c r="F547" t="str">
        <f t="shared" si="245"/>
        <v>PKOEQP</v>
      </c>
      <c r="G547" t="str">
        <f>""</f>
        <v/>
      </c>
      <c r="H547" s="1">
        <v>40676</v>
      </c>
      <c r="I547" t="str">
        <f>"22726D"</f>
        <v>22726D</v>
      </c>
      <c r="J547" t="str">
        <f>"F183018"</f>
        <v>F183018</v>
      </c>
      <c r="K547" t="str">
        <f>"INEI"</f>
        <v>INEI</v>
      </c>
      <c r="L547" t="s">
        <v>1470</v>
      </c>
      <c r="M547">
        <v>429.37</v>
      </c>
    </row>
    <row r="548" spans="1:13" x14ac:dyDescent="0.25">
      <c r="A548" t="str">
        <f t="shared" ref="A548:A549" si="246">"E494"</f>
        <v>E494</v>
      </c>
      <c r="B548">
        <v>1</v>
      </c>
      <c r="C548" t="str">
        <f t="shared" ref="C548:C549" si="247">"43000"</f>
        <v>43000</v>
      </c>
      <c r="D548" t="str">
        <f t="shared" si="242"/>
        <v>5740</v>
      </c>
      <c r="E548" t="str">
        <f t="shared" si="244"/>
        <v>850LOS</v>
      </c>
      <c r="F548" t="str">
        <f>""</f>
        <v/>
      </c>
      <c r="G548" t="str">
        <f>""</f>
        <v/>
      </c>
      <c r="H548" s="1">
        <v>40592</v>
      </c>
      <c r="I548" t="str">
        <f t="shared" ref="I548:I549" si="248">"13700C"</f>
        <v>13700C</v>
      </c>
      <c r="J548" t="str">
        <f t="shared" ref="J548:J549" si="249">"N138267A"</f>
        <v>N138267A</v>
      </c>
      <c r="K548" t="str">
        <f>"INEI"</f>
        <v>INEI</v>
      </c>
      <c r="L548" t="s">
        <v>3</v>
      </c>
      <c r="M548" s="2">
        <v>12497</v>
      </c>
    </row>
    <row r="549" spans="1:13" x14ac:dyDescent="0.25">
      <c r="A549" t="str">
        <f t="shared" si="246"/>
        <v>E494</v>
      </c>
      <c r="B549">
        <v>1</v>
      </c>
      <c r="C549" t="str">
        <f t="shared" si="247"/>
        <v>43000</v>
      </c>
      <c r="D549" t="str">
        <f t="shared" si="242"/>
        <v>5740</v>
      </c>
      <c r="E549" t="str">
        <f t="shared" si="244"/>
        <v>850LOS</v>
      </c>
      <c r="F549" t="str">
        <f>""</f>
        <v/>
      </c>
      <c r="G549" t="str">
        <f>""</f>
        <v/>
      </c>
      <c r="H549" s="1">
        <v>40592</v>
      </c>
      <c r="I549" t="str">
        <f t="shared" si="248"/>
        <v>13700C</v>
      </c>
      <c r="J549" t="str">
        <f t="shared" si="249"/>
        <v>N138267A</v>
      </c>
      <c r="K549" t="str">
        <f>"INEI"</f>
        <v>INEI</v>
      </c>
      <c r="L549" t="s">
        <v>3</v>
      </c>
      <c r="M549" s="2">
        <v>12497</v>
      </c>
    </row>
    <row r="550" spans="1:13" x14ac:dyDescent="0.25">
      <c r="A550" t="str">
        <f>"E231"</f>
        <v>E231</v>
      </c>
      <c r="B550">
        <v>1</v>
      </c>
      <c r="C550" t="str">
        <f>"43000"</f>
        <v>43000</v>
      </c>
      <c r="D550" t="str">
        <f>"5740"</f>
        <v>5740</v>
      </c>
      <c r="E550" t="str">
        <f>"850LOS"</f>
        <v>850LOS</v>
      </c>
      <c r="F550" t="str">
        <f>""</f>
        <v/>
      </c>
      <c r="G550" t="str">
        <f>""</f>
        <v/>
      </c>
      <c r="H550" s="1">
        <v>40663</v>
      </c>
      <c r="I550" t="str">
        <f>"MPG00393"</f>
        <v>MPG00393</v>
      </c>
      <c r="J550" t="str">
        <f>""</f>
        <v/>
      </c>
      <c r="K550" t="str">
        <f>"AS89"</f>
        <v>AS89</v>
      </c>
      <c r="L550" t="s">
        <v>1518</v>
      </c>
      <c r="M550" s="2">
        <v>1115.52</v>
      </c>
    </row>
    <row r="551" spans="1:13" x14ac:dyDescent="0.25">
      <c r="A551" t="str">
        <f>"E231"</f>
        <v>E231</v>
      </c>
      <c r="B551">
        <v>1</v>
      </c>
      <c r="C551" t="str">
        <f>"43000"</f>
        <v>43000</v>
      </c>
      <c r="D551" t="str">
        <f>"5740"</f>
        <v>5740</v>
      </c>
      <c r="E551" t="str">
        <f>"850LOS"</f>
        <v>850LOS</v>
      </c>
      <c r="F551" t="str">
        <f>""</f>
        <v/>
      </c>
      <c r="G551" t="str">
        <f>""</f>
        <v/>
      </c>
      <c r="H551" s="1">
        <v>40694</v>
      </c>
      <c r="I551" t="str">
        <f>"MPG00394"</f>
        <v>MPG00394</v>
      </c>
      <c r="J551" t="str">
        <f>""</f>
        <v/>
      </c>
      <c r="K551" t="str">
        <f>"AS89"</f>
        <v>AS89</v>
      </c>
      <c r="L551" t="s">
        <v>1517</v>
      </c>
      <c r="M551" s="2">
        <v>1510.82</v>
      </c>
    </row>
    <row r="552" spans="1:13" x14ac:dyDescent="0.25">
      <c r="A552" t="str">
        <f>"E231"</f>
        <v>E231</v>
      </c>
      <c r="B552">
        <v>1</v>
      </c>
      <c r="C552" t="str">
        <f>"43000"</f>
        <v>43000</v>
      </c>
      <c r="D552" t="str">
        <f>"5740"</f>
        <v>5740</v>
      </c>
      <c r="E552" t="str">
        <f>"850LOS"</f>
        <v>850LOS</v>
      </c>
      <c r="F552" t="str">
        <f>""</f>
        <v/>
      </c>
      <c r="G552" t="str">
        <f>""</f>
        <v/>
      </c>
      <c r="H552" s="1">
        <v>40724</v>
      </c>
      <c r="I552" t="str">
        <f>"MPG00395"</f>
        <v>MPG00395</v>
      </c>
      <c r="J552" t="str">
        <f>""</f>
        <v/>
      </c>
      <c r="K552" t="str">
        <f>"AS89"</f>
        <v>AS89</v>
      </c>
      <c r="L552" t="s">
        <v>1516</v>
      </c>
      <c r="M552">
        <v>970.27</v>
      </c>
    </row>
    <row r="553" spans="1:13" x14ac:dyDescent="0.25">
      <c r="A553" t="str">
        <f>"E232"</f>
        <v>E232</v>
      </c>
      <c r="B553">
        <v>1</v>
      </c>
      <c r="C553" t="str">
        <f>"43000"</f>
        <v>43000</v>
      </c>
      <c r="D553" t="str">
        <f>"5740"</f>
        <v>5740</v>
      </c>
      <c r="E553" t="str">
        <f>"850LOS"</f>
        <v>850LOS</v>
      </c>
      <c r="F553" t="str">
        <f>""</f>
        <v/>
      </c>
      <c r="G553" t="str">
        <f>""</f>
        <v/>
      </c>
      <c r="H553" s="1">
        <v>40486</v>
      </c>
      <c r="I553" t="str">
        <f>"183029"</f>
        <v>183029</v>
      </c>
      <c r="J553" t="str">
        <f>""</f>
        <v/>
      </c>
      <c r="K553" t="str">
        <f>"INNI"</f>
        <v>INNI</v>
      </c>
      <c r="L553" t="s">
        <v>92</v>
      </c>
      <c r="M553" s="2">
        <v>16875</v>
      </c>
    </row>
    <row r="554" spans="1:13" x14ac:dyDescent="0.25">
      <c r="A554" t="str">
        <f>"E241"</f>
        <v>E241</v>
      </c>
      <c r="B554">
        <v>1</v>
      </c>
      <c r="C554" t="str">
        <f>"10200"</f>
        <v>10200</v>
      </c>
      <c r="D554" t="str">
        <f>"5620"</f>
        <v>5620</v>
      </c>
      <c r="E554" t="str">
        <f>"094OMS"</f>
        <v>094OMS</v>
      </c>
      <c r="F554" t="str">
        <f>""</f>
        <v/>
      </c>
      <c r="G554" t="str">
        <f>""</f>
        <v/>
      </c>
      <c r="H554" s="1">
        <v>40542</v>
      </c>
      <c r="I554" t="str">
        <f>"PCD00458"</f>
        <v>PCD00458</v>
      </c>
      <c r="J554" t="str">
        <f>"134144"</f>
        <v>134144</v>
      </c>
      <c r="K554" t="str">
        <f>"AS89"</f>
        <v>AS89</v>
      </c>
      <c r="L554" t="s">
        <v>1514</v>
      </c>
      <c r="M554">
        <v>200.47</v>
      </c>
    </row>
    <row r="555" spans="1:13" x14ac:dyDescent="0.25">
      <c r="A555" t="str">
        <f>"E241"</f>
        <v>E241</v>
      </c>
      <c r="B555">
        <v>1</v>
      </c>
      <c r="C555" t="str">
        <f>"10200"</f>
        <v>10200</v>
      </c>
      <c r="D555" t="str">
        <f>"5620"</f>
        <v>5620</v>
      </c>
      <c r="E555" t="str">
        <f>"094OMS"</f>
        <v>094OMS</v>
      </c>
      <c r="F555" t="str">
        <f>""</f>
        <v/>
      </c>
      <c r="G555" t="str">
        <f>""</f>
        <v/>
      </c>
      <c r="H555" s="1">
        <v>40542</v>
      </c>
      <c r="I555" t="str">
        <f>"PCD00458"</f>
        <v>PCD00458</v>
      </c>
      <c r="J555" t="str">
        <f>"134454"</f>
        <v>134454</v>
      </c>
      <c r="K555" t="str">
        <f>"AS89"</f>
        <v>AS89</v>
      </c>
      <c r="L555" t="s">
        <v>1513</v>
      </c>
      <c r="M555">
        <v>276.51</v>
      </c>
    </row>
    <row r="556" spans="1:13" x14ac:dyDescent="0.25">
      <c r="A556" t="str">
        <f>"E241"</f>
        <v>E241</v>
      </c>
      <c r="B556">
        <v>1</v>
      </c>
      <c r="C556" t="str">
        <f>"43000"</f>
        <v>43000</v>
      </c>
      <c r="D556" t="str">
        <f>"5740"</f>
        <v>5740</v>
      </c>
      <c r="E556" t="str">
        <f>"850LOS"</f>
        <v>850LOS</v>
      </c>
      <c r="F556" t="str">
        <f>""</f>
        <v/>
      </c>
      <c r="G556" t="str">
        <f>""</f>
        <v/>
      </c>
      <c r="H556" s="1">
        <v>40451</v>
      </c>
      <c r="I556" t="str">
        <f>"SPU00110"</f>
        <v>SPU00110</v>
      </c>
      <c r="J556" t="str">
        <f>""</f>
        <v/>
      </c>
      <c r="K556" t="str">
        <f>"AS96"</f>
        <v>AS96</v>
      </c>
      <c r="L556" t="s">
        <v>1512</v>
      </c>
      <c r="M556">
        <v>327.75</v>
      </c>
    </row>
    <row r="557" spans="1:13" x14ac:dyDescent="0.25">
      <c r="A557" t="str">
        <f>"E241"</f>
        <v>E241</v>
      </c>
      <c r="B557">
        <v>1</v>
      </c>
      <c r="C557" t="str">
        <f>"43000"</f>
        <v>43000</v>
      </c>
      <c r="D557" t="str">
        <f>"5740"</f>
        <v>5740</v>
      </c>
      <c r="E557" t="str">
        <f>"850LOS"</f>
        <v>850LOS</v>
      </c>
      <c r="F557" t="str">
        <f>""</f>
        <v/>
      </c>
      <c r="G557" t="str">
        <f>""</f>
        <v/>
      </c>
      <c r="H557" s="1">
        <v>40542</v>
      </c>
      <c r="I557" t="str">
        <f>"PCD00458"</f>
        <v>PCD00458</v>
      </c>
      <c r="J557" t="str">
        <f>"135203"</f>
        <v>135203</v>
      </c>
      <c r="K557" t="str">
        <f>"AS89"</f>
        <v>AS89</v>
      </c>
      <c r="L557" t="s">
        <v>1511</v>
      </c>
      <c r="M557">
        <v>192.86</v>
      </c>
    </row>
    <row r="558" spans="1:13" x14ac:dyDescent="0.25">
      <c r="A558" t="str">
        <f t="shared" ref="A558:A570" si="250">"E247"</f>
        <v>E247</v>
      </c>
      <c r="B558">
        <v>1</v>
      </c>
      <c r="C558" t="str">
        <f t="shared" ref="C558:C569" si="251">"10200"</f>
        <v>10200</v>
      </c>
      <c r="D558" t="str">
        <f t="shared" ref="D558:D570" si="252">"5620"</f>
        <v>5620</v>
      </c>
      <c r="E558" t="str">
        <f t="shared" ref="E558:E570" si="253">"094OMS"</f>
        <v>094OMS</v>
      </c>
      <c r="F558" t="str">
        <f>""</f>
        <v/>
      </c>
      <c r="G558" t="str">
        <f>""</f>
        <v/>
      </c>
      <c r="H558" s="1">
        <v>40463</v>
      </c>
      <c r="I558" t="str">
        <f>"I0098500"</f>
        <v>I0098500</v>
      </c>
      <c r="J558" t="str">
        <f>"N125301B"</f>
        <v>N125301B</v>
      </c>
      <c r="K558" t="str">
        <f>"INEI"</f>
        <v>INEI</v>
      </c>
      <c r="L558" t="s">
        <v>838</v>
      </c>
      <c r="M558">
        <v>274.38</v>
      </c>
    </row>
    <row r="559" spans="1:13" x14ac:dyDescent="0.25">
      <c r="A559" t="str">
        <f t="shared" si="250"/>
        <v>E247</v>
      </c>
      <c r="B559">
        <v>1</v>
      </c>
      <c r="C559" t="str">
        <f t="shared" si="251"/>
        <v>10200</v>
      </c>
      <c r="D559" t="str">
        <f t="shared" si="252"/>
        <v>5620</v>
      </c>
      <c r="E559" t="str">
        <f t="shared" si="253"/>
        <v>094OMS</v>
      </c>
      <c r="F559" t="str">
        <f>""</f>
        <v/>
      </c>
      <c r="G559" t="str">
        <f>""</f>
        <v/>
      </c>
      <c r="H559" s="1">
        <v>40463</v>
      </c>
      <c r="I559" t="str">
        <f>"I0098501"</f>
        <v>I0098501</v>
      </c>
      <c r="J559" t="str">
        <f>"N125301B"</f>
        <v>N125301B</v>
      </c>
      <c r="K559" t="str">
        <f>"INEI"</f>
        <v>INEI</v>
      </c>
      <c r="L559" t="s">
        <v>838</v>
      </c>
      <c r="M559">
        <v>211.11</v>
      </c>
    </row>
    <row r="560" spans="1:13" x14ac:dyDescent="0.25">
      <c r="A560" t="str">
        <f t="shared" si="250"/>
        <v>E247</v>
      </c>
      <c r="B560">
        <v>1</v>
      </c>
      <c r="C560" t="str">
        <f t="shared" si="251"/>
        <v>10200</v>
      </c>
      <c r="D560" t="str">
        <f t="shared" si="252"/>
        <v>5620</v>
      </c>
      <c r="E560" t="str">
        <f t="shared" si="253"/>
        <v>094OMS</v>
      </c>
      <c r="F560" t="str">
        <f>""</f>
        <v/>
      </c>
      <c r="G560" t="str">
        <f>""</f>
        <v/>
      </c>
      <c r="H560" s="1">
        <v>40482</v>
      </c>
      <c r="I560" t="str">
        <f>"G1104202"</f>
        <v>G1104202</v>
      </c>
      <c r="J560" t="str">
        <f>"I0097964"</f>
        <v>I0097964</v>
      </c>
      <c r="K560" t="str">
        <f>"J096"</f>
        <v>J096</v>
      </c>
      <c r="L560" t="s">
        <v>1508</v>
      </c>
      <c r="M560">
        <v>130.82</v>
      </c>
    </row>
    <row r="561" spans="1:13" x14ac:dyDescent="0.25">
      <c r="A561" t="str">
        <f t="shared" si="250"/>
        <v>E247</v>
      </c>
      <c r="B561">
        <v>1</v>
      </c>
      <c r="C561" t="str">
        <f t="shared" si="251"/>
        <v>10200</v>
      </c>
      <c r="D561" t="str">
        <f t="shared" si="252"/>
        <v>5620</v>
      </c>
      <c r="E561" t="str">
        <f t="shared" si="253"/>
        <v>094OMS</v>
      </c>
      <c r="F561" t="str">
        <f>""</f>
        <v/>
      </c>
      <c r="G561" t="str">
        <f>""</f>
        <v/>
      </c>
      <c r="H561" s="1">
        <v>40490</v>
      </c>
      <c r="I561" t="str">
        <f>"I0098818"</f>
        <v>I0098818</v>
      </c>
      <c r="J561" t="str">
        <f>"N125301B"</f>
        <v>N125301B</v>
      </c>
      <c r="K561" t="str">
        <f t="shared" ref="K561:K570" si="254">"INEI"</f>
        <v>INEI</v>
      </c>
      <c r="L561" t="s">
        <v>838</v>
      </c>
      <c r="M561">
        <v>207.64</v>
      </c>
    </row>
    <row r="562" spans="1:13" x14ac:dyDescent="0.25">
      <c r="A562" t="str">
        <f t="shared" si="250"/>
        <v>E247</v>
      </c>
      <c r="B562">
        <v>1</v>
      </c>
      <c r="C562" t="str">
        <f t="shared" si="251"/>
        <v>10200</v>
      </c>
      <c r="D562" t="str">
        <f t="shared" si="252"/>
        <v>5620</v>
      </c>
      <c r="E562" t="str">
        <f t="shared" si="253"/>
        <v>094OMS</v>
      </c>
      <c r="F562" t="str">
        <f>""</f>
        <v/>
      </c>
      <c r="G562" t="str">
        <f>""</f>
        <v/>
      </c>
      <c r="H562" s="1">
        <v>40541</v>
      </c>
      <c r="I562" t="str">
        <f>"I0099288"</f>
        <v>I0099288</v>
      </c>
      <c r="J562" t="str">
        <f t="shared" ref="J562:J569" si="255">"N125301C"</f>
        <v>N125301C</v>
      </c>
      <c r="K562" t="str">
        <f t="shared" si="254"/>
        <v>INEI</v>
      </c>
      <c r="L562" t="s">
        <v>838</v>
      </c>
      <c r="M562">
        <v>300.61</v>
      </c>
    </row>
    <row r="563" spans="1:13" x14ac:dyDescent="0.25">
      <c r="A563" t="str">
        <f t="shared" si="250"/>
        <v>E247</v>
      </c>
      <c r="B563">
        <v>1</v>
      </c>
      <c r="C563" t="str">
        <f t="shared" si="251"/>
        <v>10200</v>
      </c>
      <c r="D563" t="str">
        <f t="shared" si="252"/>
        <v>5620</v>
      </c>
      <c r="E563" t="str">
        <f t="shared" si="253"/>
        <v>094OMS</v>
      </c>
      <c r="F563" t="str">
        <f>""</f>
        <v/>
      </c>
      <c r="G563" t="str">
        <f>""</f>
        <v/>
      </c>
      <c r="H563" s="1">
        <v>40547</v>
      </c>
      <c r="I563" t="str">
        <f>"I0099310"</f>
        <v>I0099310</v>
      </c>
      <c r="J563" t="str">
        <f t="shared" si="255"/>
        <v>N125301C</v>
      </c>
      <c r="K563" t="str">
        <f t="shared" si="254"/>
        <v>INEI</v>
      </c>
      <c r="L563" t="s">
        <v>838</v>
      </c>
      <c r="M563">
        <v>338.4</v>
      </c>
    </row>
    <row r="564" spans="1:13" x14ac:dyDescent="0.25">
      <c r="A564" t="str">
        <f t="shared" si="250"/>
        <v>E247</v>
      </c>
      <c r="B564">
        <v>1</v>
      </c>
      <c r="C564" t="str">
        <f t="shared" si="251"/>
        <v>10200</v>
      </c>
      <c r="D564" t="str">
        <f t="shared" si="252"/>
        <v>5620</v>
      </c>
      <c r="E564" t="str">
        <f t="shared" si="253"/>
        <v>094OMS</v>
      </c>
      <c r="F564" t="str">
        <f>""</f>
        <v/>
      </c>
      <c r="G564" t="str">
        <f>""</f>
        <v/>
      </c>
      <c r="H564" s="1">
        <v>40577</v>
      </c>
      <c r="I564" t="str">
        <f>"I0099616"</f>
        <v>I0099616</v>
      </c>
      <c r="J564" t="str">
        <f t="shared" si="255"/>
        <v>N125301C</v>
      </c>
      <c r="K564" t="str">
        <f t="shared" si="254"/>
        <v>INEI</v>
      </c>
      <c r="L564" t="s">
        <v>838</v>
      </c>
      <c r="M564">
        <v>259.76</v>
      </c>
    </row>
    <row r="565" spans="1:13" x14ac:dyDescent="0.25">
      <c r="A565" t="str">
        <f t="shared" si="250"/>
        <v>E247</v>
      </c>
      <c r="B565">
        <v>1</v>
      </c>
      <c r="C565" t="str">
        <f t="shared" si="251"/>
        <v>10200</v>
      </c>
      <c r="D565" t="str">
        <f t="shared" si="252"/>
        <v>5620</v>
      </c>
      <c r="E565" t="str">
        <f t="shared" si="253"/>
        <v>094OMS</v>
      </c>
      <c r="F565" t="str">
        <f>""</f>
        <v/>
      </c>
      <c r="G565" t="str">
        <f>""</f>
        <v/>
      </c>
      <c r="H565" s="1">
        <v>40624</v>
      </c>
      <c r="I565" t="str">
        <f>"I0100139"</f>
        <v>I0100139</v>
      </c>
      <c r="J565" t="str">
        <f t="shared" si="255"/>
        <v>N125301C</v>
      </c>
      <c r="K565" t="str">
        <f t="shared" si="254"/>
        <v>INEI</v>
      </c>
      <c r="L565" t="s">
        <v>838</v>
      </c>
      <c r="M565">
        <v>178.15</v>
      </c>
    </row>
    <row r="566" spans="1:13" x14ac:dyDescent="0.25">
      <c r="A566" t="str">
        <f t="shared" si="250"/>
        <v>E247</v>
      </c>
      <c r="B566">
        <v>1</v>
      </c>
      <c r="C566" t="str">
        <f t="shared" si="251"/>
        <v>10200</v>
      </c>
      <c r="D566" t="str">
        <f t="shared" si="252"/>
        <v>5620</v>
      </c>
      <c r="E566" t="str">
        <f t="shared" si="253"/>
        <v>094OMS</v>
      </c>
      <c r="F566" t="str">
        <f>""</f>
        <v/>
      </c>
      <c r="G566" t="str">
        <f>""</f>
        <v/>
      </c>
      <c r="H566" s="1">
        <v>40638</v>
      </c>
      <c r="I566" t="str">
        <f>"I0100227"</f>
        <v>I0100227</v>
      </c>
      <c r="J566" t="str">
        <f t="shared" si="255"/>
        <v>N125301C</v>
      </c>
      <c r="K566" t="str">
        <f t="shared" si="254"/>
        <v>INEI</v>
      </c>
      <c r="L566" t="s">
        <v>838</v>
      </c>
      <c r="M566">
        <v>328.92</v>
      </c>
    </row>
    <row r="567" spans="1:13" x14ac:dyDescent="0.25">
      <c r="A567" t="str">
        <f t="shared" si="250"/>
        <v>E247</v>
      </c>
      <c r="B567">
        <v>1</v>
      </c>
      <c r="C567" t="str">
        <f t="shared" si="251"/>
        <v>10200</v>
      </c>
      <c r="D567" t="str">
        <f t="shared" si="252"/>
        <v>5620</v>
      </c>
      <c r="E567" t="str">
        <f t="shared" si="253"/>
        <v>094OMS</v>
      </c>
      <c r="F567" t="str">
        <f>""</f>
        <v/>
      </c>
      <c r="G567" t="str">
        <f>""</f>
        <v/>
      </c>
      <c r="H567" s="1">
        <v>40667</v>
      </c>
      <c r="I567" t="str">
        <f>"I0100567"</f>
        <v>I0100567</v>
      </c>
      <c r="J567" t="str">
        <f t="shared" si="255"/>
        <v>N125301C</v>
      </c>
      <c r="K567" t="str">
        <f t="shared" si="254"/>
        <v>INEI</v>
      </c>
      <c r="L567" t="s">
        <v>838</v>
      </c>
      <c r="M567">
        <v>211.96</v>
      </c>
    </row>
    <row r="568" spans="1:13" x14ac:dyDescent="0.25">
      <c r="A568" t="str">
        <f t="shared" si="250"/>
        <v>E247</v>
      </c>
      <c r="B568">
        <v>1</v>
      </c>
      <c r="C568" t="str">
        <f t="shared" si="251"/>
        <v>10200</v>
      </c>
      <c r="D568" t="str">
        <f t="shared" si="252"/>
        <v>5620</v>
      </c>
      <c r="E568" t="str">
        <f t="shared" si="253"/>
        <v>094OMS</v>
      </c>
      <c r="F568" t="str">
        <f>""</f>
        <v/>
      </c>
      <c r="G568" t="str">
        <f>""</f>
        <v/>
      </c>
      <c r="H568" s="1">
        <v>40697</v>
      </c>
      <c r="I568" t="str">
        <f>"I0100912"</f>
        <v>I0100912</v>
      </c>
      <c r="J568" t="str">
        <f t="shared" si="255"/>
        <v>N125301C</v>
      </c>
      <c r="K568" t="str">
        <f t="shared" si="254"/>
        <v>INEI</v>
      </c>
      <c r="L568" t="s">
        <v>838</v>
      </c>
      <c r="M568">
        <v>280.99</v>
      </c>
    </row>
    <row r="569" spans="1:13" x14ac:dyDescent="0.25">
      <c r="A569" t="str">
        <f t="shared" si="250"/>
        <v>E247</v>
      </c>
      <c r="B569">
        <v>1</v>
      </c>
      <c r="C569" t="str">
        <f t="shared" si="251"/>
        <v>10200</v>
      </c>
      <c r="D569" t="str">
        <f t="shared" si="252"/>
        <v>5620</v>
      </c>
      <c r="E569" t="str">
        <f t="shared" si="253"/>
        <v>094OMS</v>
      </c>
      <c r="F569" t="str">
        <f>""</f>
        <v/>
      </c>
      <c r="G569" t="str">
        <f>""</f>
        <v/>
      </c>
      <c r="H569" s="1">
        <v>40724</v>
      </c>
      <c r="I569" t="str">
        <f>"I0101337"</f>
        <v>I0101337</v>
      </c>
      <c r="J569" t="str">
        <f t="shared" si="255"/>
        <v>N125301C</v>
      </c>
      <c r="K569" t="str">
        <f t="shared" si="254"/>
        <v>INEI</v>
      </c>
      <c r="L569" t="s">
        <v>838</v>
      </c>
      <c r="M569">
        <v>276.38</v>
      </c>
    </row>
    <row r="570" spans="1:13" x14ac:dyDescent="0.25">
      <c r="A570" t="str">
        <f t="shared" si="250"/>
        <v>E247</v>
      </c>
      <c r="B570">
        <v>1</v>
      </c>
      <c r="C570" t="str">
        <f>"14185"</f>
        <v>14185</v>
      </c>
      <c r="D570" t="str">
        <f t="shared" si="252"/>
        <v>5620</v>
      </c>
      <c r="E570" t="str">
        <f t="shared" si="253"/>
        <v>094OMS</v>
      </c>
      <c r="F570" t="str">
        <f>""</f>
        <v/>
      </c>
      <c r="G570" t="str">
        <f>""</f>
        <v/>
      </c>
      <c r="H570" s="1">
        <v>40415</v>
      </c>
      <c r="I570" t="str">
        <f>"I0097964"</f>
        <v>I0097964</v>
      </c>
      <c r="J570" t="str">
        <f>"N125301B"</f>
        <v>N125301B</v>
      </c>
      <c r="K570" t="str">
        <f t="shared" si="254"/>
        <v>INEI</v>
      </c>
      <c r="L570" t="s">
        <v>838</v>
      </c>
      <c r="M570">
        <v>130.82</v>
      </c>
    </row>
    <row r="571" spans="1:13" x14ac:dyDescent="0.25">
      <c r="A571" t="str">
        <f>"E255"</f>
        <v>E255</v>
      </c>
      <c r="B571">
        <v>1</v>
      </c>
      <c r="C571" t="str">
        <f>"43000"</f>
        <v>43000</v>
      </c>
      <c r="D571" t="str">
        <f>"5740"</f>
        <v>5740</v>
      </c>
      <c r="E571" t="str">
        <f>"850LOS"</f>
        <v>850LOS</v>
      </c>
      <c r="F571" t="str">
        <f>""</f>
        <v/>
      </c>
      <c r="G571" t="str">
        <f>""</f>
        <v/>
      </c>
      <c r="H571" s="1">
        <v>40633</v>
      </c>
      <c r="I571" t="str">
        <f>"PCD00475"</f>
        <v>PCD00475</v>
      </c>
      <c r="J571" t="str">
        <f>"139430"</f>
        <v>139430</v>
      </c>
      <c r="K571" t="str">
        <f t="shared" ref="K571:K581" si="256">"AS89"</f>
        <v>AS89</v>
      </c>
      <c r="L571" t="s">
        <v>1507</v>
      </c>
      <c r="M571">
        <v>162.74</v>
      </c>
    </row>
    <row r="572" spans="1:13" x14ac:dyDescent="0.25">
      <c r="A572" t="str">
        <f>"E256"</f>
        <v>E256</v>
      </c>
      <c r="B572">
        <v>1</v>
      </c>
      <c r="C572" t="str">
        <f>"43000"</f>
        <v>43000</v>
      </c>
      <c r="D572" t="str">
        <f>"5740"</f>
        <v>5740</v>
      </c>
      <c r="E572" t="str">
        <f>"850LOS"</f>
        <v>850LOS</v>
      </c>
      <c r="F572" t="str">
        <f>"PKOLOT"</f>
        <v>PKOLOT</v>
      </c>
      <c r="G572" t="str">
        <f>""</f>
        <v/>
      </c>
      <c r="H572" s="1">
        <v>40542</v>
      </c>
      <c r="I572" t="str">
        <f>"PCD00458"</f>
        <v>PCD00458</v>
      </c>
      <c r="J572" t="str">
        <f>"134399"</f>
        <v>134399</v>
      </c>
      <c r="K572" t="str">
        <f t="shared" si="256"/>
        <v>AS89</v>
      </c>
      <c r="L572" t="s">
        <v>1506</v>
      </c>
      <c r="M572">
        <v>140</v>
      </c>
    </row>
    <row r="573" spans="1:13" x14ac:dyDescent="0.25">
      <c r="A573" t="str">
        <f t="shared" ref="A573:A589" si="257">"E257"</f>
        <v>E257</v>
      </c>
      <c r="B573">
        <v>1</v>
      </c>
      <c r="C573" t="str">
        <f t="shared" ref="C573:C586" si="258">"10200"</f>
        <v>10200</v>
      </c>
      <c r="D573" t="str">
        <f t="shared" ref="D573:D586" si="259">"5620"</f>
        <v>5620</v>
      </c>
      <c r="E573" t="str">
        <f t="shared" ref="E573:E586" si="260">"094OMS"</f>
        <v>094OMS</v>
      </c>
      <c r="F573" t="str">
        <f>""</f>
        <v/>
      </c>
      <c r="G573" t="str">
        <f>""</f>
        <v/>
      </c>
      <c r="H573" s="1">
        <v>40390</v>
      </c>
      <c r="I573" t="str">
        <f>"PCD00433"</f>
        <v>PCD00433</v>
      </c>
      <c r="J573" t="str">
        <f>"126099"</f>
        <v>126099</v>
      </c>
      <c r="K573" t="str">
        <f t="shared" si="256"/>
        <v>AS89</v>
      </c>
      <c r="L573" t="s">
        <v>1505</v>
      </c>
      <c r="M573">
        <v>111.02</v>
      </c>
    </row>
    <row r="574" spans="1:13" x14ac:dyDescent="0.25">
      <c r="A574" t="str">
        <f t="shared" si="257"/>
        <v>E257</v>
      </c>
      <c r="B574">
        <v>1</v>
      </c>
      <c r="C574" t="str">
        <f t="shared" si="258"/>
        <v>10200</v>
      </c>
      <c r="D574" t="str">
        <f t="shared" si="259"/>
        <v>5620</v>
      </c>
      <c r="E574" t="str">
        <f t="shared" si="260"/>
        <v>094OMS</v>
      </c>
      <c r="F574" t="str">
        <f>""</f>
        <v/>
      </c>
      <c r="G574" t="str">
        <f>""</f>
        <v/>
      </c>
      <c r="H574" s="1">
        <v>40390</v>
      </c>
      <c r="I574" t="str">
        <f>"PCD00433"</f>
        <v>PCD00433</v>
      </c>
      <c r="J574" t="str">
        <f>"127066"</f>
        <v>127066</v>
      </c>
      <c r="K574" t="str">
        <f t="shared" si="256"/>
        <v>AS89</v>
      </c>
      <c r="L574" t="s">
        <v>1504</v>
      </c>
      <c r="M574">
        <v>402</v>
      </c>
    </row>
    <row r="575" spans="1:13" x14ac:dyDescent="0.25">
      <c r="A575" t="str">
        <f t="shared" si="257"/>
        <v>E257</v>
      </c>
      <c r="B575">
        <v>1</v>
      </c>
      <c r="C575" t="str">
        <f t="shared" si="258"/>
        <v>10200</v>
      </c>
      <c r="D575" t="str">
        <f t="shared" si="259"/>
        <v>5620</v>
      </c>
      <c r="E575" t="str">
        <f t="shared" si="260"/>
        <v>094OMS</v>
      </c>
      <c r="F575" t="str">
        <f>""</f>
        <v/>
      </c>
      <c r="G575" t="str">
        <f>""</f>
        <v/>
      </c>
      <c r="H575" s="1">
        <v>40421</v>
      </c>
      <c r="I575" t="str">
        <f>"PCD00438"</f>
        <v>PCD00438</v>
      </c>
      <c r="J575" t="str">
        <f>"127119"</f>
        <v>127119</v>
      </c>
      <c r="K575" t="str">
        <f t="shared" si="256"/>
        <v>AS89</v>
      </c>
      <c r="L575" t="s">
        <v>1497</v>
      </c>
      <c r="M575">
        <v>128.94999999999999</v>
      </c>
    </row>
    <row r="576" spans="1:13" x14ac:dyDescent="0.25">
      <c r="A576" t="str">
        <f t="shared" si="257"/>
        <v>E257</v>
      </c>
      <c r="B576">
        <v>1</v>
      </c>
      <c r="C576" t="str">
        <f t="shared" si="258"/>
        <v>10200</v>
      </c>
      <c r="D576" t="str">
        <f t="shared" si="259"/>
        <v>5620</v>
      </c>
      <c r="E576" t="str">
        <f t="shared" si="260"/>
        <v>094OMS</v>
      </c>
      <c r="F576" t="str">
        <f>""</f>
        <v/>
      </c>
      <c r="G576" t="str">
        <f>""</f>
        <v/>
      </c>
      <c r="H576" s="1">
        <v>40421</v>
      </c>
      <c r="I576" t="str">
        <f>"PCD00438"</f>
        <v>PCD00438</v>
      </c>
      <c r="J576" t="str">
        <f>"128045"</f>
        <v>128045</v>
      </c>
      <c r="K576" t="str">
        <f t="shared" si="256"/>
        <v>AS89</v>
      </c>
      <c r="L576" t="s">
        <v>1503</v>
      </c>
      <c r="M576">
        <v>778.49</v>
      </c>
    </row>
    <row r="577" spans="1:13" x14ac:dyDescent="0.25">
      <c r="A577" t="str">
        <f t="shared" si="257"/>
        <v>E257</v>
      </c>
      <c r="B577">
        <v>1</v>
      </c>
      <c r="C577" t="str">
        <f t="shared" si="258"/>
        <v>10200</v>
      </c>
      <c r="D577" t="str">
        <f t="shared" si="259"/>
        <v>5620</v>
      </c>
      <c r="E577" t="str">
        <f t="shared" si="260"/>
        <v>094OMS</v>
      </c>
      <c r="F577" t="str">
        <f>""</f>
        <v/>
      </c>
      <c r="G577" t="str">
        <f>""</f>
        <v/>
      </c>
      <c r="H577" s="1">
        <v>40452</v>
      </c>
      <c r="I577" t="str">
        <f>"PCD00443"</f>
        <v>PCD00443</v>
      </c>
      <c r="J577" t="str">
        <f>"129835"</f>
        <v>129835</v>
      </c>
      <c r="K577" t="str">
        <f t="shared" si="256"/>
        <v>AS89</v>
      </c>
      <c r="L577" t="s">
        <v>1502</v>
      </c>
      <c r="M577">
        <v>854.44</v>
      </c>
    </row>
    <row r="578" spans="1:13" x14ac:dyDescent="0.25">
      <c r="A578" t="str">
        <f t="shared" si="257"/>
        <v>E257</v>
      </c>
      <c r="B578">
        <v>1</v>
      </c>
      <c r="C578" t="str">
        <f t="shared" si="258"/>
        <v>10200</v>
      </c>
      <c r="D578" t="str">
        <f t="shared" si="259"/>
        <v>5620</v>
      </c>
      <c r="E578" t="str">
        <f t="shared" si="260"/>
        <v>094OMS</v>
      </c>
      <c r="F578" t="str">
        <f>""</f>
        <v/>
      </c>
      <c r="G578" t="str">
        <f>""</f>
        <v/>
      </c>
      <c r="H578" s="1">
        <v>40452</v>
      </c>
      <c r="I578" t="str">
        <f>"PCD00443"</f>
        <v>PCD00443</v>
      </c>
      <c r="J578" t="str">
        <f>"129836"</f>
        <v>129836</v>
      </c>
      <c r="K578" t="str">
        <f t="shared" si="256"/>
        <v>AS89</v>
      </c>
      <c r="L578" t="s">
        <v>1502</v>
      </c>
      <c r="M578">
        <v>189.8</v>
      </c>
    </row>
    <row r="579" spans="1:13" x14ac:dyDescent="0.25">
      <c r="A579" t="str">
        <f t="shared" si="257"/>
        <v>E257</v>
      </c>
      <c r="B579">
        <v>1</v>
      </c>
      <c r="C579" t="str">
        <f t="shared" si="258"/>
        <v>10200</v>
      </c>
      <c r="D579" t="str">
        <f t="shared" si="259"/>
        <v>5620</v>
      </c>
      <c r="E579" t="str">
        <f t="shared" si="260"/>
        <v>094OMS</v>
      </c>
      <c r="F579" t="str">
        <f>""</f>
        <v/>
      </c>
      <c r="G579" t="str">
        <f>""</f>
        <v/>
      </c>
      <c r="H579" s="1">
        <v>40482</v>
      </c>
      <c r="I579" t="str">
        <f>"PCD00450"</f>
        <v>PCD00450</v>
      </c>
      <c r="J579" t="str">
        <f>"131208"</f>
        <v>131208</v>
      </c>
      <c r="K579" t="str">
        <f t="shared" si="256"/>
        <v>AS89</v>
      </c>
      <c r="L579" t="s">
        <v>1495</v>
      </c>
      <c r="M579">
        <v>286.57</v>
      </c>
    </row>
    <row r="580" spans="1:13" x14ac:dyDescent="0.25">
      <c r="A580" t="str">
        <f t="shared" si="257"/>
        <v>E257</v>
      </c>
      <c r="B580">
        <v>1</v>
      </c>
      <c r="C580" t="str">
        <f t="shared" si="258"/>
        <v>10200</v>
      </c>
      <c r="D580" t="str">
        <f t="shared" si="259"/>
        <v>5620</v>
      </c>
      <c r="E580" t="str">
        <f t="shared" si="260"/>
        <v>094OMS</v>
      </c>
      <c r="F580" t="str">
        <f>""</f>
        <v/>
      </c>
      <c r="G580" t="str">
        <f>""</f>
        <v/>
      </c>
      <c r="H580" s="1">
        <v>40482</v>
      </c>
      <c r="I580" t="str">
        <f>"PCD00450"</f>
        <v>PCD00450</v>
      </c>
      <c r="J580" t="str">
        <f>"131581"</f>
        <v>131581</v>
      </c>
      <c r="K580" t="str">
        <f t="shared" si="256"/>
        <v>AS89</v>
      </c>
      <c r="L580" t="s">
        <v>1496</v>
      </c>
      <c r="M580">
        <v>763.56</v>
      </c>
    </row>
    <row r="581" spans="1:13" x14ac:dyDescent="0.25">
      <c r="A581" t="str">
        <f t="shared" si="257"/>
        <v>E257</v>
      </c>
      <c r="B581">
        <v>1</v>
      </c>
      <c r="C581" t="str">
        <f t="shared" si="258"/>
        <v>10200</v>
      </c>
      <c r="D581" t="str">
        <f t="shared" si="259"/>
        <v>5620</v>
      </c>
      <c r="E581" t="str">
        <f t="shared" si="260"/>
        <v>094OMS</v>
      </c>
      <c r="F581" t="str">
        <f>""</f>
        <v/>
      </c>
      <c r="G581" t="str">
        <f>""</f>
        <v/>
      </c>
      <c r="H581" s="1">
        <v>40542</v>
      </c>
      <c r="I581" t="str">
        <f>"PCD00458"</f>
        <v>PCD00458</v>
      </c>
      <c r="J581" t="str">
        <f>"134140"</f>
        <v>134140</v>
      </c>
      <c r="K581" t="str">
        <f t="shared" si="256"/>
        <v>AS89</v>
      </c>
      <c r="L581" t="s">
        <v>1501</v>
      </c>
      <c r="M581">
        <v>184.97</v>
      </c>
    </row>
    <row r="582" spans="1:13" x14ac:dyDescent="0.25">
      <c r="A582" t="str">
        <f t="shared" si="257"/>
        <v>E257</v>
      </c>
      <c r="B582">
        <v>1</v>
      </c>
      <c r="C582" t="str">
        <f t="shared" si="258"/>
        <v>10200</v>
      </c>
      <c r="D582" t="str">
        <f t="shared" si="259"/>
        <v>5620</v>
      </c>
      <c r="E582" t="str">
        <f t="shared" si="260"/>
        <v>094OMS</v>
      </c>
      <c r="F582" t="str">
        <f>""</f>
        <v/>
      </c>
      <c r="G582" t="str">
        <f>""</f>
        <v/>
      </c>
      <c r="H582" s="1">
        <v>40602</v>
      </c>
      <c r="I582" t="str">
        <f>"183040A"</f>
        <v>183040A</v>
      </c>
      <c r="J582" t="str">
        <f>""</f>
        <v/>
      </c>
      <c r="K582" t="str">
        <f>"INNI"</f>
        <v>INNI</v>
      </c>
      <c r="L582" t="s">
        <v>1498</v>
      </c>
      <c r="M582">
        <v>165.93</v>
      </c>
    </row>
    <row r="583" spans="1:13" x14ac:dyDescent="0.25">
      <c r="A583" t="str">
        <f t="shared" si="257"/>
        <v>E257</v>
      </c>
      <c r="B583">
        <v>1</v>
      </c>
      <c r="C583" t="str">
        <f t="shared" si="258"/>
        <v>10200</v>
      </c>
      <c r="D583" t="str">
        <f t="shared" si="259"/>
        <v>5620</v>
      </c>
      <c r="E583" t="str">
        <f t="shared" si="260"/>
        <v>094OMS</v>
      </c>
      <c r="F583" t="str">
        <f>""</f>
        <v/>
      </c>
      <c r="G583" t="str">
        <f>""</f>
        <v/>
      </c>
      <c r="H583" s="1">
        <v>40602</v>
      </c>
      <c r="I583" t="str">
        <f>"183040A"</f>
        <v>183040A</v>
      </c>
      <c r="J583" t="str">
        <f>""</f>
        <v/>
      </c>
      <c r="K583" t="str">
        <f>"INNI"</f>
        <v>INNI</v>
      </c>
      <c r="L583" t="s">
        <v>1498</v>
      </c>
      <c r="M583">
        <v>165.93</v>
      </c>
    </row>
    <row r="584" spans="1:13" x14ac:dyDescent="0.25">
      <c r="A584" t="str">
        <f t="shared" si="257"/>
        <v>E257</v>
      </c>
      <c r="B584">
        <v>1</v>
      </c>
      <c r="C584" t="str">
        <f t="shared" si="258"/>
        <v>10200</v>
      </c>
      <c r="D584" t="str">
        <f t="shared" si="259"/>
        <v>5620</v>
      </c>
      <c r="E584" t="str">
        <f t="shared" si="260"/>
        <v>094OMS</v>
      </c>
      <c r="F584" t="str">
        <f>""</f>
        <v/>
      </c>
      <c r="G584" t="str">
        <f>""</f>
        <v/>
      </c>
      <c r="H584" s="1">
        <v>40662</v>
      </c>
      <c r="I584" t="str">
        <f>"PCD00479"</f>
        <v>PCD00479</v>
      </c>
      <c r="J584" t="str">
        <f>"141982"</f>
        <v>141982</v>
      </c>
      <c r="K584" t="str">
        <f>"AS89"</f>
        <v>AS89</v>
      </c>
      <c r="L584" t="s">
        <v>1500</v>
      </c>
      <c r="M584">
        <v>242.43</v>
      </c>
    </row>
    <row r="585" spans="1:13" x14ac:dyDescent="0.25">
      <c r="A585" t="str">
        <f t="shared" si="257"/>
        <v>E257</v>
      </c>
      <c r="B585">
        <v>1</v>
      </c>
      <c r="C585" t="str">
        <f t="shared" si="258"/>
        <v>10200</v>
      </c>
      <c r="D585" t="str">
        <f t="shared" si="259"/>
        <v>5620</v>
      </c>
      <c r="E585" t="str">
        <f t="shared" si="260"/>
        <v>094OMS</v>
      </c>
      <c r="F585" t="str">
        <f>""</f>
        <v/>
      </c>
      <c r="G585" t="str">
        <f>""</f>
        <v/>
      </c>
      <c r="H585" s="1">
        <v>40694</v>
      </c>
      <c r="I585" t="str">
        <f>"PCD00485"</f>
        <v>PCD00485</v>
      </c>
      <c r="J585" t="str">
        <f>"145336"</f>
        <v>145336</v>
      </c>
      <c r="K585" t="str">
        <f>"AS89"</f>
        <v>AS89</v>
      </c>
      <c r="L585" t="s">
        <v>1499</v>
      </c>
      <c r="M585">
        <v>151.88</v>
      </c>
    </row>
    <row r="586" spans="1:13" x14ac:dyDescent="0.25">
      <c r="A586" t="str">
        <f t="shared" si="257"/>
        <v>E257</v>
      </c>
      <c r="B586">
        <v>1</v>
      </c>
      <c r="C586" t="str">
        <f t="shared" si="258"/>
        <v>10200</v>
      </c>
      <c r="D586" t="str">
        <f t="shared" si="259"/>
        <v>5620</v>
      </c>
      <c r="E586" t="str">
        <f t="shared" si="260"/>
        <v>094OMS</v>
      </c>
      <c r="F586" t="str">
        <f>""</f>
        <v/>
      </c>
      <c r="G586" t="str">
        <f>""</f>
        <v/>
      </c>
      <c r="H586" s="1">
        <v>40714</v>
      </c>
      <c r="I586" t="str">
        <f>"188716"</f>
        <v>188716</v>
      </c>
      <c r="J586" t="str">
        <f>""</f>
        <v/>
      </c>
      <c r="K586" t="str">
        <f>"INNI"</f>
        <v>INNI</v>
      </c>
      <c r="L586" t="s">
        <v>1498</v>
      </c>
      <c r="M586" s="2">
        <v>1522.62</v>
      </c>
    </row>
    <row r="587" spans="1:13" x14ac:dyDescent="0.25">
      <c r="A587" t="str">
        <f t="shared" si="257"/>
        <v>E257</v>
      </c>
      <c r="B587">
        <v>1</v>
      </c>
      <c r="C587" t="str">
        <f>"43000"</f>
        <v>43000</v>
      </c>
      <c r="D587" t="str">
        <f>"5740"</f>
        <v>5740</v>
      </c>
      <c r="E587" t="str">
        <f t="shared" ref="E587:E592" si="261">"850LOS"</f>
        <v>850LOS</v>
      </c>
      <c r="F587" t="str">
        <f>""</f>
        <v/>
      </c>
      <c r="G587" t="str">
        <f>""</f>
        <v/>
      </c>
      <c r="H587" s="1">
        <v>40421</v>
      </c>
      <c r="I587" t="str">
        <f>"PCD00438"</f>
        <v>PCD00438</v>
      </c>
      <c r="J587" t="str">
        <f>"127122"</f>
        <v>127122</v>
      </c>
      <c r="K587" t="str">
        <f>"AS89"</f>
        <v>AS89</v>
      </c>
      <c r="L587" t="s">
        <v>1497</v>
      </c>
      <c r="M587">
        <v>274.83</v>
      </c>
    </row>
    <row r="588" spans="1:13" x14ac:dyDescent="0.25">
      <c r="A588" t="str">
        <f t="shared" si="257"/>
        <v>E257</v>
      </c>
      <c r="B588">
        <v>1</v>
      </c>
      <c r="C588" t="str">
        <f>"43000"</f>
        <v>43000</v>
      </c>
      <c r="D588" t="str">
        <f>"5740"</f>
        <v>5740</v>
      </c>
      <c r="E588" t="str">
        <f t="shared" si="261"/>
        <v>850LOS</v>
      </c>
      <c r="F588" t="str">
        <f>""</f>
        <v/>
      </c>
      <c r="G588" t="str">
        <f>""</f>
        <v/>
      </c>
      <c r="H588" s="1">
        <v>40482</v>
      </c>
      <c r="I588" t="str">
        <f>"PCD00450"</f>
        <v>PCD00450</v>
      </c>
      <c r="J588" t="str">
        <f>"131582"</f>
        <v>131582</v>
      </c>
      <c r="K588" t="str">
        <f>"AS89"</f>
        <v>AS89</v>
      </c>
      <c r="L588" t="s">
        <v>1496</v>
      </c>
      <c r="M588">
        <v>460.93</v>
      </c>
    </row>
    <row r="589" spans="1:13" x14ac:dyDescent="0.25">
      <c r="A589" t="str">
        <f t="shared" si="257"/>
        <v>E257</v>
      </c>
      <c r="B589">
        <v>1</v>
      </c>
      <c r="C589" t="str">
        <f>"43000"</f>
        <v>43000</v>
      </c>
      <c r="D589" t="str">
        <f>"5740"</f>
        <v>5740</v>
      </c>
      <c r="E589" t="str">
        <f t="shared" si="261"/>
        <v>850LOS</v>
      </c>
      <c r="F589" t="str">
        <f>""</f>
        <v/>
      </c>
      <c r="G589" t="str">
        <f>""</f>
        <v/>
      </c>
      <c r="H589" s="1">
        <v>40512</v>
      </c>
      <c r="I589" t="str">
        <f>"PCD00455"</f>
        <v>PCD00455</v>
      </c>
      <c r="J589" t="str">
        <f>"133240"</f>
        <v>133240</v>
      </c>
      <c r="K589" t="str">
        <f>"AS89"</f>
        <v>AS89</v>
      </c>
      <c r="L589" t="s">
        <v>1494</v>
      </c>
      <c r="M589">
        <v>182.71</v>
      </c>
    </row>
    <row r="590" spans="1:13" x14ac:dyDescent="0.25">
      <c r="A590" t="str">
        <f>"E260"</f>
        <v>E260</v>
      </c>
      <c r="B590">
        <v>1</v>
      </c>
      <c r="C590" t="str">
        <f>"32040"</f>
        <v>32040</v>
      </c>
      <c r="D590" t="str">
        <f>"5610"</f>
        <v>5610</v>
      </c>
      <c r="E590" t="str">
        <f t="shared" si="261"/>
        <v>850LOS</v>
      </c>
      <c r="F590" t="str">
        <f>""</f>
        <v/>
      </c>
      <c r="G590" t="str">
        <f>""</f>
        <v/>
      </c>
      <c r="H590" s="1">
        <v>40596</v>
      </c>
      <c r="I590" t="str">
        <f>"ACG02025"</f>
        <v>ACG02025</v>
      </c>
      <c r="J590" t="str">
        <f>""</f>
        <v/>
      </c>
      <c r="K590" t="str">
        <f>"AS89"</f>
        <v>AS89</v>
      </c>
      <c r="L590" t="s">
        <v>1469</v>
      </c>
      <c r="M590">
        <v>186.72</v>
      </c>
    </row>
    <row r="591" spans="1:13" x14ac:dyDescent="0.25">
      <c r="A591" t="str">
        <f>"E262"</f>
        <v>E262</v>
      </c>
      <c r="B591">
        <v>1</v>
      </c>
      <c r="C591" t="str">
        <f>"43000"</f>
        <v>43000</v>
      </c>
      <c r="D591" t="str">
        <f>"5740"</f>
        <v>5740</v>
      </c>
      <c r="E591" t="str">
        <f t="shared" si="261"/>
        <v>850LOS</v>
      </c>
      <c r="F591" t="str">
        <f>""</f>
        <v/>
      </c>
      <c r="G591" t="str">
        <f>""</f>
        <v/>
      </c>
      <c r="H591" s="1">
        <v>40511</v>
      </c>
      <c r="I591" t="str">
        <f>"183030"</f>
        <v>183030</v>
      </c>
      <c r="J591" t="str">
        <f>""</f>
        <v/>
      </c>
      <c r="K591" t="str">
        <f>"INNI"</f>
        <v>INNI</v>
      </c>
      <c r="L591" t="s">
        <v>1493</v>
      </c>
      <c r="M591">
        <v>500</v>
      </c>
    </row>
    <row r="592" spans="1:13" x14ac:dyDescent="0.25">
      <c r="A592" t="str">
        <f>"E262"</f>
        <v>E262</v>
      </c>
      <c r="B592">
        <v>1</v>
      </c>
      <c r="C592" t="str">
        <f>"43003"</f>
        <v>43003</v>
      </c>
      <c r="D592" t="str">
        <f>"5740"</f>
        <v>5740</v>
      </c>
      <c r="E592" t="str">
        <f t="shared" si="261"/>
        <v>850LOS</v>
      </c>
      <c r="F592" t="str">
        <f>""</f>
        <v/>
      </c>
      <c r="G592" t="str">
        <f>""</f>
        <v/>
      </c>
      <c r="H592" s="1">
        <v>40542</v>
      </c>
      <c r="I592" t="str">
        <f>"PCD00458"</f>
        <v>PCD00458</v>
      </c>
      <c r="J592" t="str">
        <f>"134320"</f>
        <v>134320</v>
      </c>
      <c r="K592" t="str">
        <f>"AS89"</f>
        <v>AS89</v>
      </c>
      <c r="L592" t="s">
        <v>1492</v>
      </c>
      <c r="M592">
        <v>552.5</v>
      </c>
    </row>
    <row r="593" spans="1:13" x14ac:dyDescent="0.25">
      <c r="A593" t="str">
        <f>"E263"</f>
        <v>E263</v>
      </c>
      <c r="B593">
        <v>1</v>
      </c>
      <c r="C593" t="str">
        <f>"31040"</f>
        <v>31040</v>
      </c>
      <c r="D593" t="str">
        <f>"5620"</f>
        <v>5620</v>
      </c>
      <c r="E593" t="str">
        <f>"094OMS"</f>
        <v>094OMS</v>
      </c>
      <c r="F593" t="str">
        <f>""</f>
        <v/>
      </c>
      <c r="G593" t="str">
        <f>""</f>
        <v/>
      </c>
      <c r="H593" s="1">
        <v>40466</v>
      </c>
      <c r="I593" t="str">
        <f>"245837"</f>
        <v>245837</v>
      </c>
      <c r="J593" t="str">
        <f>""</f>
        <v/>
      </c>
      <c r="K593" t="str">
        <f>"INNI"</f>
        <v>INNI</v>
      </c>
      <c r="L593" t="s">
        <v>985</v>
      </c>
      <c r="M593">
        <v>198.79</v>
      </c>
    </row>
    <row r="594" spans="1:13" x14ac:dyDescent="0.25">
      <c r="A594" t="str">
        <f>"E263"</f>
        <v>E263</v>
      </c>
      <c r="B594">
        <v>1</v>
      </c>
      <c r="C594" t="str">
        <f>"43000"</f>
        <v>43000</v>
      </c>
      <c r="D594" t="str">
        <f>"5740"</f>
        <v>5740</v>
      </c>
      <c r="E594" t="str">
        <f>"850LOS"</f>
        <v>850LOS</v>
      </c>
      <c r="F594" t="str">
        <f>""</f>
        <v/>
      </c>
      <c r="G594" t="str">
        <f>""</f>
        <v/>
      </c>
      <c r="H594" s="1">
        <v>40434</v>
      </c>
      <c r="I594" t="str">
        <f>"Q64742"</f>
        <v>Q64742</v>
      </c>
      <c r="J594" t="str">
        <f>""</f>
        <v/>
      </c>
      <c r="K594" t="str">
        <f>"INNI"</f>
        <v>INNI</v>
      </c>
      <c r="L594" t="s">
        <v>284</v>
      </c>
      <c r="M594">
        <v>158.13999999999999</v>
      </c>
    </row>
    <row r="595" spans="1:13" x14ac:dyDescent="0.25">
      <c r="A595" t="str">
        <f>"E263"</f>
        <v>E263</v>
      </c>
      <c r="B595">
        <v>1</v>
      </c>
      <c r="C595" t="str">
        <f>"43000"</f>
        <v>43000</v>
      </c>
      <c r="D595" t="str">
        <f>"5740"</f>
        <v>5740</v>
      </c>
      <c r="E595" t="str">
        <f>"850LOS"</f>
        <v>850LOS</v>
      </c>
      <c r="F595" t="str">
        <f>""</f>
        <v/>
      </c>
      <c r="G595" t="str">
        <f>""</f>
        <v/>
      </c>
      <c r="H595" s="1">
        <v>40434</v>
      </c>
      <c r="I595" t="str">
        <f>"Q64741"</f>
        <v>Q64741</v>
      </c>
      <c r="J595" t="str">
        <f>""</f>
        <v/>
      </c>
      <c r="K595" t="str">
        <f>"INNI"</f>
        <v>INNI</v>
      </c>
      <c r="L595" t="s">
        <v>324</v>
      </c>
      <c r="M595">
        <v>121.26</v>
      </c>
    </row>
    <row r="596" spans="1:13" x14ac:dyDescent="0.25">
      <c r="A596" t="str">
        <f>"E263"</f>
        <v>E263</v>
      </c>
      <c r="B596">
        <v>1</v>
      </c>
      <c r="C596" t="str">
        <f>"43000"</f>
        <v>43000</v>
      </c>
      <c r="D596" t="str">
        <f>"5740"</f>
        <v>5740</v>
      </c>
      <c r="E596" t="str">
        <f>"850LOS"</f>
        <v>850LOS</v>
      </c>
      <c r="F596" t="str">
        <f>""</f>
        <v/>
      </c>
      <c r="G596" t="str">
        <f>""</f>
        <v/>
      </c>
      <c r="H596" s="1">
        <v>40466</v>
      </c>
      <c r="I596" t="str">
        <f>"245837"</f>
        <v>245837</v>
      </c>
      <c r="J596" t="str">
        <f>""</f>
        <v/>
      </c>
      <c r="K596" t="str">
        <f>"INNI"</f>
        <v>INNI</v>
      </c>
      <c r="L596" t="s">
        <v>985</v>
      </c>
      <c r="M596">
        <v>198.79</v>
      </c>
    </row>
    <row r="597" spans="1:13" x14ac:dyDescent="0.25">
      <c r="A597" t="str">
        <f>"E266"</f>
        <v>E266</v>
      </c>
      <c r="B597">
        <v>1</v>
      </c>
      <c r="C597" t="str">
        <f>"78020"</f>
        <v>78020</v>
      </c>
      <c r="D597" t="str">
        <f>"5740"</f>
        <v>5740</v>
      </c>
      <c r="E597" t="str">
        <f>"850GAR"</f>
        <v>850GAR</v>
      </c>
      <c r="F597" t="str">
        <f>""</f>
        <v/>
      </c>
      <c r="G597" t="str">
        <f>""</f>
        <v/>
      </c>
      <c r="H597" s="1">
        <v>40707</v>
      </c>
      <c r="I597" t="str">
        <f>"ACG02056"</f>
        <v>ACG02056</v>
      </c>
      <c r="J597" t="str">
        <f>""</f>
        <v/>
      </c>
      <c r="K597" t="str">
        <f>"AS79"</f>
        <v>AS79</v>
      </c>
      <c r="L597" t="s">
        <v>951</v>
      </c>
      <c r="M597" s="2">
        <v>3318.15</v>
      </c>
    </row>
    <row r="598" spans="1:13" x14ac:dyDescent="0.25">
      <c r="A598" t="str">
        <f t="shared" ref="A598:A604" si="262">"E267"</f>
        <v>E267</v>
      </c>
      <c r="B598">
        <v>1</v>
      </c>
      <c r="C598" t="str">
        <f>"32040"</f>
        <v>32040</v>
      </c>
      <c r="D598" t="str">
        <f>"5610"</f>
        <v>5610</v>
      </c>
      <c r="E598" t="str">
        <f t="shared" ref="E598:E604" si="263">"850LOS"</f>
        <v>850LOS</v>
      </c>
      <c r="F598" t="str">
        <f>""</f>
        <v/>
      </c>
      <c r="G598" t="str">
        <f>""</f>
        <v/>
      </c>
      <c r="H598" s="1">
        <v>40602</v>
      </c>
      <c r="I598" t="str">
        <f>"G1108034"</f>
        <v>G1108034</v>
      </c>
      <c r="J598" t="str">
        <f>""</f>
        <v/>
      </c>
      <c r="K598" t="str">
        <f>"J096"</f>
        <v>J096</v>
      </c>
      <c r="L598" t="s">
        <v>1490</v>
      </c>
      <c r="M598" s="2">
        <v>5305</v>
      </c>
    </row>
    <row r="599" spans="1:13" x14ac:dyDescent="0.25">
      <c r="A599" t="str">
        <f t="shared" si="262"/>
        <v>E267</v>
      </c>
      <c r="B599">
        <v>1</v>
      </c>
      <c r="C599" t="str">
        <f>"32040"</f>
        <v>32040</v>
      </c>
      <c r="D599" t="str">
        <f>"5610"</f>
        <v>5610</v>
      </c>
      <c r="E599" t="str">
        <f t="shared" si="263"/>
        <v>850LOS</v>
      </c>
      <c r="F599" t="str">
        <f>""</f>
        <v/>
      </c>
      <c r="G599" t="str">
        <f>""</f>
        <v/>
      </c>
      <c r="H599" s="1">
        <v>40679</v>
      </c>
      <c r="I599" t="str">
        <f>"G1111050"</f>
        <v>G1111050</v>
      </c>
      <c r="J599" t="str">
        <f>""</f>
        <v/>
      </c>
      <c r="K599" t="str">
        <f>"J096"</f>
        <v>J096</v>
      </c>
      <c r="L599" t="s">
        <v>1489</v>
      </c>
      <c r="M599" s="2">
        <v>2847</v>
      </c>
    </row>
    <row r="600" spans="1:13" x14ac:dyDescent="0.25">
      <c r="A600" t="str">
        <f t="shared" si="262"/>
        <v>E267</v>
      </c>
      <c r="B600">
        <v>1</v>
      </c>
      <c r="C600" t="str">
        <f>"32040"</f>
        <v>32040</v>
      </c>
      <c r="D600" t="str">
        <f>"5610"</f>
        <v>5610</v>
      </c>
      <c r="E600" t="str">
        <f t="shared" si="263"/>
        <v>850LOS</v>
      </c>
      <c r="F600" t="str">
        <f>""</f>
        <v/>
      </c>
      <c r="G600" t="str">
        <f>""</f>
        <v/>
      </c>
      <c r="H600" s="1">
        <v>40724</v>
      </c>
      <c r="I600" t="str">
        <f>"ACG02086"</f>
        <v>ACG02086</v>
      </c>
      <c r="J600" t="str">
        <f>""</f>
        <v/>
      </c>
      <c r="K600" t="str">
        <f>"AS96"</f>
        <v>AS96</v>
      </c>
      <c r="L600" t="s">
        <v>1488</v>
      </c>
      <c r="M600" s="2">
        <v>3385</v>
      </c>
    </row>
    <row r="601" spans="1:13" x14ac:dyDescent="0.25">
      <c r="A601" t="str">
        <f t="shared" si="262"/>
        <v>E267</v>
      </c>
      <c r="B601">
        <v>1</v>
      </c>
      <c r="C601" t="str">
        <f>"43000"</f>
        <v>43000</v>
      </c>
      <c r="D601" t="str">
        <f>"5740"</f>
        <v>5740</v>
      </c>
      <c r="E601" t="str">
        <f t="shared" si="263"/>
        <v>850LOS</v>
      </c>
      <c r="F601" t="str">
        <f>""</f>
        <v/>
      </c>
      <c r="G601" t="str">
        <f>""</f>
        <v/>
      </c>
      <c r="H601" s="1">
        <v>40512</v>
      </c>
      <c r="I601" t="str">
        <f>"G1105133"</f>
        <v>G1105133</v>
      </c>
      <c r="J601" t="str">
        <f>""</f>
        <v/>
      </c>
      <c r="K601" t="str">
        <f>"J096"</f>
        <v>J096</v>
      </c>
      <c r="L601" t="s">
        <v>1491</v>
      </c>
      <c r="M601" s="2">
        <v>27522</v>
      </c>
    </row>
    <row r="602" spans="1:13" x14ac:dyDescent="0.25">
      <c r="A602" t="str">
        <f t="shared" si="262"/>
        <v>E267</v>
      </c>
      <c r="B602">
        <v>1</v>
      </c>
      <c r="C602" t="str">
        <f>"43000"</f>
        <v>43000</v>
      </c>
      <c r="D602" t="str">
        <f>"5740"</f>
        <v>5740</v>
      </c>
      <c r="E602" t="str">
        <f t="shared" si="263"/>
        <v>850LOS</v>
      </c>
      <c r="F602" t="str">
        <f>""</f>
        <v/>
      </c>
      <c r="G602" t="str">
        <f>""</f>
        <v/>
      </c>
      <c r="H602" s="1">
        <v>40602</v>
      </c>
      <c r="I602" t="str">
        <f>"G1108034"</f>
        <v>G1108034</v>
      </c>
      <c r="J602" t="str">
        <f>""</f>
        <v/>
      </c>
      <c r="K602" t="str">
        <f>"J096"</f>
        <v>J096</v>
      </c>
      <c r="L602" t="s">
        <v>1490</v>
      </c>
      <c r="M602" s="2">
        <v>12018</v>
      </c>
    </row>
    <row r="603" spans="1:13" x14ac:dyDescent="0.25">
      <c r="A603" t="str">
        <f t="shared" si="262"/>
        <v>E267</v>
      </c>
      <c r="B603">
        <v>1</v>
      </c>
      <c r="C603" t="str">
        <f>"43000"</f>
        <v>43000</v>
      </c>
      <c r="D603" t="str">
        <f>"5740"</f>
        <v>5740</v>
      </c>
      <c r="E603" t="str">
        <f t="shared" si="263"/>
        <v>850LOS</v>
      </c>
      <c r="F603" t="str">
        <f>""</f>
        <v/>
      </c>
      <c r="G603" t="str">
        <f>""</f>
        <v/>
      </c>
      <c r="H603" s="1">
        <v>40679</v>
      </c>
      <c r="I603" t="str">
        <f>"G1111050"</f>
        <v>G1111050</v>
      </c>
      <c r="J603" t="str">
        <f>""</f>
        <v/>
      </c>
      <c r="K603" t="str">
        <f>"J096"</f>
        <v>J096</v>
      </c>
      <c r="L603" t="s">
        <v>1489</v>
      </c>
      <c r="M603" s="2">
        <v>18302</v>
      </c>
    </row>
    <row r="604" spans="1:13" x14ac:dyDescent="0.25">
      <c r="A604" t="str">
        <f t="shared" si="262"/>
        <v>E267</v>
      </c>
      <c r="B604">
        <v>1</v>
      </c>
      <c r="C604" t="str">
        <f>"43000"</f>
        <v>43000</v>
      </c>
      <c r="D604" t="str">
        <f>"5740"</f>
        <v>5740</v>
      </c>
      <c r="E604" t="str">
        <f t="shared" si="263"/>
        <v>850LOS</v>
      </c>
      <c r="F604" t="str">
        <f>""</f>
        <v/>
      </c>
      <c r="G604" t="str">
        <f>""</f>
        <v/>
      </c>
      <c r="H604" s="1">
        <v>40724</v>
      </c>
      <c r="I604" t="str">
        <f>"ACG02086"</f>
        <v>ACG02086</v>
      </c>
      <c r="J604" t="str">
        <f>""</f>
        <v/>
      </c>
      <c r="K604" t="str">
        <f>"AS96"</f>
        <v>AS96</v>
      </c>
      <c r="L604" t="s">
        <v>1488</v>
      </c>
      <c r="M604" s="2">
        <v>2543</v>
      </c>
    </row>
    <row r="605" spans="1:13" x14ac:dyDescent="0.25">
      <c r="A605" t="str">
        <f>"E271"</f>
        <v>E271</v>
      </c>
      <c r="B605">
        <v>1</v>
      </c>
      <c r="C605" t="str">
        <f>"10200"</f>
        <v>10200</v>
      </c>
      <c r="D605" t="str">
        <f>"5620"</f>
        <v>5620</v>
      </c>
      <c r="E605" t="str">
        <f>"094OMS"</f>
        <v>094OMS</v>
      </c>
      <c r="F605" t="str">
        <f>""</f>
        <v/>
      </c>
      <c r="G605" t="str">
        <f>""</f>
        <v/>
      </c>
      <c r="H605" s="1">
        <v>40724</v>
      </c>
      <c r="I605" t="str">
        <f>"MPG00395"</f>
        <v>MPG00395</v>
      </c>
      <c r="J605" t="str">
        <f>""</f>
        <v/>
      </c>
      <c r="K605" t="str">
        <f>"AS89"</f>
        <v>AS89</v>
      </c>
      <c r="L605" t="s">
        <v>1487</v>
      </c>
      <c r="M605" s="2">
        <v>3850</v>
      </c>
    </row>
    <row r="606" spans="1:13" x14ac:dyDescent="0.25">
      <c r="A606" t="str">
        <f>"E276"</f>
        <v>E276</v>
      </c>
      <c r="B606">
        <v>1</v>
      </c>
      <c r="C606" t="str">
        <f>"14185"</f>
        <v>14185</v>
      </c>
      <c r="D606" t="str">
        <f>"5620"</f>
        <v>5620</v>
      </c>
      <c r="E606" t="str">
        <f>"094OMS"</f>
        <v>094OMS</v>
      </c>
      <c r="F606" t="str">
        <f>""</f>
        <v/>
      </c>
      <c r="G606" t="str">
        <f>""</f>
        <v/>
      </c>
      <c r="H606" s="1">
        <v>40409</v>
      </c>
      <c r="I606" t="str">
        <f>"G1102074"</f>
        <v>G1102074</v>
      </c>
      <c r="J606" t="str">
        <f>""</f>
        <v/>
      </c>
      <c r="K606" t="str">
        <f>"J096"</f>
        <v>J096</v>
      </c>
      <c r="L606" t="s">
        <v>1486</v>
      </c>
      <c r="M606">
        <v>235.32</v>
      </c>
    </row>
    <row r="607" spans="1:13" x14ac:dyDescent="0.25">
      <c r="A607" t="str">
        <f>"E276"</f>
        <v>E276</v>
      </c>
      <c r="B607">
        <v>1</v>
      </c>
      <c r="C607" t="str">
        <f>"14185"</f>
        <v>14185</v>
      </c>
      <c r="D607" t="str">
        <f>"5620"</f>
        <v>5620</v>
      </c>
      <c r="E607" t="str">
        <f>"094OMS"</f>
        <v>094OMS</v>
      </c>
      <c r="F607" t="str">
        <f>""</f>
        <v/>
      </c>
      <c r="G607" t="str">
        <f>""</f>
        <v/>
      </c>
      <c r="H607" s="1">
        <v>40482</v>
      </c>
      <c r="I607" t="str">
        <f>"G1104202"</f>
        <v>G1104202</v>
      </c>
      <c r="J607" t="str">
        <f>"K0042336"</f>
        <v>K0042336</v>
      </c>
      <c r="K607" t="str">
        <f>"J096"</f>
        <v>J096</v>
      </c>
      <c r="L607" t="s">
        <v>1485</v>
      </c>
      <c r="M607" s="2">
        <v>1448.99</v>
      </c>
    </row>
    <row r="608" spans="1:13" x14ac:dyDescent="0.25">
      <c r="A608" t="str">
        <f>"E279"</f>
        <v>E279</v>
      </c>
      <c r="B608">
        <v>1</v>
      </c>
      <c r="C608" t="str">
        <f>"43000"</f>
        <v>43000</v>
      </c>
      <c r="D608" t="str">
        <f>"5740"</f>
        <v>5740</v>
      </c>
      <c r="E608" t="str">
        <f>"850LOS"</f>
        <v>850LOS</v>
      </c>
      <c r="F608" t="str">
        <f>""</f>
        <v/>
      </c>
      <c r="G608" t="str">
        <f>""</f>
        <v/>
      </c>
      <c r="H608" s="1">
        <v>40534</v>
      </c>
      <c r="I608" t="str">
        <f>"2010715"</f>
        <v>2010715</v>
      </c>
      <c r="J608" t="str">
        <f>"N113803C"</f>
        <v>N113803C</v>
      </c>
      <c r="K608" t="str">
        <f>"INEI"</f>
        <v>INEI</v>
      </c>
      <c r="L608" t="s">
        <v>330</v>
      </c>
      <c r="M608" s="2">
        <v>53593</v>
      </c>
    </row>
    <row r="609" spans="1:13" x14ac:dyDescent="0.25">
      <c r="A609" t="str">
        <f>"E279"</f>
        <v>E279</v>
      </c>
      <c r="B609">
        <v>1</v>
      </c>
      <c r="C609" t="str">
        <f>"43000"</f>
        <v>43000</v>
      </c>
      <c r="D609" t="str">
        <f>"5740"</f>
        <v>5740</v>
      </c>
      <c r="E609" t="str">
        <f>"850LOS"</f>
        <v>850LOS</v>
      </c>
      <c r="F609" t="str">
        <f>""</f>
        <v/>
      </c>
      <c r="G609" t="str">
        <f>""</f>
        <v/>
      </c>
      <c r="H609" s="1">
        <v>40617</v>
      </c>
      <c r="I609" t="str">
        <f>"011149IN"</f>
        <v>011149IN</v>
      </c>
      <c r="J609" t="str">
        <f>"N113803C"</f>
        <v>N113803C</v>
      </c>
      <c r="K609" t="str">
        <f>"INEI"</f>
        <v>INEI</v>
      </c>
      <c r="L609" t="s">
        <v>330</v>
      </c>
      <c r="M609" s="2">
        <v>3196</v>
      </c>
    </row>
    <row r="610" spans="1:13" x14ac:dyDescent="0.25">
      <c r="A610" t="str">
        <f>"E279"</f>
        <v>E279</v>
      </c>
      <c r="B610">
        <v>1</v>
      </c>
      <c r="C610" t="str">
        <f>"43000"</f>
        <v>43000</v>
      </c>
      <c r="D610" t="str">
        <f>"5740"</f>
        <v>5740</v>
      </c>
      <c r="E610" t="str">
        <f>"850LOS"</f>
        <v>850LOS</v>
      </c>
      <c r="F610" t="str">
        <f>""</f>
        <v/>
      </c>
      <c r="G610" t="str">
        <f>""</f>
        <v/>
      </c>
      <c r="H610" s="1">
        <v>40708</v>
      </c>
      <c r="I610" t="str">
        <f>"011341IN"</f>
        <v>011341IN</v>
      </c>
      <c r="J610" t="str">
        <f>"N113803C"</f>
        <v>N113803C</v>
      </c>
      <c r="K610" t="str">
        <f>"INEI"</f>
        <v>INEI</v>
      </c>
      <c r="L610" t="s">
        <v>330</v>
      </c>
      <c r="M610" s="2">
        <v>3525</v>
      </c>
    </row>
    <row r="611" spans="1:13" x14ac:dyDescent="0.25">
      <c r="A611" t="str">
        <f t="shared" ref="A611:A617" si="264">"E351"</f>
        <v>E351</v>
      </c>
      <c r="B611">
        <v>1</v>
      </c>
      <c r="C611" t="str">
        <f t="shared" ref="C611:C618" si="265">"10200"</f>
        <v>10200</v>
      </c>
      <c r="D611" t="str">
        <f t="shared" ref="D611:D618" si="266">"5620"</f>
        <v>5620</v>
      </c>
      <c r="E611" t="str">
        <f t="shared" ref="E611:E618" si="267">"094OMS"</f>
        <v>094OMS</v>
      </c>
      <c r="F611" t="str">
        <f>""</f>
        <v/>
      </c>
      <c r="G611" t="str">
        <f>""</f>
        <v/>
      </c>
      <c r="H611" s="1">
        <v>40392</v>
      </c>
      <c r="I611" t="str">
        <f>"V90297"</f>
        <v>V90297</v>
      </c>
      <c r="J611" t="str">
        <f>""</f>
        <v/>
      </c>
      <c r="K611" t="str">
        <f t="shared" ref="K611:K621" si="268">"INNI"</f>
        <v>INNI</v>
      </c>
      <c r="L611" t="s">
        <v>335</v>
      </c>
      <c r="M611">
        <v>630.63</v>
      </c>
    </row>
    <row r="612" spans="1:13" x14ac:dyDescent="0.25">
      <c r="A612" t="str">
        <f t="shared" si="264"/>
        <v>E351</v>
      </c>
      <c r="B612">
        <v>1</v>
      </c>
      <c r="C612" t="str">
        <f t="shared" si="265"/>
        <v>10200</v>
      </c>
      <c r="D612" t="str">
        <f t="shared" si="266"/>
        <v>5620</v>
      </c>
      <c r="E612" t="str">
        <f t="shared" si="267"/>
        <v>094OMS</v>
      </c>
      <c r="F612" t="str">
        <f>""</f>
        <v/>
      </c>
      <c r="G612" t="str">
        <f>""</f>
        <v/>
      </c>
      <c r="H612" s="1">
        <v>40395</v>
      </c>
      <c r="I612" t="str">
        <f>"V90298"</f>
        <v>V90298</v>
      </c>
      <c r="J612" t="str">
        <f>""</f>
        <v/>
      </c>
      <c r="K612" t="str">
        <f t="shared" si="268"/>
        <v>INNI</v>
      </c>
      <c r="L612" t="s">
        <v>1484</v>
      </c>
      <c r="M612">
        <v>202.76</v>
      </c>
    </row>
    <row r="613" spans="1:13" x14ac:dyDescent="0.25">
      <c r="A613" t="str">
        <f t="shared" si="264"/>
        <v>E351</v>
      </c>
      <c r="B613">
        <v>1</v>
      </c>
      <c r="C613" t="str">
        <f t="shared" si="265"/>
        <v>10200</v>
      </c>
      <c r="D613" t="str">
        <f t="shared" si="266"/>
        <v>5620</v>
      </c>
      <c r="E613" t="str">
        <f t="shared" si="267"/>
        <v>094OMS</v>
      </c>
      <c r="F613" t="str">
        <f>""</f>
        <v/>
      </c>
      <c r="G613" t="str">
        <f>""</f>
        <v/>
      </c>
      <c r="H613" s="1">
        <v>40456</v>
      </c>
      <c r="I613" t="str">
        <f>"V90299"</f>
        <v>V90299</v>
      </c>
      <c r="J613" t="str">
        <f>""</f>
        <v/>
      </c>
      <c r="K613" t="str">
        <f t="shared" si="268"/>
        <v>INNI</v>
      </c>
      <c r="L613" t="s">
        <v>338</v>
      </c>
      <c r="M613">
        <v>353.46</v>
      </c>
    </row>
    <row r="614" spans="1:13" x14ac:dyDescent="0.25">
      <c r="A614" t="str">
        <f t="shared" si="264"/>
        <v>E351</v>
      </c>
      <c r="B614">
        <v>1</v>
      </c>
      <c r="C614" t="str">
        <f t="shared" si="265"/>
        <v>10200</v>
      </c>
      <c r="D614" t="str">
        <f t="shared" si="266"/>
        <v>5620</v>
      </c>
      <c r="E614" t="str">
        <f t="shared" si="267"/>
        <v>094OMS</v>
      </c>
      <c r="F614" t="str">
        <f>""</f>
        <v/>
      </c>
      <c r="G614" t="str">
        <f>""</f>
        <v/>
      </c>
      <c r="H614" s="1">
        <v>40464</v>
      </c>
      <c r="I614" t="str">
        <f>"V90300"</f>
        <v>V90300</v>
      </c>
      <c r="J614" t="str">
        <f>""</f>
        <v/>
      </c>
      <c r="K614" t="str">
        <f t="shared" si="268"/>
        <v>INNI</v>
      </c>
      <c r="L614" t="s">
        <v>197</v>
      </c>
      <c r="M614">
        <v>150</v>
      </c>
    </row>
    <row r="615" spans="1:13" x14ac:dyDescent="0.25">
      <c r="A615" t="str">
        <f t="shared" si="264"/>
        <v>E351</v>
      </c>
      <c r="B615">
        <v>1</v>
      </c>
      <c r="C615" t="str">
        <f t="shared" si="265"/>
        <v>10200</v>
      </c>
      <c r="D615" t="str">
        <f t="shared" si="266"/>
        <v>5620</v>
      </c>
      <c r="E615" t="str">
        <f t="shared" si="267"/>
        <v>094OMS</v>
      </c>
      <c r="F615" t="str">
        <f>""</f>
        <v/>
      </c>
      <c r="G615" t="str">
        <f>""</f>
        <v/>
      </c>
      <c r="H615" s="1">
        <v>40514</v>
      </c>
      <c r="I615" t="str">
        <f>"V90303"</f>
        <v>V90303</v>
      </c>
      <c r="J615" t="str">
        <f>""</f>
        <v/>
      </c>
      <c r="K615" t="str">
        <f t="shared" si="268"/>
        <v>INNI</v>
      </c>
      <c r="L615" t="s">
        <v>337</v>
      </c>
      <c r="M615">
        <v>334.65</v>
      </c>
    </row>
    <row r="616" spans="1:13" x14ac:dyDescent="0.25">
      <c r="A616" t="str">
        <f t="shared" si="264"/>
        <v>E351</v>
      </c>
      <c r="B616">
        <v>1</v>
      </c>
      <c r="C616" t="str">
        <f t="shared" si="265"/>
        <v>10200</v>
      </c>
      <c r="D616" t="str">
        <f t="shared" si="266"/>
        <v>5620</v>
      </c>
      <c r="E616" t="str">
        <f t="shared" si="267"/>
        <v>094OMS</v>
      </c>
      <c r="F616" t="str">
        <f>""</f>
        <v/>
      </c>
      <c r="G616" t="str">
        <f>""</f>
        <v/>
      </c>
      <c r="H616" s="1">
        <v>40597</v>
      </c>
      <c r="I616" t="str">
        <f>"V114168"</f>
        <v>V114168</v>
      </c>
      <c r="J616" t="str">
        <f>""</f>
        <v/>
      </c>
      <c r="K616" t="str">
        <f t="shared" si="268"/>
        <v>INNI</v>
      </c>
      <c r="L616" t="s">
        <v>197</v>
      </c>
      <c r="M616">
        <v>207.81</v>
      </c>
    </row>
    <row r="617" spans="1:13" x14ac:dyDescent="0.25">
      <c r="A617" t="str">
        <f t="shared" si="264"/>
        <v>E351</v>
      </c>
      <c r="B617">
        <v>1</v>
      </c>
      <c r="C617" t="str">
        <f t="shared" si="265"/>
        <v>10200</v>
      </c>
      <c r="D617" t="str">
        <f t="shared" si="266"/>
        <v>5620</v>
      </c>
      <c r="E617" t="str">
        <f t="shared" si="267"/>
        <v>094OMS</v>
      </c>
      <c r="F617" t="str">
        <f>""</f>
        <v/>
      </c>
      <c r="G617" t="str">
        <f>""</f>
        <v/>
      </c>
      <c r="H617" s="1">
        <v>40724</v>
      </c>
      <c r="I617" t="str">
        <f>"V90308"</f>
        <v>V90308</v>
      </c>
      <c r="J617" t="str">
        <f>""</f>
        <v/>
      </c>
      <c r="K617" t="str">
        <f t="shared" si="268"/>
        <v>INNI</v>
      </c>
      <c r="L617" t="s">
        <v>1483</v>
      </c>
      <c r="M617">
        <v>127.24</v>
      </c>
    </row>
    <row r="618" spans="1:13" x14ac:dyDescent="0.25">
      <c r="A618" t="str">
        <f>"E353"</f>
        <v>E353</v>
      </c>
      <c r="B618">
        <v>1</v>
      </c>
      <c r="C618" t="str">
        <f t="shared" si="265"/>
        <v>10200</v>
      </c>
      <c r="D618" t="str">
        <f t="shared" si="266"/>
        <v>5620</v>
      </c>
      <c r="E618" t="str">
        <f t="shared" si="267"/>
        <v>094OMS</v>
      </c>
      <c r="F618" t="str">
        <f>""</f>
        <v/>
      </c>
      <c r="G618" t="str">
        <f>""</f>
        <v/>
      </c>
      <c r="H618" s="1">
        <v>40679</v>
      </c>
      <c r="I618" t="str">
        <f>"V90307"</f>
        <v>V90307</v>
      </c>
      <c r="J618" t="str">
        <f>""</f>
        <v/>
      </c>
      <c r="K618" t="str">
        <f t="shared" si="268"/>
        <v>INNI</v>
      </c>
      <c r="L618" t="s">
        <v>1235</v>
      </c>
      <c r="M618">
        <v>104.04</v>
      </c>
    </row>
    <row r="619" spans="1:13" x14ac:dyDescent="0.25">
      <c r="A619" t="str">
        <f>"E353"</f>
        <v>E353</v>
      </c>
      <c r="B619">
        <v>1</v>
      </c>
      <c r="C619" t="str">
        <f>"43000"</f>
        <v>43000</v>
      </c>
      <c r="D619" t="str">
        <f>"5740"</f>
        <v>5740</v>
      </c>
      <c r="E619" t="str">
        <f>"850LOS"</f>
        <v>850LOS</v>
      </c>
      <c r="F619" t="str">
        <f>""</f>
        <v/>
      </c>
      <c r="G619" t="str">
        <f>""</f>
        <v/>
      </c>
      <c r="H619" s="1">
        <v>40465</v>
      </c>
      <c r="I619" t="str">
        <f>"V90301"</f>
        <v>V90301</v>
      </c>
      <c r="J619" t="str">
        <f>""</f>
        <v/>
      </c>
      <c r="K619" t="str">
        <f t="shared" si="268"/>
        <v>INNI</v>
      </c>
      <c r="L619" t="s">
        <v>284</v>
      </c>
      <c r="M619">
        <v>122</v>
      </c>
    </row>
    <row r="620" spans="1:13" x14ac:dyDescent="0.25">
      <c r="A620" t="str">
        <f>"E370"</f>
        <v>E370</v>
      </c>
      <c r="B620">
        <v>1</v>
      </c>
      <c r="C620" t="str">
        <f>"43000"</f>
        <v>43000</v>
      </c>
      <c r="D620" t="str">
        <f>"5740"</f>
        <v>5740</v>
      </c>
      <c r="E620" t="str">
        <f>"850LOS"</f>
        <v>850LOS</v>
      </c>
      <c r="F620" t="str">
        <f>""</f>
        <v/>
      </c>
      <c r="G620" t="str">
        <f>""</f>
        <v/>
      </c>
      <c r="H620" s="1">
        <v>40498</v>
      </c>
      <c r="I620" t="str">
        <f>"V90302"</f>
        <v>V90302</v>
      </c>
      <c r="J620" t="str">
        <f>""</f>
        <v/>
      </c>
      <c r="K620" t="str">
        <f t="shared" si="268"/>
        <v>INNI</v>
      </c>
      <c r="L620" t="s">
        <v>284</v>
      </c>
      <c r="M620">
        <v>757.64</v>
      </c>
    </row>
    <row r="621" spans="1:13" x14ac:dyDescent="0.25">
      <c r="A621" t="str">
        <f>"E374"</f>
        <v>E374</v>
      </c>
      <c r="B621">
        <v>1</v>
      </c>
      <c r="C621" t="str">
        <f>"43000"</f>
        <v>43000</v>
      </c>
      <c r="D621" t="str">
        <f>"5740"</f>
        <v>5740</v>
      </c>
      <c r="E621" t="str">
        <f>"850LOS"</f>
        <v>850LOS</v>
      </c>
      <c r="F621" t="str">
        <f>""</f>
        <v/>
      </c>
      <c r="G621" t="str">
        <f>""</f>
        <v/>
      </c>
      <c r="H621" s="1">
        <v>40456</v>
      </c>
      <c r="I621" t="str">
        <f>"Q64745"</f>
        <v>Q64745</v>
      </c>
      <c r="J621" t="str">
        <f>""</f>
        <v/>
      </c>
      <c r="K621" t="str">
        <f t="shared" si="268"/>
        <v>INNI</v>
      </c>
      <c r="L621" t="s">
        <v>337</v>
      </c>
      <c r="M621">
        <v>311.3</v>
      </c>
    </row>
    <row r="622" spans="1:13" x14ac:dyDescent="0.25">
      <c r="A622" t="str">
        <f>"E401"</f>
        <v>E401</v>
      </c>
      <c r="B622">
        <v>1</v>
      </c>
      <c r="C622" t="str">
        <f>"55755"</f>
        <v>55755</v>
      </c>
      <c r="D622" t="str">
        <f t="shared" ref="D622:D630" si="269">"5620"</f>
        <v>5620</v>
      </c>
      <c r="E622" t="str">
        <f>"111ZAA"</f>
        <v>111ZAA</v>
      </c>
      <c r="F622" t="str">
        <f>""</f>
        <v/>
      </c>
      <c r="G622" t="str">
        <f>""</f>
        <v/>
      </c>
      <c r="H622" s="1">
        <v>40420</v>
      </c>
      <c r="I622" t="str">
        <f>"BJV00285"</f>
        <v>BJV00285</v>
      </c>
      <c r="J622" t="str">
        <f>""</f>
        <v/>
      </c>
      <c r="K622" t="str">
        <f>"BD01"</f>
        <v>BD01</v>
      </c>
      <c r="L622" t="s">
        <v>679</v>
      </c>
      <c r="M622">
        <v>0</v>
      </c>
    </row>
    <row r="623" spans="1:13" x14ac:dyDescent="0.25">
      <c r="A623" t="str">
        <f>"E403"</f>
        <v>E403</v>
      </c>
      <c r="B623">
        <v>1</v>
      </c>
      <c r="C623" t="str">
        <f t="shared" ref="C623:C629" si="270">"10200"</f>
        <v>10200</v>
      </c>
      <c r="D623" t="str">
        <f t="shared" si="269"/>
        <v>5620</v>
      </c>
      <c r="E623" t="str">
        <f t="shared" ref="E623:E630" si="271">"094OMS"</f>
        <v>094OMS</v>
      </c>
      <c r="F623" t="str">
        <f>""</f>
        <v/>
      </c>
      <c r="G623" t="str">
        <f>""</f>
        <v/>
      </c>
      <c r="H623" s="1">
        <v>40492</v>
      </c>
      <c r="I623" t="str">
        <f>"PA003631"</f>
        <v>PA003631</v>
      </c>
      <c r="J623" t="str">
        <f>"F183007"</f>
        <v>F183007</v>
      </c>
      <c r="K623" t="str">
        <f>"INEI"</f>
        <v>INEI</v>
      </c>
      <c r="L623" t="s">
        <v>1231</v>
      </c>
      <c r="M623" s="2">
        <v>2170</v>
      </c>
    </row>
    <row r="624" spans="1:13" x14ac:dyDescent="0.25">
      <c r="A624" t="str">
        <f>"E403"</f>
        <v>E403</v>
      </c>
      <c r="B624">
        <v>1</v>
      </c>
      <c r="C624" t="str">
        <f t="shared" si="270"/>
        <v>10200</v>
      </c>
      <c r="D624" t="str">
        <f t="shared" si="269"/>
        <v>5620</v>
      </c>
      <c r="E624" t="str">
        <f t="shared" si="271"/>
        <v>094OMS</v>
      </c>
      <c r="F624" t="str">
        <f>""</f>
        <v/>
      </c>
      <c r="G624" t="str">
        <f>""</f>
        <v/>
      </c>
      <c r="H624" s="1">
        <v>40492</v>
      </c>
      <c r="I624" t="str">
        <f>"PA003631"</f>
        <v>PA003631</v>
      </c>
      <c r="J624" t="str">
        <f>"F183007"</f>
        <v>F183007</v>
      </c>
      <c r="K624" t="str">
        <f>"INEI"</f>
        <v>INEI</v>
      </c>
      <c r="L624" t="s">
        <v>1231</v>
      </c>
      <c r="M624" s="2">
        <v>4312.88</v>
      </c>
    </row>
    <row r="625" spans="1:13" x14ac:dyDescent="0.25">
      <c r="A625" t="str">
        <f>"E403"</f>
        <v>E403</v>
      </c>
      <c r="B625">
        <v>1</v>
      </c>
      <c r="C625" t="str">
        <f t="shared" si="270"/>
        <v>10200</v>
      </c>
      <c r="D625" t="str">
        <f t="shared" si="269"/>
        <v>5620</v>
      </c>
      <c r="E625" t="str">
        <f t="shared" si="271"/>
        <v>094OMS</v>
      </c>
      <c r="F625" t="str">
        <f>""</f>
        <v/>
      </c>
      <c r="G625" t="str">
        <f>""</f>
        <v/>
      </c>
      <c r="H625" s="1">
        <v>40724</v>
      </c>
      <c r="I625" t="str">
        <f>"SWS00085"</f>
        <v>SWS00085</v>
      </c>
      <c r="J625" t="str">
        <f>"11692"</f>
        <v>11692</v>
      </c>
      <c r="K625" t="str">
        <f>"AS89"</f>
        <v>AS89</v>
      </c>
      <c r="L625" t="s">
        <v>1482</v>
      </c>
      <c r="M625">
        <v>125</v>
      </c>
    </row>
    <row r="626" spans="1:13" x14ac:dyDescent="0.25">
      <c r="A626" t="str">
        <f t="shared" ref="A626:A637" si="272">"E404"</f>
        <v>E404</v>
      </c>
      <c r="B626">
        <v>1</v>
      </c>
      <c r="C626" t="str">
        <f t="shared" si="270"/>
        <v>10200</v>
      </c>
      <c r="D626" t="str">
        <f t="shared" si="269"/>
        <v>5620</v>
      </c>
      <c r="E626" t="str">
        <f t="shared" si="271"/>
        <v>094OMS</v>
      </c>
      <c r="F626" t="str">
        <f>""</f>
        <v/>
      </c>
      <c r="G626" t="str">
        <f>""</f>
        <v/>
      </c>
      <c r="H626" s="1">
        <v>40390</v>
      </c>
      <c r="I626" t="str">
        <f>"PCD00433"</f>
        <v>PCD00433</v>
      </c>
      <c r="J626" t="str">
        <f>"125712"</f>
        <v>125712</v>
      </c>
      <c r="K626" t="str">
        <f>"AS89"</f>
        <v>AS89</v>
      </c>
      <c r="L626" t="s">
        <v>1481</v>
      </c>
      <c r="M626">
        <v>265.89999999999998</v>
      </c>
    </row>
    <row r="627" spans="1:13" x14ac:dyDescent="0.25">
      <c r="A627" t="str">
        <f t="shared" si="272"/>
        <v>E404</v>
      </c>
      <c r="B627">
        <v>1</v>
      </c>
      <c r="C627" t="str">
        <f t="shared" si="270"/>
        <v>10200</v>
      </c>
      <c r="D627" t="str">
        <f t="shared" si="269"/>
        <v>5620</v>
      </c>
      <c r="E627" t="str">
        <f t="shared" si="271"/>
        <v>094OMS</v>
      </c>
      <c r="F627" t="str">
        <f>""</f>
        <v/>
      </c>
      <c r="G627" t="str">
        <f>""</f>
        <v/>
      </c>
      <c r="H627" s="1">
        <v>40451</v>
      </c>
      <c r="I627" t="str">
        <f>"167063A"</f>
        <v>167063A</v>
      </c>
      <c r="J627" t="str">
        <f>"F183022"</f>
        <v>F183022</v>
      </c>
      <c r="K627" t="str">
        <f>"INEI"</f>
        <v>INEI</v>
      </c>
      <c r="L627" t="s">
        <v>764</v>
      </c>
      <c r="M627">
        <v>232.09</v>
      </c>
    </row>
    <row r="628" spans="1:13" x14ac:dyDescent="0.25">
      <c r="A628" t="str">
        <f t="shared" si="272"/>
        <v>E404</v>
      </c>
      <c r="B628">
        <v>1</v>
      </c>
      <c r="C628" t="str">
        <f t="shared" si="270"/>
        <v>10200</v>
      </c>
      <c r="D628" t="str">
        <f t="shared" si="269"/>
        <v>5620</v>
      </c>
      <c r="E628" t="str">
        <f t="shared" si="271"/>
        <v>094OMS</v>
      </c>
      <c r="F628" t="str">
        <f>""</f>
        <v/>
      </c>
      <c r="G628" t="str">
        <f>""</f>
        <v/>
      </c>
      <c r="H628" s="1">
        <v>40482</v>
      </c>
      <c r="I628" t="str">
        <f>"PCD00450"</f>
        <v>PCD00450</v>
      </c>
      <c r="J628" t="str">
        <f>"131215"</f>
        <v>131215</v>
      </c>
      <c r="K628" t="str">
        <f>"AS89"</f>
        <v>AS89</v>
      </c>
      <c r="L628" t="s">
        <v>1480</v>
      </c>
      <c r="M628">
        <v>169.79</v>
      </c>
    </row>
    <row r="629" spans="1:13" x14ac:dyDescent="0.25">
      <c r="A629" t="str">
        <f t="shared" si="272"/>
        <v>E404</v>
      </c>
      <c r="B629">
        <v>1</v>
      </c>
      <c r="C629" t="str">
        <f t="shared" si="270"/>
        <v>10200</v>
      </c>
      <c r="D629" t="str">
        <f t="shared" si="269"/>
        <v>5620</v>
      </c>
      <c r="E629" t="str">
        <f t="shared" si="271"/>
        <v>094OMS</v>
      </c>
      <c r="F629" t="str">
        <f>""</f>
        <v/>
      </c>
      <c r="G629" t="str">
        <f>""</f>
        <v/>
      </c>
      <c r="H629" s="1">
        <v>40722</v>
      </c>
      <c r="I629" t="str">
        <f>"188717"</f>
        <v>188717</v>
      </c>
      <c r="J629" t="str">
        <f>""</f>
        <v/>
      </c>
      <c r="K629" t="str">
        <f>"INNI"</f>
        <v>INNI</v>
      </c>
      <c r="L629" t="s">
        <v>36</v>
      </c>
      <c r="M629" s="2">
        <v>1331.58</v>
      </c>
    </row>
    <row r="630" spans="1:13" x14ac:dyDescent="0.25">
      <c r="A630" t="str">
        <f t="shared" si="272"/>
        <v>E404</v>
      </c>
      <c r="B630">
        <v>1</v>
      </c>
      <c r="C630" t="str">
        <f>"31040"</f>
        <v>31040</v>
      </c>
      <c r="D630" t="str">
        <f t="shared" si="269"/>
        <v>5620</v>
      </c>
      <c r="E630" t="str">
        <f t="shared" si="271"/>
        <v>094OMS</v>
      </c>
      <c r="F630" t="str">
        <f>""</f>
        <v/>
      </c>
      <c r="G630" t="str">
        <f>""</f>
        <v/>
      </c>
      <c r="H630" s="1">
        <v>40477</v>
      </c>
      <c r="I630" t="str">
        <f>"167235"</f>
        <v>167235</v>
      </c>
      <c r="J630" t="str">
        <f>"F183023"</f>
        <v>F183023</v>
      </c>
      <c r="K630" t="str">
        <f>"INEI"</f>
        <v>INEI</v>
      </c>
      <c r="L630" t="s">
        <v>764</v>
      </c>
      <c r="M630">
        <v>232.09</v>
      </c>
    </row>
    <row r="631" spans="1:13" x14ac:dyDescent="0.25">
      <c r="A631" t="str">
        <f t="shared" si="272"/>
        <v>E404</v>
      </c>
      <c r="B631">
        <v>1</v>
      </c>
      <c r="C631" t="str">
        <f>"32040"</f>
        <v>32040</v>
      </c>
      <c r="D631" t="str">
        <f>"5610"</f>
        <v>5610</v>
      </c>
      <c r="E631" t="str">
        <f t="shared" ref="E631:E639" si="273">"850LOS"</f>
        <v>850LOS</v>
      </c>
      <c r="F631" t="str">
        <f>""</f>
        <v/>
      </c>
      <c r="G631" t="str">
        <f>""</f>
        <v/>
      </c>
      <c r="H631" s="1">
        <v>40452</v>
      </c>
      <c r="I631" t="str">
        <f>"PCD00443"</f>
        <v>PCD00443</v>
      </c>
      <c r="J631" t="str">
        <f>"129960"</f>
        <v>129960</v>
      </c>
      <c r="K631" t="str">
        <f>"AS89"</f>
        <v>AS89</v>
      </c>
      <c r="L631" t="s">
        <v>1479</v>
      </c>
      <c r="M631">
        <v>173.59</v>
      </c>
    </row>
    <row r="632" spans="1:13" x14ac:dyDescent="0.25">
      <c r="A632" t="str">
        <f t="shared" si="272"/>
        <v>E404</v>
      </c>
      <c r="B632">
        <v>1</v>
      </c>
      <c r="C632" t="str">
        <f>"43000"</f>
        <v>43000</v>
      </c>
      <c r="D632" t="str">
        <f t="shared" ref="D632:D637" si="274">"5740"</f>
        <v>5740</v>
      </c>
      <c r="E632" t="str">
        <f t="shared" si="273"/>
        <v>850LOS</v>
      </c>
      <c r="F632" t="str">
        <f>""</f>
        <v/>
      </c>
      <c r="G632" t="str">
        <f>""</f>
        <v/>
      </c>
      <c r="H632" s="1">
        <v>40451</v>
      </c>
      <c r="I632" t="str">
        <f>"167063A"</f>
        <v>167063A</v>
      </c>
      <c r="J632" t="str">
        <f>"F183022"</f>
        <v>F183022</v>
      </c>
      <c r="K632" t="str">
        <f>"INEI"</f>
        <v>INEI</v>
      </c>
      <c r="L632" t="s">
        <v>764</v>
      </c>
      <c r="M632">
        <v>232.09</v>
      </c>
    </row>
    <row r="633" spans="1:13" x14ac:dyDescent="0.25">
      <c r="A633" t="str">
        <f t="shared" si="272"/>
        <v>E404</v>
      </c>
      <c r="B633">
        <v>1</v>
      </c>
      <c r="C633" t="str">
        <f>"43000"</f>
        <v>43000</v>
      </c>
      <c r="D633" t="str">
        <f t="shared" si="274"/>
        <v>5740</v>
      </c>
      <c r="E633" t="str">
        <f t="shared" si="273"/>
        <v>850LOS</v>
      </c>
      <c r="F633" t="str">
        <f>""</f>
        <v/>
      </c>
      <c r="G633" t="str">
        <f>""</f>
        <v/>
      </c>
      <c r="H633" s="1">
        <v>40452</v>
      </c>
      <c r="I633" t="str">
        <f>"PCD00443"</f>
        <v>PCD00443</v>
      </c>
      <c r="J633" t="str">
        <f>"130002"</f>
        <v>130002</v>
      </c>
      <c r="K633" t="str">
        <f>"AS89"</f>
        <v>AS89</v>
      </c>
      <c r="L633" t="s">
        <v>1478</v>
      </c>
      <c r="M633">
        <v>373.24</v>
      </c>
    </row>
    <row r="634" spans="1:13" x14ac:dyDescent="0.25">
      <c r="A634" t="str">
        <f t="shared" si="272"/>
        <v>E404</v>
      </c>
      <c r="B634">
        <v>1</v>
      </c>
      <c r="C634" t="str">
        <f>"43000"</f>
        <v>43000</v>
      </c>
      <c r="D634" t="str">
        <f t="shared" si="274"/>
        <v>5740</v>
      </c>
      <c r="E634" t="str">
        <f t="shared" si="273"/>
        <v>850LOS</v>
      </c>
      <c r="F634" t="str">
        <f>""</f>
        <v/>
      </c>
      <c r="G634" t="str">
        <f>""</f>
        <v/>
      </c>
      <c r="H634" s="1">
        <v>40482</v>
      </c>
      <c r="I634" t="str">
        <f>"PCD00450"</f>
        <v>PCD00450</v>
      </c>
      <c r="J634" t="str">
        <f>"131738"</f>
        <v>131738</v>
      </c>
      <c r="K634" t="str">
        <f>"AS89"</f>
        <v>AS89</v>
      </c>
      <c r="L634" t="s">
        <v>1477</v>
      </c>
      <c r="M634">
        <v>125.86</v>
      </c>
    </row>
    <row r="635" spans="1:13" x14ac:dyDescent="0.25">
      <c r="A635" t="str">
        <f t="shared" si="272"/>
        <v>E404</v>
      </c>
      <c r="B635">
        <v>1</v>
      </c>
      <c r="C635" t="str">
        <f>"43000"</f>
        <v>43000</v>
      </c>
      <c r="D635" t="str">
        <f t="shared" si="274"/>
        <v>5740</v>
      </c>
      <c r="E635" t="str">
        <f t="shared" si="273"/>
        <v>850LOS</v>
      </c>
      <c r="F635" t="str">
        <f>""</f>
        <v/>
      </c>
      <c r="G635" t="str">
        <f>""</f>
        <v/>
      </c>
      <c r="H635" s="1">
        <v>40512</v>
      </c>
      <c r="I635" t="str">
        <f>"PCD00455"</f>
        <v>PCD00455</v>
      </c>
      <c r="J635" t="str">
        <f>"133139"</f>
        <v>133139</v>
      </c>
      <c r="K635" t="str">
        <f>"AS89"</f>
        <v>AS89</v>
      </c>
      <c r="L635" t="s">
        <v>1476</v>
      </c>
      <c r="M635">
        <v>123.66</v>
      </c>
    </row>
    <row r="636" spans="1:13" x14ac:dyDescent="0.25">
      <c r="A636" t="str">
        <f t="shared" si="272"/>
        <v>E404</v>
      </c>
      <c r="B636">
        <v>1</v>
      </c>
      <c r="C636" t="str">
        <f>"43000"</f>
        <v>43000</v>
      </c>
      <c r="D636" t="str">
        <f t="shared" si="274"/>
        <v>5740</v>
      </c>
      <c r="E636" t="str">
        <f t="shared" si="273"/>
        <v>850LOS</v>
      </c>
      <c r="F636" t="str">
        <f>""</f>
        <v/>
      </c>
      <c r="G636" t="str">
        <f>""</f>
        <v/>
      </c>
      <c r="H636" s="1">
        <v>40542</v>
      </c>
      <c r="I636" t="str">
        <f>"PCD00458"</f>
        <v>PCD00458</v>
      </c>
      <c r="J636" t="str">
        <f>"134360"</f>
        <v>134360</v>
      </c>
      <c r="K636" t="str">
        <f>"AS89"</f>
        <v>AS89</v>
      </c>
      <c r="L636" t="s">
        <v>1475</v>
      </c>
      <c r="M636">
        <v>739.97</v>
      </c>
    </row>
    <row r="637" spans="1:13" x14ac:dyDescent="0.25">
      <c r="A637" t="str">
        <f t="shared" si="272"/>
        <v>E404</v>
      </c>
      <c r="B637">
        <v>1</v>
      </c>
      <c r="C637" t="str">
        <f>"43003"</f>
        <v>43003</v>
      </c>
      <c r="D637" t="str">
        <f t="shared" si="274"/>
        <v>5740</v>
      </c>
      <c r="E637" t="str">
        <f t="shared" si="273"/>
        <v>850LOS</v>
      </c>
      <c r="F637" t="str">
        <f>""</f>
        <v/>
      </c>
      <c r="G637" t="str">
        <f>""</f>
        <v/>
      </c>
      <c r="H637" s="1">
        <v>40708</v>
      </c>
      <c r="I637" t="str">
        <f>"188712"</f>
        <v>188712</v>
      </c>
      <c r="J637" t="str">
        <f>""</f>
        <v/>
      </c>
      <c r="K637" t="str">
        <f>"INNI"</f>
        <v>INNI</v>
      </c>
      <c r="L637" t="s">
        <v>1189</v>
      </c>
      <c r="M637" s="2">
        <v>2522.9299999999998</v>
      </c>
    </row>
    <row r="638" spans="1:13" x14ac:dyDescent="0.25">
      <c r="A638" t="str">
        <f>"E407"</f>
        <v>E407</v>
      </c>
      <c r="B638">
        <v>1</v>
      </c>
      <c r="C638" t="str">
        <f>"32040"</f>
        <v>32040</v>
      </c>
      <c r="D638" t="str">
        <f>"5610"</f>
        <v>5610</v>
      </c>
      <c r="E638" t="str">
        <f t="shared" si="273"/>
        <v>850LOS</v>
      </c>
      <c r="F638" t="str">
        <f>""</f>
        <v/>
      </c>
      <c r="G638" t="str">
        <f>""</f>
        <v/>
      </c>
      <c r="H638" s="1">
        <v>40694</v>
      </c>
      <c r="I638" t="str">
        <f>"PCD00485"</f>
        <v>PCD00485</v>
      </c>
      <c r="J638" t="str">
        <f>"144201"</f>
        <v>144201</v>
      </c>
      <c r="K638" t="str">
        <f>"AS89"</f>
        <v>AS89</v>
      </c>
      <c r="L638" t="s">
        <v>1474</v>
      </c>
      <c r="M638">
        <v>462.75</v>
      </c>
    </row>
    <row r="639" spans="1:13" x14ac:dyDescent="0.25">
      <c r="A639" t="str">
        <f>"E407"</f>
        <v>E407</v>
      </c>
      <c r="B639">
        <v>1</v>
      </c>
      <c r="C639" t="str">
        <f>"43000"</f>
        <v>43000</v>
      </c>
      <c r="D639" t="str">
        <f>"5740"</f>
        <v>5740</v>
      </c>
      <c r="E639" t="str">
        <f t="shared" si="273"/>
        <v>850LOS</v>
      </c>
      <c r="F639" t="str">
        <f>""</f>
        <v/>
      </c>
      <c r="G639" t="str">
        <f>""</f>
        <v/>
      </c>
      <c r="H639" s="1">
        <v>40663</v>
      </c>
      <c r="I639" t="str">
        <f>"PCD00480"</f>
        <v>PCD00480</v>
      </c>
      <c r="J639" t="str">
        <f>"143363"</f>
        <v>143363</v>
      </c>
      <c r="K639" t="str">
        <f>"AS89"</f>
        <v>AS89</v>
      </c>
      <c r="L639" t="s">
        <v>1473</v>
      </c>
      <c r="M639">
        <v>454.38</v>
      </c>
    </row>
    <row r="640" spans="1:13" x14ac:dyDescent="0.25">
      <c r="A640" t="str">
        <f>"E408"</f>
        <v>E408</v>
      </c>
      <c r="B640">
        <v>1</v>
      </c>
      <c r="C640" t="str">
        <f>"10200"</f>
        <v>10200</v>
      </c>
      <c r="D640" t="str">
        <f>"5620"</f>
        <v>5620</v>
      </c>
      <c r="E640" t="str">
        <f>"094OMS"</f>
        <v>094OMS</v>
      </c>
      <c r="F640" t="str">
        <f>""</f>
        <v/>
      </c>
      <c r="G640" t="str">
        <f>""</f>
        <v/>
      </c>
      <c r="H640" s="1">
        <v>40715</v>
      </c>
      <c r="I640" t="str">
        <f>"597831"</f>
        <v>597831</v>
      </c>
      <c r="J640" t="str">
        <f>"D188718"</f>
        <v>D188718</v>
      </c>
      <c r="K640" t="str">
        <f>"INEI"</f>
        <v>INEI</v>
      </c>
      <c r="L640" t="s">
        <v>366</v>
      </c>
      <c r="M640" s="2">
        <v>1787.95</v>
      </c>
    </row>
    <row r="641" spans="1:13" x14ac:dyDescent="0.25">
      <c r="A641" t="str">
        <f>"E408"</f>
        <v>E408</v>
      </c>
      <c r="B641">
        <v>1</v>
      </c>
      <c r="C641" t="str">
        <f>"10200"</f>
        <v>10200</v>
      </c>
      <c r="D641" t="str">
        <f>"5620"</f>
        <v>5620</v>
      </c>
      <c r="E641" t="str">
        <f>"094OMS"</f>
        <v>094OMS</v>
      </c>
      <c r="F641" t="str">
        <f>""</f>
        <v/>
      </c>
      <c r="G641" t="str">
        <f>""</f>
        <v/>
      </c>
      <c r="H641" s="1">
        <v>40715</v>
      </c>
      <c r="I641" t="str">
        <f>"597831"</f>
        <v>597831</v>
      </c>
      <c r="J641" t="str">
        <f>"D188718"</f>
        <v>D188718</v>
      </c>
      <c r="K641" t="str">
        <f>"INEI"</f>
        <v>INEI</v>
      </c>
      <c r="L641" t="s">
        <v>366</v>
      </c>
      <c r="M641">
        <v>513.42999999999995</v>
      </c>
    </row>
    <row r="642" spans="1:13" x14ac:dyDescent="0.25">
      <c r="A642" t="str">
        <f>"E408"</f>
        <v>E408</v>
      </c>
      <c r="B642">
        <v>1</v>
      </c>
      <c r="C642" t="str">
        <f>"10200"</f>
        <v>10200</v>
      </c>
      <c r="D642" t="str">
        <f>"5620"</f>
        <v>5620</v>
      </c>
      <c r="E642" t="str">
        <f>"094OMS"</f>
        <v>094OMS</v>
      </c>
      <c r="F642" t="str">
        <f>""</f>
        <v/>
      </c>
      <c r="G642" t="str">
        <f>""</f>
        <v/>
      </c>
      <c r="H642" s="1">
        <v>40724</v>
      </c>
      <c r="I642" t="str">
        <f>"188719"</f>
        <v>188719</v>
      </c>
      <c r="J642" t="str">
        <f>""</f>
        <v/>
      </c>
      <c r="K642" t="str">
        <f>"INNI"</f>
        <v>INNI</v>
      </c>
      <c r="L642" t="s">
        <v>1472</v>
      </c>
      <c r="M642">
        <v>890.78</v>
      </c>
    </row>
    <row r="643" spans="1:13" x14ac:dyDescent="0.25">
      <c r="A643" t="str">
        <f>"E408"</f>
        <v>E408</v>
      </c>
      <c r="B643">
        <v>1</v>
      </c>
      <c r="C643" t="str">
        <f>"43000"</f>
        <v>43000</v>
      </c>
      <c r="D643" t="str">
        <f t="shared" ref="D643:D648" si="275">"5740"</f>
        <v>5740</v>
      </c>
      <c r="E643" t="str">
        <f t="shared" ref="E643:E648" si="276">"850LOS"</f>
        <v>850LOS</v>
      </c>
      <c r="F643" t="str">
        <f>""</f>
        <v/>
      </c>
      <c r="G643" t="str">
        <f>""</f>
        <v/>
      </c>
      <c r="H643" s="1">
        <v>40694</v>
      </c>
      <c r="I643" t="str">
        <f>"PCD00485"</f>
        <v>PCD00485</v>
      </c>
      <c r="J643" t="str">
        <f>"144458"</f>
        <v>144458</v>
      </c>
      <c r="K643" t="str">
        <f>"AS89"</f>
        <v>AS89</v>
      </c>
      <c r="L643" t="s">
        <v>1471</v>
      </c>
      <c r="M643">
        <v>813</v>
      </c>
    </row>
    <row r="644" spans="1:13" x14ac:dyDescent="0.25">
      <c r="A644" t="str">
        <f>"E414"</f>
        <v>E414</v>
      </c>
      <c r="B644">
        <v>1</v>
      </c>
      <c r="C644" t="str">
        <f>"43003"</f>
        <v>43003</v>
      </c>
      <c r="D644" t="str">
        <f t="shared" si="275"/>
        <v>5740</v>
      </c>
      <c r="E644" t="str">
        <f t="shared" si="276"/>
        <v>850LOS</v>
      </c>
      <c r="F644" t="str">
        <f>""</f>
        <v/>
      </c>
      <c r="G644" t="str">
        <f>""</f>
        <v/>
      </c>
      <c r="H644" s="1">
        <v>40501</v>
      </c>
      <c r="I644" t="str">
        <f>"10378057"</f>
        <v>10378057</v>
      </c>
      <c r="J644" t="str">
        <f>"610143"</f>
        <v>610143</v>
      </c>
      <c r="K644" t="str">
        <f>"CNCP"</f>
        <v>CNCP</v>
      </c>
      <c r="L644" t="s">
        <v>1189</v>
      </c>
      <c r="M644">
        <v>973.25</v>
      </c>
    </row>
    <row r="645" spans="1:13" x14ac:dyDescent="0.25">
      <c r="A645" t="str">
        <f>"E414"</f>
        <v>E414</v>
      </c>
      <c r="B645">
        <v>1</v>
      </c>
      <c r="C645" t="str">
        <f>"43007"</f>
        <v>43007</v>
      </c>
      <c r="D645" t="str">
        <f t="shared" si="275"/>
        <v>5740</v>
      </c>
      <c r="E645" t="str">
        <f t="shared" si="276"/>
        <v>850LOS</v>
      </c>
      <c r="F645" t="str">
        <f>"PKOEQP"</f>
        <v>PKOEQP</v>
      </c>
      <c r="G645" t="str">
        <f>""</f>
        <v/>
      </c>
      <c r="H645" s="1">
        <v>40676</v>
      </c>
      <c r="I645" t="str">
        <f>"22726D"</f>
        <v>22726D</v>
      </c>
      <c r="J645" t="str">
        <f>"F183018"</f>
        <v>F183018</v>
      </c>
      <c r="K645" t="str">
        <f>"INEI"</f>
        <v>INEI</v>
      </c>
      <c r="L645" t="s">
        <v>1470</v>
      </c>
      <c r="M645" s="2">
        <v>20108.41</v>
      </c>
    </row>
    <row r="646" spans="1:13" x14ac:dyDescent="0.25">
      <c r="A646" t="str">
        <f>"E414"</f>
        <v>E414</v>
      </c>
      <c r="B646">
        <v>1</v>
      </c>
      <c r="C646" t="str">
        <f>"43007"</f>
        <v>43007</v>
      </c>
      <c r="D646" t="str">
        <f t="shared" si="275"/>
        <v>5740</v>
      </c>
      <c r="E646" t="str">
        <f t="shared" si="276"/>
        <v>850LOS</v>
      </c>
      <c r="F646" t="str">
        <f>"PKOEQP"</f>
        <v>PKOEQP</v>
      </c>
      <c r="G646" t="str">
        <f>""</f>
        <v/>
      </c>
      <c r="H646" s="1">
        <v>40676</v>
      </c>
      <c r="I646" t="str">
        <f>"22726D"</f>
        <v>22726D</v>
      </c>
      <c r="J646" t="str">
        <f>"F183018"</f>
        <v>F183018</v>
      </c>
      <c r="K646" t="str">
        <f>"INEI"</f>
        <v>INEI</v>
      </c>
      <c r="L646" t="s">
        <v>1470</v>
      </c>
      <c r="M646">
        <v>429.37</v>
      </c>
    </row>
    <row r="647" spans="1:13" x14ac:dyDescent="0.25">
      <c r="A647" t="str">
        <f>"E494"</f>
        <v>E494</v>
      </c>
      <c r="B647">
        <v>1</v>
      </c>
      <c r="C647" t="str">
        <f>"43000"</f>
        <v>43000</v>
      </c>
      <c r="D647" t="str">
        <f t="shared" si="275"/>
        <v>5740</v>
      </c>
      <c r="E647" t="str">
        <f t="shared" si="276"/>
        <v>850LOS</v>
      </c>
      <c r="F647" t="str">
        <f>""</f>
        <v/>
      </c>
      <c r="G647" t="str">
        <f>""</f>
        <v/>
      </c>
      <c r="H647" s="1">
        <v>40592</v>
      </c>
      <c r="I647" t="str">
        <f>"13700C"</f>
        <v>13700C</v>
      </c>
      <c r="J647" t="str">
        <f>"N138267A"</f>
        <v>N138267A</v>
      </c>
      <c r="K647" t="str">
        <f>"INEI"</f>
        <v>INEI</v>
      </c>
      <c r="L647" t="s">
        <v>3</v>
      </c>
      <c r="M647" s="2">
        <v>12497</v>
      </c>
    </row>
    <row r="648" spans="1:13" x14ac:dyDescent="0.25">
      <c r="A648" t="str">
        <f>"E494"</f>
        <v>E494</v>
      </c>
      <c r="B648">
        <v>1</v>
      </c>
      <c r="C648" t="str">
        <f>"43000"</f>
        <v>43000</v>
      </c>
      <c r="D648" t="str">
        <f t="shared" si="275"/>
        <v>5740</v>
      </c>
      <c r="E648" t="str">
        <f t="shared" si="276"/>
        <v>850LOS</v>
      </c>
      <c r="F648" t="str">
        <f>""</f>
        <v/>
      </c>
      <c r="G648" t="str">
        <f>""</f>
        <v/>
      </c>
      <c r="H648" s="1">
        <v>40592</v>
      </c>
      <c r="I648" t="str">
        <f>"13700C"</f>
        <v>13700C</v>
      </c>
      <c r="J648" t="str">
        <f>"N138267A"</f>
        <v>N138267A</v>
      </c>
      <c r="K648" t="str">
        <f>"INEI"</f>
        <v>INEI</v>
      </c>
      <c r="L648" t="s">
        <v>3</v>
      </c>
      <c r="M648" s="2">
        <v>12497</v>
      </c>
    </row>
  </sheetData>
  <autoFilter ref="A1:M64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0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0.28515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>"5740"</f>
        <v>5740</v>
      </c>
      <c r="E2" t="str">
        <f>"850LOS"</f>
        <v>850LOS</v>
      </c>
      <c r="F2" t="str">
        <f>""</f>
        <v/>
      </c>
      <c r="G2" t="str">
        <f>""</f>
        <v/>
      </c>
      <c r="H2" s="1">
        <v>40969</v>
      </c>
      <c r="I2" t="str">
        <f>"J0000833"</f>
        <v>J0000833</v>
      </c>
      <c r="J2" t="str">
        <f>""</f>
        <v/>
      </c>
      <c r="K2" t="str">
        <f>"J089"</f>
        <v>J089</v>
      </c>
      <c r="L2" t="s">
        <v>1904</v>
      </c>
      <c r="M2" s="2">
        <v>4788.8</v>
      </c>
    </row>
    <row r="3" spans="1:13" x14ac:dyDescent="0.25">
      <c r="A3" t="str">
        <f>"E053"</f>
        <v>E053</v>
      </c>
      <c r="B3">
        <v>1</v>
      </c>
      <c r="C3" t="str">
        <f>"10200"</f>
        <v>10200</v>
      </c>
      <c r="D3" t="str">
        <f t="shared" ref="D3:D37" si="0">"5620"</f>
        <v>5620</v>
      </c>
      <c r="E3" t="str">
        <f t="shared" ref="E3:E37" si="1">"094OMS"</f>
        <v>094OMS</v>
      </c>
      <c r="F3" t="str">
        <f>""</f>
        <v/>
      </c>
      <c r="G3" t="str">
        <f>""</f>
        <v/>
      </c>
      <c r="H3" s="1">
        <v>40752</v>
      </c>
      <c r="I3" t="str">
        <f>"28706"</f>
        <v>28706</v>
      </c>
      <c r="J3" t="str">
        <f>"BP43801S"</f>
        <v>BP43801S</v>
      </c>
      <c r="K3" t="str">
        <f>"INNI"</f>
        <v>INNI</v>
      </c>
      <c r="L3" t="s">
        <v>1</v>
      </c>
      <c r="M3">
        <v>315</v>
      </c>
    </row>
    <row r="4" spans="1:13" x14ac:dyDescent="0.25">
      <c r="A4" t="str">
        <f>"E053"</f>
        <v>E053</v>
      </c>
      <c r="B4">
        <v>1</v>
      </c>
      <c r="C4" t="str">
        <f>"10200"</f>
        <v>10200</v>
      </c>
      <c r="D4" t="str">
        <f t="shared" si="0"/>
        <v>5620</v>
      </c>
      <c r="E4" t="str">
        <f t="shared" si="1"/>
        <v>094OMS</v>
      </c>
      <c r="F4" t="str">
        <f>""</f>
        <v/>
      </c>
      <c r="G4" t="str">
        <f>""</f>
        <v/>
      </c>
      <c r="H4" s="1">
        <v>40785</v>
      </c>
      <c r="I4" t="str">
        <f>"PCD00498"</f>
        <v>PCD00498</v>
      </c>
      <c r="J4" t="str">
        <f>"149740"</f>
        <v>149740</v>
      </c>
      <c r="K4" t="str">
        <f>"AS89"</f>
        <v>AS89</v>
      </c>
      <c r="L4" t="s">
        <v>1903</v>
      </c>
      <c r="M4">
        <v>315</v>
      </c>
    </row>
    <row r="5" spans="1:13" x14ac:dyDescent="0.25">
      <c r="A5" t="str">
        <f>"E053"</f>
        <v>E053</v>
      </c>
      <c r="B5">
        <v>1</v>
      </c>
      <c r="C5" t="str">
        <f>"10200"</f>
        <v>10200</v>
      </c>
      <c r="D5" t="str">
        <f t="shared" si="0"/>
        <v>5620</v>
      </c>
      <c r="E5" t="str">
        <f t="shared" si="1"/>
        <v>094OMS</v>
      </c>
      <c r="F5" t="str">
        <f>""</f>
        <v/>
      </c>
      <c r="G5" t="str">
        <f>""</f>
        <v/>
      </c>
      <c r="H5" s="1">
        <v>40816</v>
      </c>
      <c r="I5" t="str">
        <f>"PCD00502"</f>
        <v>PCD00502</v>
      </c>
      <c r="J5" t="str">
        <f>"152221"</f>
        <v>152221</v>
      </c>
      <c r="K5" t="str">
        <f>"AS89"</f>
        <v>AS89</v>
      </c>
      <c r="L5" t="s">
        <v>1902</v>
      </c>
      <c r="M5">
        <v>248</v>
      </c>
    </row>
    <row r="6" spans="1:13" x14ac:dyDescent="0.25">
      <c r="A6" t="str">
        <f>"E053"</f>
        <v>E053</v>
      </c>
      <c r="B6">
        <v>1</v>
      </c>
      <c r="C6" t="str">
        <f>"10200"</f>
        <v>10200</v>
      </c>
      <c r="D6" t="str">
        <f t="shared" si="0"/>
        <v>5620</v>
      </c>
      <c r="E6" t="str">
        <f t="shared" si="1"/>
        <v>094OMS</v>
      </c>
      <c r="F6" t="str">
        <f>""</f>
        <v/>
      </c>
      <c r="G6" t="str">
        <f>""</f>
        <v/>
      </c>
      <c r="H6" s="1">
        <v>41022</v>
      </c>
      <c r="I6" t="str">
        <f>"40524"</f>
        <v>40524</v>
      </c>
      <c r="J6" t="str">
        <f>"BP43801S"</f>
        <v>BP43801S</v>
      </c>
      <c r="K6" t="str">
        <f>"INNI"</f>
        <v>INNI</v>
      </c>
      <c r="L6" t="s">
        <v>1</v>
      </c>
      <c r="M6">
        <v>325</v>
      </c>
    </row>
    <row r="7" spans="1:13" x14ac:dyDescent="0.25">
      <c r="A7" t="str">
        <f>"E055"</f>
        <v>E055</v>
      </c>
      <c r="B7">
        <v>1</v>
      </c>
      <c r="C7" t="str">
        <f>"31040"</f>
        <v>31040</v>
      </c>
      <c r="D7" t="str">
        <f t="shared" si="0"/>
        <v>5620</v>
      </c>
      <c r="E7" t="str">
        <f t="shared" si="1"/>
        <v>094OMS</v>
      </c>
      <c r="F7" t="str">
        <f>""</f>
        <v/>
      </c>
      <c r="G7" t="str">
        <f>""</f>
        <v/>
      </c>
      <c r="H7" s="1">
        <v>40794</v>
      </c>
      <c r="I7" t="str">
        <f>"188724"</f>
        <v>188724</v>
      </c>
      <c r="J7" t="str">
        <f>""</f>
        <v/>
      </c>
      <c r="K7" t="str">
        <f>"INNI"</f>
        <v>INNI</v>
      </c>
      <c r="L7" t="s">
        <v>4</v>
      </c>
      <c r="M7">
        <v>175</v>
      </c>
    </row>
    <row r="8" spans="1:13" x14ac:dyDescent="0.25">
      <c r="A8" t="str">
        <f>"E056"</f>
        <v>E056</v>
      </c>
      <c r="B8">
        <v>1</v>
      </c>
      <c r="C8" t="str">
        <f t="shared" ref="C8:C37" si="2">"10200"</f>
        <v>10200</v>
      </c>
      <c r="D8" t="str">
        <f t="shared" si="0"/>
        <v>5620</v>
      </c>
      <c r="E8" t="str">
        <f t="shared" si="1"/>
        <v>094OMS</v>
      </c>
      <c r="F8" t="str">
        <f>""</f>
        <v/>
      </c>
      <c r="G8" t="str">
        <f>""</f>
        <v/>
      </c>
      <c r="H8" s="1">
        <v>41029</v>
      </c>
      <c r="I8" t="str">
        <f>"PCD00531"</f>
        <v>PCD00531</v>
      </c>
      <c r="J8" t="str">
        <f>"167270"</f>
        <v>167270</v>
      </c>
      <c r="K8" t="str">
        <f t="shared" ref="K8:K15" si="3">"AS89"</f>
        <v>AS89</v>
      </c>
      <c r="L8" t="s">
        <v>1901</v>
      </c>
      <c r="M8">
        <v>326.14999999999998</v>
      </c>
    </row>
    <row r="9" spans="1:13" x14ac:dyDescent="0.25">
      <c r="A9" t="str">
        <f>"E056"</f>
        <v>E056</v>
      </c>
      <c r="B9">
        <v>1</v>
      </c>
      <c r="C9" t="str">
        <f t="shared" si="2"/>
        <v>10200</v>
      </c>
      <c r="D9" t="str">
        <f t="shared" si="0"/>
        <v>5620</v>
      </c>
      <c r="E9" t="str">
        <f t="shared" si="1"/>
        <v>094OMS</v>
      </c>
      <c r="F9" t="str">
        <f>""</f>
        <v/>
      </c>
      <c r="G9" t="str">
        <f>""</f>
        <v/>
      </c>
      <c r="H9" s="1">
        <v>41060</v>
      </c>
      <c r="I9" t="str">
        <f>"PCD00536"</f>
        <v>PCD00536</v>
      </c>
      <c r="J9" t="str">
        <f>"169321"</f>
        <v>169321</v>
      </c>
      <c r="K9" t="str">
        <f t="shared" si="3"/>
        <v>AS89</v>
      </c>
      <c r="L9" t="s">
        <v>1900</v>
      </c>
      <c r="M9">
        <v>479.65</v>
      </c>
    </row>
    <row r="10" spans="1:13" x14ac:dyDescent="0.25">
      <c r="A10" t="str">
        <f>"E058"</f>
        <v>E058</v>
      </c>
      <c r="B10">
        <v>1</v>
      </c>
      <c r="C10" t="str">
        <f t="shared" si="2"/>
        <v>10200</v>
      </c>
      <c r="D10" t="str">
        <f t="shared" si="0"/>
        <v>5620</v>
      </c>
      <c r="E10" t="str">
        <f t="shared" si="1"/>
        <v>094OMS</v>
      </c>
      <c r="F10" t="str">
        <f>""</f>
        <v/>
      </c>
      <c r="G10" t="str">
        <f>""</f>
        <v/>
      </c>
      <c r="H10" s="1">
        <v>40911</v>
      </c>
      <c r="I10" t="str">
        <f>"PCD00513"</f>
        <v>PCD00513</v>
      </c>
      <c r="J10" t="str">
        <f>"157680"</f>
        <v>157680</v>
      </c>
      <c r="K10" t="str">
        <f t="shared" si="3"/>
        <v>AS89</v>
      </c>
      <c r="L10" t="s">
        <v>1899</v>
      </c>
      <c r="M10">
        <v>534.78</v>
      </c>
    </row>
    <row r="11" spans="1:13" x14ac:dyDescent="0.25">
      <c r="A11" t="str">
        <f t="shared" ref="A11:A42" si="4">"E111"</f>
        <v>E111</v>
      </c>
      <c r="B11">
        <v>1</v>
      </c>
      <c r="C11" t="str">
        <f t="shared" si="2"/>
        <v>10200</v>
      </c>
      <c r="D11" t="str">
        <f t="shared" si="0"/>
        <v>5620</v>
      </c>
      <c r="E11" t="str">
        <f t="shared" si="1"/>
        <v>094OMS</v>
      </c>
      <c r="F11" t="str">
        <f>""</f>
        <v/>
      </c>
      <c r="G11" t="str">
        <f>""</f>
        <v/>
      </c>
      <c r="H11" s="1">
        <v>40755</v>
      </c>
      <c r="I11" t="str">
        <f>"PCD00493"</f>
        <v>PCD00493</v>
      </c>
      <c r="J11" t="str">
        <f>"148333"</f>
        <v>148333</v>
      </c>
      <c r="K11" t="str">
        <f t="shared" si="3"/>
        <v>AS89</v>
      </c>
      <c r="L11" t="s">
        <v>1898</v>
      </c>
      <c r="M11">
        <v>272.24</v>
      </c>
    </row>
    <row r="12" spans="1:13" x14ac:dyDescent="0.25">
      <c r="A12" t="str">
        <f t="shared" si="4"/>
        <v>E111</v>
      </c>
      <c r="B12">
        <v>1</v>
      </c>
      <c r="C12" t="str">
        <f t="shared" si="2"/>
        <v>10200</v>
      </c>
      <c r="D12" t="str">
        <f t="shared" si="0"/>
        <v>5620</v>
      </c>
      <c r="E12" t="str">
        <f t="shared" si="1"/>
        <v>094OMS</v>
      </c>
      <c r="F12" t="str">
        <f>""</f>
        <v/>
      </c>
      <c r="G12" t="str">
        <f>""</f>
        <v/>
      </c>
      <c r="H12" s="1">
        <v>40755</v>
      </c>
      <c r="I12" t="str">
        <f>"PCD00493"</f>
        <v>PCD00493</v>
      </c>
      <c r="J12" t="str">
        <f>"148454"</f>
        <v>148454</v>
      </c>
      <c r="K12" t="str">
        <f t="shared" si="3"/>
        <v>AS89</v>
      </c>
      <c r="L12" t="s">
        <v>1897</v>
      </c>
      <c r="M12">
        <v>122.86</v>
      </c>
    </row>
    <row r="13" spans="1:13" x14ac:dyDescent="0.25">
      <c r="A13" t="str">
        <f t="shared" si="4"/>
        <v>E111</v>
      </c>
      <c r="B13">
        <v>1</v>
      </c>
      <c r="C13" t="str">
        <f t="shared" si="2"/>
        <v>10200</v>
      </c>
      <c r="D13" t="str">
        <f t="shared" si="0"/>
        <v>5620</v>
      </c>
      <c r="E13" t="str">
        <f t="shared" si="1"/>
        <v>094OMS</v>
      </c>
      <c r="F13" t="str">
        <f>""</f>
        <v/>
      </c>
      <c r="G13" t="str">
        <f>""</f>
        <v/>
      </c>
      <c r="H13" s="1">
        <v>40755</v>
      </c>
      <c r="I13" t="str">
        <f>"PCD00493"</f>
        <v>PCD00493</v>
      </c>
      <c r="J13" t="str">
        <f>"148474"</f>
        <v>148474</v>
      </c>
      <c r="K13" t="str">
        <f t="shared" si="3"/>
        <v>AS89</v>
      </c>
      <c r="L13" t="s">
        <v>1896</v>
      </c>
      <c r="M13">
        <v>118.68</v>
      </c>
    </row>
    <row r="14" spans="1:13" x14ac:dyDescent="0.25">
      <c r="A14" t="str">
        <f t="shared" si="4"/>
        <v>E111</v>
      </c>
      <c r="B14">
        <v>1</v>
      </c>
      <c r="C14" t="str">
        <f t="shared" si="2"/>
        <v>10200</v>
      </c>
      <c r="D14" t="str">
        <f t="shared" si="0"/>
        <v>5620</v>
      </c>
      <c r="E14" t="str">
        <f t="shared" si="1"/>
        <v>094OMS</v>
      </c>
      <c r="F14" t="str">
        <f>""</f>
        <v/>
      </c>
      <c r="G14" t="str">
        <f>""</f>
        <v/>
      </c>
      <c r="H14" s="1">
        <v>40785</v>
      </c>
      <c r="I14" t="str">
        <f>"PCD00498"</f>
        <v>PCD00498</v>
      </c>
      <c r="J14" t="str">
        <f>"149753"</f>
        <v>149753</v>
      </c>
      <c r="K14" t="str">
        <f t="shared" si="3"/>
        <v>AS89</v>
      </c>
      <c r="L14" t="s">
        <v>1895</v>
      </c>
      <c r="M14">
        <v>265.86</v>
      </c>
    </row>
    <row r="15" spans="1:13" x14ac:dyDescent="0.25">
      <c r="A15" t="str">
        <f t="shared" si="4"/>
        <v>E111</v>
      </c>
      <c r="B15">
        <v>1</v>
      </c>
      <c r="C15" t="str">
        <f t="shared" si="2"/>
        <v>10200</v>
      </c>
      <c r="D15" t="str">
        <f t="shared" si="0"/>
        <v>5620</v>
      </c>
      <c r="E15" t="str">
        <f t="shared" si="1"/>
        <v>094OMS</v>
      </c>
      <c r="F15" t="str">
        <f>""</f>
        <v/>
      </c>
      <c r="G15" t="str">
        <f>""</f>
        <v/>
      </c>
      <c r="H15" s="1">
        <v>40785</v>
      </c>
      <c r="I15" t="str">
        <f>"PCD00498"</f>
        <v>PCD00498</v>
      </c>
      <c r="J15" t="str">
        <f>"150913"</f>
        <v>150913</v>
      </c>
      <c r="K15" t="str">
        <f t="shared" si="3"/>
        <v>AS89</v>
      </c>
      <c r="L15" t="s">
        <v>1894</v>
      </c>
      <c r="M15">
        <v>127.44</v>
      </c>
    </row>
    <row r="16" spans="1:13" x14ac:dyDescent="0.25">
      <c r="A16" t="str">
        <f t="shared" si="4"/>
        <v>E111</v>
      </c>
      <c r="B16">
        <v>1</v>
      </c>
      <c r="C16" t="str">
        <f t="shared" si="2"/>
        <v>10200</v>
      </c>
      <c r="D16" t="str">
        <f t="shared" si="0"/>
        <v>5620</v>
      </c>
      <c r="E16" t="str">
        <f t="shared" si="1"/>
        <v>094OMS</v>
      </c>
      <c r="F16" t="str">
        <f>""</f>
        <v/>
      </c>
      <c r="G16" t="str">
        <f>""</f>
        <v/>
      </c>
      <c r="H16" s="1">
        <v>40829</v>
      </c>
      <c r="I16" t="str">
        <f>"C0017588"</f>
        <v>C0017588</v>
      </c>
      <c r="J16" t="str">
        <f>""</f>
        <v/>
      </c>
      <c r="K16" t="str">
        <f>"ISSU"</f>
        <v>ISSU</v>
      </c>
      <c r="L16" t="s">
        <v>1633</v>
      </c>
      <c r="M16">
        <v>163.01</v>
      </c>
    </row>
    <row r="17" spans="1:13" x14ac:dyDescent="0.25">
      <c r="A17" t="str">
        <f t="shared" si="4"/>
        <v>E111</v>
      </c>
      <c r="B17">
        <v>1</v>
      </c>
      <c r="C17" t="str">
        <f t="shared" si="2"/>
        <v>10200</v>
      </c>
      <c r="D17" t="str">
        <f t="shared" si="0"/>
        <v>5620</v>
      </c>
      <c r="E17" t="str">
        <f t="shared" si="1"/>
        <v>094OMS</v>
      </c>
      <c r="F17" t="str">
        <f>""</f>
        <v/>
      </c>
      <c r="G17" t="str">
        <f>""</f>
        <v/>
      </c>
      <c r="H17" s="1">
        <v>40847</v>
      </c>
      <c r="I17" t="str">
        <f>"PCD00508"</f>
        <v>PCD00508</v>
      </c>
      <c r="J17" t="str">
        <f>"154700"</f>
        <v>154700</v>
      </c>
      <c r="K17" t="str">
        <f>"AS89"</f>
        <v>AS89</v>
      </c>
      <c r="L17" t="s">
        <v>1893</v>
      </c>
      <c r="M17">
        <v>299.56</v>
      </c>
    </row>
    <row r="18" spans="1:13" x14ac:dyDescent="0.25">
      <c r="A18" t="str">
        <f t="shared" si="4"/>
        <v>E111</v>
      </c>
      <c r="B18">
        <v>1</v>
      </c>
      <c r="C18" t="str">
        <f t="shared" si="2"/>
        <v>10200</v>
      </c>
      <c r="D18" t="str">
        <f t="shared" si="0"/>
        <v>5620</v>
      </c>
      <c r="E18" t="str">
        <f t="shared" si="1"/>
        <v>094OMS</v>
      </c>
      <c r="F18" t="str">
        <f>""</f>
        <v/>
      </c>
      <c r="G18" t="str">
        <f>""</f>
        <v/>
      </c>
      <c r="H18" s="1">
        <v>40847</v>
      </c>
      <c r="I18" t="str">
        <f>"PCD00508"</f>
        <v>PCD00508</v>
      </c>
      <c r="J18" t="str">
        <f>"154756"</f>
        <v>154756</v>
      </c>
      <c r="K18" t="str">
        <f>"AS89"</f>
        <v>AS89</v>
      </c>
      <c r="L18" t="s">
        <v>1892</v>
      </c>
      <c r="M18">
        <v>119.31</v>
      </c>
    </row>
    <row r="19" spans="1:13" x14ac:dyDescent="0.25">
      <c r="A19" t="str">
        <f t="shared" si="4"/>
        <v>E111</v>
      </c>
      <c r="B19">
        <v>1</v>
      </c>
      <c r="C19" t="str">
        <f t="shared" si="2"/>
        <v>10200</v>
      </c>
      <c r="D19" t="str">
        <f t="shared" si="0"/>
        <v>5620</v>
      </c>
      <c r="E19" t="str">
        <f t="shared" si="1"/>
        <v>094OMS</v>
      </c>
      <c r="F19" t="str">
        <f>""</f>
        <v/>
      </c>
      <c r="G19" t="str">
        <f>""</f>
        <v/>
      </c>
      <c r="H19" s="1">
        <v>40877</v>
      </c>
      <c r="I19" t="str">
        <f>"PCD00510"</f>
        <v>PCD00510</v>
      </c>
      <c r="J19" t="str">
        <f>"156845"</f>
        <v>156845</v>
      </c>
      <c r="K19" t="str">
        <f>"AS89"</f>
        <v>AS89</v>
      </c>
      <c r="L19" t="s">
        <v>1891</v>
      </c>
      <c r="M19">
        <v>256.99</v>
      </c>
    </row>
    <row r="20" spans="1:13" x14ac:dyDescent="0.25">
      <c r="A20" t="str">
        <f t="shared" si="4"/>
        <v>E111</v>
      </c>
      <c r="B20">
        <v>1</v>
      </c>
      <c r="C20" t="str">
        <f t="shared" si="2"/>
        <v>10200</v>
      </c>
      <c r="D20" t="str">
        <f t="shared" si="0"/>
        <v>5620</v>
      </c>
      <c r="E20" t="str">
        <f t="shared" si="1"/>
        <v>094OMS</v>
      </c>
      <c r="F20" t="str">
        <f>""</f>
        <v/>
      </c>
      <c r="G20" t="str">
        <f>""</f>
        <v/>
      </c>
      <c r="H20" s="1">
        <v>40911</v>
      </c>
      <c r="I20" t="str">
        <f>"PCD00513"</f>
        <v>PCD00513</v>
      </c>
      <c r="J20" t="str">
        <f>"157683"</f>
        <v>157683</v>
      </c>
      <c r="K20" t="str">
        <f>"AS89"</f>
        <v>AS89</v>
      </c>
      <c r="L20" t="s">
        <v>1890</v>
      </c>
      <c r="M20">
        <v>116.61</v>
      </c>
    </row>
    <row r="21" spans="1:13" x14ac:dyDescent="0.25">
      <c r="A21" t="str">
        <f t="shared" si="4"/>
        <v>E111</v>
      </c>
      <c r="B21">
        <v>1</v>
      </c>
      <c r="C21" t="str">
        <f t="shared" si="2"/>
        <v>10200</v>
      </c>
      <c r="D21" t="str">
        <f t="shared" si="0"/>
        <v>5620</v>
      </c>
      <c r="E21" t="str">
        <f t="shared" si="1"/>
        <v>094OMS</v>
      </c>
      <c r="F21" t="str">
        <f>""</f>
        <v/>
      </c>
      <c r="G21" t="str">
        <f>""</f>
        <v/>
      </c>
      <c r="H21" s="1">
        <v>40911</v>
      </c>
      <c r="I21" t="str">
        <f>"PCD00513"</f>
        <v>PCD00513</v>
      </c>
      <c r="J21" t="str">
        <f>"158563"</f>
        <v>158563</v>
      </c>
      <c r="K21" t="str">
        <f>"AS89"</f>
        <v>AS89</v>
      </c>
      <c r="L21" t="s">
        <v>1889</v>
      </c>
      <c r="M21">
        <v>118.43</v>
      </c>
    </row>
    <row r="22" spans="1:13" x14ac:dyDescent="0.25">
      <c r="A22" t="str">
        <f t="shared" si="4"/>
        <v>E111</v>
      </c>
      <c r="B22">
        <v>1</v>
      </c>
      <c r="C22" t="str">
        <f t="shared" si="2"/>
        <v>10200</v>
      </c>
      <c r="D22" t="str">
        <f t="shared" si="0"/>
        <v>5620</v>
      </c>
      <c r="E22" t="str">
        <f t="shared" si="1"/>
        <v>094OMS</v>
      </c>
      <c r="F22" t="str">
        <f>""</f>
        <v/>
      </c>
      <c r="G22" t="str">
        <f>""</f>
        <v/>
      </c>
      <c r="H22" s="1">
        <v>40912</v>
      </c>
      <c r="I22" t="str">
        <f>"188744"</f>
        <v>188744</v>
      </c>
      <c r="J22" t="str">
        <f>""</f>
        <v/>
      </c>
      <c r="K22" t="str">
        <f>"INNI"</f>
        <v>INNI</v>
      </c>
      <c r="L22" t="s">
        <v>1324</v>
      </c>
      <c r="M22">
        <v>100</v>
      </c>
    </row>
    <row r="23" spans="1:13" x14ac:dyDescent="0.25">
      <c r="A23" t="str">
        <f t="shared" si="4"/>
        <v>E111</v>
      </c>
      <c r="B23">
        <v>1</v>
      </c>
      <c r="C23" t="str">
        <f t="shared" si="2"/>
        <v>10200</v>
      </c>
      <c r="D23" t="str">
        <f t="shared" si="0"/>
        <v>5620</v>
      </c>
      <c r="E23" t="str">
        <f t="shared" si="1"/>
        <v>094OMS</v>
      </c>
      <c r="F23" t="str">
        <f>""</f>
        <v/>
      </c>
      <c r="G23" t="str">
        <f>""</f>
        <v/>
      </c>
      <c r="H23" s="1">
        <v>40938</v>
      </c>
      <c r="I23" t="str">
        <f>"C0018043"</f>
        <v>C0018043</v>
      </c>
      <c r="J23" t="str">
        <f>""</f>
        <v/>
      </c>
      <c r="K23" t="str">
        <f>"ISSU"</f>
        <v>ISSU</v>
      </c>
      <c r="L23" t="s">
        <v>1633</v>
      </c>
      <c r="M23">
        <v>113.28</v>
      </c>
    </row>
    <row r="24" spans="1:13" x14ac:dyDescent="0.25">
      <c r="A24" t="str">
        <f t="shared" si="4"/>
        <v>E111</v>
      </c>
      <c r="B24">
        <v>1</v>
      </c>
      <c r="C24" t="str">
        <f t="shared" si="2"/>
        <v>10200</v>
      </c>
      <c r="D24" t="str">
        <f t="shared" si="0"/>
        <v>5620</v>
      </c>
      <c r="E24" t="str">
        <f t="shared" si="1"/>
        <v>094OMS</v>
      </c>
      <c r="F24" t="str">
        <f>""</f>
        <v/>
      </c>
      <c r="G24" t="str">
        <f>""</f>
        <v/>
      </c>
      <c r="H24" s="1">
        <v>40939</v>
      </c>
      <c r="I24" t="str">
        <f>"PCD00517"</f>
        <v>PCD00517</v>
      </c>
      <c r="J24" t="str">
        <f>"158992"</f>
        <v>158992</v>
      </c>
      <c r="K24" t="str">
        <f>"AS89"</f>
        <v>AS89</v>
      </c>
      <c r="L24" t="s">
        <v>1888</v>
      </c>
      <c r="M24">
        <v>122.63</v>
      </c>
    </row>
    <row r="25" spans="1:13" x14ac:dyDescent="0.25">
      <c r="A25" t="str">
        <f t="shared" si="4"/>
        <v>E111</v>
      </c>
      <c r="B25">
        <v>1</v>
      </c>
      <c r="C25" t="str">
        <f t="shared" si="2"/>
        <v>10200</v>
      </c>
      <c r="D25" t="str">
        <f t="shared" si="0"/>
        <v>5620</v>
      </c>
      <c r="E25" t="str">
        <f t="shared" si="1"/>
        <v>094OMS</v>
      </c>
      <c r="F25" t="str">
        <f>""</f>
        <v/>
      </c>
      <c r="G25" t="str">
        <f>""</f>
        <v/>
      </c>
      <c r="H25" s="1">
        <v>40939</v>
      </c>
      <c r="I25" t="str">
        <f>"PCD00517"</f>
        <v>PCD00517</v>
      </c>
      <c r="J25" t="str">
        <f>"159037"</f>
        <v>159037</v>
      </c>
      <c r="K25" t="str">
        <f>"AS89"</f>
        <v>AS89</v>
      </c>
      <c r="L25" t="s">
        <v>1887</v>
      </c>
      <c r="M25">
        <v>722.81</v>
      </c>
    </row>
    <row r="26" spans="1:13" x14ac:dyDescent="0.25">
      <c r="A26" t="str">
        <f t="shared" si="4"/>
        <v>E111</v>
      </c>
      <c r="B26">
        <v>1</v>
      </c>
      <c r="C26" t="str">
        <f t="shared" si="2"/>
        <v>10200</v>
      </c>
      <c r="D26" t="str">
        <f t="shared" si="0"/>
        <v>5620</v>
      </c>
      <c r="E26" t="str">
        <f t="shared" si="1"/>
        <v>094OMS</v>
      </c>
      <c r="F26" t="str">
        <f>""</f>
        <v/>
      </c>
      <c r="G26" t="str">
        <f>""</f>
        <v/>
      </c>
      <c r="H26" s="1">
        <v>40939</v>
      </c>
      <c r="I26" t="str">
        <f>"PCD00517"</f>
        <v>PCD00517</v>
      </c>
      <c r="J26" t="str">
        <f>"159458"</f>
        <v>159458</v>
      </c>
      <c r="K26" t="str">
        <f>"AS89"</f>
        <v>AS89</v>
      </c>
      <c r="L26" t="s">
        <v>1886</v>
      </c>
      <c r="M26">
        <v>132.56</v>
      </c>
    </row>
    <row r="27" spans="1:13" x14ac:dyDescent="0.25">
      <c r="A27" t="str">
        <f t="shared" si="4"/>
        <v>E111</v>
      </c>
      <c r="B27">
        <v>1</v>
      </c>
      <c r="C27" t="str">
        <f t="shared" si="2"/>
        <v>10200</v>
      </c>
      <c r="D27" t="str">
        <f t="shared" si="0"/>
        <v>5620</v>
      </c>
      <c r="E27" t="str">
        <f t="shared" si="1"/>
        <v>094OMS</v>
      </c>
      <c r="F27" t="str">
        <f>""</f>
        <v/>
      </c>
      <c r="G27" t="str">
        <f>""</f>
        <v/>
      </c>
      <c r="H27" s="1">
        <v>40939</v>
      </c>
      <c r="I27" t="str">
        <f>"PCD00517"</f>
        <v>PCD00517</v>
      </c>
      <c r="J27" t="str">
        <f>"160608"</f>
        <v>160608</v>
      </c>
      <c r="K27" t="str">
        <f>"AS89"</f>
        <v>AS89</v>
      </c>
      <c r="L27" t="s">
        <v>1885</v>
      </c>
      <c r="M27">
        <v>189.36</v>
      </c>
    </row>
    <row r="28" spans="1:13" x14ac:dyDescent="0.25">
      <c r="A28" t="str">
        <f t="shared" si="4"/>
        <v>E111</v>
      </c>
      <c r="B28">
        <v>1</v>
      </c>
      <c r="C28" t="str">
        <f t="shared" si="2"/>
        <v>10200</v>
      </c>
      <c r="D28" t="str">
        <f t="shared" si="0"/>
        <v>5620</v>
      </c>
      <c r="E28" t="str">
        <f t="shared" si="1"/>
        <v>094OMS</v>
      </c>
      <c r="F28" t="str">
        <f>""</f>
        <v/>
      </c>
      <c r="G28" t="str">
        <f>""</f>
        <v/>
      </c>
      <c r="H28" s="1">
        <v>40968</v>
      </c>
      <c r="I28" t="str">
        <f>"C0018203"</f>
        <v>C0018203</v>
      </c>
      <c r="J28" t="str">
        <f>""</f>
        <v/>
      </c>
      <c r="K28" t="str">
        <f>"ISSU"</f>
        <v>ISSU</v>
      </c>
      <c r="L28" t="s">
        <v>1633</v>
      </c>
      <c r="M28">
        <v>158.13</v>
      </c>
    </row>
    <row r="29" spans="1:13" x14ac:dyDescent="0.25">
      <c r="A29" t="str">
        <f t="shared" si="4"/>
        <v>E111</v>
      </c>
      <c r="B29">
        <v>1</v>
      </c>
      <c r="C29" t="str">
        <f t="shared" si="2"/>
        <v>10200</v>
      </c>
      <c r="D29" t="str">
        <f t="shared" si="0"/>
        <v>5620</v>
      </c>
      <c r="E29" t="str">
        <f t="shared" si="1"/>
        <v>094OMS</v>
      </c>
      <c r="F29" t="str">
        <f>""</f>
        <v/>
      </c>
      <c r="G29" t="str">
        <f>""</f>
        <v/>
      </c>
      <c r="H29" s="1">
        <v>40968</v>
      </c>
      <c r="I29" t="str">
        <f>"PCD00522"</f>
        <v>PCD00522</v>
      </c>
      <c r="J29" t="str">
        <f>"161215"</f>
        <v>161215</v>
      </c>
      <c r="K29" t="str">
        <f t="shared" ref="K29:K37" si="5">"AS89"</f>
        <v>AS89</v>
      </c>
      <c r="L29" t="s">
        <v>1884</v>
      </c>
      <c r="M29">
        <v>318.94</v>
      </c>
    </row>
    <row r="30" spans="1:13" x14ac:dyDescent="0.25">
      <c r="A30" t="str">
        <f t="shared" si="4"/>
        <v>E111</v>
      </c>
      <c r="B30">
        <v>1</v>
      </c>
      <c r="C30" t="str">
        <f t="shared" si="2"/>
        <v>10200</v>
      </c>
      <c r="D30" t="str">
        <f t="shared" si="0"/>
        <v>5620</v>
      </c>
      <c r="E30" t="str">
        <f t="shared" si="1"/>
        <v>094OMS</v>
      </c>
      <c r="F30" t="str">
        <f>""</f>
        <v/>
      </c>
      <c r="G30" t="str">
        <f>""</f>
        <v/>
      </c>
      <c r="H30" s="1">
        <v>40968</v>
      </c>
      <c r="I30" t="str">
        <f>"PCD00522"</f>
        <v>PCD00522</v>
      </c>
      <c r="J30" t="str">
        <f>"162698"</f>
        <v>162698</v>
      </c>
      <c r="K30" t="str">
        <f t="shared" si="5"/>
        <v>AS89</v>
      </c>
      <c r="L30" t="s">
        <v>1883</v>
      </c>
      <c r="M30">
        <v>137.87</v>
      </c>
    </row>
    <row r="31" spans="1:13" x14ac:dyDescent="0.25">
      <c r="A31" t="str">
        <f t="shared" si="4"/>
        <v>E111</v>
      </c>
      <c r="B31">
        <v>1</v>
      </c>
      <c r="C31" t="str">
        <f t="shared" si="2"/>
        <v>10200</v>
      </c>
      <c r="D31" t="str">
        <f t="shared" si="0"/>
        <v>5620</v>
      </c>
      <c r="E31" t="str">
        <f t="shared" si="1"/>
        <v>094OMS</v>
      </c>
      <c r="F31" t="str">
        <f>""</f>
        <v/>
      </c>
      <c r="G31" t="str">
        <f>""</f>
        <v/>
      </c>
      <c r="H31" s="1">
        <v>40998</v>
      </c>
      <c r="I31" t="str">
        <f>"PCD00526"</f>
        <v>PCD00526</v>
      </c>
      <c r="J31" t="str">
        <f>"163403"</f>
        <v>163403</v>
      </c>
      <c r="K31" t="str">
        <f t="shared" si="5"/>
        <v>AS89</v>
      </c>
      <c r="L31" t="s">
        <v>1882</v>
      </c>
      <c r="M31">
        <v>108.18</v>
      </c>
    </row>
    <row r="32" spans="1:13" x14ac:dyDescent="0.25">
      <c r="A32" t="str">
        <f t="shared" si="4"/>
        <v>E111</v>
      </c>
      <c r="B32">
        <v>1</v>
      </c>
      <c r="C32" t="str">
        <f t="shared" si="2"/>
        <v>10200</v>
      </c>
      <c r="D32" t="str">
        <f t="shared" si="0"/>
        <v>5620</v>
      </c>
      <c r="E32" t="str">
        <f t="shared" si="1"/>
        <v>094OMS</v>
      </c>
      <c r="F32" t="str">
        <f>""</f>
        <v/>
      </c>
      <c r="G32" t="str">
        <f>""</f>
        <v/>
      </c>
      <c r="H32" s="1">
        <v>41029</v>
      </c>
      <c r="I32" t="str">
        <f>"PCD00531"</f>
        <v>PCD00531</v>
      </c>
      <c r="J32" t="str">
        <f>"165457"</f>
        <v>165457</v>
      </c>
      <c r="K32" t="str">
        <f t="shared" si="5"/>
        <v>AS89</v>
      </c>
      <c r="L32" t="s">
        <v>1881</v>
      </c>
      <c r="M32">
        <v>330</v>
      </c>
    </row>
    <row r="33" spans="1:13" x14ac:dyDescent="0.25">
      <c r="A33" t="str">
        <f t="shared" si="4"/>
        <v>E111</v>
      </c>
      <c r="B33">
        <v>1</v>
      </c>
      <c r="C33" t="str">
        <f t="shared" si="2"/>
        <v>10200</v>
      </c>
      <c r="D33" t="str">
        <f t="shared" si="0"/>
        <v>5620</v>
      </c>
      <c r="E33" t="str">
        <f t="shared" si="1"/>
        <v>094OMS</v>
      </c>
      <c r="F33" t="str">
        <f>""</f>
        <v/>
      </c>
      <c r="G33" t="str">
        <f>""</f>
        <v/>
      </c>
      <c r="H33" s="1">
        <v>41029</v>
      </c>
      <c r="I33" t="str">
        <f>"PCD00531"</f>
        <v>PCD00531</v>
      </c>
      <c r="J33" t="str">
        <f>"166465"</f>
        <v>166465</v>
      </c>
      <c r="K33" t="str">
        <f t="shared" si="5"/>
        <v>AS89</v>
      </c>
      <c r="L33" t="s">
        <v>1880</v>
      </c>
      <c r="M33">
        <v>192.4</v>
      </c>
    </row>
    <row r="34" spans="1:13" x14ac:dyDescent="0.25">
      <c r="A34" t="str">
        <f t="shared" si="4"/>
        <v>E111</v>
      </c>
      <c r="B34">
        <v>1</v>
      </c>
      <c r="C34" t="str">
        <f t="shared" si="2"/>
        <v>10200</v>
      </c>
      <c r="D34" t="str">
        <f t="shared" si="0"/>
        <v>5620</v>
      </c>
      <c r="E34" t="str">
        <f t="shared" si="1"/>
        <v>094OMS</v>
      </c>
      <c r="F34" t="str">
        <f>""</f>
        <v/>
      </c>
      <c r="G34" t="str">
        <f>""</f>
        <v/>
      </c>
      <c r="H34" s="1">
        <v>41029</v>
      </c>
      <c r="I34" t="str">
        <f>"PCD00531"</f>
        <v>PCD00531</v>
      </c>
      <c r="J34" t="str">
        <f>"166741"</f>
        <v>166741</v>
      </c>
      <c r="K34" t="str">
        <f t="shared" si="5"/>
        <v>AS89</v>
      </c>
      <c r="L34" t="s">
        <v>1879</v>
      </c>
      <c r="M34">
        <v>254.23</v>
      </c>
    </row>
    <row r="35" spans="1:13" x14ac:dyDescent="0.25">
      <c r="A35" t="str">
        <f t="shared" si="4"/>
        <v>E111</v>
      </c>
      <c r="B35">
        <v>1</v>
      </c>
      <c r="C35" t="str">
        <f t="shared" si="2"/>
        <v>10200</v>
      </c>
      <c r="D35" t="str">
        <f t="shared" si="0"/>
        <v>5620</v>
      </c>
      <c r="E35" t="str">
        <f t="shared" si="1"/>
        <v>094OMS</v>
      </c>
      <c r="F35" t="str">
        <f>""</f>
        <v/>
      </c>
      <c r="G35" t="str">
        <f>""</f>
        <v/>
      </c>
      <c r="H35" s="1">
        <v>41029</v>
      </c>
      <c r="I35" t="str">
        <f>"PCD00531"</f>
        <v>PCD00531</v>
      </c>
      <c r="J35" t="str">
        <f>"167421"</f>
        <v>167421</v>
      </c>
      <c r="K35" t="str">
        <f t="shared" si="5"/>
        <v>AS89</v>
      </c>
      <c r="L35" t="s">
        <v>1878</v>
      </c>
      <c r="M35">
        <v>294.83999999999997</v>
      </c>
    </row>
    <row r="36" spans="1:13" x14ac:dyDescent="0.25">
      <c r="A36" t="str">
        <f t="shared" si="4"/>
        <v>E111</v>
      </c>
      <c r="B36">
        <v>1</v>
      </c>
      <c r="C36" t="str">
        <f t="shared" si="2"/>
        <v>10200</v>
      </c>
      <c r="D36" t="str">
        <f t="shared" si="0"/>
        <v>5620</v>
      </c>
      <c r="E36" t="str">
        <f t="shared" si="1"/>
        <v>094OMS</v>
      </c>
      <c r="F36" t="str">
        <f>""</f>
        <v/>
      </c>
      <c r="G36" t="str">
        <f>""</f>
        <v/>
      </c>
      <c r="H36" s="1">
        <v>41060</v>
      </c>
      <c r="I36" t="str">
        <f>"PCD00536"</f>
        <v>PCD00536</v>
      </c>
      <c r="J36" t="str">
        <f>"169491"</f>
        <v>169491</v>
      </c>
      <c r="K36" t="str">
        <f t="shared" si="5"/>
        <v>AS89</v>
      </c>
      <c r="L36" t="s">
        <v>1877</v>
      </c>
      <c r="M36">
        <v>156.75</v>
      </c>
    </row>
    <row r="37" spans="1:13" x14ac:dyDescent="0.25">
      <c r="A37" t="str">
        <f t="shared" si="4"/>
        <v>E111</v>
      </c>
      <c r="B37">
        <v>1</v>
      </c>
      <c r="C37" t="str">
        <f t="shared" si="2"/>
        <v>10200</v>
      </c>
      <c r="D37" t="str">
        <f t="shared" si="0"/>
        <v>5620</v>
      </c>
      <c r="E37" t="str">
        <f t="shared" si="1"/>
        <v>094OMS</v>
      </c>
      <c r="F37" t="str">
        <f>""</f>
        <v/>
      </c>
      <c r="G37" t="str">
        <f>""</f>
        <v/>
      </c>
      <c r="H37" s="1">
        <v>41090</v>
      </c>
      <c r="I37" t="str">
        <f>"PCD00540"</f>
        <v>PCD00540</v>
      </c>
      <c r="J37" t="str">
        <f>"170285"</f>
        <v>170285</v>
      </c>
      <c r="K37" t="str">
        <f t="shared" si="5"/>
        <v>AS89</v>
      </c>
      <c r="L37" t="s">
        <v>1876</v>
      </c>
      <c r="M37">
        <v>137.94</v>
      </c>
    </row>
    <row r="38" spans="1:13" x14ac:dyDescent="0.25">
      <c r="A38" t="str">
        <f t="shared" si="4"/>
        <v>E111</v>
      </c>
      <c r="B38">
        <v>1</v>
      </c>
      <c r="C38" t="str">
        <f t="shared" ref="C38:C69" si="6">"32040"</f>
        <v>32040</v>
      </c>
      <c r="D38" t="str">
        <f t="shared" ref="D38:D69" si="7">"5610"</f>
        <v>5610</v>
      </c>
      <c r="E38" t="str">
        <f t="shared" ref="E38:E69" si="8">"850LOS"</f>
        <v>850LOS</v>
      </c>
      <c r="F38" t="str">
        <f>""</f>
        <v/>
      </c>
      <c r="G38" t="str">
        <f>""</f>
        <v/>
      </c>
      <c r="H38" s="1">
        <v>40725</v>
      </c>
      <c r="I38" t="str">
        <f>"ACG02097"</f>
        <v>ACG02097</v>
      </c>
      <c r="J38" t="str">
        <f>"77086401"</f>
        <v>77086401</v>
      </c>
      <c r="K38" t="str">
        <f>"AS79"</f>
        <v>AS79</v>
      </c>
      <c r="L38" t="s">
        <v>1658</v>
      </c>
      <c r="M38" s="2">
        <v>2400.08</v>
      </c>
    </row>
    <row r="39" spans="1:13" x14ac:dyDescent="0.25">
      <c r="A39" t="str">
        <f t="shared" si="4"/>
        <v>E111</v>
      </c>
      <c r="B39">
        <v>1</v>
      </c>
      <c r="C39" t="str">
        <f t="shared" si="6"/>
        <v>32040</v>
      </c>
      <c r="D39" t="str">
        <f t="shared" si="7"/>
        <v>5610</v>
      </c>
      <c r="E39" t="str">
        <f t="shared" si="8"/>
        <v>850LOS</v>
      </c>
      <c r="F39" t="str">
        <f>""</f>
        <v/>
      </c>
      <c r="G39" t="str">
        <f>""</f>
        <v/>
      </c>
      <c r="H39" s="1">
        <v>40746</v>
      </c>
      <c r="I39" t="str">
        <f>"77203501"</f>
        <v>77203501</v>
      </c>
      <c r="J39" t="str">
        <f t="shared" ref="J39:J78" si="9">"NP52205Q"</f>
        <v>NP52205Q</v>
      </c>
      <c r="K39" t="str">
        <f t="shared" ref="K39:K70" si="10">"INEI"</f>
        <v>INEI</v>
      </c>
      <c r="L39" t="s">
        <v>36</v>
      </c>
      <c r="M39">
        <v>234.35</v>
      </c>
    </row>
    <row r="40" spans="1:13" x14ac:dyDescent="0.25">
      <c r="A40" t="str">
        <f t="shared" si="4"/>
        <v>E111</v>
      </c>
      <c r="B40">
        <v>1</v>
      </c>
      <c r="C40" t="str">
        <f t="shared" si="6"/>
        <v>32040</v>
      </c>
      <c r="D40" t="str">
        <f t="shared" si="7"/>
        <v>5610</v>
      </c>
      <c r="E40" t="str">
        <f t="shared" si="8"/>
        <v>850LOS</v>
      </c>
      <c r="F40" t="str">
        <f>""</f>
        <v/>
      </c>
      <c r="G40" t="str">
        <f>""</f>
        <v/>
      </c>
      <c r="H40" s="1">
        <v>40746</v>
      </c>
      <c r="I40" t="str">
        <f>"77203502"</f>
        <v>77203502</v>
      </c>
      <c r="J40" t="str">
        <f t="shared" si="9"/>
        <v>NP52205Q</v>
      </c>
      <c r="K40" t="str">
        <f t="shared" si="10"/>
        <v>INEI</v>
      </c>
      <c r="L40" t="s">
        <v>36</v>
      </c>
      <c r="M40">
        <v>880.99</v>
      </c>
    </row>
    <row r="41" spans="1:13" x14ac:dyDescent="0.25">
      <c r="A41" t="str">
        <f t="shared" si="4"/>
        <v>E111</v>
      </c>
      <c r="B41">
        <v>1</v>
      </c>
      <c r="C41" t="str">
        <f t="shared" si="6"/>
        <v>32040</v>
      </c>
      <c r="D41" t="str">
        <f t="shared" si="7"/>
        <v>5610</v>
      </c>
      <c r="E41" t="str">
        <f t="shared" si="8"/>
        <v>850LOS</v>
      </c>
      <c r="F41" t="str">
        <f>""</f>
        <v/>
      </c>
      <c r="G41" t="str">
        <f>""</f>
        <v/>
      </c>
      <c r="H41" s="1">
        <v>40752</v>
      </c>
      <c r="I41" t="str">
        <f>"77299301"</f>
        <v>77299301</v>
      </c>
      <c r="J41" t="str">
        <f t="shared" si="9"/>
        <v>NP52205Q</v>
      </c>
      <c r="K41" t="str">
        <f t="shared" si="10"/>
        <v>INEI</v>
      </c>
      <c r="L41" t="s">
        <v>36</v>
      </c>
      <c r="M41">
        <v>527.29999999999995</v>
      </c>
    </row>
    <row r="42" spans="1:13" x14ac:dyDescent="0.25">
      <c r="A42" t="str">
        <f t="shared" si="4"/>
        <v>E111</v>
      </c>
      <c r="B42">
        <v>1</v>
      </c>
      <c r="C42" t="str">
        <f t="shared" si="6"/>
        <v>32040</v>
      </c>
      <c r="D42" t="str">
        <f t="shared" si="7"/>
        <v>5610</v>
      </c>
      <c r="E42" t="str">
        <f t="shared" si="8"/>
        <v>850LOS</v>
      </c>
      <c r="F42" t="str">
        <f>""</f>
        <v/>
      </c>
      <c r="G42" t="str">
        <f>""</f>
        <v/>
      </c>
      <c r="H42" s="1">
        <v>40752</v>
      </c>
      <c r="I42" t="str">
        <f>"77299302"</f>
        <v>77299302</v>
      </c>
      <c r="J42" t="str">
        <f t="shared" si="9"/>
        <v>NP52205Q</v>
      </c>
      <c r="K42" t="str">
        <f t="shared" si="10"/>
        <v>INEI</v>
      </c>
      <c r="L42" t="s">
        <v>36</v>
      </c>
      <c r="M42">
        <v>704.38</v>
      </c>
    </row>
    <row r="43" spans="1:13" x14ac:dyDescent="0.25">
      <c r="A43" t="str">
        <f t="shared" ref="A43:A74" si="11">"E111"</f>
        <v>E111</v>
      </c>
      <c r="B43">
        <v>1</v>
      </c>
      <c r="C43" t="str">
        <f t="shared" si="6"/>
        <v>32040</v>
      </c>
      <c r="D43" t="str">
        <f t="shared" si="7"/>
        <v>5610</v>
      </c>
      <c r="E43" t="str">
        <f t="shared" si="8"/>
        <v>850LOS</v>
      </c>
      <c r="F43" t="str">
        <f>""</f>
        <v/>
      </c>
      <c r="G43" t="str">
        <f>""</f>
        <v/>
      </c>
      <c r="H43" s="1">
        <v>40771</v>
      </c>
      <c r="I43" t="str">
        <f>"77418802"</f>
        <v>77418802</v>
      </c>
      <c r="J43" t="str">
        <f t="shared" si="9"/>
        <v>NP52205Q</v>
      </c>
      <c r="K43" t="str">
        <f t="shared" si="10"/>
        <v>INEI</v>
      </c>
      <c r="L43" t="s">
        <v>36</v>
      </c>
      <c r="M43" s="2">
        <v>1542.92</v>
      </c>
    </row>
    <row r="44" spans="1:13" x14ac:dyDescent="0.25">
      <c r="A44" t="str">
        <f t="shared" si="11"/>
        <v>E111</v>
      </c>
      <c r="B44">
        <v>1</v>
      </c>
      <c r="C44" t="str">
        <f t="shared" si="6"/>
        <v>32040</v>
      </c>
      <c r="D44" t="str">
        <f t="shared" si="7"/>
        <v>5610</v>
      </c>
      <c r="E44" t="str">
        <f t="shared" si="8"/>
        <v>850LOS</v>
      </c>
      <c r="F44" t="str">
        <f>""</f>
        <v/>
      </c>
      <c r="G44" t="str">
        <f>""</f>
        <v/>
      </c>
      <c r="H44" s="1">
        <v>40771</v>
      </c>
      <c r="I44" t="str">
        <f>"77203503"</f>
        <v>77203503</v>
      </c>
      <c r="J44" t="str">
        <f t="shared" si="9"/>
        <v>NP52205Q</v>
      </c>
      <c r="K44" t="str">
        <f t="shared" si="10"/>
        <v>INEI</v>
      </c>
      <c r="L44" t="s">
        <v>36</v>
      </c>
      <c r="M44">
        <v>885.78</v>
      </c>
    </row>
    <row r="45" spans="1:13" x14ac:dyDescent="0.25">
      <c r="A45" t="str">
        <f t="shared" si="11"/>
        <v>E111</v>
      </c>
      <c r="B45">
        <v>1</v>
      </c>
      <c r="C45" t="str">
        <f t="shared" si="6"/>
        <v>32040</v>
      </c>
      <c r="D45" t="str">
        <f t="shared" si="7"/>
        <v>5610</v>
      </c>
      <c r="E45" t="str">
        <f t="shared" si="8"/>
        <v>850LOS</v>
      </c>
      <c r="F45" t="str">
        <f>""</f>
        <v/>
      </c>
      <c r="G45" t="str">
        <f>""</f>
        <v/>
      </c>
      <c r="H45" s="1">
        <v>40771</v>
      </c>
      <c r="I45" t="str">
        <f>"77112701"</f>
        <v>77112701</v>
      </c>
      <c r="J45" t="str">
        <f t="shared" si="9"/>
        <v>NP52205Q</v>
      </c>
      <c r="K45" t="str">
        <f t="shared" si="10"/>
        <v>INEI</v>
      </c>
      <c r="L45" t="s">
        <v>36</v>
      </c>
      <c r="M45" s="2">
        <v>16172.66</v>
      </c>
    </row>
    <row r="46" spans="1:13" x14ac:dyDescent="0.25">
      <c r="A46" t="str">
        <f t="shared" si="11"/>
        <v>E111</v>
      </c>
      <c r="B46">
        <v>1</v>
      </c>
      <c r="C46" t="str">
        <f t="shared" si="6"/>
        <v>32040</v>
      </c>
      <c r="D46" t="str">
        <f t="shared" si="7"/>
        <v>5610</v>
      </c>
      <c r="E46" t="str">
        <f t="shared" si="8"/>
        <v>850LOS</v>
      </c>
      <c r="F46" t="str">
        <f>""</f>
        <v/>
      </c>
      <c r="G46" t="str">
        <f>""</f>
        <v/>
      </c>
      <c r="H46" s="1">
        <v>40771</v>
      </c>
      <c r="I46" t="str">
        <f>"77112702"</f>
        <v>77112702</v>
      </c>
      <c r="J46" t="str">
        <f t="shared" si="9"/>
        <v>NP52205Q</v>
      </c>
      <c r="K46" t="str">
        <f t="shared" si="10"/>
        <v>INEI</v>
      </c>
      <c r="L46" t="s">
        <v>36</v>
      </c>
      <c r="M46" s="2">
        <v>6668.69</v>
      </c>
    </row>
    <row r="47" spans="1:13" x14ac:dyDescent="0.25">
      <c r="A47" t="str">
        <f t="shared" si="11"/>
        <v>E111</v>
      </c>
      <c r="B47">
        <v>1</v>
      </c>
      <c r="C47" t="str">
        <f t="shared" si="6"/>
        <v>32040</v>
      </c>
      <c r="D47" t="str">
        <f t="shared" si="7"/>
        <v>5610</v>
      </c>
      <c r="E47" t="str">
        <f t="shared" si="8"/>
        <v>850LOS</v>
      </c>
      <c r="F47" t="str">
        <f>""</f>
        <v/>
      </c>
      <c r="G47" t="str">
        <f>""</f>
        <v/>
      </c>
      <c r="H47" s="1">
        <v>40777</v>
      </c>
      <c r="I47" t="str">
        <f>"77315201"</f>
        <v>77315201</v>
      </c>
      <c r="J47" t="str">
        <f t="shared" si="9"/>
        <v>NP52205Q</v>
      </c>
      <c r="K47" t="str">
        <f t="shared" si="10"/>
        <v>INEI</v>
      </c>
      <c r="L47" t="s">
        <v>36</v>
      </c>
      <c r="M47" s="2">
        <v>1809.86</v>
      </c>
    </row>
    <row r="48" spans="1:13" x14ac:dyDescent="0.25">
      <c r="A48" t="str">
        <f t="shared" si="11"/>
        <v>E111</v>
      </c>
      <c r="B48">
        <v>1</v>
      </c>
      <c r="C48" t="str">
        <f t="shared" si="6"/>
        <v>32040</v>
      </c>
      <c r="D48" t="str">
        <f t="shared" si="7"/>
        <v>5610</v>
      </c>
      <c r="E48" t="str">
        <f t="shared" si="8"/>
        <v>850LOS</v>
      </c>
      <c r="F48" t="str">
        <f>""</f>
        <v/>
      </c>
      <c r="G48" t="str">
        <f>""</f>
        <v/>
      </c>
      <c r="H48" s="1">
        <v>40787</v>
      </c>
      <c r="I48" t="str">
        <f>"77418803"</f>
        <v>77418803</v>
      </c>
      <c r="J48" t="str">
        <f t="shared" si="9"/>
        <v>NP52205Q</v>
      </c>
      <c r="K48" t="str">
        <f t="shared" si="10"/>
        <v>INEI</v>
      </c>
      <c r="L48" t="s">
        <v>36</v>
      </c>
      <c r="M48">
        <v>426.41</v>
      </c>
    </row>
    <row r="49" spans="1:13" x14ac:dyDescent="0.25">
      <c r="A49" t="str">
        <f t="shared" si="11"/>
        <v>E111</v>
      </c>
      <c r="B49">
        <v>1</v>
      </c>
      <c r="C49" t="str">
        <f t="shared" si="6"/>
        <v>32040</v>
      </c>
      <c r="D49" t="str">
        <f t="shared" si="7"/>
        <v>5610</v>
      </c>
      <c r="E49" t="str">
        <f t="shared" si="8"/>
        <v>850LOS</v>
      </c>
      <c r="F49" t="str">
        <f>""</f>
        <v/>
      </c>
      <c r="G49" t="str">
        <f>""</f>
        <v/>
      </c>
      <c r="H49" s="1">
        <v>40806</v>
      </c>
      <c r="I49" t="str">
        <f>"77802001"</f>
        <v>77802001</v>
      </c>
      <c r="J49" t="str">
        <f t="shared" si="9"/>
        <v>NP52205Q</v>
      </c>
      <c r="K49" t="str">
        <f t="shared" si="10"/>
        <v>INEI</v>
      </c>
      <c r="L49" t="s">
        <v>36</v>
      </c>
      <c r="M49">
        <v>117.03</v>
      </c>
    </row>
    <row r="50" spans="1:13" x14ac:dyDescent="0.25">
      <c r="A50" t="str">
        <f t="shared" si="11"/>
        <v>E111</v>
      </c>
      <c r="B50">
        <v>1</v>
      </c>
      <c r="C50" t="str">
        <f t="shared" si="6"/>
        <v>32040</v>
      </c>
      <c r="D50" t="str">
        <f t="shared" si="7"/>
        <v>5610</v>
      </c>
      <c r="E50" t="str">
        <f t="shared" si="8"/>
        <v>850LOS</v>
      </c>
      <c r="F50" t="str">
        <f>""</f>
        <v/>
      </c>
      <c r="G50" t="str">
        <f>""</f>
        <v/>
      </c>
      <c r="H50" s="1">
        <v>40806</v>
      </c>
      <c r="I50" t="str">
        <f>"77740901"</f>
        <v>77740901</v>
      </c>
      <c r="J50" t="str">
        <f t="shared" si="9"/>
        <v>NP52205Q</v>
      </c>
      <c r="K50" t="str">
        <f t="shared" si="10"/>
        <v>INEI</v>
      </c>
      <c r="L50" t="s">
        <v>36</v>
      </c>
      <c r="M50" s="2">
        <v>1610.93</v>
      </c>
    </row>
    <row r="51" spans="1:13" x14ac:dyDescent="0.25">
      <c r="A51" t="str">
        <f t="shared" si="11"/>
        <v>E111</v>
      </c>
      <c r="B51">
        <v>1</v>
      </c>
      <c r="C51" t="str">
        <f t="shared" si="6"/>
        <v>32040</v>
      </c>
      <c r="D51" t="str">
        <f t="shared" si="7"/>
        <v>5610</v>
      </c>
      <c r="E51" t="str">
        <f t="shared" si="8"/>
        <v>850LOS</v>
      </c>
      <c r="F51" t="str">
        <f>""</f>
        <v/>
      </c>
      <c r="G51" t="str">
        <f>""</f>
        <v/>
      </c>
      <c r="H51" s="1">
        <v>40816</v>
      </c>
      <c r="I51" t="str">
        <f>"77740801"</f>
        <v>77740801</v>
      </c>
      <c r="J51" t="str">
        <f t="shared" si="9"/>
        <v>NP52205Q</v>
      </c>
      <c r="K51" t="str">
        <f t="shared" si="10"/>
        <v>INEI</v>
      </c>
      <c r="L51" t="s">
        <v>36</v>
      </c>
      <c r="M51">
        <v>741.88</v>
      </c>
    </row>
    <row r="52" spans="1:13" x14ac:dyDescent="0.25">
      <c r="A52" t="str">
        <f t="shared" si="11"/>
        <v>E111</v>
      </c>
      <c r="B52">
        <v>1</v>
      </c>
      <c r="C52" t="str">
        <f t="shared" si="6"/>
        <v>32040</v>
      </c>
      <c r="D52" t="str">
        <f t="shared" si="7"/>
        <v>5610</v>
      </c>
      <c r="E52" t="str">
        <f t="shared" si="8"/>
        <v>850LOS</v>
      </c>
      <c r="F52" t="str">
        <f>""</f>
        <v/>
      </c>
      <c r="G52" t="str">
        <f>""</f>
        <v/>
      </c>
      <c r="H52" s="1">
        <v>40816</v>
      </c>
      <c r="I52" t="str">
        <f>"78041301"</f>
        <v>78041301</v>
      </c>
      <c r="J52" t="str">
        <f t="shared" si="9"/>
        <v>NP52205Q</v>
      </c>
      <c r="K52" t="str">
        <f t="shared" si="10"/>
        <v>INEI</v>
      </c>
      <c r="L52" t="s">
        <v>36</v>
      </c>
      <c r="M52">
        <v>168.79</v>
      </c>
    </row>
    <row r="53" spans="1:13" x14ac:dyDescent="0.25">
      <c r="A53" t="str">
        <f t="shared" si="11"/>
        <v>E111</v>
      </c>
      <c r="B53">
        <v>1</v>
      </c>
      <c r="C53" t="str">
        <f t="shared" si="6"/>
        <v>32040</v>
      </c>
      <c r="D53" t="str">
        <f t="shared" si="7"/>
        <v>5610</v>
      </c>
      <c r="E53" t="str">
        <f t="shared" si="8"/>
        <v>850LOS</v>
      </c>
      <c r="F53" t="str">
        <f>""</f>
        <v/>
      </c>
      <c r="G53" t="str">
        <f>""</f>
        <v/>
      </c>
      <c r="H53" s="1">
        <v>40816</v>
      </c>
      <c r="I53" t="str">
        <f>"78036001"</f>
        <v>78036001</v>
      </c>
      <c r="J53" t="str">
        <f t="shared" si="9"/>
        <v>NP52205Q</v>
      </c>
      <c r="K53" t="str">
        <f t="shared" si="10"/>
        <v>INEI</v>
      </c>
      <c r="L53" t="s">
        <v>36</v>
      </c>
      <c r="M53">
        <v>448.37</v>
      </c>
    </row>
    <row r="54" spans="1:13" x14ac:dyDescent="0.25">
      <c r="A54" t="str">
        <f t="shared" si="11"/>
        <v>E111</v>
      </c>
      <c r="B54">
        <v>1</v>
      </c>
      <c r="C54" t="str">
        <f t="shared" si="6"/>
        <v>32040</v>
      </c>
      <c r="D54" t="str">
        <f t="shared" si="7"/>
        <v>5610</v>
      </c>
      <c r="E54" t="str">
        <f t="shared" si="8"/>
        <v>850LOS</v>
      </c>
      <c r="F54" t="str">
        <f>""</f>
        <v/>
      </c>
      <c r="G54" t="str">
        <f>""</f>
        <v/>
      </c>
      <c r="H54" s="1">
        <v>40816</v>
      </c>
      <c r="I54" t="str">
        <f>"77962401"</f>
        <v>77962401</v>
      </c>
      <c r="J54" t="str">
        <f t="shared" si="9"/>
        <v>NP52205Q</v>
      </c>
      <c r="K54" t="str">
        <f t="shared" si="10"/>
        <v>INEI</v>
      </c>
      <c r="L54" t="s">
        <v>36</v>
      </c>
      <c r="M54">
        <v>262.45</v>
      </c>
    </row>
    <row r="55" spans="1:13" x14ac:dyDescent="0.25">
      <c r="A55" t="str">
        <f t="shared" si="11"/>
        <v>E111</v>
      </c>
      <c r="B55">
        <v>1</v>
      </c>
      <c r="C55" t="str">
        <f t="shared" si="6"/>
        <v>32040</v>
      </c>
      <c r="D55" t="str">
        <f t="shared" si="7"/>
        <v>5610</v>
      </c>
      <c r="E55" t="str">
        <f t="shared" si="8"/>
        <v>850LOS</v>
      </c>
      <c r="F55" t="str">
        <f>""</f>
        <v/>
      </c>
      <c r="G55" t="str">
        <f>""</f>
        <v/>
      </c>
      <c r="H55" s="1">
        <v>40816</v>
      </c>
      <c r="I55" t="str">
        <f>"77874101"</f>
        <v>77874101</v>
      </c>
      <c r="J55" t="str">
        <f t="shared" si="9"/>
        <v>NP52205Q</v>
      </c>
      <c r="K55" t="str">
        <f t="shared" si="10"/>
        <v>INEI</v>
      </c>
      <c r="L55" t="s">
        <v>36</v>
      </c>
      <c r="M55">
        <v>272.29000000000002</v>
      </c>
    </row>
    <row r="56" spans="1:13" x14ac:dyDescent="0.25">
      <c r="A56" t="str">
        <f t="shared" si="11"/>
        <v>E111</v>
      </c>
      <c r="B56">
        <v>1</v>
      </c>
      <c r="C56" t="str">
        <f t="shared" si="6"/>
        <v>32040</v>
      </c>
      <c r="D56" t="str">
        <f t="shared" si="7"/>
        <v>5610</v>
      </c>
      <c r="E56" t="str">
        <f t="shared" si="8"/>
        <v>850LOS</v>
      </c>
      <c r="F56" t="str">
        <f>""</f>
        <v/>
      </c>
      <c r="G56" t="str">
        <f>""</f>
        <v/>
      </c>
      <c r="H56" s="1">
        <v>40816</v>
      </c>
      <c r="I56" t="str">
        <f>"78041301"</f>
        <v>78041301</v>
      </c>
      <c r="J56" t="str">
        <f t="shared" si="9"/>
        <v>NP52205Q</v>
      </c>
      <c r="K56" t="str">
        <f t="shared" si="10"/>
        <v>INEI</v>
      </c>
      <c r="L56" t="s">
        <v>36</v>
      </c>
      <c r="M56">
        <v>168.78</v>
      </c>
    </row>
    <row r="57" spans="1:13" x14ac:dyDescent="0.25">
      <c r="A57" t="str">
        <f t="shared" si="11"/>
        <v>E111</v>
      </c>
      <c r="B57">
        <v>1</v>
      </c>
      <c r="C57" t="str">
        <f t="shared" si="6"/>
        <v>32040</v>
      </c>
      <c r="D57" t="str">
        <f t="shared" si="7"/>
        <v>5610</v>
      </c>
      <c r="E57" t="str">
        <f t="shared" si="8"/>
        <v>850LOS</v>
      </c>
      <c r="F57" t="str">
        <f>""</f>
        <v/>
      </c>
      <c r="G57" t="str">
        <f>""</f>
        <v/>
      </c>
      <c r="H57" s="1">
        <v>40827</v>
      </c>
      <c r="I57" t="str">
        <f>"77805701"</f>
        <v>77805701</v>
      </c>
      <c r="J57" t="str">
        <f t="shared" si="9"/>
        <v>NP52205Q</v>
      </c>
      <c r="K57" t="str">
        <f t="shared" si="10"/>
        <v>INEI</v>
      </c>
      <c r="L57" t="s">
        <v>36</v>
      </c>
      <c r="M57" s="2">
        <v>4908.78</v>
      </c>
    </row>
    <row r="58" spans="1:13" x14ac:dyDescent="0.25">
      <c r="A58" t="str">
        <f t="shared" si="11"/>
        <v>E111</v>
      </c>
      <c r="B58">
        <v>1</v>
      </c>
      <c r="C58" t="str">
        <f t="shared" si="6"/>
        <v>32040</v>
      </c>
      <c r="D58" t="str">
        <f t="shared" si="7"/>
        <v>5610</v>
      </c>
      <c r="E58" t="str">
        <f t="shared" si="8"/>
        <v>850LOS</v>
      </c>
      <c r="F58" t="str">
        <f>""</f>
        <v/>
      </c>
      <c r="G58" t="str">
        <f>""</f>
        <v/>
      </c>
      <c r="H58" s="1">
        <v>40827</v>
      </c>
      <c r="I58" t="str">
        <f>"77931101"</f>
        <v>77931101</v>
      </c>
      <c r="J58" t="str">
        <f t="shared" si="9"/>
        <v>NP52205Q</v>
      </c>
      <c r="K58" t="str">
        <f t="shared" si="10"/>
        <v>INEI</v>
      </c>
      <c r="L58" t="s">
        <v>36</v>
      </c>
      <c r="M58" s="2">
        <v>1186.17</v>
      </c>
    </row>
    <row r="59" spans="1:13" x14ac:dyDescent="0.25">
      <c r="A59" t="str">
        <f t="shared" si="11"/>
        <v>E111</v>
      </c>
      <c r="B59">
        <v>1</v>
      </c>
      <c r="C59" t="str">
        <f t="shared" si="6"/>
        <v>32040</v>
      </c>
      <c r="D59" t="str">
        <f t="shared" si="7"/>
        <v>5610</v>
      </c>
      <c r="E59" t="str">
        <f t="shared" si="8"/>
        <v>850LOS</v>
      </c>
      <c r="F59" t="str">
        <f>""</f>
        <v/>
      </c>
      <c r="G59" t="str">
        <f>""</f>
        <v/>
      </c>
      <c r="H59" s="1">
        <v>40827</v>
      </c>
      <c r="I59" t="str">
        <f>"78060301"</f>
        <v>78060301</v>
      </c>
      <c r="J59" t="str">
        <f t="shared" si="9"/>
        <v>NP52205Q</v>
      </c>
      <c r="K59" t="str">
        <f t="shared" si="10"/>
        <v>INEI</v>
      </c>
      <c r="L59" t="s">
        <v>36</v>
      </c>
      <c r="M59">
        <v>734.81</v>
      </c>
    </row>
    <row r="60" spans="1:13" x14ac:dyDescent="0.25">
      <c r="A60" t="str">
        <f t="shared" si="11"/>
        <v>E111</v>
      </c>
      <c r="B60">
        <v>1</v>
      </c>
      <c r="C60" t="str">
        <f t="shared" si="6"/>
        <v>32040</v>
      </c>
      <c r="D60" t="str">
        <f t="shared" si="7"/>
        <v>5610</v>
      </c>
      <c r="E60" t="str">
        <f t="shared" si="8"/>
        <v>850LOS</v>
      </c>
      <c r="F60" t="str">
        <f>""</f>
        <v/>
      </c>
      <c r="G60" t="str">
        <f>""</f>
        <v/>
      </c>
      <c r="H60" s="1">
        <v>40827</v>
      </c>
      <c r="I60" t="str">
        <f>"78055101"</f>
        <v>78055101</v>
      </c>
      <c r="J60" t="str">
        <f t="shared" si="9"/>
        <v>NP52205Q</v>
      </c>
      <c r="K60" t="str">
        <f t="shared" si="10"/>
        <v>INEI</v>
      </c>
      <c r="L60" t="s">
        <v>36</v>
      </c>
      <c r="M60">
        <v>105.11</v>
      </c>
    </row>
    <row r="61" spans="1:13" x14ac:dyDescent="0.25">
      <c r="A61" t="str">
        <f t="shared" si="11"/>
        <v>E111</v>
      </c>
      <c r="B61">
        <v>1</v>
      </c>
      <c r="C61" t="str">
        <f t="shared" si="6"/>
        <v>32040</v>
      </c>
      <c r="D61" t="str">
        <f t="shared" si="7"/>
        <v>5610</v>
      </c>
      <c r="E61" t="str">
        <f t="shared" si="8"/>
        <v>850LOS</v>
      </c>
      <c r="F61" t="str">
        <f>""</f>
        <v/>
      </c>
      <c r="G61" t="str">
        <f>""</f>
        <v/>
      </c>
      <c r="H61" s="1">
        <v>40829</v>
      </c>
      <c r="I61" t="str">
        <f>"78202001"</f>
        <v>78202001</v>
      </c>
      <c r="J61" t="str">
        <f t="shared" si="9"/>
        <v>NP52205Q</v>
      </c>
      <c r="K61" t="str">
        <f t="shared" si="10"/>
        <v>INEI</v>
      </c>
      <c r="L61" t="s">
        <v>36</v>
      </c>
      <c r="M61">
        <v>108.2</v>
      </c>
    </row>
    <row r="62" spans="1:13" x14ac:dyDescent="0.25">
      <c r="A62" t="str">
        <f t="shared" si="11"/>
        <v>E111</v>
      </c>
      <c r="B62">
        <v>1</v>
      </c>
      <c r="C62" t="str">
        <f t="shared" si="6"/>
        <v>32040</v>
      </c>
      <c r="D62" t="str">
        <f t="shared" si="7"/>
        <v>5610</v>
      </c>
      <c r="E62" t="str">
        <f t="shared" si="8"/>
        <v>850LOS</v>
      </c>
      <c r="F62" t="str">
        <f>""</f>
        <v/>
      </c>
      <c r="G62" t="str">
        <f>""</f>
        <v/>
      </c>
      <c r="H62" s="1">
        <v>40829</v>
      </c>
      <c r="I62" t="str">
        <f>"78202002"</f>
        <v>78202002</v>
      </c>
      <c r="J62" t="str">
        <f t="shared" si="9"/>
        <v>NP52205Q</v>
      </c>
      <c r="K62" t="str">
        <f t="shared" si="10"/>
        <v>INEI</v>
      </c>
      <c r="L62" t="s">
        <v>36</v>
      </c>
      <c r="M62">
        <v>207.59</v>
      </c>
    </row>
    <row r="63" spans="1:13" x14ac:dyDescent="0.25">
      <c r="A63" t="str">
        <f t="shared" si="11"/>
        <v>E111</v>
      </c>
      <c r="B63">
        <v>1</v>
      </c>
      <c r="C63" t="str">
        <f t="shared" si="6"/>
        <v>32040</v>
      </c>
      <c r="D63" t="str">
        <f t="shared" si="7"/>
        <v>5610</v>
      </c>
      <c r="E63" t="str">
        <f t="shared" si="8"/>
        <v>850LOS</v>
      </c>
      <c r="F63" t="str">
        <f>""</f>
        <v/>
      </c>
      <c r="G63" t="str">
        <f>""</f>
        <v/>
      </c>
      <c r="H63" s="1">
        <v>40829</v>
      </c>
      <c r="I63" t="str">
        <f>"78202003"</f>
        <v>78202003</v>
      </c>
      <c r="J63" t="str">
        <f t="shared" si="9"/>
        <v>NP52205Q</v>
      </c>
      <c r="K63" t="str">
        <f t="shared" si="10"/>
        <v>INEI</v>
      </c>
      <c r="L63" t="s">
        <v>36</v>
      </c>
      <c r="M63">
        <v>151.12</v>
      </c>
    </row>
    <row r="64" spans="1:13" x14ac:dyDescent="0.25">
      <c r="A64" t="str">
        <f t="shared" si="11"/>
        <v>E111</v>
      </c>
      <c r="B64">
        <v>1</v>
      </c>
      <c r="C64" t="str">
        <f t="shared" si="6"/>
        <v>32040</v>
      </c>
      <c r="D64" t="str">
        <f t="shared" si="7"/>
        <v>5610</v>
      </c>
      <c r="E64" t="str">
        <f t="shared" si="8"/>
        <v>850LOS</v>
      </c>
      <c r="F64" t="str">
        <f>""</f>
        <v/>
      </c>
      <c r="G64" t="str">
        <f>""</f>
        <v/>
      </c>
      <c r="H64" s="1">
        <v>40829</v>
      </c>
      <c r="I64" t="str">
        <f>"77864601"</f>
        <v>77864601</v>
      </c>
      <c r="J64" t="str">
        <f t="shared" si="9"/>
        <v>NP52205Q</v>
      </c>
      <c r="K64" t="str">
        <f t="shared" si="10"/>
        <v>INEI</v>
      </c>
      <c r="L64" t="s">
        <v>36</v>
      </c>
      <c r="M64" s="2">
        <v>3586.49</v>
      </c>
    </row>
    <row r="65" spans="1:13" x14ac:dyDescent="0.25">
      <c r="A65" t="str">
        <f t="shared" si="11"/>
        <v>E111</v>
      </c>
      <c r="B65">
        <v>1</v>
      </c>
      <c r="C65" t="str">
        <f t="shared" si="6"/>
        <v>32040</v>
      </c>
      <c r="D65" t="str">
        <f t="shared" si="7"/>
        <v>5610</v>
      </c>
      <c r="E65" t="str">
        <f t="shared" si="8"/>
        <v>850LOS</v>
      </c>
      <c r="F65" t="str">
        <f>""</f>
        <v/>
      </c>
      <c r="G65" t="str">
        <f>""</f>
        <v/>
      </c>
      <c r="H65" s="1">
        <v>40833</v>
      </c>
      <c r="I65" t="str">
        <f>"77931102"</f>
        <v>77931102</v>
      </c>
      <c r="J65" t="str">
        <f t="shared" si="9"/>
        <v>NP52205Q</v>
      </c>
      <c r="K65" t="str">
        <f t="shared" si="10"/>
        <v>INEI</v>
      </c>
      <c r="L65" t="s">
        <v>36</v>
      </c>
      <c r="M65">
        <v>356.08</v>
      </c>
    </row>
    <row r="66" spans="1:13" x14ac:dyDescent="0.25">
      <c r="A66" t="str">
        <f t="shared" si="11"/>
        <v>E111</v>
      </c>
      <c r="B66">
        <v>1</v>
      </c>
      <c r="C66" t="str">
        <f t="shared" si="6"/>
        <v>32040</v>
      </c>
      <c r="D66" t="str">
        <f t="shared" si="7"/>
        <v>5610</v>
      </c>
      <c r="E66" t="str">
        <f t="shared" si="8"/>
        <v>850LOS</v>
      </c>
      <c r="F66" t="str">
        <f>""</f>
        <v/>
      </c>
      <c r="G66" t="str">
        <f>""</f>
        <v/>
      </c>
      <c r="H66" s="1">
        <v>40855</v>
      </c>
      <c r="I66" t="str">
        <f>"78287202"</f>
        <v>78287202</v>
      </c>
      <c r="J66" t="str">
        <f t="shared" si="9"/>
        <v>NP52205Q</v>
      </c>
      <c r="K66" t="str">
        <f t="shared" si="10"/>
        <v>INEI</v>
      </c>
      <c r="L66" t="s">
        <v>36</v>
      </c>
      <c r="M66">
        <v>218.57</v>
      </c>
    </row>
    <row r="67" spans="1:13" x14ac:dyDescent="0.25">
      <c r="A67" t="str">
        <f t="shared" si="11"/>
        <v>E111</v>
      </c>
      <c r="B67">
        <v>1</v>
      </c>
      <c r="C67" t="str">
        <f t="shared" si="6"/>
        <v>32040</v>
      </c>
      <c r="D67" t="str">
        <f t="shared" si="7"/>
        <v>5610</v>
      </c>
      <c r="E67" t="str">
        <f t="shared" si="8"/>
        <v>850LOS</v>
      </c>
      <c r="F67" t="str">
        <f>""</f>
        <v/>
      </c>
      <c r="G67" t="str">
        <f>""</f>
        <v/>
      </c>
      <c r="H67" s="1">
        <v>40855</v>
      </c>
      <c r="I67" t="str">
        <f>"78287201"</f>
        <v>78287201</v>
      </c>
      <c r="J67" t="str">
        <f t="shared" si="9"/>
        <v>NP52205Q</v>
      </c>
      <c r="K67" t="str">
        <f t="shared" si="10"/>
        <v>INEI</v>
      </c>
      <c r="L67" t="s">
        <v>36</v>
      </c>
      <c r="M67">
        <v>218.57</v>
      </c>
    </row>
    <row r="68" spans="1:13" x14ac:dyDescent="0.25">
      <c r="A68" t="str">
        <f t="shared" si="11"/>
        <v>E111</v>
      </c>
      <c r="B68">
        <v>1</v>
      </c>
      <c r="C68" t="str">
        <f t="shared" si="6"/>
        <v>32040</v>
      </c>
      <c r="D68" t="str">
        <f t="shared" si="7"/>
        <v>5610</v>
      </c>
      <c r="E68" t="str">
        <f t="shared" si="8"/>
        <v>850LOS</v>
      </c>
      <c r="F68" t="str">
        <f>""</f>
        <v/>
      </c>
      <c r="G68" t="str">
        <f>""</f>
        <v/>
      </c>
      <c r="H68" s="1">
        <v>40855</v>
      </c>
      <c r="I68" t="str">
        <f>"78202006"</f>
        <v>78202006</v>
      </c>
      <c r="J68" t="str">
        <f t="shared" si="9"/>
        <v>NP52205Q</v>
      </c>
      <c r="K68" t="str">
        <f t="shared" si="10"/>
        <v>INEI</v>
      </c>
      <c r="L68" t="s">
        <v>36</v>
      </c>
      <c r="M68">
        <v>302.23</v>
      </c>
    </row>
    <row r="69" spans="1:13" x14ac:dyDescent="0.25">
      <c r="A69" t="str">
        <f t="shared" si="11"/>
        <v>E111</v>
      </c>
      <c r="B69">
        <v>1</v>
      </c>
      <c r="C69" t="str">
        <f t="shared" si="6"/>
        <v>32040</v>
      </c>
      <c r="D69" t="str">
        <f t="shared" si="7"/>
        <v>5610</v>
      </c>
      <c r="E69" t="str">
        <f t="shared" si="8"/>
        <v>850LOS</v>
      </c>
      <c r="F69" t="str">
        <f>""</f>
        <v/>
      </c>
      <c r="G69" t="str">
        <f>""</f>
        <v/>
      </c>
      <c r="H69" s="1">
        <v>40855</v>
      </c>
      <c r="I69" t="str">
        <f>"78223202"</f>
        <v>78223202</v>
      </c>
      <c r="J69" t="str">
        <f t="shared" si="9"/>
        <v>NP52205Q</v>
      </c>
      <c r="K69" t="str">
        <f t="shared" si="10"/>
        <v>INEI</v>
      </c>
      <c r="L69" t="s">
        <v>36</v>
      </c>
      <c r="M69" s="2">
        <v>2152.27</v>
      </c>
    </row>
    <row r="70" spans="1:13" x14ac:dyDescent="0.25">
      <c r="A70" t="str">
        <f t="shared" si="11"/>
        <v>E111</v>
      </c>
      <c r="B70">
        <v>1</v>
      </c>
      <c r="C70" t="str">
        <f t="shared" ref="C70:C101" si="12">"32040"</f>
        <v>32040</v>
      </c>
      <c r="D70" t="str">
        <f t="shared" ref="D70:D101" si="13">"5610"</f>
        <v>5610</v>
      </c>
      <c r="E70" t="str">
        <f t="shared" ref="E70:E101" si="14">"850LOS"</f>
        <v>850LOS</v>
      </c>
      <c r="F70" t="str">
        <f>""</f>
        <v/>
      </c>
      <c r="G70" t="str">
        <f>""</f>
        <v/>
      </c>
      <c r="H70" s="1">
        <v>40855</v>
      </c>
      <c r="I70" t="str">
        <f>"78287203"</f>
        <v>78287203</v>
      </c>
      <c r="J70" t="str">
        <f t="shared" si="9"/>
        <v>NP52205Q</v>
      </c>
      <c r="K70" t="str">
        <f t="shared" si="10"/>
        <v>INEI</v>
      </c>
      <c r="L70" t="s">
        <v>36</v>
      </c>
      <c r="M70" s="2">
        <v>1391.79</v>
      </c>
    </row>
    <row r="71" spans="1:13" x14ac:dyDescent="0.25">
      <c r="A71" t="str">
        <f t="shared" si="11"/>
        <v>E111</v>
      </c>
      <c r="B71">
        <v>1</v>
      </c>
      <c r="C71" t="str">
        <f t="shared" si="12"/>
        <v>32040</v>
      </c>
      <c r="D71" t="str">
        <f t="shared" si="13"/>
        <v>5610</v>
      </c>
      <c r="E71" t="str">
        <f t="shared" si="14"/>
        <v>850LOS</v>
      </c>
      <c r="F71" t="str">
        <f>""</f>
        <v/>
      </c>
      <c r="G71" t="str">
        <f>""</f>
        <v/>
      </c>
      <c r="H71" s="1">
        <v>40861</v>
      </c>
      <c r="I71" t="str">
        <f>"78531401"</f>
        <v>78531401</v>
      </c>
      <c r="J71" t="str">
        <f t="shared" si="9"/>
        <v>NP52205Q</v>
      </c>
      <c r="K71" t="str">
        <f t="shared" ref="K71:K102" si="15">"INEI"</f>
        <v>INEI</v>
      </c>
      <c r="L71" t="s">
        <v>36</v>
      </c>
      <c r="M71">
        <v>165.22</v>
      </c>
    </row>
    <row r="72" spans="1:13" x14ac:dyDescent="0.25">
      <c r="A72" t="str">
        <f t="shared" si="11"/>
        <v>E111</v>
      </c>
      <c r="B72">
        <v>1</v>
      </c>
      <c r="C72" t="str">
        <f t="shared" si="12"/>
        <v>32040</v>
      </c>
      <c r="D72" t="str">
        <f t="shared" si="13"/>
        <v>5610</v>
      </c>
      <c r="E72" t="str">
        <f t="shared" si="14"/>
        <v>850LOS</v>
      </c>
      <c r="F72" t="str">
        <f>""</f>
        <v/>
      </c>
      <c r="G72" t="str">
        <f>""</f>
        <v/>
      </c>
      <c r="H72" s="1">
        <v>40886</v>
      </c>
      <c r="I72" t="str">
        <f>"78531402"</f>
        <v>78531402</v>
      </c>
      <c r="J72" t="str">
        <f t="shared" si="9"/>
        <v>NP52205Q</v>
      </c>
      <c r="K72" t="str">
        <f t="shared" si="15"/>
        <v>INEI</v>
      </c>
      <c r="L72" t="s">
        <v>36</v>
      </c>
      <c r="M72" s="2">
        <v>1662.44</v>
      </c>
    </row>
    <row r="73" spans="1:13" x14ac:dyDescent="0.25">
      <c r="A73" t="str">
        <f t="shared" si="11"/>
        <v>E111</v>
      </c>
      <c r="B73">
        <v>1</v>
      </c>
      <c r="C73" t="str">
        <f t="shared" si="12"/>
        <v>32040</v>
      </c>
      <c r="D73" t="str">
        <f t="shared" si="13"/>
        <v>5610</v>
      </c>
      <c r="E73" t="str">
        <f t="shared" si="14"/>
        <v>850LOS</v>
      </c>
      <c r="F73" t="str">
        <f>""</f>
        <v/>
      </c>
      <c r="G73" t="str">
        <f>""</f>
        <v/>
      </c>
      <c r="H73" s="1">
        <v>40886</v>
      </c>
      <c r="I73" t="str">
        <f>"78772501"</f>
        <v>78772501</v>
      </c>
      <c r="J73" t="str">
        <f t="shared" si="9"/>
        <v>NP52205Q</v>
      </c>
      <c r="K73" t="str">
        <f t="shared" si="15"/>
        <v>INEI</v>
      </c>
      <c r="L73" t="s">
        <v>36</v>
      </c>
      <c r="M73" s="2">
        <v>1552.24</v>
      </c>
    </row>
    <row r="74" spans="1:13" x14ac:dyDescent="0.25">
      <c r="A74" t="str">
        <f t="shared" si="11"/>
        <v>E111</v>
      </c>
      <c r="B74">
        <v>1</v>
      </c>
      <c r="C74" t="str">
        <f t="shared" si="12"/>
        <v>32040</v>
      </c>
      <c r="D74" t="str">
        <f t="shared" si="13"/>
        <v>5610</v>
      </c>
      <c r="E74" t="str">
        <f t="shared" si="14"/>
        <v>850LOS</v>
      </c>
      <c r="F74" t="str">
        <f>""</f>
        <v/>
      </c>
      <c r="G74" t="str">
        <f>""</f>
        <v/>
      </c>
      <c r="H74" s="1">
        <v>40893</v>
      </c>
      <c r="I74" t="str">
        <f>"76556203"</f>
        <v>76556203</v>
      </c>
      <c r="J74" t="str">
        <f t="shared" si="9"/>
        <v>NP52205Q</v>
      </c>
      <c r="K74" t="str">
        <f t="shared" si="15"/>
        <v>INEI</v>
      </c>
      <c r="L74" t="s">
        <v>36</v>
      </c>
      <c r="M74">
        <v>106.41</v>
      </c>
    </row>
    <row r="75" spans="1:13" x14ac:dyDescent="0.25">
      <c r="A75" t="str">
        <f t="shared" ref="A75:A106" si="16">"E111"</f>
        <v>E111</v>
      </c>
      <c r="B75">
        <v>1</v>
      </c>
      <c r="C75" t="str">
        <f t="shared" si="12"/>
        <v>32040</v>
      </c>
      <c r="D75" t="str">
        <f t="shared" si="13"/>
        <v>5610</v>
      </c>
      <c r="E75" t="str">
        <f t="shared" si="14"/>
        <v>850LOS</v>
      </c>
      <c r="F75" t="str">
        <f>""</f>
        <v/>
      </c>
      <c r="G75" t="str">
        <f>""</f>
        <v/>
      </c>
      <c r="H75" s="1">
        <v>40893</v>
      </c>
      <c r="I75" t="str">
        <f>"76609801"</f>
        <v>76609801</v>
      </c>
      <c r="J75" t="str">
        <f t="shared" si="9"/>
        <v>NP52205Q</v>
      </c>
      <c r="K75" t="str">
        <f t="shared" si="15"/>
        <v>INEI</v>
      </c>
      <c r="L75" t="s">
        <v>36</v>
      </c>
      <c r="M75">
        <v>200.98</v>
      </c>
    </row>
    <row r="76" spans="1:13" x14ac:dyDescent="0.25">
      <c r="A76" t="str">
        <f t="shared" si="16"/>
        <v>E111</v>
      </c>
      <c r="B76">
        <v>1</v>
      </c>
      <c r="C76" t="str">
        <f t="shared" si="12"/>
        <v>32040</v>
      </c>
      <c r="D76" t="str">
        <f t="shared" si="13"/>
        <v>5610</v>
      </c>
      <c r="E76" t="str">
        <f t="shared" si="14"/>
        <v>850LOS</v>
      </c>
      <c r="F76" t="str">
        <f>""</f>
        <v/>
      </c>
      <c r="G76" t="str">
        <f>""</f>
        <v/>
      </c>
      <c r="H76" s="1">
        <v>40906</v>
      </c>
      <c r="I76" t="str">
        <f>"79014702"</f>
        <v>79014702</v>
      </c>
      <c r="J76" t="str">
        <f t="shared" si="9"/>
        <v>NP52205Q</v>
      </c>
      <c r="K76" t="str">
        <f t="shared" si="15"/>
        <v>INEI</v>
      </c>
      <c r="L76" t="s">
        <v>36</v>
      </c>
      <c r="M76">
        <v>212.28</v>
      </c>
    </row>
    <row r="77" spans="1:13" x14ac:dyDescent="0.25">
      <c r="A77" t="str">
        <f t="shared" si="16"/>
        <v>E111</v>
      </c>
      <c r="B77">
        <v>1</v>
      </c>
      <c r="C77" t="str">
        <f t="shared" si="12"/>
        <v>32040</v>
      </c>
      <c r="D77" t="str">
        <f t="shared" si="13"/>
        <v>5610</v>
      </c>
      <c r="E77" t="str">
        <f t="shared" si="14"/>
        <v>850LOS</v>
      </c>
      <c r="F77" t="str">
        <f>""</f>
        <v/>
      </c>
      <c r="G77" t="str">
        <f>""</f>
        <v/>
      </c>
      <c r="H77" s="1">
        <v>40906</v>
      </c>
      <c r="I77" t="str">
        <f>"79014703"</f>
        <v>79014703</v>
      </c>
      <c r="J77" t="str">
        <f t="shared" si="9"/>
        <v>NP52205Q</v>
      </c>
      <c r="K77" t="str">
        <f t="shared" si="15"/>
        <v>INEI</v>
      </c>
      <c r="L77" t="s">
        <v>36</v>
      </c>
      <c r="M77">
        <v>213.05</v>
      </c>
    </row>
    <row r="78" spans="1:13" x14ac:dyDescent="0.25">
      <c r="A78" t="str">
        <f t="shared" si="16"/>
        <v>E111</v>
      </c>
      <c r="B78">
        <v>1</v>
      </c>
      <c r="C78" t="str">
        <f t="shared" si="12"/>
        <v>32040</v>
      </c>
      <c r="D78" t="str">
        <f t="shared" si="13"/>
        <v>5610</v>
      </c>
      <c r="E78" t="str">
        <f t="shared" si="14"/>
        <v>850LOS</v>
      </c>
      <c r="F78" t="str">
        <f>""</f>
        <v/>
      </c>
      <c r="G78" t="str">
        <f>""</f>
        <v/>
      </c>
      <c r="H78" s="1">
        <v>40913</v>
      </c>
      <c r="I78" t="str">
        <f>"78772502"</f>
        <v>78772502</v>
      </c>
      <c r="J78" t="str">
        <f t="shared" si="9"/>
        <v>NP52205Q</v>
      </c>
      <c r="K78" t="str">
        <f t="shared" si="15"/>
        <v>INEI</v>
      </c>
      <c r="L78" t="s">
        <v>36</v>
      </c>
      <c r="M78">
        <v>671.11</v>
      </c>
    </row>
    <row r="79" spans="1:13" x14ac:dyDescent="0.25">
      <c r="A79" t="str">
        <f t="shared" si="16"/>
        <v>E111</v>
      </c>
      <c r="B79">
        <v>1</v>
      </c>
      <c r="C79" t="str">
        <f t="shared" si="12"/>
        <v>32040</v>
      </c>
      <c r="D79" t="str">
        <f t="shared" si="13"/>
        <v>5610</v>
      </c>
      <c r="E79" t="str">
        <f t="shared" si="14"/>
        <v>850LOS</v>
      </c>
      <c r="F79" t="str">
        <f>""</f>
        <v/>
      </c>
      <c r="G79" t="str">
        <f>""</f>
        <v/>
      </c>
      <c r="H79" s="1">
        <v>40920</v>
      </c>
      <c r="I79" t="str">
        <f>"79014704"</f>
        <v>79014704</v>
      </c>
      <c r="J79" t="str">
        <f t="shared" ref="J79:J110" si="17">"NP52205R"</f>
        <v>NP52205R</v>
      </c>
      <c r="K79" t="str">
        <f t="shared" si="15"/>
        <v>INEI</v>
      </c>
      <c r="L79" t="s">
        <v>36</v>
      </c>
      <c r="M79" s="2">
        <v>3449.53</v>
      </c>
    </row>
    <row r="80" spans="1:13" x14ac:dyDescent="0.25">
      <c r="A80" t="str">
        <f t="shared" si="16"/>
        <v>E111</v>
      </c>
      <c r="B80">
        <v>1</v>
      </c>
      <c r="C80" t="str">
        <f t="shared" si="12"/>
        <v>32040</v>
      </c>
      <c r="D80" t="str">
        <f t="shared" si="13"/>
        <v>5610</v>
      </c>
      <c r="E80" t="str">
        <f t="shared" si="14"/>
        <v>850LOS</v>
      </c>
      <c r="F80" t="str">
        <f>""</f>
        <v/>
      </c>
      <c r="G80" t="str">
        <f>""</f>
        <v/>
      </c>
      <c r="H80" s="1">
        <v>40920</v>
      </c>
      <c r="I80" t="str">
        <f>"79014705"</f>
        <v>79014705</v>
      </c>
      <c r="J80" t="str">
        <f t="shared" si="17"/>
        <v>NP52205R</v>
      </c>
      <c r="K80" t="str">
        <f t="shared" si="15"/>
        <v>INEI</v>
      </c>
      <c r="L80" t="s">
        <v>36</v>
      </c>
      <c r="M80">
        <v>189.33</v>
      </c>
    </row>
    <row r="81" spans="1:13" x14ac:dyDescent="0.25">
      <c r="A81" t="str">
        <f t="shared" si="16"/>
        <v>E111</v>
      </c>
      <c r="B81">
        <v>1</v>
      </c>
      <c r="C81" t="str">
        <f t="shared" si="12"/>
        <v>32040</v>
      </c>
      <c r="D81" t="str">
        <f t="shared" si="13"/>
        <v>5610</v>
      </c>
      <c r="E81" t="str">
        <f t="shared" si="14"/>
        <v>850LOS</v>
      </c>
      <c r="F81" t="str">
        <f>""</f>
        <v/>
      </c>
      <c r="G81" t="str">
        <f>""</f>
        <v/>
      </c>
      <c r="H81" s="1">
        <v>40940</v>
      </c>
      <c r="I81" t="str">
        <f>"79014707"</f>
        <v>79014707</v>
      </c>
      <c r="J81" t="str">
        <f t="shared" si="17"/>
        <v>NP52205R</v>
      </c>
      <c r="K81" t="str">
        <f t="shared" si="15"/>
        <v>INEI</v>
      </c>
      <c r="L81" t="s">
        <v>36</v>
      </c>
      <c r="M81">
        <v>193.12</v>
      </c>
    </row>
    <row r="82" spans="1:13" x14ac:dyDescent="0.25">
      <c r="A82" t="str">
        <f t="shared" si="16"/>
        <v>E111</v>
      </c>
      <c r="B82">
        <v>1</v>
      </c>
      <c r="C82" t="str">
        <f t="shared" si="12"/>
        <v>32040</v>
      </c>
      <c r="D82" t="str">
        <f t="shared" si="13"/>
        <v>5610</v>
      </c>
      <c r="E82" t="str">
        <f t="shared" si="14"/>
        <v>850LOS</v>
      </c>
      <c r="F82" t="str">
        <f>""</f>
        <v/>
      </c>
      <c r="G82" t="str">
        <f>""</f>
        <v/>
      </c>
      <c r="H82" s="1">
        <v>40940</v>
      </c>
      <c r="I82" t="str">
        <f>"79276901"</f>
        <v>79276901</v>
      </c>
      <c r="J82" t="str">
        <f t="shared" si="17"/>
        <v>NP52205R</v>
      </c>
      <c r="K82" t="str">
        <f t="shared" si="15"/>
        <v>INEI</v>
      </c>
      <c r="L82" t="s">
        <v>36</v>
      </c>
      <c r="M82">
        <v>814.25</v>
      </c>
    </row>
    <row r="83" spans="1:13" x14ac:dyDescent="0.25">
      <c r="A83" t="str">
        <f t="shared" si="16"/>
        <v>E111</v>
      </c>
      <c r="B83">
        <v>1</v>
      </c>
      <c r="C83" t="str">
        <f t="shared" si="12"/>
        <v>32040</v>
      </c>
      <c r="D83" t="str">
        <f t="shared" si="13"/>
        <v>5610</v>
      </c>
      <c r="E83" t="str">
        <f t="shared" si="14"/>
        <v>850LOS</v>
      </c>
      <c r="F83" t="str">
        <f>""</f>
        <v/>
      </c>
      <c r="G83" t="str">
        <f>""</f>
        <v/>
      </c>
      <c r="H83" s="1">
        <v>40948</v>
      </c>
      <c r="I83" t="str">
        <f>"79276904"</f>
        <v>79276904</v>
      </c>
      <c r="J83" t="str">
        <f t="shared" si="17"/>
        <v>NP52205R</v>
      </c>
      <c r="K83" t="str">
        <f t="shared" si="15"/>
        <v>INEI</v>
      </c>
      <c r="L83" t="s">
        <v>36</v>
      </c>
      <c r="M83" s="2">
        <v>3739.28</v>
      </c>
    </row>
    <row r="84" spans="1:13" x14ac:dyDescent="0.25">
      <c r="A84" t="str">
        <f t="shared" si="16"/>
        <v>E111</v>
      </c>
      <c r="B84">
        <v>1</v>
      </c>
      <c r="C84" t="str">
        <f t="shared" si="12"/>
        <v>32040</v>
      </c>
      <c r="D84" t="str">
        <f t="shared" si="13"/>
        <v>5610</v>
      </c>
      <c r="E84" t="str">
        <f t="shared" si="14"/>
        <v>850LOS</v>
      </c>
      <c r="F84" t="str">
        <f>""</f>
        <v/>
      </c>
      <c r="G84" t="str">
        <f>""</f>
        <v/>
      </c>
      <c r="H84" s="1">
        <v>40948</v>
      </c>
      <c r="I84" t="str">
        <f>"79276902"</f>
        <v>79276902</v>
      </c>
      <c r="J84" t="str">
        <f t="shared" si="17"/>
        <v>NP52205R</v>
      </c>
      <c r="K84" t="str">
        <f t="shared" si="15"/>
        <v>INEI</v>
      </c>
      <c r="L84" t="s">
        <v>36</v>
      </c>
      <c r="M84">
        <v>234.96</v>
      </c>
    </row>
    <row r="85" spans="1:13" x14ac:dyDescent="0.25">
      <c r="A85" t="str">
        <f t="shared" si="16"/>
        <v>E111</v>
      </c>
      <c r="B85">
        <v>1</v>
      </c>
      <c r="C85" t="str">
        <f t="shared" si="12"/>
        <v>32040</v>
      </c>
      <c r="D85" t="str">
        <f t="shared" si="13"/>
        <v>5610</v>
      </c>
      <c r="E85" t="str">
        <f t="shared" si="14"/>
        <v>850LOS</v>
      </c>
      <c r="F85" t="str">
        <f>""</f>
        <v/>
      </c>
      <c r="G85" t="str">
        <f>""</f>
        <v/>
      </c>
      <c r="H85" s="1">
        <v>40948</v>
      </c>
      <c r="I85" t="str">
        <f>"79276903"</f>
        <v>79276903</v>
      </c>
      <c r="J85" t="str">
        <f t="shared" si="17"/>
        <v>NP52205R</v>
      </c>
      <c r="K85" t="str">
        <f t="shared" si="15"/>
        <v>INEI</v>
      </c>
      <c r="L85" t="s">
        <v>36</v>
      </c>
      <c r="M85">
        <v>450.54</v>
      </c>
    </row>
    <row r="86" spans="1:13" x14ac:dyDescent="0.25">
      <c r="A86" t="str">
        <f t="shared" si="16"/>
        <v>E111</v>
      </c>
      <c r="B86">
        <v>1</v>
      </c>
      <c r="C86" t="str">
        <f t="shared" si="12"/>
        <v>32040</v>
      </c>
      <c r="D86" t="str">
        <f t="shared" si="13"/>
        <v>5610</v>
      </c>
      <c r="E86" t="str">
        <f t="shared" si="14"/>
        <v>850LOS</v>
      </c>
      <c r="F86" t="str">
        <f>""</f>
        <v/>
      </c>
      <c r="G86" t="str">
        <f>""</f>
        <v/>
      </c>
      <c r="H86" s="1">
        <v>40948</v>
      </c>
      <c r="I86" t="str">
        <f>"79355401"</f>
        <v>79355401</v>
      </c>
      <c r="J86" t="str">
        <f t="shared" si="17"/>
        <v>NP52205R</v>
      </c>
      <c r="K86" t="str">
        <f t="shared" si="15"/>
        <v>INEI</v>
      </c>
      <c r="L86" t="s">
        <v>36</v>
      </c>
      <c r="M86">
        <v>260.69</v>
      </c>
    </row>
    <row r="87" spans="1:13" x14ac:dyDescent="0.25">
      <c r="A87" t="str">
        <f t="shared" si="16"/>
        <v>E111</v>
      </c>
      <c r="B87">
        <v>1</v>
      </c>
      <c r="C87" t="str">
        <f t="shared" si="12"/>
        <v>32040</v>
      </c>
      <c r="D87" t="str">
        <f t="shared" si="13"/>
        <v>5610</v>
      </c>
      <c r="E87" t="str">
        <f t="shared" si="14"/>
        <v>850LOS</v>
      </c>
      <c r="F87" t="str">
        <f>""</f>
        <v/>
      </c>
      <c r="G87" t="str">
        <f>""</f>
        <v/>
      </c>
      <c r="H87" s="1">
        <v>40948</v>
      </c>
      <c r="I87" t="str">
        <f>"79355402"</f>
        <v>79355402</v>
      </c>
      <c r="J87" t="str">
        <f t="shared" si="17"/>
        <v>NP52205R</v>
      </c>
      <c r="K87" t="str">
        <f t="shared" si="15"/>
        <v>INEI</v>
      </c>
      <c r="L87" t="s">
        <v>36</v>
      </c>
      <c r="M87">
        <v>193.04</v>
      </c>
    </row>
    <row r="88" spans="1:13" x14ac:dyDescent="0.25">
      <c r="A88" t="str">
        <f t="shared" si="16"/>
        <v>E111</v>
      </c>
      <c r="B88">
        <v>1</v>
      </c>
      <c r="C88" t="str">
        <f t="shared" si="12"/>
        <v>32040</v>
      </c>
      <c r="D88" t="str">
        <f t="shared" si="13"/>
        <v>5610</v>
      </c>
      <c r="E88" t="str">
        <f t="shared" si="14"/>
        <v>850LOS</v>
      </c>
      <c r="F88" t="str">
        <f>""</f>
        <v/>
      </c>
      <c r="G88" t="str">
        <f>""</f>
        <v/>
      </c>
      <c r="H88" s="1">
        <v>40948</v>
      </c>
      <c r="I88" t="str">
        <f>"79355403"</f>
        <v>79355403</v>
      </c>
      <c r="J88" t="str">
        <f t="shared" si="17"/>
        <v>NP52205R</v>
      </c>
      <c r="K88" t="str">
        <f t="shared" si="15"/>
        <v>INEI</v>
      </c>
      <c r="L88" t="s">
        <v>36</v>
      </c>
      <c r="M88">
        <v>210.01</v>
      </c>
    </row>
    <row r="89" spans="1:13" x14ac:dyDescent="0.25">
      <c r="A89" t="str">
        <f t="shared" si="16"/>
        <v>E111</v>
      </c>
      <c r="B89">
        <v>1</v>
      </c>
      <c r="C89" t="str">
        <f t="shared" si="12"/>
        <v>32040</v>
      </c>
      <c r="D89" t="str">
        <f t="shared" si="13"/>
        <v>5610</v>
      </c>
      <c r="E89" t="str">
        <f t="shared" si="14"/>
        <v>850LOS</v>
      </c>
      <c r="F89" t="str">
        <f>""</f>
        <v/>
      </c>
      <c r="G89" t="str">
        <f>""</f>
        <v/>
      </c>
      <c r="H89" s="1">
        <v>40968</v>
      </c>
      <c r="I89" t="str">
        <f>"79509702"</f>
        <v>79509702</v>
      </c>
      <c r="J89" t="str">
        <f t="shared" si="17"/>
        <v>NP52205R</v>
      </c>
      <c r="K89" t="str">
        <f t="shared" si="15"/>
        <v>INEI</v>
      </c>
      <c r="L89" t="s">
        <v>36</v>
      </c>
      <c r="M89">
        <v>956.63</v>
      </c>
    </row>
    <row r="90" spans="1:13" x14ac:dyDescent="0.25">
      <c r="A90" t="str">
        <f t="shared" si="16"/>
        <v>E111</v>
      </c>
      <c r="B90">
        <v>1</v>
      </c>
      <c r="C90" t="str">
        <f t="shared" si="12"/>
        <v>32040</v>
      </c>
      <c r="D90" t="str">
        <f t="shared" si="13"/>
        <v>5610</v>
      </c>
      <c r="E90" t="str">
        <f t="shared" si="14"/>
        <v>850LOS</v>
      </c>
      <c r="F90" t="str">
        <f>""</f>
        <v/>
      </c>
      <c r="G90" t="str">
        <f>""</f>
        <v/>
      </c>
      <c r="H90" s="1">
        <v>40968</v>
      </c>
      <c r="I90" t="str">
        <f>"79509701"</f>
        <v>79509701</v>
      </c>
      <c r="J90" t="str">
        <f t="shared" si="17"/>
        <v>NP52205R</v>
      </c>
      <c r="K90" t="str">
        <f t="shared" si="15"/>
        <v>INEI</v>
      </c>
      <c r="L90" t="s">
        <v>36</v>
      </c>
      <c r="M90">
        <v>784.38</v>
      </c>
    </row>
    <row r="91" spans="1:13" x14ac:dyDescent="0.25">
      <c r="A91" t="str">
        <f t="shared" si="16"/>
        <v>E111</v>
      </c>
      <c r="B91">
        <v>1</v>
      </c>
      <c r="C91" t="str">
        <f t="shared" si="12"/>
        <v>32040</v>
      </c>
      <c r="D91" t="str">
        <f t="shared" si="13"/>
        <v>5610</v>
      </c>
      <c r="E91" t="str">
        <f t="shared" si="14"/>
        <v>850LOS</v>
      </c>
      <c r="F91" t="str">
        <f>""</f>
        <v/>
      </c>
      <c r="G91" t="str">
        <f>""</f>
        <v/>
      </c>
      <c r="H91" s="1">
        <v>40968</v>
      </c>
      <c r="I91" t="str">
        <f>"79276905"</f>
        <v>79276905</v>
      </c>
      <c r="J91" t="str">
        <f t="shared" si="17"/>
        <v>NP52205R</v>
      </c>
      <c r="K91" t="str">
        <f t="shared" si="15"/>
        <v>INEI</v>
      </c>
      <c r="L91" t="s">
        <v>36</v>
      </c>
      <c r="M91">
        <v>970.15</v>
      </c>
    </row>
    <row r="92" spans="1:13" x14ac:dyDescent="0.25">
      <c r="A92" t="str">
        <f t="shared" si="16"/>
        <v>E111</v>
      </c>
      <c r="B92">
        <v>1</v>
      </c>
      <c r="C92" t="str">
        <f t="shared" si="12"/>
        <v>32040</v>
      </c>
      <c r="D92" t="str">
        <f t="shared" si="13"/>
        <v>5610</v>
      </c>
      <c r="E92" t="str">
        <f t="shared" si="14"/>
        <v>850LOS</v>
      </c>
      <c r="F92" t="str">
        <f>""</f>
        <v/>
      </c>
      <c r="G92" t="str">
        <f>""</f>
        <v/>
      </c>
      <c r="H92" s="1">
        <v>40968</v>
      </c>
      <c r="I92" t="str">
        <f>"9276906A"</f>
        <v>9276906A</v>
      </c>
      <c r="J92" t="str">
        <f t="shared" si="17"/>
        <v>NP52205R</v>
      </c>
      <c r="K92" t="str">
        <f t="shared" si="15"/>
        <v>INEI</v>
      </c>
      <c r="L92" t="s">
        <v>36</v>
      </c>
      <c r="M92">
        <v>350.34</v>
      </c>
    </row>
    <row r="93" spans="1:13" x14ac:dyDescent="0.25">
      <c r="A93" t="str">
        <f t="shared" si="16"/>
        <v>E111</v>
      </c>
      <c r="B93">
        <v>1</v>
      </c>
      <c r="C93" t="str">
        <f t="shared" si="12"/>
        <v>32040</v>
      </c>
      <c r="D93" t="str">
        <f t="shared" si="13"/>
        <v>5610</v>
      </c>
      <c r="E93" t="str">
        <f t="shared" si="14"/>
        <v>850LOS</v>
      </c>
      <c r="F93" t="str">
        <f>""</f>
        <v/>
      </c>
      <c r="G93" t="str">
        <f>""</f>
        <v/>
      </c>
      <c r="H93" s="1">
        <v>40968</v>
      </c>
      <c r="I93" t="str">
        <f>"79548701"</f>
        <v>79548701</v>
      </c>
      <c r="J93" t="str">
        <f t="shared" si="17"/>
        <v>NP52205R</v>
      </c>
      <c r="K93" t="str">
        <f t="shared" si="15"/>
        <v>INEI</v>
      </c>
      <c r="L93" t="s">
        <v>36</v>
      </c>
      <c r="M93">
        <v>123.53</v>
      </c>
    </row>
    <row r="94" spans="1:13" x14ac:dyDescent="0.25">
      <c r="A94" t="str">
        <f t="shared" si="16"/>
        <v>E111</v>
      </c>
      <c r="B94">
        <v>1</v>
      </c>
      <c r="C94" t="str">
        <f t="shared" si="12"/>
        <v>32040</v>
      </c>
      <c r="D94" t="str">
        <f t="shared" si="13"/>
        <v>5610</v>
      </c>
      <c r="E94" t="str">
        <f t="shared" si="14"/>
        <v>850LOS</v>
      </c>
      <c r="F94" t="str">
        <f>""</f>
        <v/>
      </c>
      <c r="G94" t="str">
        <f>""</f>
        <v/>
      </c>
      <c r="H94" s="1">
        <v>40975</v>
      </c>
      <c r="I94" t="str">
        <f>"79687601"</f>
        <v>79687601</v>
      </c>
      <c r="J94" t="str">
        <f t="shared" si="17"/>
        <v>NP52205R</v>
      </c>
      <c r="K94" t="str">
        <f t="shared" si="15"/>
        <v>INEI</v>
      </c>
      <c r="L94" t="s">
        <v>36</v>
      </c>
      <c r="M94">
        <v>400.67</v>
      </c>
    </row>
    <row r="95" spans="1:13" x14ac:dyDescent="0.25">
      <c r="A95" t="str">
        <f t="shared" si="16"/>
        <v>E111</v>
      </c>
      <c r="B95">
        <v>1</v>
      </c>
      <c r="C95" t="str">
        <f t="shared" si="12"/>
        <v>32040</v>
      </c>
      <c r="D95" t="str">
        <f t="shared" si="13"/>
        <v>5610</v>
      </c>
      <c r="E95" t="str">
        <f t="shared" si="14"/>
        <v>850LOS</v>
      </c>
      <c r="F95" t="str">
        <f>""</f>
        <v/>
      </c>
      <c r="G95" t="str">
        <f>""</f>
        <v/>
      </c>
      <c r="H95" s="1">
        <v>40975</v>
      </c>
      <c r="I95" t="str">
        <f>"79687602"</f>
        <v>79687602</v>
      </c>
      <c r="J95" t="str">
        <f t="shared" si="17"/>
        <v>NP52205R</v>
      </c>
      <c r="K95" t="str">
        <f t="shared" si="15"/>
        <v>INEI</v>
      </c>
      <c r="L95" t="s">
        <v>36</v>
      </c>
      <c r="M95">
        <v>456.16</v>
      </c>
    </row>
    <row r="96" spans="1:13" x14ac:dyDescent="0.25">
      <c r="A96" t="str">
        <f t="shared" si="16"/>
        <v>E111</v>
      </c>
      <c r="B96">
        <v>1</v>
      </c>
      <c r="C96" t="str">
        <f t="shared" si="12"/>
        <v>32040</v>
      </c>
      <c r="D96" t="str">
        <f t="shared" si="13"/>
        <v>5610</v>
      </c>
      <c r="E96" t="str">
        <f t="shared" si="14"/>
        <v>850LOS</v>
      </c>
      <c r="F96" t="str">
        <f>""</f>
        <v/>
      </c>
      <c r="G96" t="str">
        <f>""</f>
        <v/>
      </c>
      <c r="H96" s="1">
        <v>40975</v>
      </c>
      <c r="I96" t="str">
        <f>"79490701"</f>
        <v>79490701</v>
      </c>
      <c r="J96" t="str">
        <f t="shared" si="17"/>
        <v>NP52205R</v>
      </c>
      <c r="K96" t="str">
        <f t="shared" si="15"/>
        <v>INEI</v>
      </c>
      <c r="L96" t="s">
        <v>36</v>
      </c>
      <c r="M96" s="2">
        <v>1682.67</v>
      </c>
    </row>
    <row r="97" spans="1:13" x14ac:dyDescent="0.25">
      <c r="A97" t="str">
        <f t="shared" si="16"/>
        <v>E111</v>
      </c>
      <c r="B97">
        <v>1</v>
      </c>
      <c r="C97" t="str">
        <f t="shared" si="12"/>
        <v>32040</v>
      </c>
      <c r="D97" t="str">
        <f t="shared" si="13"/>
        <v>5610</v>
      </c>
      <c r="E97" t="str">
        <f t="shared" si="14"/>
        <v>850LOS</v>
      </c>
      <c r="F97" t="str">
        <f>""</f>
        <v/>
      </c>
      <c r="G97" t="str">
        <f>""</f>
        <v/>
      </c>
      <c r="H97" s="1">
        <v>40988</v>
      </c>
      <c r="I97" t="str">
        <f>"79762402"</f>
        <v>79762402</v>
      </c>
      <c r="J97" t="str">
        <f t="shared" si="17"/>
        <v>NP52205R</v>
      </c>
      <c r="K97" t="str">
        <f t="shared" si="15"/>
        <v>INEI</v>
      </c>
      <c r="L97" t="s">
        <v>36</v>
      </c>
      <c r="M97">
        <v>115.3</v>
      </c>
    </row>
    <row r="98" spans="1:13" x14ac:dyDescent="0.25">
      <c r="A98" t="str">
        <f t="shared" si="16"/>
        <v>E111</v>
      </c>
      <c r="B98">
        <v>1</v>
      </c>
      <c r="C98" t="str">
        <f t="shared" si="12"/>
        <v>32040</v>
      </c>
      <c r="D98" t="str">
        <f t="shared" si="13"/>
        <v>5610</v>
      </c>
      <c r="E98" t="str">
        <f t="shared" si="14"/>
        <v>850LOS</v>
      </c>
      <c r="F98" t="str">
        <f>""</f>
        <v/>
      </c>
      <c r="G98" t="str">
        <f>""</f>
        <v/>
      </c>
      <c r="H98" s="1">
        <v>40988</v>
      </c>
      <c r="I98" t="str">
        <f>"79762401"</f>
        <v>79762401</v>
      </c>
      <c r="J98" t="str">
        <f t="shared" si="17"/>
        <v>NP52205R</v>
      </c>
      <c r="K98" t="str">
        <f t="shared" si="15"/>
        <v>INEI</v>
      </c>
      <c r="L98" t="s">
        <v>36</v>
      </c>
      <c r="M98">
        <v>412.25</v>
      </c>
    </row>
    <row r="99" spans="1:13" x14ac:dyDescent="0.25">
      <c r="A99" t="str">
        <f t="shared" si="16"/>
        <v>E111</v>
      </c>
      <c r="B99">
        <v>1</v>
      </c>
      <c r="C99" t="str">
        <f t="shared" si="12"/>
        <v>32040</v>
      </c>
      <c r="D99" t="str">
        <f t="shared" si="13"/>
        <v>5610</v>
      </c>
      <c r="E99" t="str">
        <f t="shared" si="14"/>
        <v>850LOS</v>
      </c>
      <c r="F99" t="str">
        <f>""</f>
        <v/>
      </c>
      <c r="G99" t="str">
        <f>""</f>
        <v/>
      </c>
      <c r="H99" s="1">
        <v>40988</v>
      </c>
      <c r="I99" t="str">
        <f>"79490801"</f>
        <v>79490801</v>
      </c>
      <c r="J99" t="str">
        <f t="shared" si="17"/>
        <v>NP52205R</v>
      </c>
      <c r="K99" t="str">
        <f t="shared" si="15"/>
        <v>INEI</v>
      </c>
      <c r="L99" t="s">
        <v>36</v>
      </c>
      <c r="M99" s="2">
        <v>2306.1999999999998</v>
      </c>
    </row>
    <row r="100" spans="1:13" x14ac:dyDescent="0.25">
      <c r="A100" t="str">
        <f t="shared" si="16"/>
        <v>E111</v>
      </c>
      <c r="B100">
        <v>1</v>
      </c>
      <c r="C100" t="str">
        <f t="shared" si="12"/>
        <v>32040</v>
      </c>
      <c r="D100" t="str">
        <f t="shared" si="13"/>
        <v>5610</v>
      </c>
      <c r="E100" t="str">
        <f t="shared" si="14"/>
        <v>850LOS</v>
      </c>
      <c r="F100" t="str">
        <f>""</f>
        <v/>
      </c>
      <c r="G100" t="str">
        <f>""</f>
        <v/>
      </c>
      <c r="H100" s="1">
        <v>41001</v>
      </c>
      <c r="I100" t="str">
        <f>"79762403"</f>
        <v>79762403</v>
      </c>
      <c r="J100" t="str">
        <f t="shared" si="17"/>
        <v>NP52205R</v>
      </c>
      <c r="K100" t="str">
        <f t="shared" si="15"/>
        <v>INEI</v>
      </c>
      <c r="L100" t="s">
        <v>36</v>
      </c>
      <c r="M100">
        <v>311.82</v>
      </c>
    </row>
    <row r="101" spans="1:13" x14ac:dyDescent="0.25">
      <c r="A101" t="str">
        <f t="shared" si="16"/>
        <v>E111</v>
      </c>
      <c r="B101">
        <v>1</v>
      </c>
      <c r="C101" t="str">
        <f t="shared" si="12"/>
        <v>32040</v>
      </c>
      <c r="D101" t="str">
        <f t="shared" si="13"/>
        <v>5610</v>
      </c>
      <c r="E101" t="str">
        <f t="shared" si="14"/>
        <v>850LOS</v>
      </c>
      <c r="F101" t="str">
        <f>""</f>
        <v/>
      </c>
      <c r="G101" t="str">
        <f>""</f>
        <v/>
      </c>
      <c r="H101" s="1">
        <v>41001</v>
      </c>
      <c r="I101" t="str">
        <f>"79762404"</f>
        <v>79762404</v>
      </c>
      <c r="J101" t="str">
        <f t="shared" si="17"/>
        <v>NP52205R</v>
      </c>
      <c r="K101" t="str">
        <f t="shared" si="15"/>
        <v>INEI</v>
      </c>
      <c r="L101" t="s">
        <v>36</v>
      </c>
      <c r="M101">
        <v>923.18</v>
      </c>
    </row>
    <row r="102" spans="1:13" x14ac:dyDescent="0.25">
      <c r="A102" t="str">
        <f t="shared" si="16"/>
        <v>E111</v>
      </c>
      <c r="B102">
        <v>1</v>
      </c>
      <c r="C102" t="str">
        <f t="shared" ref="C102:C129" si="18">"32040"</f>
        <v>32040</v>
      </c>
      <c r="D102" t="str">
        <f t="shared" ref="D102:D129" si="19">"5610"</f>
        <v>5610</v>
      </c>
      <c r="E102" t="str">
        <f t="shared" ref="E102:E133" si="20">"850LOS"</f>
        <v>850LOS</v>
      </c>
      <c r="F102" t="str">
        <f>""</f>
        <v/>
      </c>
      <c r="G102" t="str">
        <f>""</f>
        <v/>
      </c>
      <c r="H102" s="1">
        <v>41015</v>
      </c>
      <c r="I102" t="str">
        <f>"79701901"</f>
        <v>79701901</v>
      </c>
      <c r="J102" t="str">
        <f t="shared" si="17"/>
        <v>NP52205R</v>
      </c>
      <c r="K102" t="str">
        <f t="shared" si="15"/>
        <v>INEI</v>
      </c>
      <c r="L102" t="s">
        <v>36</v>
      </c>
      <c r="M102" s="2">
        <v>3271.95</v>
      </c>
    </row>
    <row r="103" spans="1:13" x14ac:dyDescent="0.25">
      <c r="A103" t="str">
        <f t="shared" si="16"/>
        <v>E111</v>
      </c>
      <c r="B103">
        <v>1</v>
      </c>
      <c r="C103" t="str">
        <f t="shared" si="18"/>
        <v>32040</v>
      </c>
      <c r="D103" t="str">
        <f t="shared" si="19"/>
        <v>5610</v>
      </c>
      <c r="E103" t="str">
        <f t="shared" si="20"/>
        <v>850LOS</v>
      </c>
      <c r="F103" t="str">
        <f>""</f>
        <v/>
      </c>
      <c r="G103" t="str">
        <f>""</f>
        <v/>
      </c>
      <c r="H103" s="1">
        <v>41015</v>
      </c>
      <c r="I103" t="str">
        <f>"79687603"</f>
        <v>79687603</v>
      </c>
      <c r="J103" t="str">
        <f t="shared" si="17"/>
        <v>NP52205R</v>
      </c>
      <c r="K103" t="str">
        <f t="shared" ref="K103:K129" si="21">"INEI"</f>
        <v>INEI</v>
      </c>
      <c r="L103" t="s">
        <v>36</v>
      </c>
      <c r="M103">
        <v>714.07</v>
      </c>
    </row>
    <row r="104" spans="1:13" x14ac:dyDescent="0.25">
      <c r="A104" t="str">
        <f t="shared" si="16"/>
        <v>E111</v>
      </c>
      <c r="B104">
        <v>1</v>
      </c>
      <c r="C104" t="str">
        <f t="shared" si="18"/>
        <v>32040</v>
      </c>
      <c r="D104" t="str">
        <f t="shared" si="19"/>
        <v>5610</v>
      </c>
      <c r="E104" t="str">
        <f t="shared" si="20"/>
        <v>850LOS</v>
      </c>
      <c r="F104" t="str">
        <f>""</f>
        <v/>
      </c>
      <c r="G104" t="str">
        <f>""</f>
        <v/>
      </c>
      <c r="H104" s="1">
        <v>41015</v>
      </c>
      <c r="I104" t="str">
        <f>"79987602"</f>
        <v>79987602</v>
      </c>
      <c r="J104" t="str">
        <f t="shared" si="17"/>
        <v>NP52205R</v>
      </c>
      <c r="K104" t="str">
        <f t="shared" si="21"/>
        <v>INEI</v>
      </c>
      <c r="L104" t="s">
        <v>36</v>
      </c>
      <c r="M104">
        <v>306.14999999999998</v>
      </c>
    </row>
    <row r="105" spans="1:13" x14ac:dyDescent="0.25">
      <c r="A105" t="str">
        <f t="shared" si="16"/>
        <v>E111</v>
      </c>
      <c r="B105">
        <v>1</v>
      </c>
      <c r="C105" t="str">
        <f t="shared" si="18"/>
        <v>32040</v>
      </c>
      <c r="D105" t="str">
        <f t="shared" si="19"/>
        <v>5610</v>
      </c>
      <c r="E105" t="str">
        <f t="shared" si="20"/>
        <v>850LOS</v>
      </c>
      <c r="F105" t="str">
        <f>""</f>
        <v/>
      </c>
      <c r="G105" t="str">
        <f>""</f>
        <v/>
      </c>
      <c r="H105" s="1">
        <v>41015</v>
      </c>
      <c r="I105" t="str">
        <f>"79701902"</f>
        <v>79701902</v>
      </c>
      <c r="J105" t="str">
        <f t="shared" si="17"/>
        <v>NP52205R</v>
      </c>
      <c r="K105" t="str">
        <f t="shared" si="21"/>
        <v>INEI</v>
      </c>
      <c r="L105" t="s">
        <v>36</v>
      </c>
      <c r="M105" s="2">
        <v>1140.7</v>
      </c>
    </row>
    <row r="106" spans="1:13" x14ac:dyDescent="0.25">
      <c r="A106" t="str">
        <f t="shared" si="16"/>
        <v>E111</v>
      </c>
      <c r="B106">
        <v>1</v>
      </c>
      <c r="C106" t="str">
        <f t="shared" si="18"/>
        <v>32040</v>
      </c>
      <c r="D106" t="str">
        <f t="shared" si="19"/>
        <v>5610</v>
      </c>
      <c r="E106" t="str">
        <f t="shared" si="20"/>
        <v>850LOS</v>
      </c>
      <c r="F106" t="str">
        <f>""</f>
        <v/>
      </c>
      <c r="G106" t="str">
        <f>""</f>
        <v/>
      </c>
      <c r="H106" s="1">
        <v>41015</v>
      </c>
      <c r="I106" t="str">
        <f>"79820302"</f>
        <v>79820302</v>
      </c>
      <c r="J106" t="str">
        <f t="shared" si="17"/>
        <v>NP52205R</v>
      </c>
      <c r="K106" t="str">
        <f t="shared" si="21"/>
        <v>INEI</v>
      </c>
      <c r="L106" t="s">
        <v>36</v>
      </c>
      <c r="M106">
        <v>237.73</v>
      </c>
    </row>
    <row r="107" spans="1:13" x14ac:dyDescent="0.25">
      <c r="A107" t="str">
        <f t="shared" ref="A107:A138" si="22">"E111"</f>
        <v>E111</v>
      </c>
      <c r="B107">
        <v>1</v>
      </c>
      <c r="C107" t="str">
        <f t="shared" si="18"/>
        <v>32040</v>
      </c>
      <c r="D107" t="str">
        <f t="shared" si="19"/>
        <v>5610</v>
      </c>
      <c r="E107" t="str">
        <f t="shared" si="20"/>
        <v>850LOS</v>
      </c>
      <c r="F107" t="str">
        <f>""</f>
        <v/>
      </c>
      <c r="G107" t="str">
        <f>""</f>
        <v/>
      </c>
      <c r="H107" s="1">
        <v>41033</v>
      </c>
      <c r="I107" t="str">
        <f>"80129002"</f>
        <v>80129002</v>
      </c>
      <c r="J107" t="str">
        <f t="shared" si="17"/>
        <v>NP52205R</v>
      </c>
      <c r="K107" t="str">
        <f t="shared" si="21"/>
        <v>INEI</v>
      </c>
      <c r="L107" t="s">
        <v>36</v>
      </c>
      <c r="M107">
        <v>236.75</v>
      </c>
    </row>
    <row r="108" spans="1:13" x14ac:dyDescent="0.25">
      <c r="A108" t="str">
        <f t="shared" si="22"/>
        <v>E111</v>
      </c>
      <c r="B108">
        <v>1</v>
      </c>
      <c r="C108" t="str">
        <f t="shared" si="18"/>
        <v>32040</v>
      </c>
      <c r="D108" t="str">
        <f t="shared" si="19"/>
        <v>5610</v>
      </c>
      <c r="E108" t="str">
        <f t="shared" si="20"/>
        <v>850LOS</v>
      </c>
      <c r="F108" t="str">
        <f>""</f>
        <v/>
      </c>
      <c r="G108" t="str">
        <f>""</f>
        <v/>
      </c>
      <c r="H108" s="1">
        <v>41033</v>
      </c>
      <c r="I108" t="str">
        <f>"79820303"</f>
        <v>79820303</v>
      </c>
      <c r="J108" t="str">
        <f t="shared" si="17"/>
        <v>NP52205R</v>
      </c>
      <c r="K108" t="str">
        <f t="shared" si="21"/>
        <v>INEI</v>
      </c>
      <c r="L108" t="s">
        <v>36</v>
      </c>
      <c r="M108">
        <v>190.12</v>
      </c>
    </row>
    <row r="109" spans="1:13" x14ac:dyDescent="0.25">
      <c r="A109" t="str">
        <f t="shared" si="22"/>
        <v>E111</v>
      </c>
      <c r="B109">
        <v>1</v>
      </c>
      <c r="C109" t="str">
        <f t="shared" si="18"/>
        <v>32040</v>
      </c>
      <c r="D109" t="str">
        <f t="shared" si="19"/>
        <v>5610</v>
      </c>
      <c r="E109" t="str">
        <f t="shared" si="20"/>
        <v>850LOS</v>
      </c>
      <c r="F109" t="str">
        <f>""</f>
        <v/>
      </c>
      <c r="G109" t="str">
        <f>""</f>
        <v/>
      </c>
      <c r="H109" s="1">
        <v>41033</v>
      </c>
      <c r="I109" t="str">
        <f>"79987901"</f>
        <v>79987901</v>
      </c>
      <c r="J109" t="str">
        <f t="shared" si="17"/>
        <v>NP52205R</v>
      </c>
      <c r="K109" t="str">
        <f t="shared" si="21"/>
        <v>INEI</v>
      </c>
      <c r="L109" t="s">
        <v>36</v>
      </c>
      <c r="M109" s="2">
        <v>8187.19</v>
      </c>
    </row>
    <row r="110" spans="1:13" x14ac:dyDescent="0.25">
      <c r="A110" t="str">
        <f t="shared" si="22"/>
        <v>E111</v>
      </c>
      <c r="B110">
        <v>1</v>
      </c>
      <c r="C110" t="str">
        <f t="shared" si="18"/>
        <v>32040</v>
      </c>
      <c r="D110" t="str">
        <f t="shared" si="19"/>
        <v>5610</v>
      </c>
      <c r="E110" t="str">
        <f t="shared" si="20"/>
        <v>850LOS</v>
      </c>
      <c r="F110" t="str">
        <f>""</f>
        <v/>
      </c>
      <c r="G110" t="str">
        <f>""</f>
        <v/>
      </c>
      <c r="H110" s="1">
        <v>41033</v>
      </c>
      <c r="I110" t="str">
        <f>"79987603"</f>
        <v>79987603</v>
      </c>
      <c r="J110" t="str">
        <f t="shared" si="17"/>
        <v>NP52205R</v>
      </c>
      <c r="K110" t="str">
        <f t="shared" si="21"/>
        <v>INEI</v>
      </c>
      <c r="L110" t="s">
        <v>36</v>
      </c>
      <c r="M110" s="2">
        <v>1048.8699999999999</v>
      </c>
    </row>
    <row r="111" spans="1:13" x14ac:dyDescent="0.25">
      <c r="A111" t="str">
        <f t="shared" si="22"/>
        <v>E111</v>
      </c>
      <c r="B111">
        <v>1</v>
      </c>
      <c r="C111" t="str">
        <f t="shared" si="18"/>
        <v>32040</v>
      </c>
      <c r="D111" t="str">
        <f t="shared" si="19"/>
        <v>5610</v>
      </c>
      <c r="E111" t="str">
        <f t="shared" si="20"/>
        <v>850LOS</v>
      </c>
      <c r="F111" t="str">
        <f>""</f>
        <v/>
      </c>
      <c r="G111" t="str">
        <f>""</f>
        <v/>
      </c>
      <c r="H111" s="1">
        <v>41039</v>
      </c>
      <c r="I111" t="str">
        <f>"79687604"</f>
        <v>79687604</v>
      </c>
      <c r="J111" t="str">
        <f t="shared" ref="J111:J129" si="23">"NP52205R"</f>
        <v>NP52205R</v>
      </c>
      <c r="K111" t="str">
        <f t="shared" si="21"/>
        <v>INEI</v>
      </c>
      <c r="L111" t="s">
        <v>36</v>
      </c>
      <c r="M111">
        <v>662.9</v>
      </c>
    </row>
    <row r="112" spans="1:13" x14ac:dyDescent="0.25">
      <c r="A112" t="str">
        <f t="shared" si="22"/>
        <v>E111</v>
      </c>
      <c r="B112">
        <v>1</v>
      </c>
      <c r="C112" t="str">
        <f t="shared" si="18"/>
        <v>32040</v>
      </c>
      <c r="D112" t="str">
        <f t="shared" si="19"/>
        <v>5610</v>
      </c>
      <c r="E112" t="str">
        <f t="shared" si="20"/>
        <v>850LOS</v>
      </c>
      <c r="F112" t="str">
        <f>""</f>
        <v/>
      </c>
      <c r="G112" t="str">
        <f>""</f>
        <v/>
      </c>
      <c r="H112" s="1">
        <v>41039</v>
      </c>
      <c r="I112" t="str">
        <f>"80361303"</f>
        <v>80361303</v>
      </c>
      <c r="J112" t="str">
        <f t="shared" si="23"/>
        <v>NP52205R</v>
      </c>
      <c r="K112" t="str">
        <f t="shared" si="21"/>
        <v>INEI</v>
      </c>
      <c r="L112" t="s">
        <v>36</v>
      </c>
      <c r="M112">
        <v>511.33</v>
      </c>
    </row>
    <row r="113" spans="1:13" x14ac:dyDescent="0.25">
      <c r="A113" t="str">
        <f t="shared" si="22"/>
        <v>E111</v>
      </c>
      <c r="B113">
        <v>1</v>
      </c>
      <c r="C113" t="str">
        <f t="shared" si="18"/>
        <v>32040</v>
      </c>
      <c r="D113" t="str">
        <f t="shared" si="19"/>
        <v>5610</v>
      </c>
      <c r="E113" t="str">
        <f t="shared" si="20"/>
        <v>850LOS</v>
      </c>
      <c r="F113" t="str">
        <f>""</f>
        <v/>
      </c>
      <c r="G113" t="str">
        <f>""</f>
        <v/>
      </c>
      <c r="H113" s="1">
        <v>41039</v>
      </c>
      <c r="I113" t="str">
        <f>"80361302"</f>
        <v>80361302</v>
      </c>
      <c r="J113" t="str">
        <f t="shared" si="23"/>
        <v>NP52205R</v>
      </c>
      <c r="K113" t="str">
        <f t="shared" si="21"/>
        <v>INEI</v>
      </c>
      <c r="L113" t="s">
        <v>36</v>
      </c>
      <c r="M113">
        <v>779.91</v>
      </c>
    </row>
    <row r="114" spans="1:13" x14ac:dyDescent="0.25">
      <c r="A114" t="str">
        <f t="shared" si="22"/>
        <v>E111</v>
      </c>
      <c r="B114">
        <v>1</v>
      </c>
      <c r="C114" t="str">
        <f t="shared" si="18"/>
        <v>32040</v>
      </c>
      <c r="D114" t="str">
        <f t="shared" si="19"/>
        <v>5610</v>
      </c>
      <c r="E114" t="str">
        <f t="shared" si="20"/>
        <v>850LOS</v>
      </c>
      <c r="F114" t="str">
        <f>""</f>
        <v/>
      </c>
      <c r="G114" t="str">
        <f>""</f>
        <v/>
      </c>
      <c r="H114" s="1">
        <v>41039</v>
      </c>
      <c r="I114" t="str">
        <f>"80129005"</f>
        <v>80129005</v>
      </c>
      <c r="J114" t="str">
        <f t="shared" si="23"/>
        <v>NP52205R</v>
      </c>
      <c r="K114" t="str">
        <f t="shared" si="21"/>
        <v>INEI</v>
      </c>
      <c r="L114" t="s">
        <v>36</v>
      </c>
      <c r="M114">
        <v>393.61</v>
      </c>
    </row>
    <row r="115" spans="1:13" x14ac:dyDescent="0.25">
      <c r="A115" t="str">
        <f t="shared" si="22"/>
        <v>E111</v>
      </c>
      <c r="B115">
        <v>1</v>
      </c>
      <c r="C115" t="str">
        <f t="shared" si="18"/>
        <v>32040</v>
      </c>
      <c r="D115" t="str">
        <f t="shared" si="19"/>
        <v>5610</v>
      </c>
      <c r="E115" t="str">
        <f t="shared" si="20"/>
        <v>850LOS</v>
      </c>
      <c r="F115" t="str">
        <f>""</f>
        <v/>
      </c>
      <c r="G115" t="str">
        <f>""</f>
        <v/>
      </c>
      <c r="H115" s="1">
        <v>41039</v>
      </c>
      <c r="I115" t="str">
        <f>"80279301"</f>
        <v>80279301</v>
      </c>
      <c r="J115" t="str">
        <f t="shared" si="23"/>
        <v>NP52205R</v>
      </c>
      <c r="K115" t="str">
        <f t="shared" si="21"/>
        <v>INEI</v>
      </c>
      <c r="L115" t="s">
        <v>36</v>
      </c>
      <c r="M115">
        <v>313.64999999999998</v>
      </c>
    </row>
    <row r="116" spans="1:13" x14ac:dyDescent="0.25">
      <c r="A116" t="str">
        <f t="shared" si="22"/>
        <v>E111</v>
      </c>
      <c r="B116">
        <v>1</v>
      </c>
      <c r="C116" t="str">
        <f t="shared" si="18"/>
        <v>32040</v>
      </c>
      <c r="D116" t="str">
        <f t="shared" si="19"/>
        <v>5610</v>
      </c>
      <c r="E116" t="str">
        <f t="shared" si="20"/>
        <v>850LOS</v>
      </c>
      <c r="F116" t="str">
        <f>""</f>
        <v/>
      </c>
      <c r="G116" t="str">
        <f>""</f>
        <v/>
      </c>
      <c r="H116" s="1">
        <v>41051</v>
      </c>
      <c r="I116" t="str">
        <f>"80212401"</f>
        <v>80212401</v>
      </c>
      <c r="J116" t="str">
        <f t="shared" si="23"/>
        <v>NP52205R</v>
      </c>
      <c r="K116" t="str">
        <f t="shared" si="21"/>
        <v>INEI</v>
      </c>
      <c r="L116" t="s">
        <v>36</v>
      </c>
      <c r="M116">
        <v>934.98</v>
      </c>
    </row>
    <row r="117" spans="1:13" x14ac:dyDescent="0.25">
      <c r="A117" t="str">
        <f t="shared" si="22"/>
        <v>E111</v>
      </c>
      <c r="B117">
        <v>1</v>
      </c>
      <c r="C117" t="str">
        <f t="shared" si="18"/>
        <v>32040</v>
      </c>
      <c r="D117" t="str">
        <f t="shared" si="19"/>
        <v>5610</v>
      </c>
      <c r="E117" t="str">
        <f t="shared" si="20"/>
        <v>850LOS</v>
      </c>
      <c r="F117" t="str">
        <f>""</f>
        <v/>
      </c>
      <c r="G117" t="str">
        <f>""</f>
        <v/>
      </c>
      <c r="H117" s="1">
        <v>41051</v>
      </c>
      <c r="I117" t="str">
        <f>"80279302"</f>
        <v>80279302</v>
      </c>
      <c r="J117" t="str">
        <f t="shared" si="23"/>
        <v>NP52205R</v>
      </c>
      <c r="K117" t="str">
        <f t="shared" si="21"/>
        <v>INEI</v>
      </c>
      <c r="L117" t="s">
        <v>36</v>
      </c>
      <c r="M117">
        <v>990.23</v>
      </c>
    </row>
    <row r="118" spans="1:13" x14ac:dyDescent="0.25">
      <c r="A118" t="str">
        <f t="shared" si="22"/>
        <v>E111</v>
      </c>
      <c r="B118">
        <v>1</v>
      </c>
      <c r="C118" t="str">
        <f t="shared" si="18"/>
        <v>32040</v>
      </c>
      <c r="D118" t="str">
        <f t="shared" si="19"/>
        <v>5610</v>
      </c>
      <c r="E118" t="str">
        <f t="shared" si="20"/>
        <v>850LOS</v>
      </c>
      <c r="F118" t="str">
        <f>""</f>
        <v/>
      </c>
      <c r="G118" t="str">
        <f>""</f>
        <v/>
      </c>
      <c r="H118" s="1">
        <v>41054</v>
      </c>
      <c r="I118" t="str">
        <f>"80361304"</f>
        <v>80361304</v>
      </c>
      <c r="J118" t="str">
        <f t="shared" si="23"/>
        <v>NP52205R</v>
      </c>
      <c r="K118" t="str">
        <f t="shared" si="21"/>
        <v>INEI</v>
      </c>
      <c r="L118" t="s">
        <v>36</v>
      </c>
      <c r="M118" s="2">
        <v>1230.92</v>
      </c>
    </row>
    <row r="119" spans="1:13" x14ac:dyDescent="0.25">
      <c r="A119" t="str">
        <f t="shared" si="22"/>
        <v>E111</v>
      </c>
      <c r="B119">
        <v>1</v>
      </c>
      <c r="C119" t="str">
        <f t="shared" si="18"/>
        <v>32040</v>
      </c>
      <c r="D119" t="str">
        <f t="shared" si="19"/>
        <v>5610</v>
      </c>
      <c r="E119" t="str">
        <f t="shared" si="20"/>
        <v>850LOS</v>
      </c>
      <c r="F119" t="str">
        <f>""</f>
        <v/>
      </c>
      <c r="G119" t="str">
        <f>""</f>
        <v/>
      </c>
      <c r="H119" s="1">
        <v>41064</v>
      </c>
      <c r="I119" t="str">
        <f>"80189901"</f>
        <v>80189901</v>
      </c>
      <c r="J119" t="str">
        <f t="shared" si="23"/>
        <v>NP52205R</v>
      </c>
      <c r="K119" t="str">
        <f t="shared" si="21"/>
        <v>INEI</v>
      </c>
      <c r="L119" t="s">
        <v>36</v>
      </c>
      <c r="M119" s="2">
        <v>21478.62</v>
      </c>
    </row>
    <row r="120" spans="1:13" x14ac:dyDescent="0.25">
      <c r="A120" t="str">
        <f t="shared" si="22"/>
        <v>E111</v>
      </c>
      <c r="B120">
        <v>1</v>
      </c>
      <c r="C120" t="str">
        <f t="shared" si="18"/>
        <v>32040</v>
      </c>
      <c r="D120" t="str">
        <f t="shared" si="19"/>
        <v>5610</v>
      </c>
      <c r="E120" t="str">
        <f t="shared" si="20"/>
        <v>850LOS</v>
      </c>
      <c r="F120" t="str">
        <f>""</f>
        <v/>
      </c>
      <c r="G120" t="str">
        <f>""</f>
        <v/>
      </c>
      <c r="H120" s="1">
        <v>41064</v>
      </c>
      <c r="I120" t="str">
        <f>"80413001"</f>
        <v>80413001</v>
      </c>
      <c r="J120" t="str">
        <f t="shared" si="23"/>
        <v>NP52205R</v>
      </c>
      <c r="K120" t="str">
        <f t="shared" si="21"/>
        <v>INEI</v>
      </c>
      <c r="L120" t="s">
        <v>36</v>
      </c>
      <c r="M120">
        <v>957.52</v>
      </c>
    </row>
    <row r="121" spans="1:13" x14ac:dyDescent="0.25">
      <c r="A121" t="str">
        <f t="shared" si="22"/>
        <v>E111</v>
      </c>
      <c r="B121">
        <v>1</v>
      </c>
      <c r="C121" t="str">
        <f t="shared" si="18"/>
        <v>32040</v>
      </c>
      <c r="D121" t="str">
        <f t="shared" si="19"/>
        <v>5610</v>
      </c>
      <c r="E121" t="str">
        <f t="shared" si="20"/>
        <v>850LOS</v>
      </c>
      <c r="F121" t="str">
        <f>""</f>
        <v/>
      </c>
      <c r="G121" t="str">
        <f>""</f>
        <v/>
      </c>
      <c r="H121" s="1">
        <v>41082</v>
      </c>
      <c r="I121" t="str">
        <f>"80767002"</f>
        <v>80767002</v>
      </c>
      <c r="J121" t="str">
        <f t="shared" si="23"/>
        <v>NP52205R</v>
      </c>
      <c r="K121" t="str">
        <f t="shared" si="21"/>
        <v>INEI</v>
      </c>
      <c r="L121" t="s">
        <v>36</v>
      </c>
      <c r="M121" s="2">
        <v>2585.17</v>
      </c>
    </row>
    <row r="122" spans="1:13" x14ac:dyDescent="0.25">
      <c r="A122" t="str">
        <f t="shared" si="22"/>
        <v>E111</v>
      </c>
      <c r="B122">
        <v>1</v>
      </c>
      <c r="C122" t="str">
        <f t="shared" si="18"/>
        <v>32040</v>
      </c>
      <c r="D122" t="str">
        <f t="shared" si="19"/>
        <v>5610</v>
      </c>
      <c r="E122" t="str">
        <f t="shared" si="20"/>
        <v>850LOS</v>
      </c>
      <c r="F122" t="str">
        <f>""</f>
        <v/>
      </c>
      <c r="G122" t="str">
        <f>""</f>
        <v/>
      </c>
      <c r="H122" s="1">
        <v>41082</v>
      </c>
      <c r="I122" t="str">
        <f>"80767003"</f>
        <v>80767003</v>
      </c>
      <c r="J122" t="str">
        <f t="shared" si="23"/>
        <v>NP52205R</v>
      </c>
      <c r="K122" t="str">
        <f t="shared" si="21"/>
        <v>INEI</v>
      </c>
      <c r="L122" t="s">
        <v>36</v>
      </c>
      <c r="M122">
        <v>281.58999999999997</v>
      </c>
    </row>
    <row r="123" spans="1:13" x14ac:dyDescent="0.25">
      <c r="A123" t="str">
        <f t="shared" si="22"/>
        <v>E111</v>
      </c>
      <c r="B123">
        <v>1</v>
      </c>
      <c r="C123" t="str">
        <f t="shared" si="18"/>
        <v>32040</v>
      </c>
      <c r="D123" t="str">
        <f t="shared" si="19"/>
        <v>5610</v>
      </c>
      <c r="E123" t="str">
        <f t="shared" si="20"/>
        <v>850LOS</v>
      </c>
      <c r="F123" t="str">
        <f>""</f>
        <v/>
      </c>
      <c r="G123" t="str">
        <f>""</f>
        <v/>
      </c>
      <c r="H123" s="1">
        <v>41082</v>
      </c>
      <c r="I123" t="str">
        <f>"80767001"</f>
        <v>80767001</v>
      </c>
      <c r="J123" t="str">
        <f t="shared" si="23"/>
        <v>NP52205R</v>
      </c>
      <c r="K123" t="str">
        <f t="shared" si="21"/>
        <v>INEI</v>
      </c>
      <c r="L123" t="s">
        <v>36</v>
      </c>
      <c r="M123">
        <v>106.83</v>
      </c>
    </row>
    <row r="124" spans="1:13" x14ac:dyDescent="0.25">
      <c r="A124" t="str">
        <f t="shared" si="22"/>
        <v>E111</v>
      </c>
      <c r="B124">
        <v>1</v>
      </c>
      <c r="C124" t="str">
        <f t="shared" si="18"/>
        <v>32040</v>
      </c>
      <c r="D124" t="str">
        <f t="shared" si="19"/>
        <v>5610</v>
      </c>
      <c r="E124" t="str">
        <f t="shared" si="20"/>
        <v>850LOS</v>
      </c>
      <c r="F124" t="str">
        <f>""</f>
        <v/>
      </c>
      <c r="G124" t="str">
        <f>""</f>
        <v/>
      </c>
      <c r="H124" s="1">
        <v>41082</v>
      </c>
      <c r="I124" t="str">
        <f>"80767004"</f>
        <v>80767004</v>
      </c>
      <c r="J124" t="str">
        <f t="shared" si="23"/>
        <v>NP52205R</v>
      </c>
      <c r="K124" t="str">
        <f t="shared" si="21"/>
        <v>INEI</v>
      </c>
      <c r="L124" t="s">
        <v>36</v>
      </c>
      <c r="M124">
        <v>456.16</v>
      </c>
    </row>
    <row r="125" spans="1:13" x14ac:dyDescent="0.25">
      <c r="A125" t="str">
        <f t="shared" si="22"/>
        <v>E111</v>
      </c>
      <c r="B125">
        <v>1</v>
      </c>
      <c r="C125" t="str">
        <f t="shared" si="18"/>
        <v>32040</v>
      </c>
      <c r="D125" t="str">
        <f t="shared" si="19"/>
        <v>5610</v>
      </c>
      <c r="E125" t="str">
        <f t="shared" si="20"/>
        <v>850LOS</v>
      </c>
      <c r="F125" t="str">
        <f>""</f>
        <v/>
      </c>
      <c r="G125" t="str">
        <f>""</f>
        <v/>
      </c>
      <c r="H125" s="1">
        <v>41082</v>
      </c>
      <c r="I125" t="str">
        <f>"80519101"</f>
        <v>80519101</v>
      </c>
      <c r="J125" t="str">
        <f t="shared" si="23"/>
        <v>NP52205R</v>
      </c>
      <c r="K125" t="str">
        <f t="shared" si="21"/>
        <v>INEI</v>
      </c>
      <c r="L125" t="s">
        <v>36</v>
      </c>
      <c r="M125">
        <v>934.98</v>
      </c>
    </row>
    <row r="126" spans="1:13" x14ac:dyDescent="0.25">
      <c r="A126" t="str">
        <f t="shared" si="22"/>
        <v>E111</v>
      </c>
      <c r="B126">
        <v>1</v>
      </c>
      <c r="C126" t="str">
        <f t="shared" si="18"/>
        <v>32040</v>
      </c>
      <c r="D126" t="str">
        <f t="shared" si="19"/>
        <v>5610</v>
      </c>
      <c r="E126" t="str">
        <f t="shared" si="20"/>
        <v>850LOS</v>
      </c>
      <c r="F126" t="str">
        <f>""</f>
        <v/>
      </c>
      <c r="G126" t="str">
        <f>""</f>
        <v/>
      </c>
      <c r="H126" s="1">
        <v>41082</v>
      </c>
      <c r="I126" t="str">
        <f>"80788101"</f>
        <v>80788101</v>
      </c>
      <c r="J126" t="str">
        <f t="shared" si="23"/>
        <v>NP52205R</v>
      </c>
      <c r="K126" t="str">
        <f t="shared" si="21"/>
        <v>INEI</v>
      </c>
      <c r="L126" t="s">
        <v>36</v>
      </c>
      <c r="M126">
        <v>396.21</v>
      </c>
    </row>
    <row r="127" spans="1:13" x14ac:dyDescent="0.25">
      <c r="A127" t="str">
        <f t="shared" si="22"/>
        <v>E111</v>
      </c>
      <c r="B127">
        <v>1</v>
      </c>
      <c r="C127" t="str">
        <f t="shared" si="18"/>
        <v>32040</v>
      </c>
      <c r="D127" t="str">
        <f t="shared" si="19"/>
        <v>5610</v>
      </c>
      <c r="E127" t="str">
        <f t="shared" si="20"/>
        <v>850LOS</v>
      </c>
      <c r="F127" t="str">
        <f>""</f>
        <v/>
      </c>
      <c r="G127" t="str">
        <f>""</f>
        <v/>
      </c>
      <c r="H127" s="1">
        <v>41082</v>
      </c>
      <c r="I127" t="str">
        <f>"80647601"</f>
        <v>80647601</v>
      </c>
      <c r="J127" t="str">
        <f t="shared" si="23"/>
        <v>NP52205R</v>
      </c>
      <c r="K127" t="str">
        <f t="shared" si="21"/>
        <v>INEI</v>
      </c>
      <c r="L127" t="s">
        <v>36</v>
      </c>
      <c r="M127">
        <v>121.14</v>
      </c>
    </row>
    <row r="128" spans="1:13" x14ac:dyDescent="0.25">
      <c r="A128" t="str">
        <f t="shared" si="22"/>
        <v>E111</v>
      </c>
      <c r="B128">
        <v>1</v>
      </c>
      <c r="C128" t="str">
        <f t="shared" si="18"/>
        <v>32040</v>
      </c>
      <c r="D128" t="str">
        <f t="shared" si="19"/>
        <v>5610</v>
      </c>
      <c r="E128" t="str">
        <f t="shared" si="20"/>
        <v>850LOS</v>
      </c>
      <c r="F128" t="str">
        <f>""</f>
        <v/>
      </c>
      <c r="G128" t="str">
        <f>""</f>
        <v/>
      </c>
      <c r="H128" s="1">
        <v>41088</v>
      </c>
      <c r="I128" t="str">
        <f>"80767005"</f>
        <v>80767005</v>
      </c>
      <c r="J128" t="str">
        <f t="shared" si="23"/>
        <v>NP52205R</v>
      </c>
      <c r="K128" t="str">
        <f t="shared" si="21"/>
        <v>INEI</v>
      </c>
      <c r="L128" t="s">
        <v>36</v>
      </c>
      <c r="M128">
        <v>456.16</v>
      </c>
    </row>
    <row r="129" spans="1:13" x14ac:dyDescent="0.25">
      <c r="A129" t="str">
        <f t="shared" si="22"/>
        <v>E111</v>
      </c>
      <c r="B129">
        <v>1</v>
      </c>
      <c r="C129" t="str">
        <f t="shared" si="18"/>
        <v>32040</v>
      </c>
      <c r="D129" t="str">
        <f t="shared" si="19"/>
        <v>5610</v>
      </c>
      <c r="E129" t="str">
        <f t="shared" si="20"/>
        <v>850LOS</v>
      </c>
      <c r="F129" t="str">
        <f>""</f>
        <v/>
      </c>
      <c r="G129" t="str">
        <f>""</f>
        <v/>
      </c>
      <c r="H129" s="1">
        <v>41088</v>
      </c>
      <c r="I129" t="str">
        <f>"80899402"</f>
        <v>80899402</v>
      </c>
      <c r="J129" t="str">
        <f t="shared" si="23"/>
        <v>NP52205R</v>
      </c>
      <c r="K129" t="str">
        <f t="shared" si="21"/>
        <v>INEI</v>
      </c>
      <c r="L129" t="s">
        <v>36</v>
      </c>
      <c r="M129">
        <v>704.38</v>
      </c>
    </row>
    <row r="130" spans="1:13" x14ac:dyDescent="0.25">
      <c r="A130" t="str">
        <f t="shared" si="22"/>
        <v>E111</v>
      </c>
      <c r="B130">
        <v>1</v>
      </c>
      <c r="C130" t="str">
        <f t="shared" ref="C130:C159" si="24">"43000"</f>
        <v>43000</v>
      </c>
      <c r="D130" t="str">
        <f t="shared" ref="D130:D163" si="25">"5740"</f>
        <v>5740</v>
      </c>
      <c r="E130" t="str">
        <f t="shared" si="20"/>
        <v>850LOS</v>
      </c>
      <c r="F130" t="str">
        <f>"PKOLOT"</f>
        <v>PKOLOT</v>
      </c>
      <c r="G130" t="str">
        <f>""</f>
        <v/>
      </c>
      <c r="H130" s="1">
        <v>40785</v>
      </c>
      <c r="I130" t="str">
        <f>"PCD00498"</f>
        <v>PCD00498</v>
      </c>
      <c r="J130" t="str">
        <f>"149491"</f>
        <v>149491</v>
      </c>
      <c r="K130" t="str">
        <f>"AS89"</f>
        <v>AS89</v>
      </c>
      <c r="L130" t="s">
        <v>1875</v>
      </c>
      <c r="M130">
        <v>194.15</v>
      </c>
    </row>
    <row r="131" spans="1:13" x14ac:dyDescent="0.25">
      <c r="A131" t="str">
        <f t="shared" si="22"/>
        <v>E111</v>
      </c>
      <c r="B131">
        <v>1</v>
      </c>
      <c r="C131" t="str">
        <f t="shared" si="24"/>
        <v>43000</v>
      </c>
      <c r="D131" t="str">
        <f t="shared" si="25"/>
        <v>5740</v>
      </c>
      <c r="E131" t="str">
        <f t="shared" si="20"/>
        <v>850LOS</v>
      </c>
      <c r="F131" t="str">
        <f>"PKOLOT"</f>
        <v>PKOLOT</v>
      </c>
      <c r="G131" t="str">
        <f>""</f>
        <v/>
      </c>
      <c r="H131" s="1">
        <v>40785</v>
      </c>
      <c r="I131" t="str">
        <f>"PCD00498"</f>
        <v>PCD00498</v>
      </c>
      <c r="J131" t="str">
        <f>"150166"</f>
        <v>150166</v>
      </c>
      <c r="K131" t="str">
        <f>"AS89"</f>
        <v>AS89</v>
      </c>
      <c r="L131" t="s">
        <v>1874</v>
      </c>
      <c r="M131">
        <v>179.18</v>
      </c>
    </row>
    <row r="132" spans="1:13" x14ac:dyDescent="0.25">
      <c r="A132" t="str">
        <f t="shared" si="22"/>
        <v>E111</v>
      </c>
      <c r="B132">
        <v>1</v>
      </c>
      <c r="C132" t="str">
        <f t="shared" si="24"/>
        <v>43000</v>
      </c>
      <c r="D132" t="str">
        <f t="shared" si="25"/>
        <v>5740</v>
      </c>
      <c r="E132" t="str">
        <f t="shared" si="20"/>
        <v>850LOS</v>
      </c>
      <c r="F132" t="str">
        <f>"PKOLOT"</f>
        <v>PKOLOT</v>
      </c>
      <c r="G132" t="str">
        <f>""</f>
        <v/>
      </c>
      <c r="H132" s="1">
        <v>40968</v>
      </c>
      <c r="I132" t="str">
        <f>"PCD00522"</f>
        <v>PCD00522</v>
      </c>
      <c r="J132" t="str">
        <f>"162765"</f>
        <v>162765</v>
      </c>
      <c r="K132" t="str">
        <f>"AS89"</f>
        <v>AS89</v>
      </c>
      <c r="L132" t="s">
        <v>1873</v>
      </c>
      <c r="M132">
        <v>104.33</v>
      </c>
    </row>
    <row r="133" spans="1:13" x14ac:dyDescent="0.25">
      <c r="A133" t="str">
        <f t="shared" si="22"/>
        <v>E111</v>
      </c>
      <c r="B133">
        <v>1</v>
      </c>
      <c r="C133" t="str">
        <f t="shared" si="24"/>
        <v>43000</v>
      </c>
      <c r="D133" t="str">
        <f t="shared" si="25"/>
        <v>5740</v>
      </c>
      <c r="E133" t="str">
        <f t="shared" si="20"/>
        <v>850LOS</v>
      </c>
      <c r="F133" t="str">
        <f>"PKOLOT"</f>
        <v>PKOLOT</v>
      </c>
      <c r="G133" t="str">
        <f>""</f>
        <v/>
      </c>
      <c r="H133" s="1">
        <v>41026</v>
      </c>
      <c r="I133" t="str">
        <f>"PCD00530"</f>
        <v>PCD00530</v>
      </c>
      <c r="J133" t="str">
        <f>"166332"</f>
        <v>166332</v>
      </c>
      <c r="K133" t="str">
        <f>"AS89"</f>
        <v>AS89</v>
      </c>
      <c r="L133" t="s">
        <v>1872</v>
      </c>
      <c r="M133">
        <v>264.97000000000003</v>
      </c>
    </row>
    <row r="134" spans="1:13" x14ac:dyDescent="0.25">
      <c r="A134" t="str">
        <f t="shared" si="22"/>
        <v>E111</v>
      </c>
      <c r="B134">
        <v>1</v>
      </c>
      <c r="C134" t="str">
        <f t="shared" si="24"/>
        <v>43000</v>
      </c>
      <c r="D134" t="str">
        <f t="shared" si="25"/>
        <v>5740</v>
      </c>
      <c r="E134" t="str">
        <f t="shared" ref="E134:E157" si="26">"850LOS"</f>
        <v>850LOS</v>
      </c>
      <c r="F134" t="str">
        <f>""</f>
        <v/>
      </c>
      <c r="G134" t="str">
        <f>""</f>
        <v/>
      </c>
      <c r="H134" s="1">
        <v>40755</v>
      </c>
      <c r="I134" t="str">
        <f>"PCD00493"</f>
        <v>PCD00493</v>
      </c>
      <c r="J134" t="str">
        <f>"148738"</f>
        <v>148738</v>
      </c>
      <c r="K134" t="str">
        <f>"AS89"</f>
        <v>AS89</v>
      </c>
      <c r="L134" t="s">
        <v>1871</v>
      </c>
      <c r="M134">
        <v>114.11</v>
      </c>
    </row>
    <row r="135" spans="1:13" x14ac:dyDescent="0.25">
      <c r="A135" t="str">
        <f t="shared" si="22"/>
        <v>E111</v>
      </c>
      <c r="B135">
        <v>1</v>
      </c>
      <c r="C135" t="str">
        <f t="shared" si="24"/>
        <v>43000</v>
      </c>
      <c r="D135" t="str">
        <f t="shared" si="25"/>
        <v>5740</v>
      </c>
      <c r="E135" t="str">
        <f t="shared" si="26"/>
        <v>850LOS</v>
      </c>
      <c r="F135" t="str">
        <f>""</f>
        <v/>
      </c>
      <c r="G135" t="str">
        <f>""</f>
        <v/>
      </c>
      <c r="H135" s="1">
        <v>40757</v>
      </c>
      <c r="I135" t="str">
        <f>"C0017307"</f>
        <v>C0017307</v>
      </c>
      <c r="J135" t="str">
        <f>""</f>
        <v/>
      </c>
      <c r="K135" t="str">
        <f>"ISSU"</f>
        <v>ISSU</v>
      </c>
      <c r="L135" t="s">
        <v>1870</v>
      </c>
      <c r="M135">
        <v>149.81</v>
      </c>
    </row>
    <row r="136" spans="1:13" x14ac:dyDescent="0.25">
      <c r="A136" t="str">
        <f t="shared" si="22"/>
        <v>E111</v>
      </c>
      <c r="B136">
        <v>1</v>
      </c>
      <c r="C136" t="str">
        <f t="shared" si="24"/>
        <v>43000</v>
      </c>
      <c r="D136" t="str">
        <f t="shared" si="25"/>
        <v>5740</v>
      </c>
      <c r="E136" t="str">
        <f t="shared" si="26"/>
        <v>850LOS</v>
      </c>
      <c r="F136" t="str">
        <f>""</f>
        <v/>
      </c>
      <c r="G136" t="str">
        <f>""</f>
        <v/>
      </c>
      <c r="H136" s="1">
        <v>40785</v>
      </c>
      <c r="I136" t="str">
        <f>"PCD00498"</f>
        <v>PCD00498</v>
      </c>
      <c r="J136" t="str">
        <f>"149544"</f>
        <v>149544</v>
      </c>
      <c r="K136" t="str">
        <f t="shared" ref="K136:K141" si="27">"AS89"</f>
        <v>AS89</v>
      </c>
      <c r="L136" t="s">
        <v>1869</v>
      </c>
      <c r="M136">
        <v>199.95</v>
      </c>
    </row>
    <row r="137" spans="1:13" x14ac:dyDescent="0.25">
      <c r="A137" t="str">
        <f t="shared" si="22"/>
        <v>E111</v>
      </c>
      <c r="B137">
        <v>1</v>
      </c>
      <c r="C137" t="str">
        <f t="shared" si="24"/>
        <v>43000</v>
      </c>
      <c r="D137" t="str">
        <f t="shared" si="25"/>
        <v>5740</v>
      </c>
      <c r="E137" t="str">
        <f t="shared" si="26"/>
        <v>850LOS</v>
      </c>
      <c r="F137" t="str">
        <f>""</f>
        <v/>
      </c>
      <c r="G137" t="str">
        <f>""</f>
        <v/>
      </c>
      <c r="H137" s="1">
        <v>40785</v>
      </c>
      <c r="I137" t="str">
        <f>"PCD00498"</f>
        <v>PCD00498</v>
      </c>
      <c r="J137" t="str">
        <f>"149782"</f>
        <v>149782</v>
      </c>
      <c r="K137" t="str">
        <f t="shared" si="27"/>
        <v>AS89</v>
      </c>
      <c r="L137" t="s">
        <v>1868</v>
      </c>
      <c r="M137">
        <v>505.4</v>
      </c>
    </row>
    <row r="138" spans="1:13" x14ac:dyDescent="0.25">
      <c r="A138" t="str">
        <f t="shared" si="22"/>
        <v>E111</v>
      </c>
      <c r="B138">
        <v>1</v>
      </c>
      <c r="C138" t="str">
        <f t="shared" si="24"/>
        <v>43000</v>
      </c>
      <c r="D138" t="str">
        <f t="shared" si="25"/>
        <v>5740</v>
      </c>
      <c r="E138" t="str">
        <f t="shared" si="26"/>
        <v>850LOS</v>
      </c>
      <c r="F138" t="str">
        <f>""</f>
        <v/>
      </c>
      <c r="G138" t="str">
        <f>""</f>
        <v/>
      </c>
      <c r="H138" s="1">
        <v>40785</v>
      </c>
      <c r="I138" t="str">
        <f>"PCD00498"</f>
        <v>PCD00498</v>
      </c>
      <c r="J138" t="str">
        <f>"150209"</f>
        <v>150209</v>
      </c>
      <c r="K138" t="str">
        <f t="shared" si="27"/>
        <v>AS89</v>
      </c>
      <c r="L138" t="s">
        <v>1867</v>
      </c>
      <c r="M138">
        <v>123.13</v>
      </c>
    </row>
    <row r="139" spans="1:13" x14ac:dyDescent="0.25">
      <c r="A139" t="str">
        <f t="shared" ref="A139:A163" si="28">"E111"</f>
        <v>E111</v>
      </c>
      <c r="B139">
        <v>1</v>
      </c>
      <c r="C139" t="str">
        <f t="shared" si="24"/>
        <v>43000</v>
      </c>
      <c r="D139" t="str">
        <f t="shared" si="25"/>
        <v>5740</v>
      </c>
      <c r="E139" t="str">
        <f t="shared" si="26"/>
        <v>850LOS</v>
      </c>
      <c r="F139" t="str">
        <f>""</f>
        <v/>
      </c>
      <c r="G139" t="str">
        <f>""</f>
        <v/>
      </c>
      <c r="H139" s="1">
        <v>40795</v>
      </c>
      <c r="I139" t="str">
        <f>"PCD00499"</f>
        <v>PCD00499</v>
      </c>
      <c r="J139" t="str">
        <f>"151109"</f>
        <v>151109</v>
      </c>
      <c r="K139" t="str">
        <f t="shared" si="27"/>
        <v>AS89</v>
      </c>
      <c r="L139" t="s">
        <v>1866</v>
      </c>
      <c r="M139">
        <v>138.44</v>
      </c>
    </row>
    <row r="140" spans="1:13" x14ac:dyDescent="0.25">
      <c r="A140" t="str">
        <f t="shared" si="28"/>
        <v>E111</v>
      </c>
      <c r="B140">
        <v>1</v>
      </c>
      <c r="C140" t="str">
        <f t="shared" si="24"/>
        <v>43000</v>
      </c>
      <c r="D140" t="str">
        <f t="shared" si="25"/>
        <v>5740</v>
      </c>
      <c r="E140" t="str">
        <f t="shared" si="26"/>
        <v>850LOS</v>
      </c>
      <c r="F140" t="str">
        <f>""</f>
        <v/>
      </c>
      <c r="G140" t="str">
        <f>""</f>
        <v/>
      </c>
      <c r="H140" s="1">
        <v>40795</v>
      </c>
      <c r="I140" t="str">
        <f>"PCD00499"</f>
        <v>PCD00499</v>
      </c>
      <c r="J140" t="str">
        <f>"151186"</f>
        <v>151186</v>
      </c>
      <c r="K140" t="str">
        <f t="shared" si="27"/>
        <v>AS89</v>
      </c>
      <c r="L140" t="s">
        <v>1865</v>
      </c>
      <c r="M140">
        <v>164.51</v>
      </c>
    </row>
    <row r="141" spans="1:13" x14ac:dyDescent="0.25">
      <c r="A141" t="str">
        <f t="shared" si="28"/>
        <v>E111</v>
      </c>
      <c r="B141">
        <v>1</v>
      </c>
      <c r="C141" t="str">
        <f t="shared" si="24"/>
        <v>43000</v>
      </c>
      <c r="D141" t="str">
        <f t="shared" si="25"/>
        <v>5740</v>
      </c>
      <c r="E141" t="str">
        <f t="shared" si="26"/>
        <v>850LOS</v>
      </c>
      <c r="F141" t="str">
        <f>""</f>
        <v/>
      </c>
      <c r="G141" t="str">
        <f>""</f>
        <v/>
      </c>
      <c r="H141" s="1">
        <v>40816</v>
      </c>
      <c r="I141" t="str">
        <f>"PCD00502"</f>
        <v>PCD00502</v>
      </c>
      <c r="J141" t="str">
        <f>"151981"</f>
        <v>151981</v>
      </c>
      <c r="K141" t="str">
        <f t="shared" si="27"/>
        <v>AS89</v>
      </c>
      <c r="L141" t="s">
        <v>1864</v>
      </c>
      <c r="M141">
        <v>200.25</v>
      </c>
    </row>
    <row r="142" spans="1:13" x14ac:dyDescent="0.25">
      <c r="A142" t="str">
        <f t="shared" si="28"/>
        <v>E111</v>
      </c>
      <c r="B142">
        <v>1</v>
      </c>
      <c r="C142" t="str">
        <f t="shared" si="24"/>
        <v>43000</v>
      </c>
      <c r="D142" t="str">
        <f t="shared" si="25"/>
        <v>5740</v>
      </c>
      <c r="E142" t="str">
        <f t="shared" si="26"/>
        <v>850LOS</v>
      </c>
      <c r="F142" t="str">
        <f>""</f>
        <v/>
      </c>
      <c r="G142" t="str">
        <f>""</f>
        <v/>
      </c>
      <c r="H142" s="1">
        <v>40829</v>
      </c>
      <c r="I142" t="str">
        <f>"C0017588"</f>
        <v>C0017588</v>
      </c>
      <c r="J142" t="str">
        <f>""</f>
        <v/>
      </c>
      <c r="K142" t="str">
        <f>"ISSU"</f>
        <v>ISSU</v>
      </c>
      <c r="L142" t="s">
        <v>1633</v>
      </c>
      <c r="M142">
        <v>203.76</v>
      </c>
    </row>
    <row r="143" spans="1:13" x14ac:dyDescent="0.25">
      <c r="A143" t="str">
        <f t="shared" si="28"/>
        <v>E111</v>
      </c>
      <c r="B143">
        <v>1</v>
      </c>
      <c r="C143" t="str">
        <f t="shared" si="24"/>
        <v>43000</v>
      </c>
      <c r="D143" t="str">
        <f t="shared" si="25"/>
        <v>5740</v>
      </c>
      <c r="E143" t="str">
        <f t="shared" si="26"/>
        <v>850LOS</v>
      </c>
      <c r="F143" t="str">
        <f>""</f>
        <v/>
      </c>
      <c r="G143" t="str">
        <f>""</f>
        <v/>
      </c>
      <c r="H143" s="1">
        <v>40835</v>
      </c>
      <c r="I143" t="str">
        <f>"PCD00505"</f>
        <v>PCD00505</v>
      </c>
      <c r="J143" t="str">
        <f>"153538"</f>
        <v>153538</v>
      </c>
      <c r="K143" t="str">
        <f>"AS89"</f>
        <v>AS89</v>
      </c>
      <c r="L143" t="s">
        <v>1863</v>
      </c>
      <c r="M143">
        <v>108.05</v>
      </c>
    </row>
    <row r="144" spans="1:13" x14ac:dyDescent="0.25">
      <c r="A144" t="str">
        <f t="shared" si="28"/>
        <v>E111</v>
      </c>
      <c r="B144">
        <v>1</v>
      </c>
      <c r="C144" t="str">
        <f t="shared" si="24"/>
        <v>43000</v>
      </c>
      <c r="D144" t="str">
        <f t="shared" si="25"/>
        <v>5740</v>
      </c>
      <c r="E144" t="str">
        <f t="shared" si="26"/>
        <v>850LOS</v>
      </c>
      <c r="F144" t="str">
        <f>""</f>
        <v/>
      </c>
      <c r="G144" t="str">
        <f>""</f>
        <v/>
      </c>
      <c r="H144" s="1">
        <v>40911</v>
      </c>
      <c r="I144" t="str">
        <f>"PCD00513"</f>
        <v>PCD00513</v>
      </c>
      <c r="J144" t="str">
        <f>"157242"</f>
        <v>157242</v>
      </c>
      <c r="K144" t="str">
        <f>"AS89"</f>
        <v>AS89</v>
      </c>
      <c r="L144" t="s">
        <v>1862</v>
      </c>
      <c r="M144">
        <v>492.94</v>
      </c>
    </row>
    <row r="145" spans="1:13" x14ac:dyDescent="0.25">
      <c r="A145" t="str">
        <f t="shared" si="28"/>
        <v>E111</v>
      </c>
      <c r="B145">
        <v>1</v>
      </c>
      <c r="C145" t="str">
        <f t="shared" si="24"/>
        <v>43000</v>
      </c>
      <c r="D145" t="str">
        <f t="shared" si="25"/>
        <v>5740</v>
      </c>
      <c r="E145" t="str">
        <f t="shared" si="26"/>
        <v>850LOS</v>
      </c>
      <c r="F145" t="str">
        <f>""</f>
        <v/>
      </c>
      <c r="G145" t="str">
        <f>""</f>
        <v/>
      </c>
      <c r="H145" s="1">
        <v>40911</v>
      </c>
      <c r="I145" t="str">
        <f>"PCD00513"</f>
        <v>PCD00513</v>
      </c>
      <c r="J145" t="str">
        <f>"157653"</f>
        <v>157653</v>
      </c>
      <c r="K145" t="str">
        <f>"AS89"</f>
        <v>AS89</v>
      </c>
      <c r="L145" t="s">
        <v>1861</v>
      </c>
      <c r="M145">
        <v>151.72999999999999</v>
      </c>
    </row>
    <row r="146" spans="1:13" x14ac:dyDescent="0.25">
      <c r="A146" t="str">
        <f t="shared" si="28"/>
        <v>E111</v>
      </c>
      <c r="B146">
        <v>1</v>
      </c>
      <c r="C146" t="str">
        <f t="shared" si="24"/>
        <v>43000</v>
      </c>
      <c r="D146" t="str">
        <f t="shared" si="25"/>
        <v>5740</v>
      </c>
      <c r="E146" t="str">
        <f t="shared" si="26"/>
        <v>850LOS</v>
      </c>
      <c r="F146" t="str">
        <f>""</f>
        <v/>
      </c>
      <c r="G146" t="str">
        <f>""</f>
        <v/>
      </c>
      <c r="H146" s="1">
        <v>40938</v>
      </c>
      <c r="I146" t="str">
        <f>"C0018043"</f>
        <v>C0018043</v>
      </c>
      <c r="J146" t="str">
        <f>""</f>
        <v/>
      </c>
      <c r="K146" t="str">
        <f>"ISSU"</f>
        <v>ISSU</v>
      </c>
      <c r="L146" t="s">
        <v>1633</v>
      </c>
      <c r="M146">
        <v>113.27</v>
      </c>
    </row>
    <row r="147" spans="1:13" x14ac:dyDescent="0.25">
      <c r="A147" t="str">
        <f t="shared" si="28"/>
        <v>E111</v>
      </c>
      <c r="B147">
        <v>1</v>
      </c>
      <c r="C147" t="str">
        <f t="shared" si="24"/>
        <v>43000</v>
      </c>
      <c r="D147" t="str">
        <f t="shared" si="25"/>
        <v>5740</v>
      </c>
      <c r="E147" t="str">
        <f t="shared" si="26"/>
        <v>850LOS</v>
      </c>
      <c r="F147" t="str">
        <f>""</f>
        <v/>
      </c>
      <c r="G147" t="str">
        <f>""</f>
        <v/>
      </c>
      <c r="H147" s="1">
        <v>40968</v>
      </c>
      <c r="I147" t="str">
        <f>"PCD00522"</f>
        <v>PCD00522</v>
      </c>
      <c r="J147" t="str">
        <f>"162367"</f>
        <v>162367</v>
      </c>
      <c r="K147" t="str">
        <f>"AS89"</f>
        <v>AS89</v>
      </c>
      <c r="L147" t="s">
        <v>1860</v>
      </c>
      <c r="M147">
        <v>257.10000000000002</v>
      </c>
    </row>
    <row r="148" spans="1:13" x14ac:dyDescent="0.25">
      <c r="A148" t="str">
        <f t="shared" si="28"/>
        <v>E111</v>
      </c>
      <c r="B148">
        <v>1</v>
      </c>
      <c r="C148" t="str">
        <f t="shared" si="24"/>
        <v>43000</v>
      </c>
      <c r="D148" t="str">
        <f t="shared" si="25"/>
        <v>5740</v>
      </c>
      <c r="E148" t="str">
        <f t="shared" si="26"/>
        <v>850LOS</v>
      </c>
      <c r="F148" t="str">
        <f>""</f>
        <v/>
      </c>
      <c r="G148" t="str">
        <f>""</f>
        <v/>
      </c>
      <c r="H148" s="1">
        <v>40998</v>
      </c>
      <c r="I148" t="str">
        <f>"PCD00526"</f>
        <v>PCD00526</v>
      </c>
      <c r="J148" t="str">
        <f>"163660"</f>
        <v>163660</v>
      </c>
      <c r="K148" t="str">
        <f>"AS89"</f>
        <v>AS89</v>
      </c>
      <c r="L148" t="s">
        <v>1859</v>
      </c>
      <c r="M148">
        <v>104.86</v>
      </c>
    </row>
    <row r="149" spans="1:13" x14ac:dyDescent="0.25">
      <c r="A149" t="str">
        <f t="shared" si="28"/>
        <v>E111</v>
      </c>
      <c r="B149">
        <v>1</v>
      </c>
      <c r="C149" t="str">
        <f t="shared" si="24"/>
        <v>43000</v>
      </c>
      <c r="D149" t="str">
        <f t="shared" si="25"/>
        <v>5740</v>
      </c>
      <c r="E149" t="str">
        <f t="shared" si="26"/>
        <v>850LOS</v>
      </c>
      <c r="F149" t="str">
        <f>""</f>
        <v/>
      </c>
      <c r="G149" t="str">
        <f>""</f>
        <v/>
      </c>
      <c r="H149" s="1">
        <v>40998</v>
      </c>
      <c r="I149" t="str">
        <f>"PCD00526"</f>
        <v>PCD00526</v>
      </c>
      <c r="J149" t="str">
        <f>"163821"</f>
        <v>163821</v>
      </c>
      <c r="K149" t="str">
        <f>"AS89"</f>
        <v>AS89</v>
      </c>
      <c r="L149" t="s">
        <v>1858</v>
      </c>
      <c r="M149">
        <v>774.44</v>
      </c>
    </row>
    <row r="150" spans="1:13" x14ac:dyDescent="0.25">
      <c r="A150" t="str">
        <f t="shared" si="28"/>
        <v>E111</v>
      </c>
      <c r="B150">
        <v>1</v>
      </c>
      <c r="C150" t="str">
        <f t="shared" si="24"/>
        <v>43000</v>
      </c>
      <c r="D150" t="str">
        <f t="shared" si="25"/>
        <v>5740</v>
      </c>
      <c r="E150" t="str">
        <f t="shared" si="26"/>
        <v>850LOS</v>
      </c>
      <c r="F150" t="str">
        <f>""</f>
        <v/>
      </c>
      <c r="G150" t="str">
        <f>""</f>
        <v/>
      </c>
      <c r="H150" s="1">
        <v>41026</v>
      </c>
      <c r="I150" t="str">
        <f>"PCD00530"</f>
        <v>PCD00530</v>
      </c>
      <c r="J150" t="str">
        <f>"166190"</f>
        <v>166190</v>
      </c>
      <c r="K150" t="str">
        <f>"AS89"</f>
        <v>AS89</v>
      </c>
      <c r="L150" t="s">
        <v>1857</v>
      </c>
      <c r="M150">
        <v>567.91999999999996</v>
      </c>
    </row>
    <row r="151" spans="1:13" x14ac:dyDescent="0.25">
      <c r="A151" t="str">
        <f t="shared" si="28"/>
        <v>E111</v>
      </c>
      <c r="B151">
        <v>1</v>
      </c>
      <c r="C151" t="str">
        <f t="shared" si="24"/>
        <v>43000</v>
      </c>
      <c r="D151" t="str">
        <f t="shared" si="25"/>
        <v>5740</v>
      </c>
      <c r="E151" t="str">
        <f t="shared" si="26"/>
        <v>850LOS</v>
      </c>
      <c r="F151" t="str">
        <f>""</f>
        <v/>
      </c>
      <c r="G151" t="str">
        <f>""</f>
        <v/>
      </c>
      <c r="H151" s="1">
        <v>41026</v>
      </c>
      <c r="I151" t="str">
        <f>"PCD00530"</f>
        <v>PCD00530</v>
      </c>
      <c r="J151" t="str">
        <f>"166243"</f>
        <v>166243</v>
      </c>
      <c r="K151" t="str">
        <f>"AS89"</f>
        <v>AS89</v>
      </c>
      <c r="L151" t="s">
        <v>1856</v>
      </c>
      <c r="M151">
        <v>108.02</v>
      </c>
    </row>
    <row r="152" spans="1:13" x14ac:dyDescent="0.25">
      <c r="A152" t="str">
        <f t="shared" si="28"/>
        <v>E111</v>
      </c>
      <c r="B152">
        <v>1</v>
      </c>
      <c r="C152" t="str">
        <f t="shared" si="24"/>
        <v>43000</v>
      </c>
      <c r="D152" t="str">
        <f t="shared" si="25"/>
        <v>5740</v>
      </c>
      <c r="E152" t="str">
        <f t="shared" si="26"/>
        <v>850LOS</v>
      </c>
      <c r="F152" t="str">
        <f>""</f>
        <v/>
      </c>
      <c r="G152" t="str">
        <f>""</f>
        <v/>
      </c>
      <c r="H152" s="1">
        <v>41050</v>
      </c>
      <c r="I152" t="str">
        <f>"C0018576"</f>
        <v>C0018576</v>
      </c>
      <c r="J152" t="str">
        <f>""</f>
        <v/>
      </c>
      <c r="K152" t="str">
        <f>"ISSU"</f>
        <v>ISSU</v>
      </c>
      <c r="L152" t="s">
        <v>1665</v>
      </c>
      <c r="M152">
        <v>281.32</v>
      </c>
    </row>
    <row r="153" spans="1:13" x14ac:dyDescent="0.25">
      <c r="A153" t="str">
        <f t="shared" si="28"/>
        <v>E111</v>
      </c>
      <c r="B153">
        <v>1</v>
      </c>
      <c r="C153" t="str">
        <f t="shared" si="24"/>
        <v>43000</v>
      </c>
      <c r="D153" t="str">
        <f t="shared" si="25"/>
        <v>5740</v>
      </c>
      <c r="E153" t="str">
        <f t="shared" si="26"/>
        <v>850LOS</v>
      </c>
      <c r="F153" t="str">
        <f>""</f>
        <v/>
      </c>
      <c r="G153" t="str">
        <f>""</f>
        <v/>
      </c>
      <c r="H153" s="1">
        <v>41060</v>
      </c>
      <c r="I153" t="str">
        <f>"PCD00536"</f>
        <v>PCD00536</v>
      </c>
      <c r="J153" t="str">
        <f>"167563"</f>
        <v>167563</v>
      </c>
      <c r="K153" t="str">
        <f t="shared" ref="K153:K159" si="29">"AS89"</f>
        <v>AS89</v>
      </c>
      <c r="L153" t="s">
        <v>1855</v>
      </c>
      <c r="M153">
        <v>143.01</v>
      </c>
    </row>
    <row r="154" spans="1:13" x14ac:dyDescent="0.25">
      <c r="A154" t="str">
        <f t="shared" si="28"/>
        <v>E111</v>
      </c>
      <c r="B154">
        <v>1</v>
      </c>
      <c r="C154" t="str">
        <f t="shared" si="24"/>
        <v>43000</v>
      </c>
      <c r="D154" t="str">
        <f t="shared" si="25"/>
        <v>5740</v>
      </c>
      <c r="E154" t="str">
        <f t="shared" si="26"/>
        <v>850LOS</v>
      </c>
      <c r="F154" t="str">
        <f>""</f>
        <v/>
      </c>
      <c r="G154" t="str">
        <f>""</f>
        <v/>
      </c>
      <c r="H154" s="1">
        <v>41060</v>
      </c>
      <c r="I154" t="str">
        <f>"PCD00536"</f>
        <v>PCD00536</v>
      </c>
      <c r="J154" t="str">
        <f>"169182"</f>
        <v>169182</v>
      </c>
      <c r="K154" t="str">
        <f t="shared" si="29"/>
        <v>AS89</v>
      </c>
      <c r="L154" t="s">
        <v>1854</v>
      </c>
      <c r="M154">
        <v>224.98</v>
      </c>
    </row>
    <row r="155" spans="1:13" x14ac:dyDescent="0.25">
      <c r="A155" t="str">
        <f t="shared" si="28"/>
        <v>E111</v>
      </c>
      <c r="B155">
        <v>1</v>
      </c>
      <c r="C155" t="str">
        <f t="shared" si="24"/>
        <v>43000</v>
      </c>
      <c r="D155" t="str">
        <f t="shared" si="25"/>
        <v>5740</v>
      </c>
      <c r="E155" t="str">
        <f t="shared" si="26"/>
        <v>850LOS</v>
      </c>
      <c r="F155" t="str">
        <f>""</f>
        <v/>
      </c>
      <c r="G155" t="str">
        <f>""</f>
        <v/>
      </c>
      <c r="H155" s="1">
        <v>41060</v>
      </c>
      <c r="I155" t="str">
        <f>"PCD00536"</f>
        <v>PCD00536</v>
      </c>
      <c r="J155" t="str">
        <f>"169224"</f>
        <v>169224</v>
      </c>
      <c r="K155" t="str">
        <f t="shared" si="29"/>
        <v>AS89</v>
      </c>
      <c r="L155" t="s">
        <v>1724</v>
      </c>
      <c r="M155">
        <v>174.29</v>
      </c>
    </row>
    <row r="156" spans="1:13" x14ac:dyDescent="0.25">
      <c r="A156" t="str">
        <f t="shared" si="28"/>
        <v>E111</v>
      </c>
      <c r="B156">
        <v>1</v>
      </c>
      <c r="C156" t="str">
        <f t="shared" si="24"/>
        <v>43000</v>
      </c>
      <c r="D156" t="str">
        <f t="shared" si="25"/>
        <v>5740</v>
      </c>
      <c r="E156" t="str">
        <f t="shared" si="26"/>
        <v>850LOS</v>
      </c>
      <c r="F156" t="str">
        <f>""</f>
        <v/>
      </c>
      <c r="G156" t="str">
        <f>""</f>
        <v/>
      </c>
      <c r="H156" s="1">
        <v>41090</v>
      </c>
      <c r="I156" t="str">
        <f>"PCD00540"</f>
        <v>PCD00540</v>
      </c>
      <c r="J156" t="str">
        <f>"170909"</f>
        <v>170909</v>
      </c>
      <c r="K156" t="str">
        <f t="shared" si="29"/>
        <v>AS89</v>
      </c>
      <c r="L156" t="s">
        <v>1853</v>
      </c>
      <c r="M156">
        <v>776.27</v>
      </c>
    </row>
    <row r="157" spans="1:13" x14ac:dyDescent="0.25">
      <c r="A157" t="str">
        <f t="shared" si="28"/>
        <v>E111</v>
      </c>
      <c r="B157">
        <v>1</v>
      </c>
      <c r="C157" t="str">
        <f t="shared" si="24"/>
        <v>43000</v>
      </c>
      <c r="D157" t="str">
        <f t="shared" si="25"/>
        <v>5740</v>
      </c>
      <c r="E157" t="str">
        <f t="shared" si="26"/>
        <v>850LOS</v>
      </c>
      <c r="F157" t="str">
        <f>""</f>
        <v/>
      </c>
      <c r="G157" t="str">
        <f>""</f>
        <v/>
      </c>
      <c r="H157" s="1">
        <v>41090</v>
      </c>
      <c r="I157" t="str">
        <f>"PCD00540"</f>
        <v>PCD00540</v>
      </c>
      <c r="J157" t="str">
        <f>"171437"</f>
        <v>171437</v>
      </c>
      <c r="K157" t="str">
        <f t="shared" si="29"/>
        <v>AS89</v>
      </c>
      <c r="L157" t="s">
        <v>1852</v>
      </c>
      <c r="M157">
        <v>123.48</v>
      </c>
    </row>
    <row r="158" spans="1:13" x14ac:dyDescent="0.25">
      <c r="A158" t="str">
        <f t="shared" si="28"/>
        <v>E111</v>
      </c>
      <c r="B158">
        <v>1</v>
      </c>
      <c r="C158" t="str">
        <f t="shared" si="24"/>
        <v>43000</v>
      </c>
      <c r="D158" t="str">
        <f t="shared" si="25"/>
        <v>5740</v>
      </c>
      <c r="E158" t="str">
        <f>"850PKE"</f>
        <v>850PKE</v>
      </c>
      <c r="F158" t="str">
        <f>""</f>
        <v/>
      </c>
      <c r="G158" t="str">
        <f>""</f>
        <v/>
      </c>
      <c r="H158" s="1">
        <v>40816</v>
      </c>
      <c r="I158" t="str">
        <f>"PCD00502"</f>
        <v>PCD00502</v>
      </c>
      <c r="J158" t="str">
        <f>"151247"</f>
        <v>151247</v>
      </c>
      <c r="K158" t="str">
        <f t="shared" si="29"/>
        <v>AS89</v>
      </c>
      <c r="L158" t="s">
        <v>1851</v>
      </c>
      <c r="M158">
        <v>201.86</v>
      </c>
    </row>
    <row r="159" spans="1:13" x14ac:dyDescent="0.25">
      <c r="A159" t="str">
        <f t="shared" si="28"/>
        <v>E111</v>
      </c>
      <c r="B159">
        <v>1</v>
      </c>
      <c r="C159" t="str">
        <f t="shared" si="24"/>
        <v>43000</v>
      </c>
      <c r="D159" t="str">
        <f t="shared" si="25"/>
        <v>5740</v>
      </c>
      <c r="E159" t="str">
        <f>"850PKE"</f>
        <v>850PKE</v>
      </c>
      <c r="F159" t="str">
        <f>""</f>
        <v/>
      </c>
      <c r="G159" t="str">
        <f>""</f>
        <v/>
      </c>
      <c r="H159" s="1">
        <v>40847</v>
      </c>
      <c r="I159" t="str">
        <f>"PCD00508"</f>
        <v>PCD00508</v>
      </c>
      <c r="J159" t="str">
        <f>"154207"</f>
        <v>154207</v>
      </c>
      <c r="K159" t="str">
        <f t="shared" si="29"/>
        <v>AS89</v>
      </c>
      <c r="L159" t="s">
        <v>1850</v>
      </c>
      <c r="M159">
        <v>275.72000000000003</v>
      </c>
    </row>
    <row r="160" spans="1:13" x14ac:dyDescent="0.25">
      <c r="A160" t="str">
        <f t="shared" si="28"/>
        <v>E111</v>
      </c>
      <c r="B160">
        <v>1</v>
      </c>
      <c r="C160" t="str">
        <f>"43003"</f>
        <v>43003</v>
      </c>
      <c r="D160" t="str">
        <f t="shared" si="25"/>
        <v>5740</v>
      </c>
      <c r="E160" t="str">
        <f>"850LOS"</f>
        <v>850LOS</v>
      </c>
      <c r="F160" t="str">
        <f>""</f>
        <v/>
      </c>
      <c r="G160" t="str">
        <f>""</f>
        <v/>
      </c>
      <c r="H160" s="1">
        <v>40890</v>
      </c>
      <c r="I160" t="str">
        <f>"188739A"</f>
        <v>188739A</v>
      </c>
      <c r="J160" t="str">
        <f>""</f>
        <v/>
      </c>
      <c r="K160" t="str">
        <f>"INNI"</f>
        <v>INNI</v>
      </c>
      <c r="L160" t="s">
        <v>1189</v>
      </c>
      <c r="M160">
        <v>534.79999999999995</v>
      </c>
    </row>
    <row r="161" spans="1:13" x14ac:dyDescent="0.25">
      <c r="A161" t="str">
        <f t="shared" si="28"/>
        <v>E111</v>
      </c>
      <c r="B161">
        <v>1</v>
      </c>
      <c r="C161" t="str">
        <f>"43003"</f>
        <v>43003</v>
      </c>
      <c r="D161" t="str">
        <f t="shared" si="25"/>
        <v>5740</v>
      </c>
      <c r="E161" t="str">
        <f>"850LOS"</f>
        <v>850LOS</v>
      </c>
      <c r="F161" t="str">
        <f>""</f>
        <v/>
      </c>
      <c r="G161" t="str">
        <f>""</f>
        <v/>
      </c>
      <c r="H161" s="1">
        <v>40890</v>
      </c>
      <c r="I161" t="str">
        <f>"188739A"</f>
        <v>188739A</v>
      </c>
      <c r="J161" t="str">
        <f>""</f>
        <v/>
      </c>
      <c r="K161" t="str">
        <f>"INNI"</f>
        <v>INNI</v>
      </c>
      <c r="L161" t="s">
        <v>1189</v>
      </c>
      <c r="M161">
        <v>578.29</v>
      </c>
    </row>
    <row r="162" spans="1:13" x14ac:dyDescent="0.25">
      <c r="A162" t="str">
        <f t="shared" si="28"/>
        <v>E111</v>
      </c>
      <c r="B162">
        <v>1</v>
      </c>
      <c r="C162" t="str">
        <f>"43003"</f>
        <v>43003</v>
      </c>
      <c r="D162" t="str">
        <f t="shared" si="25"/>
        <v>5740</v>
      </c>
      <c r="E162" t="str">
        <f>"850LOS"</f>
        <v>850LOS</v>
      </c>
      <c r="F162" t="str">
        <f>""</f>
        <v/>
      </c>
      <c r="G162" t="str">
        <f>""</f>
        <v/>
      </c>
      <c r="H162" s="1">
        <v>40968</v>
      </c>
      <c r="I162" t="str">
        <f>"PCD00522"</f>
        <v>PCD00522</v>
      </c>
      <c r="J162" t="str">
        <f>"161301"</f>
        <v>161301</v>
      </c>
      <c r="K162" t="str">
        <f>"AS89"</f>
        <v>AS89</v>
      </c>
      <c r="L162" t="s">
        <v>1849</v>
      </c>
      <c r="M162">
        <v>106.56</v>
      </c>
    </row>
    <row r="163" spans="1:13" x14ac:dyDescent="0.25">
      <c r="A163" t="str">
        <f t="shared" si="28"/>
        <v>E111</v>
      </c>
      <c r="B163">
        <v>1</v>
      </c>
      <c r="C163" t="str">
        <f>"43003"</f>
        <v>43003</v>
      </c>
      <c r="D163" t="str">
        <f t="shared" si="25"/>
        <v>5740</v>
      </c>
      <c r="E163" t="str">
        <f>"850LOS"</f>
        <v>850LOS</v>
      </c>
      <c r="F163" t="str">
        <f>""</f>
        <v/>
      </c>
      <c r="G163" t="str">
        <f>""</f>
        <v/>
      </c>
      <c r="H163" s="1">
        <v>41009</v>
      </c>
      <c r="I163" t="str">
        <f>"PCD00527"</f>
        <v>PCD00527</v>
      </c>
      <c r="J163" t="str">
        <f>"165397"</f>
        <v>165397</v>
      </c>
      <c r="K163" t="str">
        <f>"AS89"</f>
        <v>AS89</v>
      </c>
      <c r="L163" t="s">
        <v>1723</v>
      </c>
      <c r="M163">
        <v>978.3</v>
      </c>
    </row>
    <row r="164" spans="1:13" x14ac:dyDescent="0.25">
      <c r="A164" t="str">
        <f>"E112"</f>
        <v>E112</v>
      </c>
      <c r="B164">
        <v>1</v>
      </c>
      <c r="C164" t="str">
        <f>"10200"</f>
        <v>10200</v>
      </c>
      <c r="D164" t="str">
        <f>"5620"</f>
        <v>5620</v>
      </c>
      <c r="E164" t="str">
        <f>"094OMS"</f>
        <v>094OMS</v>
      </c>
      <c r="F164" t="str">
        <f>""</f>
        <v/>
      </c>
      <c r="G164" t="str">
        <f>""</f>
        <v/>
      </c>
      <c r="H164" s="1">
        <v>40939</v>
      </c>
      <c r="I164" t="str">
        <f>"PCD00517"</f>
        <v>PCD00517</v>
      </c>
      <c r="J164" t="str">
        <f>"158715"</f>
        <v>158715</v>
      </c>
      <c r="K164" t="str">
        <f>"AS89"</f>
        <v>AS89</v>
      </c>
      <c r="L164" t="s">
        <v>1848</v>
      </c>
      <c r="M164">
        <v>278.69</v>
      </c>
    </row>
    <row r="165" spans="1:13" x14ac:dyDescent="0.25">
      <c r="A165" t="str">
        <f>"E120"</f>
        <v>E120</v>
      </c>
      <c r="B165">
        <v>1</v>
      </c>
      <c r="C165" t="str">
        <f>"43000"</f>
        <v>43000</v>
      </c>
      <c r="D165" t="str">
        <f>"5740"</f>
        <v>5740</v>
      </c>
      <c r="E165" t="str">
        <f>"850LOS"</f>
        <v>850LOS</v>
      </c>
      <c r="F165" t="str">
        <f>""</f>
        <v/>
      </c>
      <c r="G165" t="str">
        <f>""</f>
        <v/>
      </c>
      <c r="H165" s="1">
        <v>40759</v>
      </c>
      <c r="I165" t="str">
        <f>"058659A"</f>
        <v>058659A</v>
      </c>
      <c r="J165" t="str">
        <f>"N138274A"</f>
        <v>N138274A</v>
      </c>
      <c r="K165" t="str">
        <f>"INEI"</f>
        <v>INEI</v>
      </c>
      <c r="L165" t="s">
        <v>1396</v>
      </c>
      <c r="M165" s="2">
        <v>3861.57</v>
      </c>
    </row>
    <row r="166" spans="1:13" x14ac:dyDescent="0.25">
      <c r="A166" t="str">
        <f>"E120"</f>
        <v>E120</v>
      </c>
      <c r="B166">
        <v>1</v>
      </c>
      <c r="C166" t="str">
        <f>"43000"</f>
        <v>43000</v>
      </c>
      <c r="D166" t="str">
        <f>"5740"</f>
        <v>5740</v>
      </c>
      <c r="E166" t="str">
        <f>"850LOS"</f>
        <v>850LOS</v>
      </c>
      <c r="F166" t="str">
        <f>""</f>
        <v/>
      </c>
      <c r="G166" t="str">
        <f>""</f>
        <v/>
      </c>
      <c r="H166" s="1">
        <v>41003</v>
      </c>
      <c r="I166" t="str">
        <f>"00144867"</f>
        <v>00144867</v>
      </c>
      <c r="J166" t="str">
        <f>"N138274A"</f>
        <v>N138274A</v>
      </c>
      <c r="K166" t="str">
        <f>"INEI"</f>
        <v>INEI</v>
      </c>
      <c r="L166" t="s">
        <v>1396</v>
      </c>
      <c r="M166">
        <v>474</v>
      </c>
    </row>
    <row r="167" spans="1:13" x14ac:dyDescent="0.25">
      <c r="A167" t="str">
        <f>"E121"</f>
        <v>E121</v>
      </c>
      <c r="B167">
        <v>1</v>
      </c>
      <c r="C167" t="str">
        <f>"43000"</f>
        <v>43000</v>
      </c>
      <c r="D167" t="str">
        <f>"5740"</f>
        <v>5740</v>
      </c>
      <c r="E167" t="str">
        <f>"850LOS"</f>
        <v>850LOS</v>
      </c>
      <c r="F167" t="str">
        <f>""</f>
        <v/>
      </c>
      <c r="G167" t="str">
        <f>""</f>
        <v/>
      </c>
      <c r="H167" s="1">
        <v>40844</v>
      </c>
      <c r="I167" t="str">
        <f>"NV311717"</f>
        <v>NV311717</v>
      </c>
      <c r="J167" t="str">
        <f>"N113857C"</f>
        <v>N113857C</v>
      </c>
      <c r="K167" t="str">
        <f>"INEI"</f>
        <v>INEI</v>
      </c>
      <c r="L167" t="s">
        <v>1610</v>
      </c>
      <c r="M167">
        <v>284.36</v>
      </c>
    </row>
    <row r="168" spans="1:13" x14ac:dyDescent="0.25">
      <c r="A168" t="str">
        <f>"E121"</f>
        <v>E121</v>
      </c>
      <c r="B168">
        <v>1</v>
      </c>
      <c r="C168" t="str">
        <f>"43000"</f>
        <v>43000</v>
      </c>
      <c r="D168" t="str">
        <f>"5740"</f>
        <v>5740</v>
      </c>
      <c r="E168" t="str">
        <f>"850LOS"</f>
        <v>850LOS</v>
      </c>
      <c r="F168" t="str">
        <f>""</f>
        <v/>
      </c>
      <c r="G168" t="str">
        <f>""</f>
        <v/>
      </c>
      <c r="H168" s="1">
        <v>40933</v>
      </c>
      <c r="I168" t="str">
        <f>"NV312251"</f>
        <v>NV312251</v>
      </c>
      <c r="J168" t="str">
        <f>"N113857D"</f>
        <v>N113857D</v>
      </c>
      <c r="K168" t="str">
        <f>"INEI"</f>
        <v>INEI</v>
      </c>
      <c r="L168" t="s">
        <v>1610</v>
      </c>
      <c r="M168">
        <v>255.41</v>
      </c>
    </row>
    <row r="169" spans="1:13" x14ac:dyDescent="0.25">
      <c r="A169" t="str">
        <f>"E121"</f>
        <v>E121</v>
      </c>
      <c r="B169">
        <v>1</v>
      </c>
      <c r="C169" t="str">
        <f>"43000"</f>
        <v>43000</v>
      </c>
      <c r="D169" t="str">
        <f>"5740"</f>
        <v>5740</v>
      </c>
      <c r="E169" t="str">
        <f>"850LOS"</f>
        <v>850LOS</v>
      </c>
      <c r="F169" t="str">
        <f>""</f>
        <v/>
      </c>
      <c r="G169" t="str">
        <f>""</f>
        <v/>
      </c>
      <c r="H169" s="1">
        <v>41090</v>
      </c>
      <c r="I169" t="str">
        <f>"NV313503"</f>
        <v>NV313503</v>
      </c>
      <c r="J169" t="str">
        <f>"N113857D"</f>
        <v>N113857D</v>
      </c>
      <c r="K169" t="str">
        <f>"INEI"</f>
        <v>INEI</v>
      </c>
      <c r="L169" t="s">
        <v>1610</v>
      </c>
      <c r="M169">
        <v>305.70999999999998</v>
      </c>
    </row>
    <row r="170" spans="1:13" x14ac:dyDescent="0.25">
      <c r="A170" t="str">
        <f>"E130"</f>
        <v>E130</v>
      </c>
      <c r="B170">
        <v>1</v>
      </c>
      <c r="C170" t="str">
        <f>"10200"</f>
        <v>10200</v>
      </c>
      <c r="D170" t="str">
        <f>"5620"</f>
        <v>5620</v>
      </c>
      <c r="E170" t="str">
        <f>"094OMS"</f>
        <v>094OMS</v>
      </c>
      <c r="F170" t="str">
        <f>""</f>
        <v/>
      </c>
      <c r="G170" t="str">
        <f>""</f>
        <v/>
      </c>
      <c r="H170" s="1">
        <v>41060</v>
      </c>
      <c r="I170" t="str">
        <f>"PCD00536"</f>
        <v>PCD00536</v>
      </c>
      <c r="J170" t="str">
        <f>"168125"</f>
        <v>168125</v>
      </c>
      <c r="K170" t="str">
        <f>"AS89"</f>
        <v>AS89</v>
      </c>
      <c r="L170" t="s">
        <v>1847</v>
      </c>
      <c r="M170">
        <v>239.13</v>
      </c>
    </row>
    <row r="171" spans="1:13" x14ac:dyDescent="0.25">
      <c r="A171" t="str">
        <f>"E130"</f>
        <v>E130</v>
      </c>
      <c r="B171">
        <v>1</v>
      </c>
      <c r="C171" t="str">
        <f>"32040"</f>
        <v>32040</v>
      </c>
      <c r="D171" t="str">
        <f>"5610"</f>
        <v>5610</v>
      </c>
      <c r="E171" t="str">
        <f>"850LOS"</f>
        <v>850LOS</v>
      </c>
      <c r="F171" t="str">
        <f>""</f>
        <v/>
      </c>
      <c r="G171" t="str">
        <f>""</f>
        <v/>
      </c>
      <c r="H171" s="1">
        <v>41060</v>
      </c>
      <c r="I171" t="str">
        <f>"PCD00536"</f>
        <v>PCD00536</v>
      </c>
      <c r="J171" t="str">
        <f>"169642"</f>
        <v>169642</v>
      </c>
      <c r="K171" t="str">
        <f>"AS89"</f>
        <v>AS89</v>
      </c>
      <c r="L171" t="s">
        <v>1846</v>
      </c>
      <c r="M171">
        <v>648.94000000000005</v>
      </c>
    </row>
    <row r="172" spans="1:13" x14ac:dyDescent="0.25">
      <c r="A172" t="str">
        <f t="shared" ref="A172:A215" si="30">"E131"</f>
        <v>E131</v>
      </c>
      <c r="B172">
        <v>1</v>
      </c>
      <c r="C172" t="str">
        <f t="shared" ref="C172:C191" si="31">"10200"</f>
        <v>10200</v>
      </c>
      <c r="D172" t="str">
        <f t="shared" ref="D172:D191" si="32">"5620"</f>
        <v>5620</v>
      </c>
      <c r="E172" t="str">
        <f t="shared" ref="E172:E191" si="33">"094OMS"</f>
        <v>094OMS</v>
      </c>
      <c r="F172" t="str">
        <f>""</f>
        <v/>
      </c>
      <c r="G172" t="str">
        <f>""</f>
        <v/>
      </c>
      <c r="H172" s="1">
        <v>40756</v>
      </c>
      <c r="I172" t="str">
        <f>"96959146"</f>
        <v>96959146</v>
      </c>
      <c r="J172" t="str">
        <f>"N138254B"</f>
        <v>N138254B</v>
      </c>
      <c r="K172" t="str">
        <f>"INEI"</f>
        <v>INEI</v>
      </c>
      <c r="L172" t="s">
        <v>1382</v>
      </c>
      <c r="M172">
        <v>121.53</v>
      </c>
    </row>
    <row r="173" spans="1:13" x14ac:dyDescent="0.25">
      <c r="A173" t="str">
        <f t="shared" si="30"/>
        <v>E131</v>
      </c>
      <c r="B173">
        <v>1</v>
      </c>
      <c r="C173" t="str">
        <f t="shared" si="31"/>
        <v>10200</v>
      </c>
      <c r="D173" t="str">
        <f t="shared" si="32"/>
        <v>5620</v>
      </c>
      <c r="E173" t="str">
        <f t="shared" si="33"/>
        <v>094OMS</v>
      </c>
      <c r="F173" t="str">
        <f>""</f>
        <v/>
      </c>
      <c r="G173" t="str">
        <f>""</f>
        <v/>
      </c>
      <c r="H173" s="1">
        <v>40785</v>
      </c>
      <c r="I173" t="str">
        <f>"05866211"</f>
        <v>05866211</v>
      </c>
      <c r="J173" t="str">
        <f>"N138254B"</f>
        <v>N138254B</v>
      </c>
      <c r="K173" t="str">
        <f>"INEI"</f>
        <v>INEI</v>
      </c>
      <c r="L173" t="s">
        <v>1382</v>
      </c>
      <c r="M173">
        <v>121.53</v>
      </c>
    </row>
    <row r="174" spans="1:13" x14ac:dyDescent="0.25">
      <c r="A174" t="str">
        <f t="shared" si="30"/>
        <v>E131</v>
      </c>
      <c r="B174">
        <v>1</v>
      </c>
      <c r="C174" t="str">
        <f t="shared" si="31"/>
        <v>10200</v>
      </c>
      <c r="D174" t="str">
        <f t="shared" si="32"/>
        <v>5620</v>
      </c>
      <c r="E174" t="str">
        <f t="shared" si="33"/>
        <v>094OMS</v>
      </c>
      <c r="F174" t="str">
        <f>""</f>
        <v/>
      </c>
      <c r="G174" t="str">
        <f>""</f>
        <v/>
      </c>
      <c r="H174" s="1">
        <v>40816</v>
      </c>
      <c r="I174" t="str">
        <f>"14739670"</f>
        <v>14739670</v>
      </c>
      <c r="J174" t="str">
        <f>"N138254B"</f>
        <v>N138254B</v>
      </c>
      <c r="K174" t="str">
        <f>"INEI"</f>
        <v>INEI</v>
      </c>
      <c r="L174" t="s">
        <v>1382</v>
      </c>
      <c r="M174">
        <v>121.55</v>
      </c>
    </row>
    <row r="175" spans="1:13" x14ac:dyDescent="0.25">
      <c r="A175" t="str">
        <f t="shared" si="30"/>
        <v>E131</v>
      </c>
      <c r="B175">
        <v>1</v>
      </c>
      <c r="C175" t="str">
        <f t="shared" si="31"/>
        <v>10200</v>
      </c>
      <c r="D175" t="str">
        <f t="shared" si="32"/>
        <v>5620</v>
      </c>
      <c r="E175" t="str">
        <f t="shared" si="33"/>
        <v>094OMS</v>
      </c>
      <c r="F175" t="str">
        <f>""</f>
        <v/>
      </c>
      <c r="G175" t="str">
        <f>""</f>
        <v/>
      </c>
      <c r="H175" s="1">
        <v>40816</v>
      </c>
      <c r="I175" t="str">
        <f>"14739670"</f>
        <v>14739670</v>
      </c>
      <c r="J175" t="str">
        <f>"N138254B"</f>
        <v>N138254B</v>
      </c>
      <c r="K175" t="str">
        <f>"INEI"</f>
        <v>INEI</v>
      </c>
      <c r="L175" t="s">
        <v>1382</v>
      </c>
      <c r="M175">
        <v>121.55</v>
      </c>
    </row>
    <row r="176" spans="1:13" x14ac:dyDescent="0.25">
      <c r="A176" t="str">
        <f t="shared" si="30"/>
        <v>E131</v>
      </c>
      <c r="B176">
        <v>1</v>
      </c>
      <c r="C176" t="str">
        <f t="shared" si="31"/>
        <v>10200</v>
      </c>
      <c r="D176" t="str">
        <f t="shared" si="32"/>
        <v>5620</v>
      </c>
      <c r="E176" t="str">
        <f t="shared" si="33"/>
        <v>094OMS</v>
      </c>
      <c r="F176" t="str">
        <f>""</f>
        <v/>
      </c>
      <c r="G176" t="str">
        <f>""</f>
        <v/>
      </c>
      <c r="H176" s="1">
        <v>40848</v>
      </c>
      <c r="I176" t="str">
        <f>"23620421"</f>
        <v>23620421</v>
      </c>
      <c r="J176" t="str">
        <f>"N138254B"</f>
        <v>N138254B</v>
      </c>
      <c r="K176" t="str">
        <f>"INEI"</f>
        <v>INEI</v>
      </c>
      <c r="L176" t="s">
        <v>1382</v>
      </c>
      <c r="M176">
        <v>121.68</v>
      </c>
    </row>
    <row r="177" spans="1:13" x14ac:dyDescent="0.25">
      <c r="A177" t="str">
        <f t="shared" si="30"/>
        <v>E131</v>
      </c>
      <c r="B177">
        <v>1</v>
      </c>
      <c r="C177" t="str">
        <f t="shared" si="31"/>
        <v>10200</v>
      </c>
      <c r="D177" t="str">
        <f t="shared" si="32"/>
        <v>5620</v>
      </c>
      <c r="E177" t="str">
        <f t="shared" si="33"/>
        <v>094OMS</v>
      </c>
      <c r="F177" t="str">
        <f>""</f>
        <v/>
      </c>
      <c r="G177" t="str">
        <f>""</f>
        <v/>
      </c>
      <c r="H177" s="1">
        <v>40854</v>
      </c>
      <c r="I177" t="str">
        <f>"TEL00607"</f>
        <v>TEL00607</v>
      </c>
      <c r="J177" t="str">
        <f>""</f>
        <v/>
      </c>
      <c r="K177" t="str">
        <f>"AS89"</f>
        <v>AS89</v>
      </c>
      <c r="L177" t="s">
        <v>1842</v>
      </c>
      <c r="M177">
        <v>100.67</v>
      </c>
    </row>
    <row r="178" spans="1:13" x14ac:dyDescent="0.25">
      <c r="A178" t="str">
        <f t="shared" si="30"/>
        <v>E131</v>
      </c>
      <c r="B178">
        <v>1</v>
      </c>
      <c r="C178" t="str">
        <f t="shared" si="31"/>
        <v>10200</v>
      </c>
      <c r="D178" t="str">
        <f t="shared" si="32"/>
        <v>5620</v>
      </c>
      <c r="E178" t="str">
        <f t="shared" si="33"/>
        <v>094OMS</v>
      </c>
      <c r="F178" t="str">
        <f>""</f>
        <v/>
      </c>
      <c r="G178" t="str">
        <f>""</f>
        <v/>
      </c>
      <c r="H178" s="1">
        <v>40879</v>
      </c>
      <c r="I178" t="str">
        <f>"32531950"</f>
        <v>32531950</v>
      </c>
      <c r="J178" t="str">
        <f>"N138254B"</f>
        <v>N138254B</v>
      </c>
      <c r="K178" t="str">
        <f>"INEI"</f>
        <v>INEI</v>
      </c>
      <c r="L178" t="s">
        <v>1382</v>
      </c>
      <c r="M178">
        <v>121.68</v>
      </c>
    </row>
    <row r="179" spans="1:13" x14ac:dyDescent="0.25">
      <c r="A179" t="str">
        <f t="shared" si="30"/>
        <v>E131</v>
      </c>
      <c r="B179">
        <v>1</v>
      </c>
      <c r="C179" t="str">
        <f t="shared" si="31"/>
        <v>10200</v>
      </c>
      <c r="D179" t="str">
        <f t="shared" si="32"/>
        <v>5620</v>
      </c>
      <c r="E179" t="str">
        <f t="shared" si="33"/>
        <v>094OMS</v>
      </c>
      <c r="F179" t="str">
        <f>""</f>
        <v/>
      </c>
      <c r="G179" t="str">
        <f>""</f>
        <v/>
      </c>
      <c r="H179" s="1">
        <v>40911</v>
      </c>
      <c r="I179" t="str">
        <f>"41461046"</f>
        <v>41461046</v>
      </c>
      <c r="J179" t="str">
        <f>"N138254B"</f>
        <v>N138254B</v>
      </c>
      <c r="K179" t="str">
        <f>"INEI"</f>
        <v>INEI</v>
      </c>
      <c r="L179" t="s">
        <v>1382</v>
      </c>
      <c r="M179">
        <v>121.68</v>
      </c>
    </row>
    <row r="180" spans="1:13" x14ac:dyDescent="0.25">
      <c r="A180" t="str">
        <f t="shared" si="30"/>
        <v>E131</v>
      </c>
      <c r="B180">
        <v>1</v>
      </c>
      <c r="C180" t="str">
        <f t="shared" si="31"/>
        <v>10200</v>
      </c>
      <c r="D180" t="str">
        <f t="shared" si="32"/>
        <v>5620</v>
      </c>
      <c r="E180" t="str">
        <f t="shared" si="33"/>
        <v>094OMS</v>
      </c>
      <c r="F180" t="str">
        <f>""</f>
        <v/>
      </c>
      <c r="G180" t="str">
        <f>""</f>
        <v/>
      </c>
      <c r="H180" s="1">
        <v>40920</v>
      </c>
      <c r="I180" t="str">
        <f>"TEL00609"</f>
        <v>TEL00609</v>
      </c>
      <c r="J180" t="str">
        <f>""</f>
        <v/>
      </c>
      <c r="K180" t="str">
        <f>"AS89"</f>
        <v>AS89</v>
      </c>
      <c r="L180" t="s">
        <v>1840</v>
      </c>
      <c r="M180">
        <v>101.31</v>
      </c>
    </row>
    <row r="181" spans="1:13" x14ac:dyDescent="0.25">
      <c r="A181" t="str">
        <f t="shared" si="30"/>
        <v>E131</v>
      </c>
      <c r="B181">
        <v>1</v>
      </c>
      <c r="C181" t="str">
        <f t="shared" si="31"/>
        <v>10200</v>
      </c>
      <c r="D181" t="str">
        <f t="shared" si="32"/>
        <v>5620</v>
      </c>
      <c r="E181" t="str">
        <f t="shared" si="33"/>
        <v>094OMS</v>
      </c>
      <c r="F181" t="str">
        <f>""</f>
        <v/>
      </c>
      <c r="G181" t="str">
        <f>""</f>
        <v/>
      </c>
      <c r="H181" s="1">
        <v>40939</v>
      </c>
      <c r="I181" t="str">
        <f>"50411475"</f>
        <v>50411475</v>
      </c>
      <c r="J181" t="str">
        <f>"N138254B"</f>
        <v>N138254B</v>
      </c>
      <c r="K181" t="str">
        <f>"INEI"</f>
        <v>INEI</v>
      </c>
      <c r="L181" t="s">
        <v>1382</v>
      </c>
      <c r="M181">
        <v>122.74</v>
      </c>
    </row>
    <row r="182" spans="1:13" x14ac:dyDescent="0.25">
      <c r="A182" t="str">
        <f t="shared" si="30"/>
        <v>E131</v>
      </c>
      <c r="B182">
        <v>1</v>
      </c>
      <c r="C182" t="str">
        <f t="shared" si="31"/>
        <v>10200</v>
      </c>
      <c r="D182" t="str">
        <f t="shared" si="32"/>
        <v>5620</v>
      </c>
      <c r="E182" t="str">
        <f t="shared" si="33"/>
        <v>094OMS</v>
      </c>
      <c r="F182" t="str">
        <f>""</f>
        <v/>
      </c>
      <c r="G182" t="str">
        <f>""</f>
        <v/>
      </c>
      <c r="H182" s="1">
        <v>40942</v>
      </c>
      <c r="I182" t="str">
        <f>"I0102875"</f>
        <v>I0102875</v>
      </c>
      <c r="J182" t="str">
        <f>"N138254B"</f>
        <v>N138254B</v>
      </c>
      <c r="K182" t="str">
        <f>"INEI"</f>
        <v>INEI</v>
      </c>
      <c r="L182" t="s">
        <v>1382</v>
      </c>
      <c r="M182">
        <v>122.74</v>
      </c>
    </row>
    <row r="183" spans="1:13" x14ac:dyDescent="0.25">
      <c r="A183" t="str">
        <f t="shared" si="30"/>
        <v>E131</v>
      </c>
      <c r="B183">
        <v>1</v>
      </c>
      <c r="C183" t="str">
        <f t="shared" si="31"/>
        <v>10200</v>
      </c>
      <c r="D183" t="str">
        <f t="shared" si="32"/>
        <v>5620</v>
      </c>
      <c r="E183" t="str">
        <f t="shared" si="33"/>
        <v>094OMS</v>
      </c>
      <c r="F183" t="str">
        <f>""</f>
        <v/>
      </c>
      <c r="G183" t="str">
        <f>""</f>
        <v/>
      </c>
      <c r="H183" s="1">
        <v>40949</v>
      </c>
      <c r="I183" t="str">
        <f>"TEL00610"</f>
        <v>TEL00610</v>
      </c>
      <c r="J183" t="str">
        <f>""</f>
        <v/>
      </c>
      <c r="K183" t="str">
        <f>"AS89"</f>
        <v>AS89</v>
      </c>
      <c r="L183" t="s">
        <v>1839</v>
      </c>
      <c r="M183">
        <v>105.5</v>
      </c>
    </row>
    <row r="184" spans="1:13" x14ac:dyDescent="0.25">
      <c r="A184" t="str">
        <f t="shared" si="30"/>
        <v>E131</v>
      </c>
      <c r="B184">
        <v>1</v>
      </c>
      <c r="C184" t="str">
        <f t="shared" si="31"/>
        <v>10200</v>
      </c>
      <c r="D184" t="str">
        <f t="shared" si="32"/>
        <v>5620</v>
      </c>
      <c r="E184" t="str">
        <f t="shared" si="33"/>
        <v>094OMS</v>
      </c>
      <c r="F184" t="str">
        <f>""</f>
        <v/>
      </c>
      <c r="G184" t="str">
        <f>""</f>
        <v/>
      </c>
      <c r="H184" s="1">
        <v>40998</v>
      </c>
      <c r="I184" t="str">
        <f>"68224771"</f>
        <v>68224771</v>
      </c>
      <c r="J184" t="str">
        <f>"N138254B"</f>
        <v>N138254B</v>
      </c>
      <c r="K184" t="str">
        <f>"INEI"</f>
        <v>INEI</v>
      </c>
      <c r="L184" t="s">
        <v>1382</v>
      </c>
      <c r="M184">
        <v>122.66</v>
      </c>
    </row>
    <row r="185" spans="1:13" x14ac:dyDescent="0.25">
      <c r="A185" t="str">
        <f t="shared" si="30"/>
        <v>E131</v>
      </c>
      <c r="B185">
        <v>1</v>
      </c>
      <c r="C185" t="str">
        <f t="shared" si="31"/>
        <v>10200</v>
      </c>
      <c r="D185" t="str">
        <f t="shared" si="32"/>
        <v>5620</v>
      </c>
      <c r="E185" t="str">
        <f t="shared" si="33"/>
        <v>094OMS</v>
      </c>
      <c r="F185" t="str">
        <f>""</f>
        <v/>
      </c>
      <c r="G185" t="str">
        <f>""</f>
        <v/>
      </c>
      <c r="H185" s="1">
        <v>41010</v>
      </c>
      <c r="I185" t="str">
        <f>"TEL00612"</f>
        <v>TEL00612</v>
      </c>
      <c r="J185" t="str">
        <f>""</f>
        <v/>
      </c>
      <c r="K185" t="str">
        <f>"AS89"</f>
        <v>AS89</v>
      </c>
      <c r="L185" t="s">
        <v>1837</v>
      </c>
      <c r="M185">
        <v>138.41</v>
      </c>
    </row>
    <row r="186" spans="1:13" x14ac:dyDescent="0.25">
      <c r="A186" t="str">
        <f t="shared" si="30"/>
        <v>E131</v>
      </c>
      <c r="B186">
        <v>1</v>
      </c>
      <c r="C186" t="str">
        <f t="shared" si="31"/>
        <v>10200</v>
      </c>
      <c r="D186" t="str">
        <f t="shared" si="32"/>
        <v>5620</v>
      </c>
      <c r="E186" t="str">
        <f t="shared" si="33"/>
        <v>094OMS</v>
      </c>
      <c r="F186" t="str">
        <f>""</f>
        <v/>
      </c>
      <c r="G186" t="str">
        <f>""</f>
        <v/>
      </c>
      <c r="H186" s="1">
        <v>41030</v>
      </c>
      <c r="I186" t="str">
        <f>"77118122"</f>
        <v>77118122</v>
      </c>
      <c r="J186" t="str">
        <f>"N138254B"</f>
        <v>N138254B</v>
      </c>
      <c r="K186" t="str">
        <f>"INEI"</f>
        <v>INEI</v>
      </c>
      <c r="L186" t="s">
        <v>1382</v>
      </c>
      <c r="M186">
        <v>122.63</v>
      </c>
    </row>
    <row r="187" spans="1:13" x14ac:dyDescent="0.25">
      <c r="A187" t="str">
        <f t="shared" si="30"/>
        <v>E131</v>
      </c>
      <c r="B187">
        <v>1</v>
      </c>
      <c r="C187" t="str">
        <f t="shared" si="31"/>
        <v>10200</v>
      </c>
      <c r="D187" t="str">
        <f t="shared" si="32"/>
        <v>5620</v>
      </c>
      <c r="E187" t="str">
        <f t="shared" si="33"/>
        <v>094OMS</v>
      </c>
      <c r="F187" t="str">
        <f>""</f>
        <v/>
      </c>
      <c r="G187" t="str">
        <f>""</f>
        <v/>
      </c>
      <c r="H187" s="1">
        <v>41038</v>
      </c>
      <c r="I187" t="str">
        <f>"TEL00613"</f>
        <v>TEL00613</v>
      </c>
      <c r="J187" t="str">
        <f>""</f>
        <v/>
      </c>
      <c r="K187" t="str">
        <f>"AS89"</f>
        <v>AS89</v>
      </c>
      <c r="L187" t="s">
        <v>1836</v>
      </c>
      <c r="M187">
        <v>122.73</v>
      </c>
    </row>
    <row r="188" spans="1:13" x14ac:dyDescent="0.25">
      <c r="A188" t="str">
        <f t="shared" si="30"/>
        <v>E131</v>
      </c>
      <c r="B188">
        <v>1</v>
      </c>
      <c r="C188" t="str">
        <f t="shared" si="31"/>
        <v>10200</v>
      </c>
      <c r="D188" t="str">
        <f t="shared" si="32"/>
        <v>5620</v>
      </c>
      <c r="E188" t="str">
        <f t="shared" si="33"/>
        <v>094OMS</v>
      </c>
      <c r="F188" t="str">
        <f>""</f>
        <v/>
      </c>
      <c r="G188" t="str">
        <f>""</f>
        <v/>
      </c>
      <c r="H188" s="1">
        <v>41061</v>
      </c>
      <c r="I188" t="str">
        <f>"85986991"</f>
        <v>85986991</v>
      </c>
      <c r="J188" t="str">
        <f>"N138254B"</f>
        <v>N138254B</v>
      </c>
      <c r="K188" t="str">
        <f>"INEI"</f>
        <v>INEI</v>
      </c>
      <c r="L188" t="s">
        <v>1382</v>
      </c>
      <c r="M188">
        <v>122.57</v>
      </c>
    </row>
    <row r="189" spans="1:13" x14ac:dyDescent="0.25">
      <c r="A189" t="str">
        <f t="shared" si="30"/>
        <v>E131</v>
      </c>
      <c r="B189">
        <v>1</v>
      </c>
      <c r="C189" t="str">
        <f t="shared" si="31"/>
        <v>10200</v>
      </c>
      <c r="D189" t="str">
        <f t="shared" si="32"/>
        <v>5620</v>
      </c>
      <c r="E189" t="str">
        <f t="shared" si="33"/>
        <v>094OMS</v>
      </c>
      <c r="F189" t="str">
        <f>""</f>
        <v/>
      </c>
      <c r="G189" t="str">
        <f>""</f>
        <v/>
      </c>
      <c r="H189" s="1">
        <v>41075</v>
      </c>
      <c r="I189" t="str">
        <f>"TEL00614"</f>
        <v>TEL00614</v>
      </c>
      <c r="J189" t="str">
        <f>""</f>
        <v/>
      </c>
      <c r="K189" t="str">
        <f>"AS89"</f>
        <v>AS89</v>
      </c>
      <c r="L189" t="s">
        <v>1835</v>
      </c>
      <c r="M189">
        <v>108.68</v>
      </c>
    </row>
    <row r="190" spans="1:13" x14ac:dyDescent="0.25">
      <c r="A190" t="str">
        <f t="shared" si="30"/>
        <v>E131</v>
      </c>
      <c r="B190">
        <v>1</v>
      </c>
      <c r="C190" t="str">
        <f t="shared" si="31"/>
        <v>10200</v>
      </c>
      <c r="D190" t="str">
        <f t="shared" si="32"/>
        <v>5620</v>
      </c>
      <c r="E190" t="str">
        <f t="shared" si="33"/>
        <v>094OMS</v>
      </c>
      <c r="F190" t="str">
        <f>""</f>
        <v/>
      </c>
      <c r="G190" t="str">
        <f>""</f>
        <v/>
      </c>
      <c r="H190" s="1">
        <v>41089</v>
      </c>
      <c r="I190" t="str">
        <f>"94856546"</f>
        <v>94856546</v>
      </c>
      <c r="J190" t="str">
        <f>"N138254B"</f>
        <v>N138254B</v>
      </c>
      <c r="K190" t="str">
        <f>"INEI"</f>
        <v>INEI</v>
      </c>
      <c r="L190" t="s">
        <v>1382</v>
      </c>
      <c r="M190">
        <v>122.55</v>
      </c>
    </row>
    <row r="191" spans="1:13" x14ac:dyDescent="0.25">
      <c r="A191" t="str">
        <f t="shared" si="30"/>
        <v>E131</v>
      </c>
      <c r="B191">
        <v>1</v>
      </c>
      <c r="C191" t="str">
        <f t="shared" si="31"/>
        <v>10200</v>
      </c>
      <c r="D191" t="str">
        <f t="shared" si="32"/>
        <v>5620</v>
      </c>
      <c r="E191" t="str">
        <f t="shared" si="33"/>
        <v>094OMS</v>
      </c>
      <c r="F191" t="str">
        <f>""</f>
        <v/>
      </c>
      <c r="G191" t="str">
        <f>""</f>
        <v/>
      </c>
      <c r="H191" s="1">
        <v>41090</v>
      </c>
      <c r="I191" t="str">
        <f>"TEL00615"</f>
        <v>TEL00615</v>
      </c>
      <c r="J191" t="str">
        <f>""</f>
        <v/>
      </c>
      <c r="K191" t="str">
        <f t="shared" ref="K191:K215" si="34">"AS89"</f>
        <v>AS89</v>
      </c>
      <c r="L191" t="s">
        <v>1834</v>
      </c>
      <c r="M191">
        <v>184.78</v>
      </c>
    </row>
    <row r="192" spans="1:13" x14ac:dyDescent="0.25">
      <c r="A192" t="str">
        <f t="shared" si="30"/>
        <v>E131</v>
      </c>
      <c r="B192">
        <v>1</v>
      </c>
      <c r="C192" t="str">
        <f t="shared" ref="C192:C203" si="35">"32040"</f>
        <v>32040</v>
      </c>
      <c r="D192" t="str">
        <f t="shared" ref="D192:D203" si="36">"5610"</f>
        <v>5610</v>
      </c>
      <c r="E192" t="str">
        <f t="shared" ref="E192:E215" si="37">"850LOS"</f>
        <v>850LOS</v>
      </c>
      <c r="F192" t="str">
        <f>""</f>
        <v/>
      </c>
      <c r="G192" t="str">
        <f>""</f>
        <v/>
      </c>
      <c r="H192" s="1">
        <v>40759</v>
      </c>
      <c r="I192" t="str">
        <f>"TEL00604"</f>
        <v>TEL00604</v>
      </c>
      <c r="J192" t="str">
        <f>""</f>
        <v/>
      </c>
      <c r="K192" t="str">
        <f t="shared" si="34"/>
        <v>AS89</v>
      </c>
      <c r="L192" t="s">
        <v>1845</v>
      </c>
      <c r="M192">
        <v>188.73</v>
      </c>
    </row>
    <row r="193" spans="1:13" x14ac:dyDescent="0.25">
      <c r="A193" t="str">
        <f t="shared" si="30"/>
        <v>E131</v>
      </c>
      <c r="B193">
        <v>1</v>
      </c>
      <c r="C193" t="str">
        <f t="shared" si="35"/>
        <v>32040</v>
      </c>
      <c r="D193" t="str">
        <f t="shared" si="36"/>
        <v>5610</v>
      </c>
      <c r="E193" t="str">
        <f t="shared" si="37"/>
        <v>850LOS</v>
      </c>
      <c r="F193" t="str">
        <f>""</f>
        <v/>
      </c>
      <c r="G193" t="str">
        <f>""</f>
        <v/>
      </c>
      <c r="H193" s="1">
        <v>40805</v>
      </c>
      <c r="I193" t="str">
        <f>"TEL00605"</f>
        <v>TEL00605</v>
      </c>
      <c r="J193" t="str">
        <f>""</f>
        <v/>
      </c>
      <c r="K193" t="str">
        <f t="shared" si="34"/>
        <v>AS89</v>
      </c>
      <c r="L193" t="s">
        <v>1844</v>
      </c>
      <c r="M193">
        <v>188.46</v>
      </c>
    </row>
    <row r="194" spans="1:13" x14ac:dyDescent="0.25">
      <c r="A194" t="str">
        <f t="shared" si="30"/>
        <v>E131</v>
      </c>
      <c r="B194">
        <v>1</v>
      </c>
      <c r="C194" t="str">
        <f t="shared" si="35"/>
        <v>32040</v>
      </c>
      <c r="D194" t="str">
        <f t="shared" si="36"/>
        <v>5610</v>
      </c>
      <c r="E194" t="str">
        <f t="shared" si="37"/>
        <v>850LOS</v>
      </c>
      <c r="F194" t="str">
        <f>""</f>
        <v/>
      </c>
      <c r="G194" t="str">
        <f>""</f>
        <v/>
      </c>
      <c r="H194" s="1">
        <v>40823</v>
      </c>
      <c r="I194" t="str">
        <f>"TEL00606"</f>
        <v>TEL00606</v>
      </c>
      <c r="J194" t="str">
        <f>""</f>
        <v/>
      </c>
      <c r="K194" t="str">
        <f t="shared" si="34"/>
        <v>AS89</v>
      </c>
      <c r="L194" t="s">
        <v>1843</v>
      </c>
      <c r="M194">
        <v>186.31</v>
      </c>
    </row>
    <row r="195" spans="1:13" x14ac:dyDescent="0.25">
      <c r="A195" t="str">
        <f t="shared" si="30"/>
        <v>E131</v>
      </c>
      <c r="B195">
        <v>1</v>
      </c>
      <c r="C195" t="str">
        <f t="shared" si="35"/>
        <v>32040</v>
      </c>
      <c r="D195" t="str">
        <f t="shared" si="36"/>
        <v>5610</v>
      </c>
      <c r="E195" t="str">
        <f t="shared" si="37"/>
        <v>850LOS</v>
      </c>
      <c r="F195" t="str">
        <f>""</f>
        <v/>
      </c>
      <c r="G195" t="str">
        <f>""</f>
        <v/>
      </c>
      <c r="H195" s="1">
        <v>40854</v>
      </c>
      <c r="I195" t="str">
        <f>"TEL00607"</f>
        <v>TEL00607</v>
      </c>
      <c r="J195" t="str">
        <f>""</f>
        <v/>
      </c>
      <c r="K195" t="str">
        <f t="shared" si="34"/>
        <v>AS89</v>
      </c>
      <c r="L195" t="s">
        <v>1842</v>
      </c>
      <c r="M195">
        <v>185.06</v>
      </c>
    </row>
    <row r="196" spans="1:13" x14ac:dyDescent="0.25">
      <c r="A196" t="str">
        <f t="shared" si="30"/>
        <v>E131</v>
      </c>
      <c r="B196">
        <v>1</v>
      </c>
      <c r="C196" t="str">
        <f t="shared" si="35"/>
        <v>32040</v>
      </c>
      <c r="D196" t="str">
        <f t="shared" si="36"/>
        <v>5610</v>
      </c>
      <c r="E196" t="str">
        <f t="shared" si="37"/>
        <v>850LOS</v>
      </c>
      <c r="F196" t="str">
        <f>""</f>
        <v/>
      </c>
      <c r="G196" t="str">
        <f>""</f>
        <v/>
      </c>
      <c r="H196" s="1">
        <v>40885</v>
      </c>
      <c r="I196" t="str">
        <f>"TEL00608"</f>
        <v>TEL00608</v>
      </c>
      <c r="J196" t="str">
        <f>""</f>
        <v/>
      </c>
      <c r="K196" t="str">
        <f t="shared" si="34"/>
        <v>AS89</v>
      </c>
      <c r="L196" t="s">
        <v>1841</v>
      </c>
      <c r="M196">
        <v>184.42</v>
      </c>
    </row>
    <row r="197" spans="1:13" x14ac:dyDescent="0.25">
      <c r="A197" t="str">
        <f t="shared" si="30"/>
        <v>E131</v>
      </c>
      <c r="B197">
        <v>1</v>
      </c>
      <c r="C197" t="str">
        <f t="shared" si="35"/>
        <v>32040</v>
      </c>
      <c r="D197" t="str">
        <f t="shared" si="36"/>
        <v>5610</v>
      </c>
      <c r="E197" t="str">
        <f t="shared" si="37"/>
        <v>850LOS</v>
      </c>
      <c r="F197" t="str">
        <f>""</f>
        <v/>
      </c>
      <c r="G197" t="str">
        <f>""</f>
        <v/>
      </c>
      <c r="H197" s="1">
        <v>40920</v>
      </c>
      <c r="I197" t="str">
        <f>"TEL00609"</f>
        <v>TEL00609</v>
      </c>
      <c r="J197" t="str">
        <f>""</f>
        <v/>
      </c>
      <c r="K197" t="str">
        <f t="shared" si="34"/>
        <v>AS89</v>
      </c>
      <c r="L197" t="s">
        <v>1840</v>
      </c>
      <c r="M197">
        <v>186.76</v>
      </c>
    </row>
    <row r="198" spans="1:13" x14ac:dyDescent="0.25">
      <c r="A198" t="str">
        <f t="shared" si="30"/>
        <v>E131</v>
      </c>
      <c r="B198">
        <v>1</v>
      </c>
      <c r="C198" t="str">
        <f t="shared" si="35"/>
        <v>32040</v>
      </c>
      <c r="D198" t="str">
        <f t="shared" si="36"/>
        <v>5610</v>
      </c>
      <c r="E198" t="str">
        <f t="shared" si="37"/>
        <v>850LOS</v>
      </c>
      <c r="F198" t="str">
        <f>""</f>
        <v/>
      </c>
      <c r="G198" t="str">
        <f>""</f>
        <v/>
      </c>
      <c r="H198" s="1">
        <v>40949</v>
      </c>
      <c r="I198" t="str">
        <f>"TEL00610"</f>
        <v>TEL00610</v>
      </c>
      <c r="J198" t="str">
        <f>""</f>
        <v/>
      </c>
      <c r="K198" t="str">
        <f t="shared" si="34"/>
        <v>AS89</v>
      </c>
      <c r="L198" t="s">
        <v>1839</v>
      </c>
      <c r="M198">
        <v>183.48</v>
      </c>
    </row>
    <row r="199" spans="1:13" x14ac:dyDescent="0.25">
      <c r="A199" t="str">
        <f t="shared" si="30"/>
        <v>E131</v>
      </c>
      <c r="B199">
        <v>1</v>
      </c>
      <c r="C199" t="str">
        <f t="shared" si="35"/>
        <v>32040</v>
      </c>
      <c r="D199" t="str">
        <f t="shared" si="36"/>
        <v>5610</v>
      </c>
      <c r="E199" t="str">
        <f t="shared" si="37"/>
        <v>850LOS</v>
      </c>
      <c r="F199" t="str">
        <f>""</f>
        <v/>
      </c>
      <c r="G199" t="str">
        <f>""</f>
        <v/>
      </c>
      <c r="H199" s="1">
        <v>40973</v>
      </c>
      <c r="I199" t="str">
        <f>"TEL00611"</f>
        <v>TEL00611</v>
      </c>
      <c r="J199" t="str">
        <f>""</f>
        <v/>
      </c>
      <c r="K199" t="str">
        <f t="shared" si="34"/>
        <v>AS89</v>
      </c>
      <c r="L199" t="s">
        <v>1838</v>
      </c>
      <c r="M199">
        <v>184.38</v>
      </c>
    </row>
    <row r="200" spans="1:13" x14ac:dyDescent="0.25">
      <c r="A200" t="str">
        <f t="shared" si="30"/>
        <v>E131</v>
      </c>
      <c r="B200">
        <v>1</v>
      </c>
      <c r="C200" t="str">
        <f t="shared" si="35"/>
        <v>32040</v>
      </c>
      <c r="D200" t="str">
        <f t="shared" si="36"/>
        <v>5610</v>
      </c>
      <c r="E200" t="str">
        <f t="shared" si="37"/>
        <v>850LOS</v>
      </c>
      <c r="F200" t="str">
        <f>""</f>
        <v/>
      </c>
      <c r="G200" t="str">
        <f>""</f>
        <v/>
      </c>
      <c r="H200" s="1">
        <v>41010</v>
      </c>
      <c r="I200" t="str">
        <f>"TEL00612"</f>
        <v>TEL00612</v>
      </c>
      <c r="J200" t="str">
        <f>""</f>
        <v/>
      </c>
      <c r="K200" t="str">
        <f t="shared" si="34"/>
        <v>AS89</v>
      </c>
      <c r="L200" t="s">
        <v>1837</v>
      </c>
      <c r="M200">
        <v>186.34</v>
      </c>
    </row>
    <row r="201" spans="1:13" x14ac:dyDescent="0.25">
      <c r="A201" t="str">
        <f t="shared" si="30"/>
        <v>E131</v>
      </c>
      <c r="B201">
        <v>1</v>
      </c>
      <c r="C201" t="str">
        <f t="shared" si="35"/>
        <v>32040</v>
      </c>
      <c r="D201" t="str">
        <f t="shared" si="36"/>
        <v>5610</v>
      </c>
      <c r="E201" t="str">
        <f t="shared" si="37"/>
        <v>850LOS</v>
      </c>
      <c r="F201" t="str">
        <f>""</f>
        <v/>
      </c>
      <c r="G201" t="str">
        <f>""</f>
        <v/>
      </c>
      <c r="H201" s="1">
        <v>41038</v>
      </c>
      <c r="I201" t="str">
        <f>"TEL00613"</f>
        <v>TEL00613</v>
      </c>
      <c r="J201" t="str">
        <f>""</f>
        <v/>
      </c>
      <c r="K201" t="str">
        <f t="shared" si="34"/>
        <v>AS89</v>
      </c>
      <c r="L201" t="s">
        <v>1836</v>
      </c>
      <c r="M201">
        <v>185.79</v>
      </c>
    </row>
    <row r="202" spans="1:13" x14ac:dyDescent="0.25">
      <c r="A202" t="str">
        <f t="shared" si="30"/>
        <v>E131</v>
      </c>
      <c r="B202">
        <v>1</v>
      </c>
      <c r="C202" t="str">
        <f t="shared" si="35"/>
        <v>32040</v>
      </c>
      <c r="D202" t="str">
        <f t="shared" si="36"/>
        <v>5610</v>
      </c>
      <c r="E202" t="str">
        <f t="shared" si="37"/>
        <v>850LOS</v>
      </c>
      <c r="F202" t="str">
        <f>""</f>
        <v/>
      </c>
      <c r="G202" t="str">
        <f>""</f>
        <v/>
      </c>
      <c r="H202" s="1">
        <v>41075</v>
      </c>
      <c r="I202" t="str">
        <f>"TEL00614"</f>
        <v>TEL00614</v>
      </c>
      <c r="J202" t="str">
        <f>""</f>
        <v/>
      </c>
      <c r="K202" t="str">
        <f t="shared" si="34"/>
        <v>AS89</v>
      </c>
      <c r="L202" t="s">
        <v>1835</v>
      </c>
      <c r="M202">
        <v>184.8</v>
      </c>
    </row>
    <row r="203" spans="1:13" x14ac:dyDescent="0.25">
      <c r="A203" t="str">
        <f t="shared" si="30"/>
        <v>E131</v>
      </c>
      <c r="B203">
        <v>1</v>
      </c>
      <c r="C203" t="str">
        <f t="shared" si="35"/>
        <v>32040</v>
      </c>
      <c r="D203" t="str">
        <f t="shared" si="36"/>
        <v>5610</v>
      </c>
      <c r="E203" t="str">
        <f t="shared" si="37"/>
        <v>850LOS</v>
      </c>
      <c r="F203" t="str">
        <f>""</f>
        <v/>
      </c>
      <c r="G203" t="str">
        <f>""</f>
        <v/>
      </c>
      <c r="H203" s="1">
        <v>41090</v>
      </c>
      <c r="I203" t="str">
        <f>"TEL00615"</f>
        <v>TEL00615</v>
      </c>
      <c r="J203" t="str">
        <f>""</f>
        <v/>
      </c>
      <c r="K203" t="str">
        <f t="shared" si="34"/>
        <v>AS89</v>
      </c>
      <c r="L203" t="s">
        <v>1834</v>
      </c>
      <c r="M203">
        <v>183.71</v>
      </c>
    </row>
    <row r="204" spans="1:13" x14ac:dyDescent="0.25">
      <c r="A204" t="str">
        <f t="shared" si="30"/>
        <v>E131</v>
      </c>
      <c r="B204">
        <v>1</v>
      </c>
      <c r="C204" t="str">
        <f t="shared" ref="C204:C215" si="38">"43000"</f>
        <v>43000</v>
      </c>
      <c r="D204" t="str">
        <f t="shared" ref="D204:D215" si="39">"5740"</f>
        <v>5740</v>
      </c>
      <c r="E204" t="str">
        <f t="shared" si="37"/>
        <v>850LOS</v>
      </c>
      <c r="F204" t="str">
        <f>""</f>
        <v/>
      </c>
      <c r="G204" t="str">
        <f>""</f>
        <v/>
      </c>
      <c r="H204" s="1">
        <v>40759</v>
      </c>
      <c r="I204" t="str">
        <f>"TEL00604"</f>
        <v>TEL00604</v>
      </c>
      <c r="J204" t="str">
        <f>""</f>
        <v/>
      </c>
      <c r="K204" t="str">
        <f t="shared" si="34"/>
        <v>AS89</v>
      </c>
      <c r="L204" t="s">
        <v>1845</v>
      </c>
      <c r="M204">
        <v>556.4</v>
      </c>
    </row>
    <row r="205" spans="1:13" x14ac:dyDescent="0.25">
      <c r="A205" t="str">
        <f t="shared" si="30"/>
        <v>E131</v>
      </c>
      <c r="B205">
        <v>1</v>
      </c>
      <c r="C205" t="str">
        <f t="shared" si="38"/>
        <v>43000</v>
      </c>
      <c r="D205" t="str">
        <f t="shared" si="39"/>
        <v>5740</v>
      </c>
      <c r="E205" t="str">
        <f t="shared" si="37"/>
        <v>850LOS</v>
      </c>
      <c r="F205" t="str">
        <f>""</f>
        <v/>
      </c>
      <c r="G205" t="str">
        <f>""</f>
        <v/>
      </c>
      <c r="H205" s="1">
        <v>40805</v>
      </c>
      <c r="I205" t="str">
        <f>"TEL00605"</f>
        <v>TEL00605</v>
      </c>
      <c r="J205" t="str">
        <f>""</f>
        <v/>
      </c>
      <c r="K205" t="str">
        <f t="shared" si="34"/>
        <v>AS89</v>
      </c>
      <c r="L205" t="s">
        <v>1844</v>
      </c>
      <c r="M205">
        <v>585.5</v>
      </c>
    </row>
    <row r="206" spans="1:13" x14ac:dyDescent="0.25">
      <c r="A206" t="str">
        <f t="shared" si="30"/>
        <v>E131</v>
      </c>
      <c r="B206">
        <v>1</v>
      </c>
      <c r="C206" t="str">
        <f t="shared" si="38"/>
        <v>43000</v>
      </c>
      <c r="D206" t="str">
        <f t="shared" si="39"/>
        <v>5740</v>
      </c>
      <c r="E206" t="str">
        <f t="shared" si="37"/>
        <v>850LOS</v>
      </c>
      <c r="F206" t="str">
        <f>""</f>
        <v/>
      </c>
      <c r="G206" t="str">
        <f>""</f>
        <v/>
      </c>
      <c r="H206" s="1">
        <v>40823</v>
      </c>
      <c r="I206" t="str">
        <f>"TEL00606"</f>
        <v>TEL00606</v>
      </c>
      <c r="J206" t="str">
        <f>""</f>
        <v/>
      </c>
      <c r="K206" t="str">
        <f t="shared" si="34"/>
        <v>AS89</v>
      </c>
      <c r="L206" t="s">
        <v>1843</v>
      </c>
      <c r="M206">
        <v>603.33000000000004</v>
      </c>
    </row>
    <row r="207" spans="1:13" x14ac:dyDescent="0.25">
      <c r="A207" t="str">
        <f t="shared" si="30"/>
        <v>E131</v>
      </c>
      <c r="B207">
        <v>1</v>
      </c>
      <c r="C207" t="str">
        <f t="shared" si="38"/>
        <v>43000</v>
      </c>
      <c r="D207" t="str">
        <f t="shared" si="39"/>
        <v>5740</v>
      </c>
      <c r="E207" t="str">
        <f t="shared" si="37"/>
        <v>850LOS</v>
      </c>
      <c r="F207" t="str">
        <f>""</f>
        <v/>
      </c>
      <c r="G207" t="str">
        <f>""</f>
        <v/>
      </c>
      <c r="H207" s="1">
        <v>40854</v>
      </c>
      <c r="I207" t="str">
        <f>"TEL00607"</f>
        <v>TEL00607</v>
      </c>
      <c r="J207" t="str">
        <f>""</f>
        <v/>
      </c>
      <c r="K207" t="str">
        <f t="shared" si="34"/>
        <v>AS89</v>
      </c>
      <c r="L207" t="s">
        <v>1842</v>
      </c>
      <c r="M207">
        <v>548.29</v>
      </c>
    </row>
    <row r="208" spans="1:13" x14ac:dyDescent="0.25">
      <c r="A208" t="str">
        <f t="shared" si="30"/>
        <v>E131</v>
      </c>
      <c r="B208">
        <v>1</v>
      </c>
      <c r="C208" t="str">
        <f t="shared" si="38"/>
        <v>43000</v>
      </c>
      <c r="D208" t="str">
        <f t="shared" si="39"/>
        <v>5740</v>
      </c>
      <c r="E208" t="str">
        <f t="shared" si="37"/>
        <v>850LOS</v>
      </c>
      <c r="F208" t="str">
        <f>""</f>
        <v/>
      </c>
      <c r="G208" t="str">
        <f>""</f>
        <v/>
      </c>
      <c r="H208" s="1">
        <v>40885</v>
      </c>
      <c r="I208" t="str">
        <f>"TEL00608"</f>
        <v>TEL00608</v>
      </c>
      <c r="J208" t="str">
        <f>""</f>
        <v/>
      </c>
      <c r="K208" t="str">
        <f t="shared" si="34"/>
        <v>AS89</v>
      </c>
      <c r="L208" t="s">
        <v>1841</v>
      </c>
      <c r="M208">
        <v>548.41999999999996</v>
      </c>
    </row>
    <row r="209" spans="1:13" x14ac:dyDescent="0.25">
      <c r="A209" t="str">
        <f t="shared" si="30"/>
        <v>E131</v>
      </c>
      <c r="B209">
        <v>1</v>
      </c>
      <c r="C209" t="str">
        <f t="shared" si="38"/>
        <v>43000</v>
      </c>
      <c r="D209" t="str">
        <f t="shared" si="39"/>
        <v>5740</v>
      </c>
      <c r="E209" t="str">
        <f t="shared" si="37"/>
        <v>850LOS</v>
      </c>
      <c r="F209" t="str">
        <f>""</f>
        <v/>
      </c>
      <c r="G209" t="str">
        <f>""</f>
        <v/>
      </c>
      <c r="H209" s="1">
        <v>40920</v>
      </c>
      <c r="I209" t="str">
        <f>"TEL00609"</f>
        <v>TEL00609</v>
      </c>
      <c r="J209" t="str">
        <f>""</f>
        <v/>
      </c>
      <c r="K209" t="str">
        <f t="shared" si="34"/>
        <v>AS89</v>
      </c>
      <c r="L209" t="s">
        <v>1840</v>
      </c>
      <c r="M209">
        <v>528.42999999999995</v>
      </c>
    </row>
    <row r="210" spans="1:13" x14ac:dyDescent="0.25">
      <c r="A210" t="str">
        <f t="shared" si="30"/>
        <v>E131</v>
      </c>
      <c r="B210">
        <v>1</v>
      </c>
      <c r="C210" t="str">
        <f t="shared" si="38"/>
        <v>43000</v>
      </c>
      <c r="D210" t="str">
        <f t="shared" si="39"/>
        <v>5740</v>
      </c>
      <c r="E210" t="str">
        <f t="shared" si="37"/>
        <v>850LOS</v>
      </c>
      <c r="F210" t="str">
        <f>""</f>
        <v/>
      </c>
      <c r="G210" t="str">
        <f>""</f>
        <v/>
      </c>
      <c r="H210" s="1">
        <v>40949</v>
      </c>
      <c r="I210" t="str">
        <f>"TEL00610"</f>
        <v>TEL00610</v>
      </c>
      <c r="J210" t="str">
        <f>""</f>
        <v/>
      </c>
      <c r="K210" t="str">
        <f t="shared" si="34"/>
        <v>AS89</v>
      </c>
      <c r="L210" t="s">
        <v>1839</v>
      </c>
      <c r="M210">
        <v>547.4</v>
      </c>
    </row>
    <row r="211" spans="1:13" x14ac:dyDescent="0.25">
      <c r="A211" t="str">
        <f t="shared" si="30"/>
        <v>E131</v>
      </c>
      <c r="B211">
        <v>1</v>
      </c>
      <c r="C211" t="str">
        <f t="shared" si="38"/>
        <v>43000</v>
      </c>
      <c r="D211" t="str">
        <f t="shared" si="39"/>
        <v>5740</v>
      </c>
      <c r="E211" t="str">
        <f t="shared" si="37"/>
        <v>850LOS</v>
      </c>
      <c r="F211" t="str">
        <f>""</f>
        <v/>
      </c>
      <c r="G211" t="str">
        <f>""</f>
        <v/>
      </c>
      <c r="H211" s="1">
        <v>40973</v>
      </c>
      <c r="I211" t="str">
        <f>"TEL00611"</f>
        <v>TEL00611</v>
      </c>
      <c r="J211" t="str">
        <f>""</f>
        <v/>
      </c>
      <c r="K211" t="str">
        <f t="shared" si="34"/>
        <v>AS89</v>
      </c>
      <c r="L211" t="s">
        <v>1838</v>
      </c>
      <c r="M211">
        <v>577.58000000000004</v>
      </c>
    </row>
    <row r="212" spans="1:13" x14ac:dyDescent="0.25">
      <c r="A212" t="str">
        <f t="shared" si="30"/>
        <v>E131</v>
      </c>
      <c r="B212">
        <v>1</v>
      </c>
      <c r="C212" t="str">
        <f t="shared" si="38"/>
        <v>43000</v>
      </c>
      <c r="D212" t="str">
        <f t="shared" si="39"/>
        <v>5740</v>
      </c>
      <c r="E212" t="str">
        <f t="shared" si="37"/>
        <v>850LOS</v>
      </c>
      <c r="F212" t="str">
        <f>""</f>
        <v/>
      </c>
      <c r="G212" t="str">
        <f>""</f>
        <v/>
      </c>
      <c r="H212" s="1">
        <v>41010</v>
      </c>
      <c r="I212" t="str">
        <f>"TEL00612"</f>
        <v>TEL00612</v>
      </c>
      <c r="J212" t="str">
        <f>""</f>
        <v/>
      </c>
      <c r="K212" t="str">
        <f t="shared" si="34"/>
        <v>AS89</v>
      </c>
      <c r="L212" t="s">
        <v>1837</v>
      </c>
      <c r="M212">
        <v>536.61</v>
      </c>
    </row>
    <row r="213" spans="1:13" x14ac:dyDescent="0.25">
      <c r="A213" t="str">
        <f t="shared" si="30"/>
        <v>E131</v>
      </c>
      <c r="B213">
        <v>1</v>
      </c>
      <c r="C213" t="str">
        <f t="shared" si="38"/>
        <v>43000</v>
      </c>
      <c r="D213" t="str">
        <f t="shared" si="39"/>
        <v>5740</v>
      </c>
      <c r="E213" t="str">
        <f t="shared" si="37"/>
        <v>850LOS</v>
      </c>
      <c r="F213" t="str">
        <f>""</f>
        <v/>
      </c>
      <c r="G213" t="str">
        <f>""</f>
        <v/>
      </c>
      <c r="H213" s="1">
        <v>41038</v>
      </c>
      <c r="I213" t="str">
        <f>"TEL00613"</f>
        <v>TEL00613</v>
      </c>
      <c r="J213" t="str">
        <f>""</f>
        <v/>
      </c>
      <c r="K213" t="str">
        <f t="shared" si="34"/>
        <v>AS89</v>
      </c>
      <c r="L213" t="s">
        <v>1836</v>
      </c>
      <c r="M213">
        <v>532.63</v>
      </c>
    </row>
    <row r="214" spans="1:13" x14ac:dyDescent="0.25">
      <c r="A214" t="str">
        <f t="shared" si="30"/>
        <v>E131</v>
      </c>
      <c r="B214">
        <v>1</v>
      </c>
      <c r="C214" t="str">
        <f t="shared" si="38"/>
        <v>43000</v>
      </c>
      <c r="D214" t="str">
        <f t="shared" si="39"/>
        <v>5740</v>
      </c>
      <c r="E214" t="str">
        <f t="shared" si="37"/>
        <v>850LOS</v>
      </c>
      <c r="F214" t="str">
        <f>""</f>
        <v/>
      </c>
      <c r="G214" t="str">
        <f>""</f>
        <v/>
      </c>
      <c r="H214" s="1">
        <v>41075</v>
      </c>
      <c r="I214" t="str">
        <f>"TEL00614"</f>
        <v>TEL00614</v>
      </c>
      <c r="J214" t="str">
        <f>""</f>
        <v/>
      </c>
      <c r="K214" t="str">
        <f t="shared" si="34"/>
        <v>AS89</v>
      </c>
      <c r="L214" t="s">
        <v>1835</v>
      </c>
      <c r="M214">
        <v>531.28</v>
      </c>
    </row>
    <row r="215" spans="1:13" x14ac:dyDescent="0.25">
      <c r="A215" t="str">
        <f t="shared" si="30"/>
        <v>E131</v>
      </c>
      <c r="B215">
        <v>1</v>
      </c>
      <c r="C215" t="str">
        <f t="shared" si="38"/>
        <v>43000</v>
      </c>
      <c r="D215" t="str">
        <f t="shared" si="39"/>
        <v>5740</v>
      </c>
      <c r="E215" t="str">
        <f t="shared" si="37"/>
        <v>850LOS</v>
      </c>
      <c r="F215" t="str">
        <f>""</f>
        <v/>
      </c>
      <c r="G215" t="str">
        <f>""</f>
        <v/>
      </c>
      <c r="H215" s="1">
        <v>41090</v>
      </c>
      <c r="I215" t="str">
        <f>"TEL00615"</f>
        <v>TEL00615</v>
      </c>
      <c r="J215" t="str">
        <f>""</f>
        <v/>
      </c>
      <c r="K215" t="str">
        <f t="shared" si="34"/>
        <v>AS89</v>
      </c>
      <c r="L215" t="s">
        <v>1834</v>
      </c>
      <c r="M215">
        <v>546.88</v>
      </c>
    </row>
    <row r="216" spans="1:13" x14ac:dyDescent="0.25">
      <c r="A216" t="str">
        <f t="shared" ref="A216:A243" si="40">"E133"</f>
        <v>E133</v>
      </c>
      <c r="B216">
        <v>1</v>
      </c>
      <c r="C216" t="str">
        <f t="shared" ref="C216:C231" si="41">"10200"</f>
        <v>10200</v>
      </c>
      <c r="D216" t="str">
        <f t="shared" ref="D216:D231" si="42">"5620"</f>
        <v>5620</v>
      </c>
      <c r="E216" t="str">
        <f t="shared" ref="E216:E231" si="43">"094OMS"</f>
        <v>094OMS</v>
      </c>
      <c r="F216" t="str">
        <f>""</f>
        <v/>
      </c>
      <c r="G216" t="str">
        <f>""</f>
        <v/>
      </c>
      <c r="H216" s="1">
        <v>40756</v>
      </c>
      <c r="I216" t="str">
        <f>"96959152"</f>
        <v>96959152</v>
      </c>
      <c r="J216" t="str">
        <f>"N138299B"</f>
        <v>N138299B</v>
      </c>
      <c r="K216" t="str">
        <f t="shared" ref="K216:K243" si="44">"INEI"</f>
        <v>INEI</v>
      </c>
      <c r="L216" t="s">
        <v>1382</v>
      </c>
      <c r="M216">
        <v>215.05</v>
      </c>
    </row>
    <row r="217" spans="1:13" x14ac:dyDescent="0.25">
      <c r="A217" t="str">
        <f t="shared" si="40"/>
        <v>E133</v>
      </c>
      <c r="B217">
        <v>1</v>
      </c>
      <c r="C217" t="str">
        <f t="shared" si="41"/>
        <v>10200</v>
      </c>
      <c r="D217" t="str">
        <f t="shared" si="42"/>
        <v>5620</v>
      </c>
      <c r="E217" t="str">
        <f t="shared" si="43"/>
        <v>094OMS</v>
      </c>
      <c r="F217" t="str">
        <f>""</f>
        <v/>
      </c>
      <c r="G217" t="str">
        <f>""</f>
        <v/>
      </c>
      <c r="H217" s="1">
        <v>40785</v>
      </c>
      <c r="I217" t="str">
        <f>"05866217"</f>
        <v>05866217</v>
      </c>
      <c r="J217" t="str">
        <f>"N138299B"</f>
        <v>N138299B</v>
      </c>
      <c r="K217" t="str">
        <f t="shared" si="44"/>
        <v>INEI</v>
      </c>
      <c r="L217" t="s">
        <v>1382</v>
      </c>
      <c r="M217">
        <v>215.05</v>
      </c>
    </row>
    <row r="218" spans="1:13" x14ac:dyDescent="0.25">
      <c r="A218" t="str">
        <f t="shared" si="40"/>
        <v>E133</v>
      </c>
      <c r="B218">
        <v>1</v>
      </c>
      <c r="C218" t="str">
        <f t="shared" si="41"/>
        <v>10200</v>
      </c>
      <c r="D218" t="str">
        <f t="shared" si="42"/>
        <v>5620</v>
      </c>
      <c r="E218" t="str">
        <f t="shared" si="43"/>
        <v>094OMS</v>
      </c>
      <c r="F218" t="str">
        <f>""</f>
        <v/>
      </c>
      <c r="G218" t="str">
        <f>""</f>
        <v/>
      </c>
      <c r="H218" s="1">
        <v>40816</v>
      </c>
      <c r="I218" t="str">
        <f>"14739676"</f>
        <v>14739676</v>
      </c>
      <c r="J218" t="str">
        <f>"N138299B"</f>
        <v>N138299B</v>
      </c>
      <c r="K218" t="str">
        <f t="shared" si="44"/>
        <v>INEI</v>
      </c>
      <c r="L218" t="s">
        <v>1382</v>
      </c>
      <c r="M218">
        <v>215.05</v>
      </c>
    </row>
    <row r="219" spans="1:13" x14ac:dyDescent="0.25">
      <c r="A219" t="str">
        <f t="shared" si="40"/>
        <v>E133</v>
      </c>
      <c r="B219">
        <v>1</v>
      </c>
      <c r="C219" t="str">
        <f t="shared" si="41"/>
        <v>10200</v>
      </c>
      <c r="D219" t="str">
        <f t="shared" si="42"/>
        <v>5620</v>
      </c>
      <c r="E219" t="str">
        <f t="shared" si="43"/>
        <v>094OMS</v>
      </c>
      <c r="F219" t="str">
        <f>""</f>
        <v/>
      </c>
      <c r="G219" t="str">
        <f>""</f>
        <v/>
      </c>
      <c r="H219" s="1">
        <v>40817</v>
      </c>
      <c r="I219" t="str">
        <f>"00045178"</f>
        <v>00045178</v>
      </c>
      <c r="J219" t="str">
        <f>"N171000S"</f>
        <v>N171000S</v>
      </c>
      <c r="K219" t="str">
        <f t="shared" si="44"/>
        <v>INEI</v>
      </c>
      <c r="L219" t="s">
        <v>78</v>
      </c>
      <c r="M219" s="2">
        <v>1065</v>
      </c>
    </row>
    <row r="220" spans="1:13" x14ac:dyDescent="0.25">
      <c r="A220" t="str">
        <f t="shared" si="40"/>
        <v>E133</v>
      </c>
      <c r="B220">
        <v>1</v>
      </c>
      <c r="C220" t="str">
        <f t="shared" si="41"/>
        <v>10200</v>
      </c>
      <c r="D220" t="str">
        <f t="shared" si="42"/>
        <v>5620</v>
      </c>
      <c r="E220" t="str">
        <f t="shared" si="43"/>
        <v>094OMS</v>
      </c>
      <c r="F220" t="str">
        <f>""</f>
        <v/>
      </c>
      <c r="G220" t="str">
        <f>""</f>
        <v/>
      </c>
      <c r="H220" s="1">
        <v>40848</v>
      </c>
      <c r="I220" t="str">
        <f>"23620427"</f>
        <v>23620427</v>
      </c>
      <c r="J220" t="str">
        <f>"N138299B"</f>
        <v>N138299B</v>
      </c>
      <c r="K220" t="str">
        <f t="shared" si="44"/>
        <v>INEI</v>
      </c>
      <c r="L220" t="s">
        <v>1382</v>
      </c>
      <c r="M220">
        <v>221.18</v>
      </c>
    </row>
    <row r="221" spans="1:13" x14ac:dyDescent="0.25">
      <c r="A221" t="str">
        <f t="shared" si="40"/>
        <v>E133</v>
      </c>
      <c r="B221">
        <v>1</v>
      </c>
      <c r="C221" t="str">
        <f t="shared" si="41"/>
        <v>10200</v>
      </c>
      <c r="D221" t="str">
        <f t="shared" si="42"/>
        <v>5620</v>
      </c>
      <c r="E221" t="str">
        <f t="shared" si="43"/>
        <v>094OMS</v>
      </c>
      <c r="F221" t="str">
        <f>""</f>
        <v/>
      </c>
      <c r="G221" t="str">
        <f>""</f>
        <v/>
      </c>
      <c r="H221" s="1">
        <v>40879</v>
      </c>
      <c r="I221" t="str">
        <f>"32531956"</f>
        <v>32531956</v>
      </c>
      <c r="J221" t="str">
        <f>"N138299B"</f>
        <v>N138299B</v>
      </c>
      <c r="K221" t="str">
        <f t="shared" si="44"/>
        <v>INEI</v>
      </c>
      <c r="L221" t="s">
        <v>1382</v>
      </c>
      <c r="M221">
        <v>215.05</v>
      </c>
    </row>
    <row r="222" spans="1:13" x14ac:dyDescent="0.25">
      <c r="A222" t="str">
        <f t="shared" si="40"/>
        <v>E133</v>
      </c>
      <c r="B222">
        <v>1</v>
      </c>
      <c r="C222" t="str">
        <f t="shared" si="41"/>
        <v>10200</v>
      </c>
      <c r="D222" t="str">
        <f t="shared" si="42"/>
        <v>5620</v>
      </c>
      <c r="E222" t="str">
        <f t="shared" si="43"/>
        <v>094OMS</v>
      </c>
      <c r="F222" t="str">
        <f>""</f>
        <v/>
      </c>
      <c r="G222" t="str">
        <f>""</f>
        <v/>
      </c>
      <c r="H222" s="1">
        <v>40897</v>
      </c>
      <c r="I222" t="str">
        <f>"00046029"</f>
        <v>00046029</v>
      </c>
      <c r="J222" t="str">
        <f>"N171000S"</f>
        <v>N171000S</v>
      </c>
      <c r="K222" t="str">
        <f t="shared" si="44"/>
        <v>INEI</v>
      </c>
      <c r="L222" t="s">
        <v>78</v>
      </c>
      <c r="M222" s="2">
        <v>1065</v>
      </c>
    </row>
    <row r="223" spans="1:13" x14ac:dyDescent="0.25">
      <c r="A223" t="str">
        <f t="shared" si="40"/>
        <v>E133</v>
      </c>
      <c r="B223">
        <v>1</v>
      </c>
      <c r="C223" t="str">
        <f t="shared" si="41"/>
        <v>10200</v>
      </c>
      <c r="D223" t="str">
        <f t="shared" si="42"/>
        <v>5620</v>
      </c>
      <c r="E223" t="str">
        <f t="shared" si="43"/>
        <v>094OMS</v>
      </c>
      <c r="F223" t="str">
        <f>""</f>
        <v/>
      </c>
      <c r="G223" t="str">
        <f>""</f>
        <v/>
      </c>
      <c r="H223" s="1">
        <v>40911</v>
      </c>
      <c r="I223" t="str">
        <f>"41461052"</f>
        <v>41461052</v>
      </c>
      <c r="J223" t="str">
        <f>"N138299B"</f>
        <v>N138299B</v>
      </c>
      <c r="K223" t="str">
        <f t="shared" si="44"/>
        <v>INEI</v>
      </c>
      <c r="L223" t="s">
        <v>1382</v>
      </c>
      <c r="M223">
        <v>215.05</v>
      </c>
    </row>
    <row r="224" spans="1:13" x14ac:dyDescent="0.25">
      <c r="A224" t="str">
        <f t="shared" si="40"/>
        <v>E133</v>
      </c>
      <c r="B224">
        <v>1</v>
      </c>
      <c r="C224" t="str">
        <f t="shared" si="41"/>
        <v>10200</v>
      </c>
      <c r="D224" t="str">
        <f t="shared" si="42"/>
        <v>5620</v>
      </c>
      <c r="E224" t="str">
        <f t="shared" si="43"/>
        <v>094OMS</v>
      </c>
      <c r="F224" t="str">
        <f>""</f>
        <v/>
      </c>
      <c r="G224" t="str">
        <f>""</f>
        <v/>
      </c>
      <c r="H224" s="1">
        <v>40939</v>
      </c>
      <c r="I224" t="str">
        <f>"50411481"</f>
        <v>50411481</v>
      </c>
      <c r="J224" t="str">
        <f>"N138299B"</f>
        <v>N138299B</v>
      </c>
      <c r="K224" t="str">
        <f t="shared" si="44"/>
        <v>INEI</v>
      </c>
      <c r="L224" t="s">
        <v>1382</v>
      </c>
      <c r="M224">
        <v>215.89</v>
      </c>
    </row>
    <row r="225" spans="1:13" x14ac:dyDescent="0.25">
      <c r="A225" t="str">
        <f t="shared" si="40"/>
        <v>E133</v>
      </c>
      <c r="B225">
        <v>1</v>
      </c>
      <c r="C225" t="str">
        <f t="shared" si="41"/>
        <v>10200</v>
      </c>
      <c r="D225" t="str">
        <f t="shared" si="42"/>
        <v>5620</v>
      </c>
      <c r="E225" t="str">
        <f t="shared" si="43"/>
        <v>094OMS</v>
      </c>
      <c r="F225" t="str">
        <f>""</f>
        <v/>
      </c>
      <c r="G225" t="str">
        <f>""</f>
        <v/>
      </c>
      <c r="H225" s="1">
        <v>40970</v>
      </c>
      <c r="I225" t="str">
        <f>"59316709"</f>
        <v>59316709</v>
      </c>
      <c r="J225" t="str">
        <f>"N138299B"</f>
        <v>N138299B</v>
      </c>
      <c r="K225" t="str">
        <f t="shared" si="44"/>
        <v>INEI</v>
      </c>
      <c r="L225" t="s">
        <v>1382</v>
      </c>
      <c r="M225">
        <v>215.05</v>
      </c>
    </row>
    <row r="226" spans="1:13" x14ac:dyDescent="0.25">
      <c r="A226" t="str">
        <f t="shared" si="40"/>
        <v>E133</v>
      </c>
      <c r="B226">
        <v>1</v>
      </c>
      <c r="C226" t="str">
        <f t="shared" si="41"/>
        <v>10200</v>
      </c>
      <c r="D226" t="str">
        <f t="shared" si="42"/>
        <v>5620</v>
      </c>
      <c r="E226" t="str">
        <f t="shared" si="43"/>
        <v>094OMS</v>
      </c>
      <c r="F226" t="str">
        <f>""</f>
        <v/>
      </c>
      <c r="G226" t="str">
        <f>""</f>
        <v/>
      </c>
      <c r="H226" s="1">
        <v>40998</v>
      </c>
      <c r="I226" t="str">
        <f>"68224777"</f>
        <v>68224777</v>
      </c>
      <c r="J226" t="str">
        <f>"N138299B"</f>
        <v>N138299B</v>
      </c>
      <c r="K226" t="str">
        <f t="shared" si="44"/>
        <v>INEI</v>
      </c>
      <c r="L226" t="s">
        <v>1382</v>
      </c>
      <c r="M226">
        <v>215.05</v>
      </c>
    </row>
    <row r="227" spans="1:13" x14ac:dyDescent="0.25">
      <c r="A227" t="str">
        <f t="shared" si="40"/>
        <v>E133</v>
      </c>
      <c r="B227">
        <v>1</v>
      </c>
      <c r="C227" t="str">
        <f t="shared" si="41"/>
        <v>10200</v>
      </c>
      <c r="D227" t="str">
        <f t="shared" si="42"/>
        <v>5620</v>
      </c>
      <c r="E227" t="str">
        <f t="shared" si="43"/>
        <v>094OMS</v>
      </c>
      <c r="F227" t="str">
        <f>""</f>
        <v/>
      </c>
      <c r="G227" t="str">
        <f>""</f>
        <v/>
      </c>
      <c r="H227" s="1">
        <v>41000</v>
      </c>
      <c r="I227" t="str">
        <f>"00046848"</f>
        <v>00046848</v>
      </c>
      <c r="J227" t="str">
        <f>"N171000S"</f>
        <v>N171000S</v>
      </c>
      <c r="K227" t="str">
        <f t="shared" si="44"/>
        <v>INEI</v>
      </c>
      <c r="L227" t="s">
        <v>78</v>
      </c>
      <c r="M227" s="2">
        <v>1065</v>
      </c>
    </row>
    <row r="228" spans="1:13" x14ac:dyDescent="0.25">
      <c r="A228" t="str">
        <f t="shared" si="40"/>
        <v>E133</v>
      </c>
      <c r="B228">
        <v>1</v>
      </c>
      <c r="C228" t="str">
        <f t="shared" si="41"/>
        <v>10200</v>
      </c>
      <c r="D228" t="str">
        <f t="shared" si="42"/>
        <v>5620</v>
      </c>
      <c r="E228" t="str">
        <f t="shared" si="43"/>
        <v>094OMS</v>
      </c>
      <c r="F228" t="str">
        <f>""</f>
        <v/>
      </c>
      <c r="G228" t="str">
        <f>""</f>
        <v/>
      </c>
      <c r="H228" s="1">
        <v>41030</v>
      </c>
      <c r="I228" t="str">
        <f>"77118128"</f>
        <v>77118128</v>
      </c>
      <c r="J228" t="str">
        <f>"N138299B"</f>
        <v>N138299B</v>
      </c>
      <c r="K228" t="str">
        <f t="shared" si="44"/>
        <v>INEI</v>
      </c>
      <c r="L228" t="s">
        <v>1382</v>
      </c>
      <c r="M228">
        <v>194.8</v>
      </c>
    </row>
    <row r="229" spans="1:13" x14ac:dyDescent="0.25">
      <c r="A229" t="str">
        <f t="shared" si="40"/>
        <v>E133</v>
      </c>
      <c r="B229">
        <v>1</v>
      </c>
      <c r="C229" t="str">
        <f t="shared" si="41"/>
        <v>10200</v>
      </c>
      <c r="D229" t="str">
        <f t="shared" si="42"/>
        <v>5620</v>
      </c>
      <c r="E229" t="str">
        <f t="shared" si="43"/>
        <v>094OMS</v>
      </c>
      <c r="F229" t="str">
        <f>""</f>
        <v/>
      </c>
      <c r="G229" t="str">
        <f>""</f>
        <v/>
      </c>
      <c r="H229" s="1">
        <v>41061</v>
      </c>
      <c r="I229" t="str">
        <f>"85986997"</f>
        <v>85986997</v>
      </c>
      <c r="J229" t="str">
        <f>"N138299B"</f>
        <v>N138299B</v>
      </c>
      <c r="K229" t="str">
        <f t="shared" si="44"/>
        <v>INEI</v>
      </c>
      <c r="L229" t="s">
        <v>1382</v>
      </c>
      <c r="M229">
        <v>200.05</v>
      </c>
    </row>
    <row r="230" spans="1:13" x14ac:dyDescent="0.25">
      <c r="A230" t="str">
        <f t="shared" si="40"/>
        <v>E133</v>
      </c>
      <c r="B230">
        <v>1</v>
      </c>
      <c r="C230" t="str">
        <f t="shared" si="41"/>
        <v>10200</v>
      </c>
      <c r="D230" t="str">
        <f t="shared" si="42"/>
        <v>5620</v>
      </c>
      <c r="E230" t="str">
        <f t="shared" si="43"/>
        <v>094OMS</v>
      </c>
      <c r="F230" t="str">
        <f>""</f>
        <v/>
      </c>
      <c r="G230" t="str">
        <f>""</f>
        <v/>
      </c>
      <c r="H230" s="1">
        <v>41087</v>
      </c>
      <c r="I230" t="str">
        <f>"00047643"</f>
        <v>00047643</v>
      </c>
      <c r="J230" t="str">
        <f>"N171000S"</f>
        <v>N171000S</v>
      </c>
      <c r="K230" t="str">
        <f t="shared" si="44"/>
        <v>INEI</v>
      </c>
      <c r="L230" t="s">
        <v>78</v>
      </c>
      <c r="M230" s="2">
        <v>1065</v>
      </c>
    </row>
    <row r="231" spans="1:13" x14ac:dyDescent="0.25">
      <c r="A231" t="str">
        <f t="shared" si="40"/>
        <v>E133</v>
      </c>
      <c r="B231">
        <v>1</v>
      </c>
      <c r="C231" t="str">
        <f t="shared" si="41"/>
        <v>10200</v>
      </c>
      <c r="D231" t="str">
        <f t="shared" si="42"/>
        <v>5620</v>
      </c>
      <c r="E231" t="str">
        <f t="shared" si="43"/>
        <v>094OMS</v>
      </c>
      <c r="F231" t="str">
        <f>""</f>
        <v/>
      </c>
      <c r="G231" t="str">
        <f>""</f>
        <v/>
      </c>
      <c r="H231" s="1">
        <v>41089</v>
      </c>
      <c r="I231" t="str">
        <f>"94856552"</f>
        <v>94856552</v>
      </c>
      <c r="J231" t="str">
        <f>"N138299B"</f>
        <v>N138299B</v>
      </c>
      <c r="K231" t="str">
        <f t="shared" si="44"/>
        <v>INEI</v>
      </c>
      <c r="L231" t="s">
        <v>1382</v>
      </c>
      <c r="M231">
        <v>200.05</v>
      </c>
    </row>
    <row r="232" spans="1:13" x14ac:dyDescent="0.25">
      <c r="A232" t="str">
        <f t="shared" si="40"/>
        <v>E133</v>
      </c>
      <c r="B232">
        <v>1</v>
      </c>
      <c r="C232" t="str">
        <f t="shared" ref="C232:C243" si="45">"43003"</f>
        <v>43003</v>
      </c>
      <c r="D232" t="str">
        <f t="shared" ref="D232:D243" si="46">"5740"</f>
        <v>5740</v>
      </c>
      <c r="E232" t="str">
        <f t="shared" ref="E232:E243" si="47">"850LOS"</f>
        <v>850LOS</v>
      </c>
      <c r="F232" t="str">
        <f>""</f>
        <v/>
      </c>
      <c r="G232" t="str">
        <f>""</f>
        <v/>
      </c>
      <c r="H232" s="1">
        <v>40756</v>
      </c>
      <c r="I232" t="str">
        <f>"I0101533"</f>
        <v>I0101533</v>
      </c>
      <c r="J232" t="str">
        <f t="shared" ref="J232:J243" si="48">"N138259B"</f>
        <v>N138259B</v>
      </c>
      <c r="K232" t="str">
        <f t="shared" si="44"/>
        <v>INEI</v>
      </c>
      <c r="L232" t="s">
        <v>1381</v>
      </c>
      <c r="M232">
        <v>479.6</v>
      </c>
    </row>
    <row r="233" spans="1:13" x14ac:dyDescent="0.25">
      <c r="A233" t="str">
        <f t="shared" si="40"/>
        <v>E133</v>
      </c>
      <c r="B233">
        <v>1</v>
      </c>
      <c r="C233" t="str">
        <f t="shared" si="45"/>
        <v>43003</v>
      </c>
      <c r="D233" t="str">
        <f t="shared" si="46"/>
        <v>5740</v>
      </c>
      <c r="E233" t="str">
        <f t="shared" si="47"/>
        <v>850LOS</v>
      </c>
      <c r="F233" t="str">
        <f>""</f>
        <v/>
      </c>
      <c r="G233" t="str">
        <f>""</f>
        <v/>
      </c>
      <c r="H233" s="1">
        <v>40785</v>
      </c>
      <c r="I233" t="str">
        <f>"I0101787"</f>
        <v>I0101787</v>
      </c>
      <c r="J233" t="str">
        <f t="shared" si="48"/>
        <v>N138259B</v>
      </c>
      <c r="K233" t="str">
        <f t="shared" si="44"/>
        <v>INEI</v>
      </c>
      <c r="L233" t="s">
        <v>1381</v>
      </c>
      <c r="M233">
        <v>481.03</v>
      </c>
    </row>
    <row r="234" spans="1:13" x14ac:dyDescent="0.25">
      <c r="A234" t="str">
        <f t="shared" si="40"/>
        <v>E133</v>
      </c>
      <c r="B234">
        <v>1</v>
      </c>
      <c r="C234" t="str">
        <f t="shared" si="45"/>
        <v>43003</v>
      </c>
      <c r="D234" t="str">
        <f t="shared" si="46"/>
        <v>5740</v>
      </c>
      <c r="E234" t="str">
        <f t="shared" si="47"/>
        <v>850LOS</v>
      </c>
      <c r="F234" t="str">
        <f>""</f>
        <v/>
      </c>
      <c r="G234" t="str">
        <f>""</f>
        <v/>
      </c>
      <c r="H234" s="1">
        <v>40815</v>
      </c>
      <c r="I234" t="str">
        <f>"I0102053"</f>
        <v>I0102053</v>
      </c>
      <c r="J234" t="str">
        <f t="shared" si="48"/>
        <v>N138259B</v>
      </c>
      <c r="K234" t="str">
        <f t="shared" si="44"/>
        <v>INEI</v>
      </c>
      <c r="L234" t="s">
        <v>1381</v>
      </c>
      <c r="M234">
        <v>481.69</v>
      </c>
    </row>
    <row r="235" spans="1:13" x14ac:dyDescent="0.25">
      <c r="A235" t="str">
        <f t="shared" si="40"/>
        <v>E133</v>
      </c>
      <c r="B235">
        <v>1</v>
      </c>
      <c r="C235" t="str">
        <f t="shared" si="45"/>
        <v>43003</v>
      </c>
      <c r="D235" t="str">
        <f t="shared" si="46"/>
        <v>5740</v>
      </c>
      <c r="E235" t="str">
        <f t="shared" si="47"/>
        <v>850LOS</v>
      </c>
      <c r="F235" t="str">
        <f>""</f>
        <v/>
      </c>
      <c r="G235" t="str">
        <f>""</f>
        <v/>
      </c>
      <c r="H235" s="1">
        <v>40847</v>
      </c>
      <c r="I235" t="str">
        <f>"I0102257"</f>
        <v>I0102257</v>
      </c>
      <c r="J235" t="str">
        <f t="shared" si="48"/>
        <v>N138259B</v>
      </c>
      <c r="K235" t="str">
        <f t="shared" si="44"/>
        <v>INEI</v>
      </c>
      <c r="L235" t="s">
        <v>1381</v>
      </c>
      <c r="M235">
        <v>480.92</v>
      </c>
    </row>
    <row r="236" spans="1:13" x14ac:dyDescent="0.25">
      <c r="A236" t="str">
        <f t="shared" si="40"/>
        <v>E133</v>
      </c>
      <c r="B236">
        <v>1</v>
      </c>
      <c r="C236" t="str">
        <f t="shared" si="45"/>
        <v>43003</v>
      </c>
      <c r="D236" t="str">
        <f t="shared" si="46"/>
        <v>5740</v>
      </c>
      <c r="E236" t="str">
        <f t="shared" si="47"/>
        <v>850LOS</v>
      </c>
      <c r="F236" t="str">
        <f>""</f>
        <v/>
      </c>
      <c r="G236" t="str">
        <f>""</f>
        <v/>
      </c>
      <c r="H236" s="1">
        <v>40877</v>
      </c>
      <c r="I236" t="str">
        <f>"I0102453"</f>
        <v>I0102453</v>
      </c>
      <c r="J236" t="str">
        <f t="shared" si="48"/>
        <v>N138259B</v>
      </c>
      <c r="K236" t="str">
        <f t="shared" si="44"/>
        <v>INEI</v>
      </c>
      <c r="L236" t="s">
        <v>1381</v>
      </c>
      <c r="M236">
        <v>480.92</v>
      </c>
    </row>
    <row r="237" spans="1:13" x14ac:dyDescent="0.25">
      <c r="A237" t="str">
        <f t="shared" si="40"/>
        <v>E133</v>
      </c>
      <c r="B237">
        <v>1</v>
      </c>
      <c r="C237" t="str">
        <f t="shared" si="45"/>
        <v>43003</v>
      </c>
      <c r="D237" t="str">
        <f t="shared" si="46"/>
        <v>5740</v>
      </c>
      <c r="E237" t="str">
        <f t="shared" si="47"/>
        <v>850LOS</v>
      </c>
      <c r="F237" t="str">
        <f>""</f>
        <v/>
      </c>
      <c r="G237" t="str">
        <f>""</f>
        <v/>
      </c>
      <c r="H237" s="1">
        <v>40911</v>
      </c>
      <c r="I237" t="str">
        <f>"I0102685"</f>
        <v>I0102685</v>
      </c>
      <c r="J237" t="str">
        <f t="shared" si="48"/>
        <v>N138259B</v>
      </c>
      <c r="K237" t="str">
        <f t="shared" si="44"/>
        <v>INEI</v>
      </c>
      <c r="L237" t="s">
        <v>1381</v>
      </c>
      <c r="M237">
        <v>480.92</v>
      </c>
    </row>
    <row r="238" spans="1:13" x14ac:dyDescent="0.25">
      <c r="A238" t="str">
        <f t="shared" si="40"/>
        <v>E133</v>
      </c>
      <c r="B238">
        <v>1</v>
      </c>
      <c r="C238" t="str">
        <f t="shared" si="45"/>
        <v>43003</v>
      </c>
      <c r="D238" t="str">
        <f t="shared" si="46"/>
        <v>5740</v>
      </c>
      <c r="E238" t="str">
        <f t="shared" si="47"/>
        <v>850LOS</v>
      </c>
      <c r="F238" t="str">
        <f>""</f>
        <v/>
      </c>
      <c r="G238" t="str">
        <f>""</f>
        <v/>
      </c>
      <c r="H238" s="1">
        <v>40939</v>
      </c>
      <c r="I238" t="str">
        <f>"I0102854"</f>
        <v>I0102854</v>
      </c>
      <c r="J238" t="str">
        <f t="shared" si="48"/>
        <v>N138259B</v>
      </c>
      <c r="K238" t="str">
        <f t="shared" si="44"/>
        <v>INEI</v>
      </c>
      <c r="L238" t="s">
        <v>1381</v>
      </c>
      <c r="M238">
        <v>486.86</v>
      </c>
    </row>
    <row r="239" spans="1:13" x14ac:dyDescent="0.25">
      <c r="A239" t="str">
        <f t="shared" si="40"/>
        <v>E133</v>
      </c>
      <c r="B239">
        <v>1</v>
      </c>
      <c r="C239" t="str">
        <f t="shared" si="45"/>
        <v>43003</v>
      </c>
      <c r="D239" t="str">
        <f t="shared" si="46"/>
        <v>5740</v>
      </c>
      <c r="E239" t="str">
        <f t="shared" si="47"/>
        <v>850LOS</v>
      </c>
      <c r="F239" t="str">
        <f>""</f>
        <v/>
      </c>
      <c r="G239" t="str">
        <f>""</f>
        <v/>
      </c>
      <c r="H239" s="1">
        <v>40970</v>
      </c>
      <c r="I239" t="str">
        <f>"I0103053"</f>
        <v>I0103053</v>
      </c>
      <c r="J239" t="str">
        <f t="shared" si="48"/>
        <v>N138259B</v>
      </c>
      <c r="K239" t="str">
        <f t="shared" si="44"/>
        <v>INEI</v>
      </c>
      <c r="L239" t="s">
        <v>1381</v>
      </c>
      <c r="M239">
        <v>495.25</v>
      </c>
    </row>
    <row r="240" spans="1:13" x14ac:dyDescent="0.25">
      <c r="A240" t="str">
        <f t="shared" si="40"/>
        <v>E133</v>
      </c>
      <c r="B240">
        <v>1</v>
      </c>
      <c r="C240" t="str">
        <f t="shared" si="45"/>
        <v>43003</v>
      </c>
      <c r="D240" t="str">
        <f t="shared" si="46"/>
        <v>5740</v>
      </c>
      <c r="E240" t="str">
        <f t="shared" si="47"/>
        <v>850LOS</v>
      </c>
      <c r="F240" t="str">
        <f>""</f>
        <v/>
      </c>
      <c r="G240" t="str">
        <f>""</f>
        <v/>
      </c>
      <c r="H240" s="1">
        <v>40998</v>
      </c>
      <c r="I240" t="str">
        <f>"I0103214"</f>
        <v>I0103214</v>
      </c>
      <c r="J240" t="str">
        <f t="shared" si="48"/>
        <v>N138259B</v>
      </c>
      <c r="K240" t="str">
        <f t="shared" si="44"/>
        <v>INEI</v>
      </c>
      <c r="L240" t="s">
        <v>1381</v>
      </c>
      <c r="M240">
        <v>484.57</v>
      </c>
    </row>
    <row r="241" spans="1:13" x14ac:dyDescent="0.25">
      <c r="A241" t="str">
        <f t="shared" si="40"/>
        <v>E133</v>
      </c>
      <c r="B241">
        <v>1</v>
      </c>
      <c r="C241" t="str">
        <f t="shared" si="45"/>
        <v>43003</v>
      </c>
      <c r="D241" t="str">
        <f t="shared" si="46"/>
        <v>5740</v>
      </c>
      <c r="E241" t="str">
        <f t="shared" si="47"/>
        <v>850LOS</v>
      </c>
      <c r="F241" t="str">
        <f>""</f>
        <v/>
      </c>
      <c r="G241" t="str">
        <f>""</f>
        <v/>
      </c>
      <c r="H241" s="1">
        <v>41031</v>
      </c>
      <c r="I241" t="str">
        <f>"I0103504"</f>
        <v>I0103504</v>
      </c>
      <c r="J241" t="str">
        <f t="shared" si="48"/>
        <v>N138259B</v>
      </c>
      <c r="K241" t="str">
        <f t="shared" si="44"/>
        <v>INEI</v>
      </c>
      <c r="L241" t="s">
        <v>1381</v>
      </c>
      <c r="M241">
        <v>486.61</v>
      </c>
    </row>
    <row r="242" spans="1:13" x14ac:dyDescent="0.25">
      <c r="A242" t="str">
        <f t="shared" si="40"/>
        <v>E133</v>
      </c>
      <c r="B242">
        <v>1</v>
      </c>
      <c r="C242" t="str">
        <f t="shared" si="45"/>
        <v>43003</v>
      </c>
      <c r="D242" t="str">
        <f t="shared" si="46"/>
        <v>5740</v>
      </c>
      <c r="E242" t="str">
        <f t="shared" si="47"/>
        <v>850LOS</v>
      </c>
      <c r="F242" t="str">
        <f>""</f>
        <v/>
      </c>
      <c r="G242" t="str">
        <f>""</f>
        <v/>
      </c>
      <c r="H242" s="1">
        <v>41065</v>
      </c>
      <c r="I242" t="str">
        <f>"I0103707"</f>
        <v>I0103707</v>
      </c>
      <c r="J242" t="str">
        <f t="shared" si="48"/>
        <v>N138259B</v>
      </c>
      <c r="K242" t="str">
        <f t="shared" si="44"/>
        <v>INEI</v>
      </c>
      <c r="L242" t="s">
        <v>1381</v>
      </c>
      <c r="M242">
        <v>484.77</v>
      </c>
    </row>
    <row r="243" spans="1:13" x14ac:dyDescent="0.25">
      <c r="A243" t="str">
        <f t="shared" si="40"/>
        <v>E133</v>
      </c>
      <c r="B243">
        <v>1</v>
      </c>
      <c r="C243" t="str">
        <f t="shared" si="45"/>
        <v>43003</v>
      </c>
      <c r="D243" t="str">
        <f t="shared" si="46"/>
        <v>5740</v>
      </c>
      <c r="E243" t="str">
        <f t="shared" si="47"/>
        <v>850LOS</v>
      </c>
      <c r="F243" t="str">
        <f>""</f>
        <v/>
      </c>
      <c r="G243" t="str">
        <f>""</f>
        <v/>
      </c>
      <c r="H243" s="1">
        <v>41090</v>
      </c>
      <c r="I243" t="str">
        <f>"I0103901"</f>
        <v>I0103901</v>
      </c>
      <c r="J243" t="str">
        <f t="shared" si="48"/>
        <v>N138259B</v>
      </c>
      <c r="K243" t="str">
        <f t="shared" si="44"/>
        <v>INEI</v>
      </c>
      <c r="L243" t="s">
        <v>1381</v>
      </c>
      <c r="M243">
        <v>490.56</v>
      </c>
    </row>
    <row r="244" spans="1:13" x14ac:dyDescent="0.25">
      <c r="A244" t="str">
        <f>"E150"</f>
        <v>E150</v>
      </c>
      <c r="B244">
        <v>1</v>
      </c>
      <c r="C244" t="str">
        <f>"10200"</f>
        <v>10200</v>
      </c>
      <c r="D244" t="str">
        <f>"5620"</f>
        <v>5620</v>
      </c>
      <c r="E244" t="str">
        <f>"094OMS"</f>
        <v>094OMS</v>
      </c>
      <c r="F244" t="str">
        <f>""</f>
        <v/>
      </c>
      <c r="G244" t="str">
        <f>""</f>
        <v/>
      </c>
      <c r="H244" s="1">
        <v>40847</v>
      </c>
      <c r="I244" t="str">
        <f>"MPG00403"</f>
        <v>MPG00403</v>
      </c>
      <c r="J244" t="str">
        <f>""</f>
        <v/>
      </c>
      <c r="K244" t="str">
        <f>"AS89"</f>
        <v>AS89</v>
      </c>
      <c r="L244" t="s">
        <v>1833</v>
      </c>
      <c r="M244" s="2">
        <v>41000</v>
      </c>
    </row>
    <row r="245" spans="1:13" x14ac:dyDescent="0.25">
      <c r="A245" t="str">
        <f>"E150"</f>
        <v>E150</v>
      </c>
      <c r="B245">
        <v>1</v>
      </c>
      <c r="C245" t="str">
        <f>"10200"</f>
        <v>10200</v>
      </c>
      <c r="D245" t="str">
        <f>"5620"</f>
        <v>5620</v>
      </c>
      <c r="E245" t="str">
        <f>"094OMS"</f>
        <v>094OMS</v>
      </c>
      <c r="F245" t="str">
        <f>""</f>
        <v/>
      </c>
      <c r="G245" t="str">
        <f>""</f>
        <v/>
      </c>
      <c r="H245" s="1">
        <v>40949</v>
      </c>
      <c r="I245" t="str">
        <f>"188870"</f>
        <v>188870</v>
      </c>
      <c r="J245" t="str">
        <f>""</f>
        <v/>
      </c>
      <c r="K245" t="str">
        <f>"INNI"</f>
        <v>INNI</v>
      </c>
      <c r="L245" t="s">
        <v>179</v>
      </c>
      <c r="M245" s="2">
        <v>5042.5</v>
      </c>
    </row>
    <row r="246" spans="1:13" x14ac:dyDescent="0.25">
      <c r="A246" t="str">
        <f>"E150"</f>
        <v>E150</v>
      </c>
      <c r="B246">
        <v>1</v>
      </c>
      <c r="C246" t="str">
        <f>"10200"</f>
        <v>10200</v>
      </c>
      <c r="D246" t="str">
        <f>"5620"</f>
        <v>5620</v>
      </c>
      <c r="E246" t="str">
        <f>"094OMS"</f>
        <v>094OMS</v>
      </c>
      <c r="F246" t="str">
        <f>""</f>
        <v/>
      </c>
      <c r="G246" t="str">
        <f>""</f>
        <v/>
      </c>
      <c r="H246" s="1">
        <v>41023</v>
      </c>
      <c r="I246" t="str">
        <f>"196024"</f>
        <v>196024</v>
      </c>
      <c r="J246" t="str">
        <f>""</f>
        <v/>
      </c>
      <c r="K246" t="str">
        <f>"INNI"</f>
        <v>INNI</v>
      </c>
      <c r="L246" t="s">
        <v>92</v>
      </c>
      <c r="M246" s="2">
        <v>3000</v>
      </c>
    </row>
    <row r="247" spans="1:13" x14ac:dyDescent="0.25">
      <c r="A247" t="str">
        <f>"E150"</f>
        <v>E150</v>
      </c>
      <c r="B247">
        <v>1</v>
      </c>
      <c r="C247" t="str">
        <f>"32040"</f>
        <v>32040</v>
      </c>
      <c r="D247" t="str">
        <f>"5610"</f>
        <v>5610</v>
      </c>
      <c r="E247" t="str">
        <f>"850LOS"</f>
        <v>850LOS</v>
      </c>
      <c r="F247" t="str">
        <f>""</f>
        <v/>
      </c>
      <c r="G247" t="str">
        <f>""</f>
        <v/>
      </c>
      <c r="H247" s="1">
        <v>41060</v>
      </c>
      <c r="I247" t="str">
        <f>"MPG00410"</f>
        <v>MPG00410</v>
      </c>
      <c r="J247" t="str">
        <f>"0"</f>
        <v>0</v>
      </c>
      <c r="K247" t="str">
        <f>"AS89"</f>
        <v>AS89</v>
      </c>
      <c r="L247" t="s">
        <v>1832</v>
      </c>
      <c r="M247" s="2">
        <v>5500</v>
      </c>
    </row>
    <row r="248" spans="1:13" x14ac:dyDescent="0.25">
      <c r="A248" t="str">
        <f>"E155"</f>
        <v>E155</v>
      </c>
      <c r="B248">
        <v>1</v>
      </c>
      <c r="C248" t="str">
        <f>"43000"</f>
        <v>43000</v>
      </c>
      <c r="D248" t="str">
        <f>"5740"</f>
        <v>5740</v>
      </c>
      <c r="E248" t="str">
        <f>"850LOS"</f>
        <v>850LOS</v>
      </c>
      <c r="F248" t="str">
        <f>""</f>
        <v/>
      </c>
      <c r="G248" t="str">
        <f>""</f>
        <v/>
      </c>
      <c r="H248" s="1">
        <v>40785</v>
      </c>
      <c r="I248" t="str">
        <f>"PCD00498"</f>
        <v>PCD00498</v>
      </c>
      <c r="J248" t="str">
        <f>"150940"</f>
        <v>150940</v>
      </c>
      <c r="K248" t="str">
        <f>"AS89"</f>
        <v>AS89</v>
      </c>
      <c r="L248" t="s">
        <v>1831</v>
      </c>
      <c r="M248">
        <v>105</v>
      </c>
    </row>
    <row r="249" spans="1:13" x14ac:dyDescent="0.25">
      <c r="A249" t="str">
        <f>"E157"</f>
        <v>E157</v>
      </c>
      <c r="B249">
        <v>1</v>
      </c>
      <c r="C249" t="str">
        <f t="shared" ref="C249:C265" si="49">"10200"</f>
        <v>10200</v>
      </c>
      <c r="D249" t="str">
        <f t="shared" ref="D249:D265" si="50">"5620"</f>
        <v>5620</v>
      </c>
      <c r="E249" t="str">
        <f t="shared" ref="E249:E265" si="51">"094OMS"</f>
        <v>094OMS</v>
      </c>
      <c r="F249" t="str">
        <f>""</f>
        <v/>
      </c>
      <c r="G249" t="str">
        <f>""</f>
        <v/>
      </c>
      <c r="H249" s="1">
        <v>40736</v>
      </c>
      <c r="I249" t="str">
        <f>"1100724"</f>
        <v>1100724</v>
      </c>
      <c r="J249" t="str">
        <f>"N076270G"</f>
        <v>N076270G</v>
      </c>
      <c r="K249" t="str">
        <f>"INEI"</f>
        <v>INEI</v>
      </c>
      <c r="L249" t="s">
        <v>226</v>
      </c>
      <c r="M249" s="2">
        <v>4619.75</v>
      </c>
    </row>
    <row r="250" spans="1:13" x14ac:dyDescent="0.25">
      <c r="A250" t="str">
        <f t="shared" ref="A250:A291" si="52">"E160"</f>
        <v>E160</v>
      </c>
      <c r="B250">
        <v>1</v>
      </c>
      <c r="C250" t="str">
        <f t="shared" si="49"/>
        <v>10200</v>
      </c>
      <c r="D250" t="str">
        <f t="shared" si="50"/>
        <v>5620</v>
      </c>
      <c r="E250" t="str">
        <f t="shared" si="51"/>
        <v>094OMS</v>
      </c>
      <c r="F250" t="str">
        <f>""</f>
        <v/>
      </c>
      <c r="G250" t="str">
        <f>""</f>
        <v/>
      </c>
      <c r="H250" s="1">
        <v>40725</v>
      </c>
      <c r="I250" t="str">
        <f>"PHY00559"</f>
        <v>PHY00559</v>
      </c>
      <c r="J250" t="str">
        <f>"W0002151"</f>
        <v>W0002151</v>
      </c>
      <c r="K250" t="str">
        <f t="shared" ref="K250:K263" si="53">"AS89"</f>
        <v>AS89</v>
      </c>
      <c r="L250" t="s">
        <v>429</v>
      </c>
      <c r="M250">
        <v>411.85</v>
      </c>
    </row>
    <row r="251" spans="1:13" x14ac:dyDescent="0.25">
      <c r="A251" t="str">
        <f t="shared" si="52"/>
        <v>E160</v>
      </c>
      <c r="B251">
        <v>1</v>
      </c>
      <c r="C251" t="str">
        <f t="shared" si="49"/>
        <v>10200</v>
      </c>
      <c r="D251" t="str">
        <f t="shared" si="50"/>
        <v>5620</v>
      </c>
      <c r="E251" t="str">
        <f t="shared" si="51"/>
        <v>094OMS</v>
      </c>
      <c r="F251" t="str">
        <f>""</f>
        <v/>
      </c>
      <c r="G251" t="str">
        <f>""</f>
        <v/>
      </c>
      <c r="H251" s="1">
        <v>40756</v>
      </c>
      <c r="I251" t="str">
        <f>"PHY00561"</f>
        <v>PHY00561</v>
      </c>
      <c r="J251" t="str">
        <f>"W0036764"</f>
        <v>W0036764</v>
      </c>
      <c r="K251" t="str">
        <f t="shared" si="53"/>
        <v>AS89</v>
      </c>
      <c r="L251" t="s">
        <v>1095</v>
      </c>
      <c r="M251" s="2">
        <v>1621.46</v>
      </c>
    </row>
    <row r="252" spans="1:13" x14ac:dyDescent="0.25">
      <c r="A252" t="str">
        <f t="shared" si="52"/>
        <v>E160</v>
      </c>
      <c r="B252">
        <v>1</v>
      </c>
      <c r="C252" t="str">
        <f t="shared" si="49"/>
        <v>10200</v>
      </c>
      <c r="D252" t="str">
        <f t="shared" si="50"/>
        <v>5620</v>
      </c>
      <c r="E252" t="str">
        <f t="shared" si="51"/>
        <v>094OMS</v>
      </c>
      <c r="F252" t="str">
        <f>""</f>
        <v/>
      </c>
      <c r="G252" t="str">
        <f>""</f>
        <v/>
      </c>
      <c r="H252" s="1">
        <v>40817</v>
      </c>
      <c r="I252" t="str">
        <f>"PHY00566"</f>
        <v>PHY00566</v>
      </c>
      <c r="J252" t="str">
        <f>"W0036764"</f>
        <v>W0036764</v>
      </c>
      <c r="K252" t="str">
        <f t="shared" si="53"/>
        <v>AS89</v>
      </c>
      <c r="L252" t="s">
        <v>1095</v>
      </c>
      <c r="M252">
        <v>132.29</v>
      </c>
    </row>
    <row r="253" spans="1:13" x14ac:dyDescent="0.25">
      <c r="A253" t="str">
        <f t="shared" si="52"/>
        <v>E160</v>
      </c>
      <c r="B253">
        <v>1</v>
      </c>
      <c r="C253" t="str">
        <f t="shared" si="49"/>
        <v>10200</v>
      </c>
      <c r="D253" t="str">
        <f t="shared" si="50"/>
        <v>5620</v>
      </c>
      <c r="E253" t="str">
        <f t="shared" si="51"/>
        <v>094OMS</v>
      </c>
      <c r="F253" t="str">
        <f>""</f>
        <v/>
      </c>
      <c r="G253" t="str">
        <f>""</f>
        <v/>
      </c>
      <c r="H253" s="1">
        <v>40848</v>
      </c>
      <c r="I253" t="str">
        <f>"PHY00567"</f>
        <v>PHY00567</v>
      </c>
      <c r="J253" t="str">
        <f>"W0036764"</f>
        <v>W0036764</v>
      </c>
      <c r="K253" t="str">
        <f t="shared" si="53"/>
        <v>AS89</v>
      </c>
      <c r="L253" t="s">
        <v>1095</v>
      </c>
      <c r="M253">
        <v>198.61</v>
      </c>
    </row>
    <row r="254" spans="1:13" x14ac:dyDescent="0.25">
      <c r="A254" t="str">
        <f t="shared" si="52"/>
        <v>E160</v>
      </c>
      <c r="B254">
        <v>1</v>
      </c>
      <c r="C254" t="str">
        <f t="shared" si="49"/>
        <v>10200</v>
      </c>
      <c r="D254" t="str">
        <f t="shared" si="50"/>
        <v>5620</v>
      </c>
      <c r="E254" t="str">
        <f t="shared" si="51"/>
        <v>094OMS</v>
      </c>
      <c r="F254" t="str">
        <f>""</f>
        <v/>
      </c>
      <c r="G254" t="str">
        <f>""</f>
        <v/>
      </c>
      <c r="H254" s="1">
        <v>40909</v>
      </c>
      <c r="I254" t="str">
        <f>"PHY00571"</f>
        <v>PHY00571</v>
      </c>
      <c r="J254" t="str">
        <f>"W0036764"</f>
        <v>W0036764</v>
      </c>
      <c r="K254" t="str">
        <f t="shared" si="53"/>
        <v>AS89</v>
      </c>
      <c r="L254" t="s">
        <v>1095</v>
      </c>
      <c r="M254">
        <v>610.22</v>
      </c>
    </row>
    <row r="255" spans="1:13" x14ac:dyDescent="0.25">
      <c r="A255" t="str">
        <f t="shared" si="52"/>
        <v>E160</v>
      </c>
      <c r="B255">
        <v>1</v>
      </c>
      <c r="C255" t="str">
        <f t="shared" si="49"/>
        <v>10200</v>
      </c>
      <c r="D255" t="str">
        <f t="shared" si="50"/>
        <v>5620</v>
      </c>
      <c r="E255" t="str">
        <f t="shared" si="51"/>
        <v>094OMS</v>
      </c>
      <c r="F255" t="str">
        <f>""</f>
        <v/>
      </c>
      <c r="G255" t="str">
        <f>""</f>
        <v/>
      </c>
      <c r="H255" s="1">
        <v>40940</v>
      </c>
      <c r="I255" t="str">
        <f>"PHY00573"</f>
        <v>PHY00573</v>
      </c>
      <c r="J255" t="str">
        <f>"W0002485"</f>
        <v>W0002485</v>
      </c>
      <c r="K255" t="str">
        <f t="shared" si="53"/>
        <v>AS89</v>
      </c>
      <c r="L255" t="s">
        <v>1830</v>
      </c>
      <c r="M255">
        <v>952.81</v>
      </c>
    </row>
    <row r="256" spans="1:13" x14ac:dyDescent="0.25">
      <c r="A256" t="str">
        <f t="shared" si="52"/>
        <v>E160</v>
      </c>
      <c r="B256">
        <v>1</v>
      </c>
      <c r="C256" t="str">
        <f t="shared" si="49"/>
        <v>10200</v>
      </c>
      <c r="D256" t="str">
        <f t="shared" si="50"/>
        <v>5620</v>
      </c>
      <c r="E256" t="str">
        <f t="shared" si="51"/>
        <v>094OMS</v>
      </c>
      <c r="F256" t="str">
        <f>""</f>
        <v/>
      </c>
      <c r="G256" t="str">
        <f>""</f>
        <v/>
      </c>
      <c r="H256" s="1">
        <v>40940</v>
      </c>
      <c r="I256" t="str">
        <f>"PHY00573"</f>
        <v>PHY00573</v>
      </c>
      <c r="J256" t="str">
        <f>"W0036764"</f>
        <v>W0036764</v>
      </c>
      <c r="K256" t="str">
        <f t="shared" si="53"/>
        <v>AS89</v>
      </c>
      <c r="L256" t="s">
        <v>1095</v>
      </c>
      <c r="M256">
        <v>108.23</v>
      </c>
    </row>
    <row r="257" spans="1:13" x14ac:dyDescent="0.25">
      <c r="A257" t="str">
        <f t="shared" si="52"/>
        <v>E160</v>
      </c>
      <c r="B257">
        <v>1</v>
      </c>
      <c r="C257" t="str">
        <f t="shared" si="49"/>
        <v>10200</v>
      </c>
      <c r="D257" t="str">
        <f t="shared" si="50"/>
        <v>5620</v>
      </c>
      <c r="E257" t="str">
        <f t="shared" si="51"/>
        <v>094OMS</v>
      </c>
      <c r="F257" t="str">
        <f>""</f>
        <v/>
      </c>
      <c r="G257" t="str">
        <f>""</f>
        <v/>
      </c>
      <c r="H257" s="1">
        <v>40940</v>
      </c>
      <c r="I257" t="str">
        <f>"PHY00573"</f>
        <v>PHY00573</v>
      </c>
      <c r="J257" t="str">
        <f>"W0089680"</f>
        <v>W0089680</v>
      </c>
      <c r="K257" t="str">
        <f t="shared" si="53"/>
        <v>AS89</v>
      </c>
      <c r="L257" t="s">
        <v>1828</v>
      </c>
      <c r="M257" s="2">
        <v>1963.49</v>
      </c>
    </row>
    <row r="258" spans="1:13" x14ac:dyDescent="0.25">
      <c r="A258" t="str">
        <f t="shared" si="52"/>
        <v>E160</v>
      </c>
      <c r="B258">
        <v>1</v>
      </c>
      <c r="C258" t="str">
        <f t="shared" si="49"/>
        <v>10200</v>
      </c>
      <c r="D258" t="str">
        <f t="shared" si="50"/>
        <v>5620</v>
      </c>
      <c r="E258" t="str">
        <f t="shared" si="51"/>
        <v>094OMS</v>
      </c>
      <c r="F258" t="str">
        <f>""</f>
        <v/>
      </c>
      <c r="G258" t="str">
        <f>""</f>
        <v/>
      </c>
      <c r="H258" s="1">
        <v>40940</v>
      </c>
      <c r="I258" t="str">
        <f>"PHY00573"</f>
        <v>PHY00573</v>
      </c>
      <c r="J258" t="str">
        <f>"W0089682"</f>
        <v>W0089682</v>
      </c>
      <c r="K258" t="str">
        <f t="shared" si="53"/>
        <v>AS89</v>
      </c>
      <c r="L258" t="s">
        <v>1829</v>
      </c>
      <c r="M258" s="2">
        <v>1077.18</v>
      </c>
    </row>
    <row r="259" spans="1:13" x14ac:dyDescent="0.25">
      <c r="A259" t="str">
        <f t="shared" si="52"/>
        <v>E160</v>
      </c>
      <c r="B259">
        <v>1</v>
      </c>
      <c r="C259" t="str">
        <f t="shared" si="49"/>
        <v>10200</v>
      </c>
      <c r="D259" t="str">
        <f t="shared" si="50"/>
        <v>5620</v>
      </c>
      <c r="E259" t="str">
        <f t="shared" si="51"/>
        <v>094OMS</v>
      </c>
      <c r="F259" t="str">
        <f>""</f>
        <v/>
      </c>
      <c r="G259" t="str">
        <f>""</f>
        <v/>
      </c>
      <c r="H259" s="1">
        <v>40969</v>
      </c>
      <c r="I259" t="str">
        <f>"PHY00576"</f>
        <v>PHY00576</v>
      </c>
      <c r="J259" t="str">
        <f>"W0002485"</f>
        <v>W0002485</v>
      </c>
      <c r="K259" t="str">
        <f t="shared" si="53"/>
        <v>AS89</v>
      </c>
      <c r="L259" t="s">
        <v>1830</v>
      </c>
      <c r="M259">
        <v>301.22000000000003</v>
      </c>
    </row>
    <row r="260" spans="1:13" x14ac:dyDescent="0.25">
      <c r="A260" t="str">
        <f t="shared" si="52"/>
        <v>E160</v>
      </c>
      <c r="B260">
        <v>1</v>
      </c>
      <c r="C260" t="str">
        <f t="shared" si="49"/>
        <v>10200</v>
      </c>
      <c r="D260" t="str">
        <f t="shared" si="50"/>
        <v>5620</v>
      </c>
      <c r="E260" t="str">
        <f t="shared" si="51"/>
        <v>094OMS</v>
      </c>
      <c r="F260" t="str">
        <f>""</f>
        <v/>
      </c>
      <c r="G260" t="str">
        <f>""</f>
        <v/>
      </c>
      <c r="H260" s="1">
        <v>40969</v>
      </c>
      <c r="I260" t="str">
        <f>"PHY00576"</f>
        <v>PHY00576</v>
      </c>
      <c r="J260" t="str">
        <f>"W0089680"</f>
        <v>W0089680</v>
      </c>
      <c r="K260" t="str">
        <f t="shared" si="53"/>
        <v>AS89</v>
      </c>
      <c r="L260" t="s">
        <v>1828</v>
      </c>
      <c r="M260">
        <v>627.20000000000005</v>
      </c>
    </row>
    <row r="261" spans="1:13" x14ac:dyDescent="0.25">
      <c r="A261" t="str">
        <f t="shared" si="52"/>
        <v>E160</v>
      </c>
      <c r="B261">
        <v>1</v>
      </c>
      <c r="C261" t="str">
        <f t="shared" si="49"/>
        <v>10200</v>
      </c>
      <c r="D261" t="str">
        <f t="shared" si="50"/>
        <v>5620</v>
      </c>
      <c r="E261" t="str">
        <f t="shared" si="51"/>
        <v>094OMS</v>
      </c>
      <c r="F261" t="str">
        <f>""</f>
        <v/>
      </c>
      <c r="G261" t="str">
        <f>""</f>
        <v/>
      </c>
      <c r="H261" s="1">
        <v>40969</v>
      </c>
      <c r="I261" t="str">
        <f>"PHY00576"</f>
        <v>PHY00576</v>
      </c>
      <c r="J261" t="str">
        <f>"W0089682"</f>
        <v>W0089682</v>
      </c>
      <c r="K261" t="str">
        <f t="shared" si="53"/>
        <v>AS89</v>
      </c>
      <c r="L261" t="s">
        <v>1829</v>
      </c>
      <c r="M261">
        <v>422.5</v>
      </c>
    </row>
    <row r="262" spans="1:13" x14ac:dyDescent="0.25">
      <c r="A262" t="str">
        <f t="shared" si="52"/>
        <v>E160</v>
      </c>
      <c r="B262">
        <v>1</v>
      </c>
      <c r="C262" t="str">
        <f t="shared" si="49"/>
        <v>10200</v>
      </c>
      <c r="D262" t="str">
        <f t="shared" si="50"/>
        <v>5620</v>
      </c>
      <c r="E262" t="str">
        <f t="shared" si="51"/>
        <v>094OMS</v>
      </c>
      <c r="F262" t="str">
        <f>""</f>
        <v/>
      </c>
      <c r="G262" t="str">
        <f>""</f>
        <v/>
      </c>
      <c r="H262" s="1">
        <v>41000</v>
      </c>
      <c r="I262" t="str">
        <f>"PHY00579"</f>
        <v>PHY00579</v>
      </c>
      <c r="J262" t="str">
        <f>"W0089680"</f>
        <v>W0089680</v>
      </c>
      <c r="K262" t="str">
        <f t="shared" si="53"/>
        <v>AS89</v>
      </c>
      <c r="L262" t="s">
        <v>1828</v>
      </c>
      <c r="M262" s="2">
        <v>1267.05</v>
      </c>
    </row>
    <row r="263" spans="1:13" x14ac:dyDescent="0.25">
      <c r="A263" t="str">
        <f t="shared" si="52"/>
        <v>E160</v>
      </c>
      <c r="B263">
        <v>1</v>
      </c>
      <c r="C263" t="str">
        <f t="shared" si="49"/>
        <v>10200</v>
      </c>
      <c r="D263" t="str">
        <f t="shared" si="50"/>
        <v>5620</v>
      </c>
      <c r="E263" t="str">
        <f t="shared" si="51"/>
        <v>094OMS</v>
      </c>
      <c r="F263" t="str">
        <f>""</f>
        <v/>
      </c>
      <c r="G263" t="str">
        <f>""</f>
        <v/>
      </c>
      <c r="H263" s="1">
        <v>41030</v>
      </c>
      <c r="I263" t="str">
        <f>"PHY00581"</f>
        <v>PHY00581</v>
      </c>
      <c r="J263" t="str">
        <f>"W0036764"</f>
        <v>W0036764</v>
      </c>
      <c r="K263" t="str">
        <f t="shared" si="53"/>
        <v>AS89</v>
      </c>
      <c r="L263" t="s">
        <v>1095</v>
      </c>
      <c r="M263">
        <v>465.05</v>
      </c>
    </row>
    <row r="264" spans="1:13" x14ac:dyDescent="0.25">
      <c r="A264" t="str">
        <f t="shared" si="52"/>
        <v>E160</v>
      </c>
      <c r="B264">
        <v>1</v>
      </c>
      <c r="C264" t="str">
        <f t="shared" si="49"/>
        <v>10200</v>
      </c>
      <c r="D264" t="str">
        <f t="shared" si="50"/>
        <v>5620</v>
      </c>
      <c r="E264" t="str">
        <f t="shared" si="51"/>
        <v>094OMS</v>
      </c>
      <c r="F264" t="str">
        <f>""</f>
        <v/>
      </c>
      <c r="G264" t="str">
        <f>""</f>
        <v/>
      </c>
      <c r="H264" s="1">
        <v>41053</v>
      </c>
      <c r="I264" t="str">
        <f>"196031"</f>
        <v>196031</v>
      </c>
      <c r="J264" t="str">
        <f>""</f>
        <v/>
      </c>
      <c r="K264" t="str">
        <f>"INNI"</f>
        <v>INNI</v>
      </c>
      <c r="L264" t="s">
        <v>1818</v>
      </c>
      <c r="M264" s="2">
        <v>1484.7</v>
      </c>
    </row>
    <row r="265" spans="1:13" x14ac:dyDescent="0.25">
      <c r="A265" t="str">
        <f t="shared" si="52"/>
        <v>E160</v>
      </c>
      <c r="B265">
        <v>1</v>
      </c>
      <c r="C265" t="str">
        <f t="shared" si="49"/>
        <v>10200</v>
      </c>
      <c r="D265" t="str">
        <f t="shared" si="50"/>
        <v>5620</v>
      </c>
      <c r="E265" t="str">
        <f t="shared" si="51"/>
        <v>094OMS</v>
      </c>
      <c r="F265" t="str">
        <f>""</f>
        <v/>
      </c>
      <c r="G265" t="str">
        <f>""</f>
        <v/>
      </c>
      <c r="H265" s="1">
        <v>41060</v>
      </c>
      <c r="I265" t="str">
        <f>"PCD00536"</f>
        <v>PCD00536</v>
      </c>
      <c r="J265" t="str">
        <f>"169241"</f>
        <v>169241</v>
      </c>
      <c r="K265" t="str">
        <f t="shared" ref="K265:K283" si="54">"AS89"</f>
        <v>AS89</v>
      </c>
      <c r="L265" t="s">
        <v>1725</v>
      </c>
      <c r="M265">
        <v>603.16999999999996</v>
      </c>
    </row>
    <row r="266" spans="1:13" x14ac:dyDescent="0.25">
      <c r="A266" t="str">
        <f t="shared" si="52"/>
        <v>E160</v>
      </c>
      <c r="B266">
        <v>1</v>
      </c>
      <c r="C266" t="str">
        <f>"32040"</f>
        <v>32040</v>
      </c>
      <c r="D266" t="str">
        <f>"5610"</f>
        <v>5610</v>
      </c>
      <c r="E266" t="str">
        <f t="shared" ref="E266:E276" si="55">"850LOS"</f>
        <v>850LOS</v>
      </c>
      <c r="F266" t="str">
        <f>""</f>
        <v/>
      </c>
      <c r="G266" t="str">
        <f>""</f>
        <v/>
      </c>
      <c r="H266" s="1">
        <v>40817</v>
      </c>
      <c r="I266" t="str">
        <f>"PHY00566"</f>
        <v>PHY00566</v>
      </c>
      <c r="J266" t="str">
        <f>"W0083994"</f>
        <v>W0083994</v>
      </c>
      <c r="K266" t="str">
        <f t="shared" si="54"/>
        <v>AS89</v>
      </c>
      <c r="L266" t="s">
        <v>1827</v>
      </c>
      <c r="M266">
        <v>249.36</v>
      </c>
    </row>
    <row r="267" spans="1:13" x14ac:dyDescent="0.25">
      <c r="A267" t="str">
        <f t="shared" si="52"/>
        <v>E160</v>
      </c>
      <c r="B267">
        <v>1</v>
      </c>
      <c r="C267" t="str">
        <f>"32040"</f>
        <v>32040</v>
      </c>
      <c r="D267" t="str">
        <f>"5610"</f>
        <v>5610</v>
      </c>
      <c r="E267" t="str">
        <f t="shared" si="55"/>
        <v>850LOS</v>
      </c>
      <c r="F267" t="str">
        <f>""</f>
        <v/>
      </c>
      <c r="G267" t="str">
        <f>""</f>
        <v/>
      </c>
      <c r="H267" s="1">
        <v>40969</v>
      </c>
      <c r="I267" t="str">
        <f>"PHY00576"</f>
        <v>PHY00576</v>
      </c>
      <c r="J267" t="str">
        <f>"W0091083"</f>
        <v>W0091083</v>
      </c>
      <c r="K267" t="str">
        <f t="shared" si="54"/>
        <v>AS89</v>
      </c>
      <c r="L267" t="s">
        <v>1826</v>
      </c>
      <c r="M267">
        <v>180.38</v>
      </c>
    </row>
    <row r="268" spans="1:13" x14ac:dyDescent="0.25">
      <c r="A268" t="str">
        <f t="shared" si="52"/>
        <v>E160</v>
      </c>
      <c r="B268">
        <v>1</v>
      </c>
      <c r="C268" t="str">
        <f t="shared" ref="C268:C287" si="56">"43000"</f>
        <v>43000</v>
      </c>
      <c r="D268" t="str">
        <f t="shared" ref="D268:D291" si="57">"5740"</f>
        <v>5740</v>
      </c>
      <c r="E268" t="str">
        <f t="shared" si="55"/>
        <v>850LOS</v>
      </c>
      <c r="F268" t="str">
        <f>""</f>
        <v/>
      </c>
      <c r="G268" t="str">
        <f>""</f>
        <v/>
      </c>
      <c r="H268" s="1">
        <v>40725</v>
      </c>
      <c r="I268" t="str">
        <f>"PHY00559"</f>
        <v>PHY00559</v>
      </c>
      <c r="J268" t="str">
        <f>"W0078081"</f>
        <v>W0078081</v>
      </c>
      <c r="K268" t="str">
        <f t="shared" si="54"/>
        <v>AS89</v>
      </c>
      <c r="L268" t="s">
        <v>1825</v>
      </c>
      <c r="M268">
        <v>180.36</v>
      </c>
    </row>
    <row r="269" spans="1:13" x14ac:dyDescent="0.25">
      <c r="A269" t="str">
        <f t="shared" si="52"/>
        <v>E160</v>
      </c>
      <c r="B269">
        <v>1</v>
      </c>
      <c r="C269" t="str">
        <f t="shared" si="56"/>
        <v>43000</v>
      </c>
      <c r="D269" t="str">
        <f t="shared" si="57"/>
        <v>5740</v>
      </c>
      <c r="E269" t="str">
        <f t="shared" si="55"/>
        <v>850LOS</v>
      </c>
      <c r="F269" t="str">
        <f>""</f>
        <v/>
      </c>
      <c r="G269" t="str">
        <f>""</f>
        <v/>
      </c>
      <c r="H269" s="1">
        <v>40756</v>
      </c>
      <c r="I269" t="str">
        <f>"PHY00561"</f>
        <v>PHY00561</v>
      </c>
      <c r="J269" t="str">
        <f>"W0078164"</f>
        <v>W0078164</v>
      </c>
      <c r="K269" t="str">
        <f t="shared" si="54"/>
        <v>AS89</v>
      </c>
      <c r="L269" t="s">
        <v>1588</v>
      </c>
      <c r="M269">
        <v>240.48</v>
      </c>
    </row>
    <row r="270" spans="1:13" x14ac:dyDescent="0.25">
      <c r="A270" t="str">
        <f t="shared" si="52"/>
        <v>E160</v>
      </c>
      <c r="B270">
        <v>1</v>
      </c>
      <c r="C270" t="str">
        <f t="shared" si="56"/>
        <v>43000</v>
      </c>
      <c r="D270" t="str">
        <f t="shared" si="57"/>
        <v>5740</v>
      </c>
      <c r="E270" t="str">
        <f t="shared" si="55"/>
        <v>850LOS</v>
      </c>
      <c r="F270" t="str">
        <f>""</f>
        <v/>
      </c>
      <c r="G270" t="str">
        <f>""</f>
        <v/>
      </c>
      <c r="H270" s="1">
        <v>40787</v>
      </c>
      <c r="I270" t="str">
        <f>"PHY00563"</f>
        <v>PHY00563</v>
      </c>
      <c r="J270" t="str">
        <f>"W0081022"</f>
        <v>W0081022</v>
      </c>
      <c r="K270" t="str">
        <f t="shared" si="54"/>
        <v>AS89</v>
      </c>
      <c r="L270" t="s">
        <v>1821</v>
      </c>
      <c r="M270">
        <v>126.45</v>
      </c>
    </row>
    <row r="271" spans="1:13" x14ac:dyDescent="0.25">
      <c r="A271" t="str">
        <f t="shared" si="52"/>
        <v>E160</v>
      </c>
      <c r="B271">
        <v>1</v>
      </c>
      <c r="C271" t="str">
        <f t="shared" si="56"/>
        <v>43000</v>
      </c>
      <c r="D271" t="str">
        <f t="shared" si="57"/>
        <v>5740</v>
      </c>
      <c r="E271" t="str">
        <f t="shared" si="55"/>
        <v>850LOS</v>
      </c>
      <c r="F271" t="str">
        <f>""</f>
        <v/>
      </c>
      <c r="G271" t="str">
        <f>""</f>
        <v/>
      </c>
      <c r="H271" s="1">
        <v>40817</v>
      </c>
      <c r="I271" t="str">
        <f>"PHY00566"</f>
        <v>PHY00566</v>
      </c>
      <c r="J271" t="str">
        <f>"W0002219"</f>
        <v>W0002219</v>
      </c>
      <c r="K271" t="str">
        <f t="shared" si="54"/>
        <v>AS89</v>
      </c>
      <c r="L271" t="s">
        <v>724</v>
      </c>
      <c r="M271">
        <v>134.79</v>
      </c>
    </row>
    <row r="272" spans="1:13" x14ac:dyDescent="0.25">
      <c r="A272" t="str">
        <f t="shared" si="52"/>
        <v>E160</v>
      </c>
      <c r="B272">
        <v>1</v>
      </c>
      <c r="C272" t="str">
        <f t="shared" si="56"/>
        <v>43000</v>
      </c>
      <c r="D272" t="str">
        <f t="shared" si="57"/>
        <v>5740</v>
      </c>
      <c r="E272" t="str">
        <f t="shared" si="55"/>
        <v>850LOS</v>
      </c>
      <c r="F272" t="str">
        <f>""</f>
        <v/>
      </c>
      <c r="G272" t="str">
        <f>""</f>
        <v/>
      </c>
      <c r="H272" s="1">
        <v>40817</v>
      </c>
      <c r="I272" t="str">
        <f>"PHY00566"</f>
        <v>PHY00566</v>
      </c>
      <c r="J272" t="str">
        <f>"W0081022"</f>
        <v>W0081022</v>
      </c>
      <c r="K272" t="str">
        <f t="shared" si="54"/>
        <v>AS89</v>
      </c>
      <c r="L272" t="s">
        <v>1821</v>
      </c>
      <c r="M272">
        <v>293.32</v>
      </c>
    </row>
    <row r="273" spans="1:13" x14ac:dyDescent="0.25">
      <c r="A273" t="str">
        <f t="shared" si="52"/>
        <v>E160</v>
      </c>
      <c r="B273">
        <v>1</v>
      </c>
      <c r="C273" t="str">
        <f t="shared" si="56"/>
        <v>43000</v>
      </c>
      <c r="D273" t="str">
        <f t="shared" si="57"/>
        <v>5740</v>
      </c>
      <c r="E273" t="str">
        <f t="shared" si="55"/>
        <v>850LOS</v>
      </c>
      <c r="F273" t="str">
        <f>""</f>
        <v/>
      </c>
      <c r="G273" t="str">
        <f>""</f>
        <v/>
      </c>
      <c r="H273" s="1">
        <v>40940</v>
      </c>
      <c r="I273" t="str">
        <f>"PHY00573"</f>
        <v>PHY00573</v>
      </c>
      <c r="J273" t="str">
        <f>"W0089052"</f>
        <v>W0089052</v>
      </c>
      <c r="K273" t="str">
        <f t="shared" si="54"/>
        <v>AS89</v>
      </c>
      <c r="L273" t="s">
        <v>1824</v>
      </c>
      <c r="M273" s="2">
        <v>5191.6000000000004</v>
      </c>
    </row>
    <row r="274" spans="1:13" x14ac:dyDescent="0.25">
      <c r="A274" t="str">
        <f t="shared" si="52"/>
        <v>E160</v>
      </c>
      <c r="B274">
        <v>1</v>
      </c>
      <c r="C274" t="str">
        <f t="shared" si="56"/>
        <v>43000</v>
      </c>
      <c r="D274" t="str">
        <f t="shared" si="57"/>
        <v>5740</v>
      </c>
      <c r="E274" t="str">
        <f t="shared" si="55"/>
        <v>850LOS</v>
      </c>
      <c r="F274" t="str">
        <f>""</f>
        <v/>
      </c>
      <c r="G274" t="str">
        <f>""</f>
        <v/>
      </c>
      <c r="H274" s="1">
        <v>40969</v>
      </c>
      <c r="I274" t="str">
        <f>"PHY00576"</f>
        <v>PHY00576</v>
      </c>
      <c r="J274" t="str">
        <f>"W0085808"</f>
        <v>W0085808</v>
      </c>
      <c r="K274" t="str">
        <f t="shared" si="54"/>
        <v>AS89</v>
      </c>
      <c r="L274" t="s">
        <v>1823</v>
      </c>
      <c r="M274">
        <v>701.22</v>
      </c>
    </row>
    <row r="275" spans="1:13" x14ac:dyDescent="0.25">
      <c r="A275" t="str">
        <f t="shared" si="52"/>
        <v>E160</v>
      </c>
      <c r="B275">
        <v>1</v>
      </c>
      <c r="C275" t="str">
        <f t="shared" si="56"/>
        <v>43000</v>
      </c>
      <c r="D275" t="str">
        <f t="shared" si="57"/>
        <v>5740</v>
      </c>
      <c r="E275" t="str">
        <f t="shared" si="55"/>
        <v>850LOS</v>
      </c>
      <c r="F275" t="str">
        <f>""</f>
        <v/>
      </c>
      <c r="G275" t="str">
        <f>""</f>
        <v/>
      </c>
      <c r="H275" s="1">
        <v>40969</v>
      </c>
      <c r="I275" t="str">
        <f>"PHY00576"</f>
        <v>PHY00576</v>
      </c>
      <c r="J275" t="str">
        <f>"W0085810"</f>
        <v>W0085810</v>
      </c>
      <c r="K275" t="str">
        <f t="shared" si="54"/>
        <v>AS89</v>
      </c>
      <c r="L275" t="s">
        <v>1822</v>
      </c>
      <c r="M275">
        <v>656.98</v>
      </c>
    </row>
    <row r="276" spans="1:13" x14ac:dyDescent="0.25">
      <c r="A276" t="str">
        <f t="shared" si="52"/>
        <v>E160</v>
      </c>
      <c r="B276">
        <v>1</v>
      </c>
      <c r="C276" t="str">
        <f t="shared" si="56"/>
        <v>43000</v>
      </c>
      <c r="D276" t="str">
        <f t="shared" si="57"/>
        <v>5740</v>
      </c>
      <c r="E276" t="str">
        <f t="shared" si="55"/>
        <v>850LOS</v>
      </c>
      <c r="F276" t="str">
        <f>""</f>
        <v/>
      </c>
      <c r="G276" t="str">
        <f>""</f>
        <v/>
      </c>
      <c r="H276" s="1">
        <v>40969</v>
      </c>
      <c r="I276" t="str">
        <f>"PHY00576"</f>
        <v>PHY00576</v>
      </c>
      <c r="J276" t="str">
        <f>"W0089957"</f>
        <v>W0089957</v>
      </c>
      <c r="K276" t="str">
        <f t="shared" si="54"/>
        <v>AS89</v>
      </c>
      <c r="L276" t="s">
        <v>1821</v>
      </c>
      <c r="M276">
        <v>202.15</v>
      </c>
    </row>
    <row r="277" spans="1:13" x14ac:dyDescent="0.25">
      <c r="A277" t="str">
        <f t="shared" si="52"/>
        <v>E160</v>
      </c>
      <c r="B277">
        <v>1</v>
      </c>
      <c r="C277" t="str">
        <f t="shared" si="56"/>
        <v>43000</v>
      </c>
      <c r="D277" t="str">
        <f t="shared" si="57"/>
        <v>5740</v>
      </c>
      <c r="E277" t="str">
        <f t="shared" ref="E277:E287" si="58">"850PKE"</f>
        <v>850PKE</v>
      </c>
      <c r="F277" t="str">
        <f>""</f>
        <v/>
      </c>
      <c r="G277" t="str">
        <f>""</f>
        <v/>
      </c>
      <c r="H277" s="1">
        <v>40725</v>
      </c>
      <c r="I277" t="str">
        <f>"PHY00559"</f>
        <v>PHY00559</v>
      </c>
      <c r="J277" t="str">
        <f>"W0076047"</f>
        <v>W0076047</v>
      </c>
      <c r="K277" t="str">
        <f t="shared" si="54"/>
        <v>AS89</v>
      </c>
      <c r="L277" t="s">
        <v>1586</v>
      </c>
      <c r="M277">
        <v>205.95</v>
      </c>
    </row>
    <row r="278" spans="1:13" x14ac:dyDescent="0.25">
      <c r="A278" t="str">
        <f t="shared" si="52"/>
        <v>E160</v>
      </c>
      <c r="B278">
        <v>1</v>
      </c>
      <c r="C278" t="str">
        <f t="shared" si="56"/>
        <v>43000</v>
      </c>
      <c r="D278" t="str">
        <f t="shared" si="57"/>
        <v>5740</v>
      </c>
      <c r="E278" t="str">
        <f t="shared" si="58"/>
        <v>850PKE</v>
      </c>
      <c r="F278" t="str">
        <f>""</f>
        <v/>
      </c>
      <c r="G278" t="str">
        <f>""</f>
        <v/>
      </c>
      <c r="H278" s="1">
        <v>40725</v>
      </c>
      <c r="I278" t="str">
        <f>"PHY00559"</f>
        <v>PHY00559</v>
      </c>
      <c r="J278" t="str">
        <f>"W0077238"</f>
        <v>W0077238</v>
      </c>
      <c r="K278" t="str">
        <f t="shared" si="54"/>
        <v>AS89</v>
      </c>
      <c r="L278" t="s">
        <v>1585</v>
      </c>
      <c r="M278">
        <v>841.99</v>
      </c>
    </row>
    <row r="279" spans="1:13" x14ac:dyDescent="0.25">
      <c r="A279" t="str">
        <f t="shared" si="52"/>
        <v>E160</v>
      </c>
      <c r="B279">
        <v>1</v>
      </c>
      <c r="C279" t="str">
        <f t="shared" si="56"/>
        <v>43000</v>
      </c>
      <c r="D279" t="str">
        <f t="shared" si="57"/>
        <v>5740</v>
      </c>
      <c r="E279" t="str">
        <f t="shared" si="58"/>
        <v>850PKE</v>
      </c>
      <c r="F279" t="str">
        <f>""</f>
        <v/>
      </c>
      <c r="G279" t="str">
        <f>""</f>
        <v/>
      </c>
      <c r="H279" s="1">
        <v>40756</v>
      </c>
      <c r="I279" t="str">
        <f>"PHY00561"</f>
        <v>PHY00561</v>
      </c>
      <c r="J279" t="str">
        <f>"W0081067"</f>
        <v>W0081067</v>
      </c>
      <c r="K279" t="str">
        <f t="shared" si="54"/>
        <v>AS89</v>
      </c>
      <c r="L279" t="s">
        <v>1820</v>
      </c>
      <c r="M279">
        <v>541.11</v>
      </c>
    </row>
    <row r="280" spans="1:13" x14ac:dyDescent="0.25">
      <c r="A280" t="str">
        <f t="shared" si="52"/>
        <v>E160</v>
      </c>
      <c r="B280">
        <v>1</v>
      </c>
      <c r="C280" t="str">
        <f t="shared" si="56"/>
        <v>43000</v>
      </c>
      <c r="D280" t="str">
        <f t="shared" si="57"/>
        <v>5740</v>
      </c>
      <c r="E280" t="str">
        <f t="shared" si="58"/>
        <v>850PKE</v>
      </c>
      <c r="F280" t="str">
        <f>""</f>
        <v/>
      </c>
      <c r="G280" t="str">
        <f>""</f>
        <v/>
      </c>
      <c r="H280" s="1">
        <v>40817</v>
      </c>
      <c r="I280" t="str">
        <f>"PHY00566"</f>
        <v>PHY00566</v>
      </c>
      <c r="J280" t="str">
        <f>"W0002153"</f>
        <v>W0002153</v>
      </c>
      <c r="K280" t="str">
        <f t="shared" si="54"/>
        <v>AS89</v>
      </c>
      <c r="L280" t="s">
        <v>719</v>
      </c>
      <c r="M280">
        <v>167.89</v>
      </c>
    </row>
    <row r="281" spans="1:13" x14ac:dyDescent="0.25">
      <c r="A281" t="str">
        <f t="shared" si="52"/>
        <v>E160</v>
      </c>
      <c r="B281">
        <v>1</v>
      </c>
      <c r="C281" t="str">
        <f t="shared" si="56"/>
        <v>43000</v>
      </c>
      <c r="D281" t="str">
        <f t="shared" si="57"/>
        <v>5740</v>
      </c>
      <c r="E281" t="str">
        <f t="shared" si="58"/>
        <v>850PKE</v>
      </c>
      <c r="F281" t="str">
        <f>""</f>
        <v/>
      </c>
      <c r="G281" t="str">
        <f>""</f>
        <v/>
      </c>
      <c r="H281" s="1">
        <v>40909</v>
      </c>
      <c r="I281" t="str">
        <f>"PHY00571"</f>
        <v>PHY00571</v>
      </c>
      <c r="J281" t="str">
        <f>"W0002153"</f>
        <v>W0002153</v>
      </c>
      <c r="K281" t="str">
        <f t="shared" si="54"/>
        <v>AS89</v>
      </c>
      <c r="L281" t="s">
        <v>719</v>
      </c>
      <c r="M281">
        <v>197.35</v>
      </c>
    </row>
    <row r="282" spans="1:13" x14ac:dyDescent="0.25">
      <c r="A282" t="str">
        <f t="shared" si="52"/>
        <v>E160</v>
      </c>
      <c r="B282">
        <v>1</v>
      </c>
      <c r="C282" t="str">
        <f t="shared" si="56"/>
        <v>43000</v>
      </c>
      <c r="D282" t="str">
        <f t="shared" si="57"/>
        <v>5740</v>
      </c>
      <c r="E282" t="str">
        <f t="shared" si="58"/>
        <v>850PKE</v>
      </c>
      <c r="F282" t="str">
        <f>""</f>
        <v/>
      </c>
      <c r="G282" t="str">
        <f>""</f>
        <v/>
      </c>
      <c r="H282" s="1">
        <v>40909</v>
      </c>
      <c r="I282" t="str">
        <f>"PHY00571"</f>
        <v>PHY00571</v>
      </c>
      <c r="J282" t="str">
        <f>"W0085801"</f>
        <v>W0085801</v>
      </c>
      <c r="K282" t="str">
        <f t="shared" si="54"/>
        <v>AS89</v>
      </c>
      <c r="L282" t="s">
        <v>1819</v>
      </c>
      <c r="M282" s="2">
        <v>1077.19</v>
      </c>
    </row>
    <row r="283" spans="1:13" x14ac:dyDescent="0.25">
      <c r="A283" t="str">
        <f t="shared" si="52"/>
        <v>E160</v>
      </c>
      <c r="B283">
        <v>1</v>
      </c>
      <c r="C283" t="str">
        <f t="shared" si="56"/>
        <v>43000</v>
      </c>
      <c r="D283" t="str">
        <f t="shared" si="57"/>
        <v>5740</v>
      </c>
      <c r="E283" t="str">
        <f t="shared" si="58"/>
        <v>850PKE</v>
      </c>
      <c r="F283" t="str">
        <f>""</f>
        <v/>
      </c>
      <c r="G283" t="str">
        <f>""</f>
        <v/>
      </c>
      <c r="H283" s="1">
        <v>40940</v>
      </c>
      <c r="I283" t="str">
        <f>"PHY00573"</f>
        <v>PHY00573</v>
      </c>
      <c r="J283" t="str">
        <f>"W0002153"</f>
        <v>W0002153</v>
      </c>
      <c r="K283" t="str">
        <f t="shared" si="54"/>
        <v>AS89</v>
      </c>
      <c r="L283" t="s">
        <v>719</v>
      </c>
      <c r="M283">
        <v>461.32</v>
      </c>
    </row>
    <row r="284" spans="1:13" x14ac:dyDescent="0.25">
      <c r="A284" t="str">
        <f t="shared" si="52"/>
        <v>E160</v>
      </c>
      <c r="B284">
        <v>1</v>
      </c>
      <c r="C284" t="str">
        <f t="shared" si="56"/>
        <v>43000</v>
      </c>
      <c r="D284" t="str">
        <f t="shared" si="57"/>
        <v>5740</v>
      </c>
      <c r="E284" t="str">
        <f t="shared" si="58"/>
        <v>850PKE</v>
      </c>
      <c r="F284" t="str">
        <f>""</f>
        <v/>
      </c>
      <c r="G284" t="str">
        <f>""</f>
        <v/>
      </c>
      <c r="H284" s="1">
        <v>41053</v>
      </c>
      <c r="I284" t="str">
        <f>"196030"</f>
        <v>196030</v>
      </c>
      <c r="J284" t="str">
        <f>""</f>
        <v/>
      </c>
      <c r="K284" t="str">
        <f>"INNI"</f>
        <v>INNI</v>
      </c>
      <c r="L284" t="s">
        <v>1818</v>
      </c>
      <c r="M284" s="2">
        <v>1498.76</v>
      </c>
    </row>
    <row r="285" spans="1:13" x14ac:dyDescent="0.25">
      <c r="A285" t="str">
        <f t="shared" si="52"/>
        <v>E160</v>
      </c>
      <c r="B285">
        <v>1</v>
      </c>
      <c r="C285" t="str">
        <f t="shared" si="56"/>
        <v>43000</v>
      </c>
      <c r="D285" t="str">
        <f t="shared" si="57"/>
        <v>5740</v>
      </c>
      <c r="E285" t="str">
        <f t="shared" si="58"/>
        <v>850PKE</v>
      </c>
      <c r="F285" t="str">
        <f>""</f>
        <v/>
      </c>
      <c r="G285" t="str">
        <f>""</f>
        <v/>
      </c>
      <c r="H285" s="1">
        <v>41060</v>
      </c>
      <c r="I285" t="str">
        <f>"PCD00536"</f>
        <v>PCD00536</v>
      </c>
      <c r="J285" t="str">
        <f>"169607"</f>
        <v>169607</v>
      </c>
      <c r="K285" t="str">
        <f t="shared" ref="K285:K293" si="59">"AS89"</f>
        <v>AS89</v>
      </c>
      <c r="L285" t="s">
        <v>1817</v>
      </c>
      <c r="M285">
        <v>184.65</v>
      </c>
    </row>
    <row r="286" spans="1:13" x14ac:dyDescent="0.25">
      <c r="A286" t="str">
        <f t="shared" si="52"/>
        <v>E160</v>
      </c>
      <c r="B286">
        <v>1</v>
      </c>
      <c r="C286" t="str">
        <f t="shared" si="56"/>
        <v>43000</v>
      </c>
      <c r="D286" t="str">
        <f t="shared" si="57"/>
        <v>5740</v>
      </c>
      <c r="E286" t="str">
        <f t="shared" si="58"/>
        <v>850PKE</v>
      </c>
      <c r="F286" t="str">
        <f>""</f>
        <v/>
      </c>
      <c r="G286" t="str">
        <f>""</f>
        <v/>
      </c>
      <c r="H286" s="1">
        <v>41061</v>
      </c>
      <c r="I286" t="str">
        <f>"PHY00582"</f>
        <v>PHY00582</v>
      </c>
      <c r="J286" t="str">
        <f>"W0002153"</f>
        <v>W0002153</v>
      </c>
      <c r="K286" t="str">
        <f t="shared" si="59"/>
        <v>AS89</v>
      </c>
      <c r="L286" t="s">
        <v>719</v>
      </c>
      <c r="M286">
        <v>126.45</v>
      </c>
    </row>
    <row r="287" spans="1:13" x14ac:dyDescent="0.25">
      <c r="A287" t="str">
        <f t="shared" si="52"/>
        <v>E160</v>
      </c>
      <c r="B287">
        <v>1</v>
      </c>
      <c r="C287" t="str">
        <f t="shared" si="56"/>
        <v>43000</v>
      </c>
      <c r="D287" t="str">
        <f t="shared" si="57"/>
        <v>5740</v>
      </c>
      <c r="E287" t="str">
        <f t="shared" si="58"/>
        <v>850PKE</v>
      </c>
      <c r="F287" t="str">
        <f>""</f>
        <v/>
      </c>
      <c r="G287" t="str">
        <f>""</f>
        <v/>
      </c>
      <c r="H287" s="1">
        <v>41061</v>
      </c>
      <c r="I287" t="str">
        <f>"PHY00582"</f>
        <v>PHY00582</v>
      </c>
      <c r="J287" t="str">
        <f>"W0095222"</f>
        <v>W0095222</v>
      </c>
      <c r="K287" t="str">
        <f t="shared" si="59"/>
        <v>AS89</v>
      </c>
      <c r="L287" t="s">
        <v>1816</v>
      </c>
      <c r="M287">
        <v>215.91</v>
      </c>
    </row>
    <row r="288" spans="1:13" x14ac:dyDescent="0.25">
      <c r="A288" t="str">
        <f t="shared" si="52"/>
        <v>E160</v>
      </c>
      <c r="B288">
        <v>1</v>
      </c>
      <c r="C288" t="str">
        <f>"43003"</f>
        <v>43003</v>
      </c>
      <c r="D288" t="str">
        <f t="shared" si="57"/>
        <v>5740</v>
      </c>
      <c r="E288" t="str">
        <f>"850LOS"</f>
        <v>850LOS</v>
      </c>
      <c r="F288" t="str">
        <f>""</f>
        <v/>
      </c>
      <c r="G288" t="str">
        <f>""</f>
        <v/>
      </c>
      <c r="H288" s="1">
        <v>40756</v>
      </c>
      <c r="I288" t="str">
        <f>"PHY00561"</f>
        <v>PHY00561</v>
      </c>
      <c r="J288" t="str">
        <f>"W0046499"</f>
        <v>W0046499</v>
      </c>
      <c r="K288" t="str">
        <f t="shared" si="59"/>
        <v>AS89</v>
      </c>
      <c r="L288" t="s">
        <v>1360</v>
      </c>
      <c r="M288">
        <v>314.33999999999997</v>
      </c>
    </row>
    <row r="289" spans="1:13" x14ac:dyDescent="0.25">
      <c r="A289" t="str">
        <f t="shared" si="52"/>
        <v>E160</v>
      </c>
      <c r="B289">
        <v>1</v>
      </c>
      <c r="C289" t="str">
        <f>"43003"</f>
        <v>43003</v>
      </c>
      <c r="D289" t="str">
        <f t="shared" si="57"/>
        <v>5740</v>
      </c>
      <c r="E289" t="str">
        <f>"850LOS"</f>
        <v>850LOS</v>
      </c>
      <c r="F289" t="str">
        <f>""</f>
        <v/>
      </c>
      <c r="G289" t="str">
        <f>""</f>
        <v/>
      </c>
      <c r="H289" s="1">
        <v>40787</v>
      </c>
      <c r="I289" t="str">
        <f>"PHY00563"</f>
        <v>PHY00563</v>
      </c>
      <c r="J289" t="str">
        <f>"W0082635"</f>
        <v>W0082635</v>
      </c>
      <c r="K289" t="str">
        <f t="shared" si="59"/>
        <v>AS89</v>
      </c>
      <c r="L289" t="s">
        <v>715</v>
      </c>
      <c r="M289">
        <v>132.76</v>
      </c>
    </row>
    <row r="290" spans="1:13" x14ac:dyDescent="0.25">
      <c r="A290" t="str">
        <f t="shared" si="52"/>
        <v>E160</v>
      </c>
      <c r="B290">
        <v>1</v>
      </c>
      <c r="C290" t="str">
        <f>"43003"</f>
        <v>43003</v>
      </c>
      <c r="D290" t="str">
        <f t="shared" si="57"/>
        <v>5740</v>
      </c>
      <c r="E290" t="str">
        <f>"850LOS"</f>
        <v>850LOS</v>
      </c>
      <c r="F290" t="str">
        <f>""</f>
        <v/>
      </c>
      <c r="G290" t="str">
        <f>""</f>
        <v/>
      </c>
      <c r="H290" s="1">
        <v>40817</v>
      </c>
      <c r="I290" t="str">
        <f>"PHY00566"</f>
        <v>PHY00566</v>
      </c>
      <c r="J290" t="str">
        <f>"W0082632"</f>
        <v>W0082632</v>
      </c>
      <c r="K290" t="str">
        <f t="shared" si="59"/>
        <v>AS89</v>
      </c>
      <c r="L290" t="s">
        <v>714</v>
      </c>
      <c r="M290">
        <v>626.03</v>
      </c>
    </row>
    <row r="291" spans="1:13" x14ac:dyDescent="0.25">
      <c r="A291" t="str">
        <f t="shared" si="52"/>
        <v>E160</v>
      </c>
      <c r="B291">
        <v>1</v>
      </c>
      <c r="C291" t="str">
        <f>"43003"</f>
        <v>43003</v>
      </c>
      <c r="D291" t="str">
        <f t="shared" si="57"/>
        <v>5740</v>
      </c>
      <c r="E291" t="str">
        <f>"850LOS"</f>
        <v>850LOS</v>
      </c>
      <c r="F291" t="str">
        <f>""</f>
        <v/>
      </c>
      <c r="G291" t="str">
        <f>""</f>
        <v/>
      </c>
      <c r="H291" s="1">
        <v>40817</v>
      </c>
      <c r="I291" t="str">
        <f>"PHY00566"</f>
        <v>PHY00566</v>
      </c>
      <c r="J291" t="str">
        <f>"W0082634"</f>
        <v>W0082634</v>
      </c>
      <c r="K291" t="str">
        <f t="shared" si="59"/>
        <v>AS89</v>
      </c>
      <c r="L291" t="s">
        <v>1815</v>
      </c>
      <c r="M291" s="2">
        <v>1041.52</v>
      </c>
    </row>
    <row r="292" spans="1:13" x14ac:dyDescent="0.25">
      <c r="A292" t="str">
        <f>"E161"</f>
        <v>E161</v>
      </c>
      <c r="B292">
        <v>1</v>
      </c>
      <c r="C292" t="str">
        <f>"32040"</f>
        <v>32040</v>
      </c>
      <c r="D292" t="str">
        <f>"5610"</f>
        <v>5610</v>
      </c>
      <c r="E292" t="str">
        <f>"850LOS"</f>
        <v>850LOS</v>
      </c>
      <c r="F292" t="str">
        <f>""</f>
        <v/>
      </c>
      <c r="G292" t="str">
        <f>""</f>
        <v/>
      </c>
      <c r="H292" s="1">
        <v>40816</v>
      </c>
      <c r="I292" t="str">
        <f>"PCD00502"</f>
        <v>PCD00502</v>
      </c>
      <c r="J292" t="str">
        <f>"152923"</f>
        <v>152923</v>
      </c>
      <c r="K292" t="str">
        <f t="shared" si="59"/>
        <v>AS89</v>
      </c>
      <c r="L292" t="s">
        <v>1814</v>
      </c>
      <c r="M292">
        <v>380.45</v>
      </c>
    </row>
    <row r="293" spans="1:13" x14ac:dyDescent="0.25">
      <c r="A293" t="str">
        <f t="shared" ref="A293:A298" si="60">"E162"</f>
        <v>E162</v>
      </c>
      <c r="B293">
        <v>1</v>
      </c>
      <c r="C293" t="str">
        <f>"10200"</f>
        <v>10200</v>
      </c>
      <c r="D293" t="str">
        <f>"5620"</f>
        <v>5620</v>
      </c>
      <c r="E293" t="str">
        <f>"094OMS"</f>
        <v>094OMS</v>
      </c>
      <c r="F293" t="str">
        <f>""</f>
        <v/>
      </c>
      <c r="G293" t="str">
        <f>""</f>
        <v/>
      </c>
      <c r="H293" s="1">
        <v>40940</v>
      </c>
      <c r="I293" t="str">
        <f>"PHY00573"</f>
        <v>PHY00573</v>
      </c>
      <c r="J293" t="str">
        <f>"W0090187"</f>
        <v>W0090187</v>
      </c>
      <c r="K293" t="str">
        <f t="shared" si="59"/>
        <v>AS89</v>
      </c>
      <c r="L293" t="s">
        <v>1813</v>
      </c>
      <c r="M293">
        <v>222.46</v>
      </c>
    </row>
    <row r="294" spans="1:13" x14ac:dyDescent="0.25">
      <c r="A294" t="str">
        <f t="shared" si="60"/>
        <v>E162</v>
      </c>
      <c r="B294">
        <v>1</v>
      </c>
      <c r="C294" t="str">
        <f>"43000"</f>
        <v>43000</v>
      </c>
      <c r="D294" t="str">
        <f>"5740"</f>
        <v>5740</v>
      </c>
      <c r="E294" t="str">
        <f>"850LOS"</f>
        <v>850LOS</v>
      </c>
      <c r="F294" t="str">
        <f>""</f>
        <v/>
      </c>
      <c r="G294" t="str">
        <f>""</f>
        <v/>
      </c>
      <c r="H294" s="1">
        <v>40777</v>
      </c>
      <c r="I294" t="str">
        <f>"G1202020"</f>
        <v>G1202020</v>
      </c>
      <c r="J294" t="str">
        <f>""</f>
        <v/>
      </c>
      <c r="K294" t="str">
        <f>"J096"</f>
        <v>J096</v>
      </c>
      <c r="L294" t="s">
        <v>1352</v>
      </c>
      <c r="M294">
        <v>900</v>
      </c>
    </row>
    <row r="295" spans="1:13" x14ac:dyDescent="0.25">
      <c r="A295" t="str">
        <f t="shared" si="60"/>
        <v>E162</v>
      </c>
      <c r="B295">
        <v>1</v>
      </c>
      <c r="C295" t="str">
        <f>"43000"</f>
        <v>43000</v>
      </c>
      <c r="D295" t="str">
        <f>"5740"</f>
        <v>5740</v>
      </c>
      <c r="E295" t="str">
        <f>"850LOS"</f>
        <v>850LOS</v>
      </c>
      <c r="F295" t="str">
        <f>""</f>
        <v/>
      </c>
      <c r="G295" t="str">
        <f>""</f>
        <v/>
      </c>
      <c r="H295" s="1">
        <v>40854</v>
      </c>
      <c r="I295" t="str">
        <f>"G1205022"</f>
        <v>G1205022</v>
      </c>
      <c r="J295" t="str">
        <f>""</f>
        <v/>
      </c>
      <c r="K295" t="str">
        <f>"J096"</f>
        <v>J096</v>
      </c>
      <c r="L295" t="s">
        <v>1352</v>
      </c>
      <c r="M295">
        <v>900</v>
      </c>
    </row>
    <row r="296" spans="1:13" x14ac:dyDescent="0.25">
      <c r="A296" t="str">
        <f t="shared" si="60"/>
        <v>E162</v>
      </c>
      <c r="B296">
        <v>1</v>
      </c>
      <c r="C296" t="str">
        <f>"43000"</f>
        <v>43000</v>
      </c>
      <c r="D296" t="str">
        <f>"5740"</f>
        <v>5740</v>
      </c>
      <c r="E296" t="str">
        <f>"850LOS"</f>
        <v>850LOS</v>
      </c>
      <c r="F296" t="str">
        <f>""</f>
        <v/>
      </c>
      <c r="G296" t="str">
        <f>""</f>
        <v/>
      </c>
      <c r="H296" s="1">
        <v>40969</v>
      </c>
      <c r="I296" t="str">
        <f>"J0000773"</f>
        <v>J0000773</v>
      </c>
      <c r="J296" t="str">
        <f>""</f>
        <v/>
      </c>
      <c r="K296" t="str">
        <f>"J096"</f>
        <v>J096</v>
      </c>
      <c r="L296" t="s">
        <v>1352</v>
      </c>
      <c r="M296">
        <v>900</v>
      </c>
    </row>
    <row r="297" spans="1:13" x14ac:dyDescent="0.25">
      <c r="A297" t="str">
        <f t="shared" si="60"/>
        <v>E162</v>
      </c>
      <c r="B297">
        <v>1</v>
      </c>
      <c r="C297" t="str">
        <f>"43000"</f>
        <v>43000</v>
      </c>
      <c r="D297" t="str">
        <f>"5740"</f>
        <v>5740</v>
      </c>
      <c r="E297" t="str">
        <f>"850LOS"</f>
        <v>850LOS</v>
      </c>
      <c r="F297" t="str">
        <f>""</f>
        <v/>
      </c>
      <c r="G297" t="str">
        <f>""</f>
        <v/>
      </c>
      <c r="H297" s="1">
        <v>41064</v>
      </c>
      <c r="I297" t="str">
        <f>"J0001557"</f>
        <v>J0001557</v>
      </c>
      <c r="J297" t="str">
        <f>""</f>
        <v/>
      </c>
      <c r="K297" t="str">
        <f>"J096"</f>
        <v>J096</v>
      </c>
      <c r="L297" t="s">
        <v>1352</v>
      </c>
      <c r="M297">
        <v>900</v>
      </c>
    </row>
    <row r="298" spans="1:13" x14ac:dyDescent="0.25">
      <c r="A298" t="str">
        <f t="shared" si="60"/>
        <v>E162</v>
      </c>
      <c r="B298">
        <v>1</v>
      </c>
      <c r="C298" t="str">
        <f>"43003"</f>
        <v>43003</v>
      </c>
      <c r="D298" t="str">
        <f>"5740"</f>
        <v>5740</v>
      </c>
      <c r="E298" t="str">
        <f>"850LOS"</f>
        <v>850LOS</v>
      </c>
      <c r="F298" t="str">
        <f>""</f>
        <v/>
      </c>
      <c r="G298" t="str">
        <f>""</f>
        <v/>
      </c>
      <c r="H298" s="1">
        <v>40998</v>
      </c>
      <c r="I298" t="str">
        <f>"PCD00526"</f>
        <v>PCD00526</v>
      </c>
      <c r="J298" t="str">
        <f>"163677"</f>
        <v>163677</v>
      </c>
      <c r="K298" t="str">
        <f>"AS89"</f>
        <v>AS89</v>
      </c>
      <c r="L298" t="s">
        <v>1812</v>
      </c>
      <c r="M298">
        <v>241.31</v>
      </c>
    </row>
    <row r="299" spans="1:13" x14ac:dyDescent="0.25">
      <c r="A299" t="str">
        <f>"E163"</f>
        <v>E163</v>
      </c>
      <c r="B299">
        <v>1</v>
      </c>
      <c r="C299" t="str">
        <f>"10200"</f>
        <v>10200</v>
      </c>
      <c r="D299" t="str">
        <f>"5620"</f>
        <v>5620</v>
      </c>
      <c r="E299" t="str">
        <f>"094OMS"</f>
        <v>094OMS</v>
      </c>
      <c r="F299" t="str">
        <f>""</f>
        <v/>
      </c>
      <c r="G299" t="str">
        <f>""</f>
        <v/>
      </c>
      <c r="H299" s="1">
        <v>40753</v>
      </c>
      <c r="I299" t="str">
        <f>"188715A"</f>
        <v>188715A</v>
      </c>
      <c r="J299" t="str">
        <f>""</f>
        <v/>
      </c>
      <c r="K299" t="str">
        <f>"INNI"</f>
        <v>INNI</v>
      </c>
      <c r="L299" t="s">
        <v>1583</v>
      </c>
      <c r="M299" s="2">
        <v>1109.8399999999999</v>
      </c>
    </row>
    <row r="300" spans="1:13" x14ac:dyDescent="0.25">
      <c r="A300" t="str">
        <f>"E163"</f>
        <v>E163</v>
      </c>
      <c r="B300">
        <v>1</v>
      </c>
      <c r="C300" t="str">
        <f>"10200"</f>
        <v>10200</v>
      </c>
      <c r="D300" t="str">
        <f>"5620"</f>
        <v>5620</v>
      </c>
      <c r="E300" t="str">
        <f>"094OMS"</f>
        <v>094OMS</v>
      </c>
      <c r="F300" t="str">
        <f>""</f>
        <v/>
      </c>
      <c r="G300" t="str">
        <f>""</f>
        <v/>
      </c>
      <c r="H300" s="1">
        <v>40753</v>
      </c>
      <c r="I300" t="str">
        <f>"188715B"</f>
        <v>188715B</v>
      </c>
      <c r="J300" t="str">
        <f>""</f>
        <v/>
      </c>
      <c r="K300" t="str">
        <f>"INNI"</f>
        <v>INNI</v>
      </c>
      <c r="L300" t="s">
        <v>1583</v>
      </c>
      <c r="M300" s="2">
        <v>1109.8399999999999</v>
      </c>
    </row>
    <row r="301" spans="1:13" x14ac:dyDescent="0.25">
      <c r="A301" t="str">
        <f>"E163"</f>
        <v>E163</v>
      </c>
      <c r="B301">
        <v>1</v>
      </c>
      <c r="C301" t="str">
        <f>"43000"</f>
        <v>43000</v>
      </c>
      <c r="D301" t="str">
        <f>"5740"</f>
        <v>5740</v>
      </c>
      <c r="E301" t="str">
        <f>"850LOS"</f>
        <v>850LOS</v>
      </c>
      <c r="F301" t="str">
        <f>""</f>
        <v/>
      </c>
      <c r="G301" t="str">
        <f>""</f>
        <v/>
      </c>
      <c r="H301" s="1">
        <v>40939</v>
      </c>
      <c r="I301" t="str">
        <f>"OMS00238"</f>
        <v>OMS00238</v>
      </c>
      <c r="J301" t="str">
        <f>"RO11449"</f>
        <v>RO11449</v>
      </c>
      <c r="K301" t="str">
        <f>"OM01"</f>
        <v>OM01</v>
      </c>
      <c r="L301" t="s">
        <v>1811</v>
      </c>
      <c r="M301">
        <v>150.35</v>
      </c>
    </row>
    <row r="302" spans="1:13" x14ac:dyDescent="0.25">
      <c r="A302" t="str">
        <f t="shared" ref="A302:A310" si="61">"E164"</f>
        <v>E164</v>
      </c>
      <c r="B302">
        <v>1</v>
      </c>
      <c r="C302" t="str">
        <f t="shared" ref="C302:C309" si="62">"10200"</f>
        <v>10200</v>
      </c>
      <c r="D302" t="str">
        <f t="shared" ref="D302:D309" si="63">"5620"</f>
        <v>5620</v>
      </c>
      <c r="E302" t="str">
        <f t="shared" ref="E302:E309" si="64">"094OMS"</f>
        <v>094OMS</v>
      </c>
      <c r="F302" t="str">
        <f>""</f>
        <v/>
      </c>
      <c r="G302" t="str">
        <f>""</f>
        <v/>
      </c>
      <c r="H302" s="1">
        <v>40767</v>
      </c>
      <c r="I302" t="str">
        <f>"188725"</f>
        <v>188725</v>
      </c>
      <c r="J302" t="str">
        <f>""</f>
        <v/>
      </c>
      <c r="K302" t="str">
        <f>"INNI"</f>
        <v>INNI</v>
      </c>
      <c r="L302" t="s">
        <v>1324</v>
      </c>
      <c r="M302" s="2">
        <v>3620.76</v>
      </c>
    </row>
    <row r="303" spans="1:13" x14ac:dyDescent="0.25">
      <c r="A303" t="str">
        <f t="shared" si="61"/>
        <v>E164</v>
      </c>
      <c r="B303">
        <v>1</v>
      </c>
      <c r="C303" t="str">
        <f t="shared" si="62"/>
        <v>10200</v>
      </c>
      <c r="D303" t="str">
        <f t="shared" si="63"/>
        <v>5620</v>
      </c>
      <c r="E303" t="str">
        <f t="shared" si="64"/>
        <v>094OMS</v>
      </c>
      <c r="F303" t="str">
        <f>""</f>
        <v/>
      </c>
      <c r="G303" t="str">
        <f>""</f>
        <v/>
      </c>
      <c r="H303" s="1">
        <v>40816</v>
      </c>
      <c r="I303" t="str">
        <f>"LKS00191"</f>
        <v>LKS00191</v>
      </c>
      <c r="J303" t="str">
        <f t="shared" ref="J303:J309" si="65">"L30034"</f>
        <v>L30034</v>
      </c>
      <c r="K303" t="str">
        <f t="shared" ref="K303:K310" si="66">"LKW1"</f>
        <v>LKW1</v>
      </c>
      <c r="L303" t="s">
        <v>133</v>
      </c>
      <c r="M303">
        <v>116.09</v>
      </c>
    </row>
    <row r="304" spans="1:13" x14ac:dyDescent="0.25">
      <c r="A304" t="str">
        <f t="shared" si="61"/>
        <v>E164</v>
      </c>
      <c r="B304">
        <v>1</v>
      </c>
      <c r="C304" t="str">
        <f t="shared" si="62"/>
        <v>10200</v>
      </c>
      <c r="D304" t="str">
        <f t="shared" si="63"/>
        <v>5620</v>
      </c>
      <c r="E304" t="str">
        <f t="shared" si="64"/>
        <v>094OMS</v>
      </c>
      <c r="F304" t="str">
        <f>""</f>
        <v/>
      </c>
      <c r="G304" t="str">
        <f>""</f>
        <v/>
      </c>
      <c r="H304" s="1">
        <v>40847</v>
      </c>
      <c r="I304" t="str">
        <f>"LKS00192"</f>
        <v>LKS00192</v>
      </c>
      <c r="J304" t="str">
        <f t="shared" si="65"/>
        <v>L30034</v>
      </c>
      <c r="K304" t="str">
        <f t="shared" si="66"/>
        <v>LKW1</v>
      </c>
      <c r="L304" t="s">
        <v>133</v>
      </c>
      <c r="M304">
        <v>121.08</v>
      </c>
    </row>
    <row r="305" spans="1:13" x14ac:dyDescent="0.25">
      <c r="A305" t="str">
        <f t="shared" si="61"/>
        <v>E164</v>
      </c>
      <c r="B305">
        <v>1</v>
      </c>
      <c r="C305" t="str">
        <f t="shared" si="62"/>
        <v>10200</v>
      </c>
      <c r="D305" t="str">
        <f t="shared" si="63"/>
        <v>5620</v>
      </c>
      <c r="E305" t="str">
        <f t="shared" si="64"/>
        <v>094OMS</v>
      </c>
      <c r="F305" t="str">
        <f>""</f>
        <v/>
      </c>
      <c r="G305" t="str">
        <f>""</f>
        <v/>
      </c>
      <c r="H305" s="1">
        <v>40908</v>
      </c>
      <c r="I305" t="str">
        <f>"LKS00194"</f>
        <v>LKS00194</v>
      </c>
      <c r="J305" t="str">
        <f t="shared" si="65"/>
        <v>L30034</v>
      </c>
      <c r="K305" t="str">
        <f t="shared" si="66"/>
        <v>LKW1</v>
      </c>
      <c r="L305" t="s">
        <v>133</v>
      </c>
      <c r="M305">
        <v>109.77</v>
      </c>
    </row>
    <row r="306" spans="1:13" x14ac:dyDescent="0.25">
      <c r="A306" t="str">
        <f t="shared" si="61"/>
        <v>E164</v>
      </c>
      <c r="B306">
        <v>1</v>
      </c>
      <c r="C306" t="str">
        <f t="shared" si="62"/>
        <v>10200</v>
      </c>
      <c r="D306" t="str">
        <f t="shared" si="63"/>
        <v>5620</v>
      </c>
      <c r="E306" t="str">
        <f t="shared" si="64"/>
        <v>094OMS</v>
      </c>
      <c r="F306" t="str">
        <f>""</f>
        <v/>
      </c>
      <c r="G306" t="str">
        <f>""</f>
        <v/>
      </c>
      <c r="H306" s="1">
        <v>40939</v>
      </c>
      <c r="I306" t="str">
        <f>"LKS00195"</f>
        <v>LKS00195</v>
      </c>
      <c r="J306" t="str">
        <f t="shared" si="65"/>
        <v>L30034</v>
      </c>
      <c r="K306" t="str">
        <f t="shared" si="66"/>
        <v>LKW1</v>
      </c>
      <c r="L306" t="s">
        <v>133</v>
      </c>
      <c r="M306">
        <v>216.23</v>
      </c>
    </row>
    <row r="307" spans="1:13" x14ac:dyDescent="0.25">
      <c r="A307" t="str">
        <f t="shared" si="61"/>
        <v>E164</v>
      </c>
      <c r="B307">
        <v>1</v>
      </c>
      <c r="C307" t="str">
        <f t="shared" si="62"/>
        <v>10200</v>
      </c>
      <c r="D307" t="str">
        <f t="shared" si="63"/>
        <v>5620</v>
      </c>
      <c r="E307" t="str">
        <f t="shared" si="64"/>
        <v>094OMS</v>
      </c>
      <c r="F307" t="str">
        <f>""</f>
        <v/>
      </c>
      <c r="G307" t="str">
        <f>""</f>
        <v/>
      </c>
      <c r="H307" s="1">
        <v>40968</v>
      </c>
      <c r="I307" t="str">
        <f>"LKS00196"</f>
        <v>LKS00196</v>
      </c>
      <c r="J307" t="str">
        <f t="shared" si="65"/>
        <v>L30034</v>
      </c>
      <c r="K307" t="str">
        <f t="shared" si="66"/>
        <v>LKW1</v>
      </c>
      <c r="L307" t="s">
        <v>133</v>
      </c>
      <c r="M307">
        <v>677.39</v>
      </c>
    </row>
    <row r="308" spans="1:13" x14ac:dyDescent="0.25">
      <c r="A308" t="str">
        <f t="shared" si="61"/>
        <v>E164</v>
      </c>
      <c r="B308">
        <v>1</v>
      </c>
      <c r="C308" t="str">
        <f t="shared" si="62"/>
        <v>10200</v>
      </c>
      <c r="D308" t="str">
        <f t="shared" si="63"/>
        <v>5620</v>
      </c>
      <c r="E308" t="str">
        <f t="shared" si="64"/>
        <v>094OMS</v>
      </c>
      <c r="F308" t="str">
        <f>""</f>
        <v/>
      </c>
      <c r="G308" t="str">
        <f>""</f>
        <v/>
      </c>
      <c r="H308" s="1">
        <v>41029</v>
      </c>
      <c r="I308" t="str">
        <f>"LKS00198"</f>
        <v>LKS00198</v>
      </c>
      <c r="J308" t="str">
        <f t="shared" si="65"/>
        <v>L30034</v>
      </c>
      <c r="K308" t="str">
        <f t="shared" si="66"/>
        <v>LKW1</v>
      </c>
      <c r="L308" t="s">
        <v>133</v>
      </c>
      <c r="M308">
        <v>102.18</v>
      </c>
    </row>
    <row r="309" spans="1:13" x14ac:dyDescent="0.25">
      <c r="A309" t="str">
        <f t="shared" si="61"/>
        <v>E164</v>
      </c>
      <c r="B309">
        <v>1</v>
      </c>
      <c r="C309" t="str">
        <f t="shared" si="62"/>
        <v>10200</v>
      </c>
      <c r="D309" t="str">
        <f t="shared" si="63"/>
        <v>5620</v>
      </c>
      <c r="E309" t="str">
        <f t="shared" si="64"/>
        <v>094OMS</v>
      </c>
      <c r="F309" t="str">
        <f>""</f>
        <v/>
      </c>
      <c r="G309" t="str">
        <f>""</f>
        <v/>
      </c>
      <c r="H309" s="1">
        <v>41059</v>
      </c>
      <c r="I309" t="str">
        <f>"LKS00199"</f>
        <v>LKS00199</v>
      </c>
      <c r="J309" t="str">
        <f t="shared" si="65"/>
        <v>L30034</v>
      </c>
      <c r="K309" t="str">
        <f t="shared" si="66"/>
        <v>LKW1</v>
      </c>
      <c r="L309" t="s">
        <v>133</v>
      </c>
      <c r="M309">
        <v>287.39999999999998</v>
      </c>
    </row>
    <row r="310" spans="1:13" x14ac:dyDescent="0.25">
      <c r="A310" t="str">
        <f t="shared" si="61"/>
        <v>E164</v>
      </c>
      <c r="B310">
        <v>1</v>
      </c>
      <c r="C310" t="str">
        <f t="shared" ref="C310:C316" si="67">"43000"</f>
        <v>43000</v>
      </c>
      <c r="D310" t="str">
        <f t="shared" ref="D310:D316" si="68">"5740"</f>
        <v>5740</v>
      </c>
      <c r="E310" t="str">
        <f t="shared" ref="E310:E316" si="69">"850LOS"</f>
        <v>850LOS</v>
      </c>
      <c r="F310" t="str">
        <f>""</f>
        <v/>
      </c>
      <c r="G310" t="str">
        <f>""</f>
        <v/>
      </c>
      <c r="H310" s="1">
        <v>40908</v>
      </c>
      <c r="I310" t="str">
        <f>"LKS00194"</f>
        <v>LKS00194</v>
      </c>
      <c r="J310" t="str">
        <f>"L71053"</f>
        <v>L71053</v>
      </c>
      <c r="K310" t="str">
        <f t="shared" si="66"/>
        <v>LKW1</v>
      </c>
      <c r="L310" t="s">
        <v>1809</v>
      </c>
      <c r="M310">
        <v>169.28</v>
      </c>
    </row>
    <row r="311" spans="1:13" x14ac:dyDescent="0.25">
      <c r="A311" t="str">
        <f t="shared" ref="A311:A316" si="70">"E166"</f>
        <v>E166</v>
      </c>
      <c r="B311">
        <v>1</v>
      </c>
      <c r="C311" t="str">
        <f t="shared" si="67"/>
        <v>43000</v>
      </c>
      <c r="D311" t="str">
        <f t="shared" si="68"/>
        <v>5740</v>
      </c>
      <c r="E311" t="str">
        <f t="shared" si="69"/>
        <v>850LOS</v>
      </c>
      <c r="F311" t="str">
        <f>"PKOLOT"</f>
        <v>PKOLOT</v>
      </c>
      <c r="G311" t="str">
        <f>""</f>
        <v/>
      </c>
      <c r="H311" s="1">
        <v>40960</v>
      </c>
      <c r="I311" t="str">
        <f>"124227A"</f>
        <v>124227A</v>
      </c>
      <c r="J311" t="str">
        <f t="shared" ref="J311:J316" si="71">"N076383F"</f>
        <v>N076383F</v>
      </c>
      <c r="K311" t="str">
        <f t="shared" ref="K311:K316" si="72">"INEI"</f>
        <v>INEI</v>
      </c>
      <c r="L311" t="s">
        <v>140</v>
      </c>
      <c r="M311" s="2">
        <v>1237.54</v>
      </c>
    </row>
    <row r="312" spans="1:13" x14ac:dyDescent="0.25">
      <c r="A312" t="str">
        <f t="shared" si="70"/>
        <v>E166</v>
      </c>
      <c r="B312">
        <v>1</v>
      </c>
      <c r="C312" t="str">
        <f t="shared" si="67"/>
        <v>43000</v>
      </c>
      <c r="D312" t="str">
        <f t="shared" si="68"/>
        <v>5740</v>
      </c>
      <c r="E312" t="str">
        <f t="shared" si="69"/>
        <v>850LOS</v>
      </c>
      <c r="F312" t="str">
        <f>"PKOLOT"</f>
        <v>PKOLOT</v>
      </c>
      <c r="G312" t="str">
        <f>""</f>
        <v/>
      </c>
      <c r="H312" s="1">
        <v>40960</v>
      </c>
      <c r="I312" t="str">
        <f>"124468A"</f>
        <v>124468A</v>
      </c>
      <c r="J312" t="str">
        <f t="shared" si="71"/>
        <v>N076383F</v>
      </c>
      <c r="K312" t="str">
        <f t="shared" si="72"/>
        <v>INEI</v>
      </c>
      <c r="L312" t="s">
        <v>140</v>
      </c>
      <c r="M312">
        <v>346.06</v>
      </c>
    </row>
    <row r="313" spans="1:13" x14ac:dyDescent="0.25">
      <c r="A313" t="str">
        <f t="shared" si="70"/>
        <v>E166</v>
      </c>
      <c r="B313">
        <v>1</v>
      </c>
      <c r="C313" t="str">
        <f t="shared" si="67"/>
        <v>43000</v>
      </c>
      <c r="D313" t="str">
        <f t="shared" si="68"/>
        <v>5740</v>
      </c>
      <c r="E313" t="str">
        <f t="shared" si="69"/>
        <v>850LOS</v>
      </c>
      <c r="F313" t="str">
        <f>"PKOLOT"</f>
        <v>PKOLOT</v>
      </c>
      <c r="G313" t="str">
        <f>""</f>
        <v/>
      </c>
      <c r="H313" s="1">
        <v>41008</v>
      </c>
      <c r="I313" t="str">
        <f>"125435A"</f>
        <v>125435A</v>
      </c>
      <c r="J313" t="str">
        <f t="shared" si="71"/>
        <v>N076383F</v>
      </c>
      <c r="K313" t="str">
        <f t="shared" si="72"/>
        <v>INEI</v>
      </c>
      <c r="L313" t="s">
        <v>140</v>
      </c>
      <c r="M313" s="2">
        <v>1094.22</v>
      </c>
    </row>
    <row r="314" spans="1:13" x14ac:dyDescent="0.25">
      <c r="A314" t="str">
        <f t="shared" si="70"/>
        <v>E166</v>
      </c>
      <c r="B314">
        <v>1</v>
      </c>
      <c r="C314" t="str">
        <f t="shared" si="67"/>
        <v>43000</v>
      </c>
      <c r="D314" t="str">
        <f t="shared" si="68"/>
        <v>5740</v>
      </c>
      <c r="E314" t="str">
        <f t="shared" si="69"/>
        <v>850LOS</v>
      </c>
      <c r="F314" t="str">
        <f>"PKOLOT"</f>
        <v>PKOLOT</v>
      </c>
      <c r="G314" t="str">
        <f>""</f>
        <v/>
      </c>
      <c r="H314" s="1">
        <v>41078</v>
      </c>
      <c r="I314" t="str">
        <f>"127759A"</f>
        <v>127759A</v>
      </c>
      <c r="J314" t="str">
        <f t="shared" si="71"/>
        <v>N076383F</v>
      </c>
      <c r="K314" t="str">
        <f t="shared" si="72"/>
        <v>INEI</v>
      </c>
      <c r="L314" t="s">
        <v>140</v>
      </c>
      <c r="M314">
        <v>531.05999999999995</v>
      </c>
    </row>
    <row r="315" spans="1:13" x14ac:dyDescent="0.25">
      <c r="A315" t="str">
        <f t="shared" si="70"/>
        <v>E166</v>
      </c>
      <c r="B315">
        <v>1</v>
      </c>
      <c r="C315" t="str">
        <f t="shared" si="67"/>
        <v>43000</v>
      </c>
      <c r="D315" t="str">
        <f t="shared" si="68"/>
        <v>5740</v>
      </c>
      <c r="E315" t="str">
        <f t="shared" si="69"/>
        <v>850LOS</v>
      </c>
      <c r="F315" t="str">
        <f>"PKOLOT"</f>
        <v>PKOLOT</v>
      </c>
      <c r="G315" t="str">
        <f>""</f>
        <v/>
      </c>
      <c r="H315" s="1">
        <v>41080</v>
      </c>
      <c r="I315" t="str">
        <f>"127759B"</f>
        <v>127759B</v>
      </c>
      <c r="J315" t="str">
        <f t="shared" si="71"/>
        <v>N076383F</v>
      </c>
      <c r="K315" t="str">
        <f t="shared" si="72"/>
        <v>INEI</v>
      </c>
      <c r="L315" t="s">
        <v>140</v>
      </c>
      <c r="M315">
        <v>594.02</v>
      </c>
    </row>
    <row r="316" spans="1:13" x14ac:dyDescent="0.25">
      <c r="A316" t="str">
        <f t="shared" si="70"/>
        <v>E166</v>
      </c>
      <c r="B316">
        <v>1</v>
      </c>
      <c r="C316" t="str">
        <f t="shared" si="67"/>
        <v>43000</v>
      </c>
      <c r="D316" t="str">
        <f t="shared" si="68"/>
        <v>5740</v>
      </c>
      <c r="E316" t="str">
        <f t="shared" si="69"/>
        <v>850LOS</v>
      </c>
      <c r="F316" t="str">
        <f>""</f>
        <v/>
      </c>
      <c r="G316" t="str">
        <f>""</f>
        <v/>
      </c>
      <c r="H316" s="1">
        <v>40753</v>
      </c>
      <c r="I316" t="str">
        <f>"117582"</f>
        <v>117582</v>
      </c>
      <c r="J316" t="str">
        <f t="shared" si="71"/>
        <v>N076383F</v>
      </c>
      <c r="K316" t="str">
        <f t="shared" si="72"/>
        <v>INEI</v>
      </c>
      <c r="L316" t="s">
        <v>140</v>
      </c>
      <c r="M316" s="2">
        <v>1059.83</v>
      </c>
    </row>
    <row r="317" spans="1:13" x14ac:dyDescent="0.25">
      <c r="A317" t="str">
        <f t="shared" ref="A317:A328" si="73">"E171"</f>
        <v>E171</v>
      </c>
      <c r="B317">
        <v>1</v>
      </c>
      <c r="C317" t="str">
        <f>"10200"</f>
        <v>10200</v>
      </c>
      <c r="D317" t="str">
        <f>"5620"</f>
        <v>5620</v>
      </c>
      <c r="E317" t="str">
        <f>"094OMS"</f>
        <v>094OMS</v>
      </c>
      <c r="F317" t="str">
        <f>""</f>
        <v/>
      </c>
      <c r="G317" t="str">
        <f>""</f>
        <v/>
      </c>
      <c r="H317" s="1">
        <v>40755</v>
      </c>
      <c r="I317" t="str">
        <f>"PRT00317"</f>
        <v>PRT00317</v>
      </c>
      <c r="J317" t="str">
        <f>"605538"</f>
        <v>605538</v>
      </c>
      <c r="K317" t="str">
        <f t="shared" ref="K317:K326" si="74">"PR01"</f>
        <v>PR01</v>
      </c>
      <c r="L317" t="s">
        <v>1808</v>
      </c>
      <c r="M317">
        <v>151.58000000000001</v>
      </c>
    </row>
    <row r="318" spans="1:13" x14ac:dyDescent="0.25">
      <c r="A318" t="str">
        <f t="shared" si="73"/>
        <v>E171</v>
      </c>
      <c r="B318">
        <v>1</v>
      </c>
      <c r="C318" t="str">
        <f>"10200"</f>
        <v>10200</v>
      </c>
      <c r="D318" t="str">
        <f>"5620"</f>
        <v>5620</v>
      </c>
      <c r="E318" t="str">
        <f>"094OMS"</f>
        <v>094OMS</v>
      </c>
      <c r="F318" t="str">
        <f>""</f>
        <v/>
      </c>
      <c r="G318" t="str">
        <f>""</f>
        <v/>
      </c>
      <c r="H318" s="1">
        <v>40939</v>
      </c>
      <c r="I318" t="str">
        <f>"PRT00327"</f>
        <v>PRT00327</v>
      </c>
      <c r="J318" t="str">
        <f>"647291"</f>
        <v>647291</v>
      </c>
      <c r="K318" t="str">
        <f t="shared" si="74"/>
        <v>PR01</v>
      </c>
      <c r="L318" t="s">
        <v>414</v>
      </c>
      <c r="M318">
        <v>729.62</v>
      </c>
    </row>
    <row r="319" spans="1:13" x14ac:dyDescent="0.25">
      <c r="A319" t="str">
        <f t="shared" si="73"/>
        <v>E171</v>
      </c>
      <c r="B319">
        <v>1</v>
      </c>
      <c r="C319" t="str">
        <f>"10200"</f>
        <v>10200</v>
      </c>
      <c r="D319" t="str">
        <f>"5620"</f>
        <v>5620</v>
      </c>
      <c r="E319" t="str">
        <f>"094OMS"</f>
        <v>094OMS</v>
      </c>
      <c r="F319" t="str">
        <f>""</f>
        <v/>
      </c>
      <c r="G319" t="str">
        <f>""</f>
        <v/>
      </c>
      <c r="H319" s="1">
        <v>40999</v>
      </c>
      <c r="I319" t="str">
        <f>"PRT00330"</f>
        <v>PRT00330</v>
      </c>
      <c r="J319" t="str">
        <f>"659120"</f>
        <v>659120</v>
      </c>
      <c r="K319" t="str">
        <f t="shared" si="74"/>
        <v>PR01</v>
      </c>
      <c r="L319" t="s">
        <v>1807</v>
      </c>
      <c r="M319">
        <v>210.34</v>
      </c>
    </row>
    <row r="320" spans="1:13" x14ac:dyDescent="0.25">
      <c r="A320" t="str">
        <f t="shared" si="73"/>
        <v>E171</v>
      </c>
      <c r="B320">
        <v>1</v>
      </c>
      <c r="C320" t="str">
        <f>"10200"</f>
        <v>10200</v>
      </c>
      <c r="D320" t="str">
        <f>"5620"</f>
        <v>5620</v>
      </c>
      <c r="E320" t="str">
        <f>"094OMS"</f>
        <v>094OMS</v>
      </c>
      <c r="F320" t="str">
        <f>""</f>
        <v/>
      </c>
      <c r="G320" t="str">
        <f>""</f>
        <v/>
      </c>
      <c r="H320" s="1">
        <v>40999</v>
      </c>
      <c r="I320" t="str">
        <f>"PRT00330"</f>
        <v>PRT00330</v>
      </c>
      <c r="J320" t="str">
        <f>"659758"</f>
        <v>659758</v>
      </c>
      <c r="K320" t="str">
        <f t="shared" si="74"/>
        <v>PR01</v>
      </c>
      <c r="L320" t="s">
        <v>1806</v>
      </c>
      <c r="M320">
        <v>196.66</v>
      </c>
    </row>
    <row r="321" spans="1:13" x14ac:dyDescent="0.25">
      <c r="A321" t="str">
        <f t="shared" si="73"/>
        <v>E171</v>
      </c>
      <c r="B321">
        <v>1</v>
      </c>
      <c r="C321" t="str">
        <f t="shared" ref="C321:C328" si="75">"43000"</f>
        <v>43000</v>
      </c>
      <c r="D321" t="str">
        <f t="shared" ref="D321:D328" si="76">"5740"</f>
        <v>5740</v>
      </c>
      <c r="E321" t="str">
        <f>"850LOS"</f>
        <v>850LOS</v>
      </c>
      <c r="F321" t="str">
        <f>""</f>
        <v/>
      </c>
      <c r="G321" t="str">
        <f>""</f>
        <v/>
      </c>
      <c r="H321" s="1">
        <v>40755</v>
      </c>
      <c r="I321" t="str">
        <f>"PRT00317"</f>
        <v>PRT00317</v>
      </c>
      <c r="J321" t="str">
        <f>"601872"</f>
        <v>601872</v>
      </c>
      <c r="K321" t="str">
        <f t="shared" si="74"/>
        <v>PR01</v>
      </c>
      <c r="L321" t="s">
        <v>1805</v>
      </c>
      <c r="M321">
        <v>451.95</v>
      </c>
    </row>
    <row r="322" spans="1:13" x14ac:dyDescent="0.25">
      <c r="A322" t="str">
        <f t="shared" si="73"/>
        <v>E171</v>
      </c>
      <c r="B322">
        <v>1</v>
      </c>
      <c r="C322" t="str">
        <f t="shared" si="75"/>
        <v>43000</v>
      </c>
      <c r="D322" t="str">
        <f t="shared" si="76"/>
        <v>5740</v>
      </c>
      <c r="E322" t="str">
        <f>"850LOS"</f>
        <v>850LOS</v>
      </c>
      <c r="F322" t="str">
        <f>""</f>
        <v/>
      </c>
      <c r="G322" t="str">
        <f>""</f>
        <v/>
      </c>
      <c r="H322" s="1">
        <v>40877</v>
      </c>
      <c r="I322" t="str">
        <f>"PRT00323"</f>
        <v>PRT00323</v>
      </c>
      <c r="J322" t="str">
        <f>"635900"</f>
        <v>635900</v>
      </c>
      <c r="K322" t="str">
        <f t="shared" si="74"/>
        <v>PR01</v>
      </c>
      <c r="L322" t="s">
        <v>1804</v>
      </c>
      <c r="M322">
        <v>415.14</v>
      </c>
    </row>
    <row r="323" spans="1:13" x14ac:dyDescent="0.25">
      <c r="A323" t="str">
        <f t="shared" si="73"/>
        <v>E171</v>
      </c>
      <c r="B323">
        <v>1</v>
      </c>
      <c r="C323" t="str">
        <f t="shared" si="75"/>
        <v>43000</v>
      </c>
      <c r="D323" t="str">
        <f t="shared" si="76"/>
        <v>5740</v>
      </c>
      <c r="E323" t="str">
        <f>"850LOS"</f>
        <v>850LOS</v>
      </c>
      <c r="F323" t="str">
        <f>""</f>
        <v/>
      </c>
      <c r="G323" t="str">
        <f>""</f>
        <v/>
      </c>
      <c r="H323" s="1">
        <v>40908</v>
      </c>
      <c r="I323" t="str">
        <f>"PRT00325"</f>
        <v>PRT00325</v>
      </c>
      <c r="J323" t="str">
        <f>"640572"</f>
        <v>640572</v>
      </c>
      <c r="K323" t="str">
        <f t="shared" si="74"/>
        <v>PR01</v>
      </c>
      <c r="L323" t="s">
        <v>1803</v>
      </c>
      <c r="M323">
        <v>423.74</v>
      </c>
    </row>
    <row r="324" spans="1:13" x14ac:dyDescent="0.25">
      <c r="A324" t="str">
        <f t="shared" si="73"/>
        <v>E171</v>
      </c>
      <c r="B324">
        <v>1</v>
      </c>
      <c r="C324" t="str">
        <f t="shared" si="75"/>
        <v>43000</v>
      </c>
      <c r="D324" t="str">
        <f t="shared" si="76"/>
        <v>5740</v>
      </c>
      <c r="E324" t="str">
        <f>"850LOS"</f>
        <v>850LOS</v>
      </c>
      <c r="F324" t="str">
        <f>""</f>
        <v/>
      </c>
      <c r="G324" t="str">
        <f>""</f>
        <v/>
      </c>
      <c r="H324" s="1">
        <v>41029</v>
      </c>
      <c r="I324" t="str">
        <f>"PRT00331"</f>
        <v>PRT00331</v>
      </c>
      <c r="J324" t="str">
        <f>"672696"</f>
        <v>672696</v>
      </c>
      <c r="K324" t="str">
        <f t="shared" si="74"/>
        <v>PR01</v>
      </c>
      <c r="L324" t="s">
        <v>1802</v>
      </c>
      <c r="M324">
        <v>393.71</v>
      </c>
    </row>
    <row r="325" spans="1:13" x14ac:dyDescent="0.25">
      <c r="A325" t="str">
        <f t="shared" si="73"/>
        <v>E171</v>
      </c>
      <c r="B325">
        <v>1</v>
      </c>
      <c r="C325" t="str">
        <f t="shared" si="75"/>
        <v>43000</v>
      </c>
      <c r="D325" t="str">
        <f t="shared" si="76"/>
        <v>5740</v>
      </c>
      <c r="E325" t="str">
        <f>"850PKE"</f>
        <v>850PKE</v>
      </c>
      <c r="F325" t="str">
        <f>""</f>
        <v/>
      </c>
      <c r="G325" t="str">
        <f>""</f>
        <v/>
      </c>
      <c r="H325" s="1">
        <v>40755</v>
      </c>
      <c r="I325" t="str">
        <f>"PRT00317"</f>
        <v>PRT00317</v>
      </c>
      <c r="J325" t="str">
        <f>"602637"</f>
        <v>602637</v>
      </c>
      <c r="K325" t="str">
        <f t="shared" si="74"/>
        <v>PR01</v>
      </c>
      <c r="L325" t="s">
        <v>1801</v>
      </c>
      <c r="M325">
        <v>381.52</v>
      </c>
    </row>
    <row r="326" spans="1:13" x14ac:dyDescent="0.25">
      <c r="A326" t="str">
        <f t="shared" si="73"/>
        <v>E171</v>
      </c>
      <c r="B326">
        <v>1</v>
      </c>
      <c r="C326" t="str">
        <f t="shared" si="75"/>
        <v>43000</v>
      </c>
      <c r="D326" t="str">
        <f t="shared" si="76"/>
        <v>5740</v>
      </c>
      <c r="E326" t="str">
        <f>"850PKE"</f>
        <v>850PKE</v>
      </c>
      <c r="F326" t="str">
        <f>""</f>
        <v/>
      </c>
      <c r="G326" t="str">
        <f>""</f>
        <v/>
      </c>
      <c r="H326" s="1">
        <v>40755</v>
      </c>
      <c r="I326" t="str">
        <f>"PRT00317"</f>
        <v>PRT00317</v>
      </c>
      <c r="J326" t="str">
        <f>"602638"</f>
        <v>602638</v>
      </c>
      <c r="K326" t="str">
        <f t="shared" si="74"/>
        <v>PR01</v>
      </c>
      <c r="L326" t="s">
        <v>1800</v>
      </c>
      <c r="M326">
        <v>259.38</v>
      </c>
    </row>
    <row r="327" spans="1:13" x14ac:dyDescent="0.25">
      <c r="A327" t="str">
        <f t="shared" si="73"/>
        <v>E171</v>
      </c>
      <c r="B327">
        <v>1</v>
      </c>
      <c r="C327" t="str">
        <f t="shared" si="75"/>
        <v>43000</v>
      </c>
      <c r="D327" t="str">
        <f t="shared" si="76"/>
        <v>5740</v>
      </c>
      <c r="E327" t="str">
        <f>"850PKE"</f>
        <v>850PKE</v>
      </c>
      <c r="F327" t="str">
        <f>""</f>
        <v/>
      </c>
      <c r="G327" t="str">
        <f>""</f>
        <v/>
      </c>
      <c r="H327" s="1">
        <v>40835</v>
      </c>
      <c r="I327" t="str">
        <f>"PCD00505"</f>
        <v>PCD00505</v>
      </c>
      <c r="J327" t="str">
        <f>"153709"</f>
        <v>153709</v>
      </c>
      <c r="K327" t="str">
        <f>"AS89"</f>
        <v>AS89</v>
      </c>
      <c r="L327" t="s">
        <v>1799</v>
      </c>
      <c r="M327">
        <v>973.06</v>
      </c>
    </row>
    <row r="328" spans="1:13" x14ac:dyDescent="0.25">
      <c r="A328" t="str">
        <f t="shared" si="73"/>
        <v>E171</v>
      </c>
      <c r="B328">
        <v>1</v>
      </c>
      <c r="C328" t="str">
        <f t="shared" si="75"/>
        <v>43000</v>
      </c>
      <c r="D328" t="str">
        <f t="shared" si="76"/>
        <v>5740</v>
      </c>
      <c r="E328" t="str">
        <f>"850PKE"</f>
        <v>850PKE</v>
      </c>
      <c r="F328" t="str">
        <f>""</f>
        <v/>
      </c>
      <c r="G328" t="str">
        <f>""</f>
        <v/>
      </c>
      <c r="H328" s="1">
        <v>41090</v>
      </c>
      <c r="I328" t="str">
        <f>"PRT00335"</f>
        <v>PRT00335</v>
      </c>
      <c r="J328" t="str">
        <f>"680623"</f>
        <v>680623</v>
      </c>
      <c r="K328" t="str">
        <f>"PR01"</f>
        <v>PR01</v>
      </c>
      <c r="L328" t="s">
        <v>1798</v>
      </c>
      <c r="M328">
        <v>165.37</v>
      </c>
    </row>
    <row r="329" spans="1:13" x14ac:dyDescent="0.25">
      <c r="A329" t="str">
        <f t="shared" ref="A329:A340" si="77">"E172"</f>
        <v>E172</v>
      </c>
      <c r="B329">
        <v>1</v>
      </c>
      <c r="C329" t="str">
        <f>"10200"</f>
        <v>10200</v>
      </c>
      <c r="D329" t="str">
        <f>"5620"</f>
        <v>5620</v>
      </c>
      <c r="E329" t="str">
        <f>"094OMS"</f>
        <v>094OMS</v>
      </c>
      <c r="F329" t="str">
        <f>""</f>
        <v/>
      </c>
      <c r="G329" t="str">
        <f>""</f>
        <v/>
      </c>
      <c r="H329" s="1">
        <v>40815</v>
      </c>
      <c r="I329" t="str">
        <f>"COP00254"</f>
        <v>COP00254</v>
      </c>
      <c r="J329" t="str">
        <f t="shared" ref="J329:J340" si="78">"JOB ORDR"</f>
        <v>JOB ORDR</v>
      </c>
      <c r="K329" t="str">
        <f t="shared" ref="K329:K352" si="79">"AS89"</f>
        <v>AS89</v>
      </c>
      <c r="L329" t="s">
        <v>1795</v>
      </c>
      <c r="M329">
        <v>545.6</v>
      </c>
    </row>
    <row r="330" spans="1:13" x14ac:dyDescent="0.25">
      <c r="A330" t="str">
        <f t="shared" si="77"/>
        <v>E172</v>
      </c>
      <c r="B330">
        <v>1</v>
      </c>
      <c r="C330" t="str">
        <f>"10200"</f>
        <v>10200</v>
      </c>
      <c r="D330" t="str">
        <f>"5620"</f>
        <v>5620</v>
      </c>
      <c r="E330" t="str">
        <f>"094OMS"</f>
        <v>094OMS</v>
      </c>
      <c r="F330" t="str">
        <f>""</f>
        <v/>
      </c>
      <c r="G330" t="str">
        <f>""</f>
        <v/>
      </c>
      <c r="H330" s="1">
        <v>40844</v>
      </c>
      <c r="I330" t="str">
        <f>"COP00255"</f>
        <v>COP00255</v>
      </c>
      <c r="J330" t="str">
        <f t="shared" si="78"/>
        <v>JOB ORDR</v>
      </c>
      <c r="K330" t="str">
        <f t="shared" si="79"/>
        <v>AS89</v>
      </c>
      <c r="L330" t="s">
        <v>1794</v>
      </c>
      <c r="M330">
        <v>225</v>
      </c>
    </row>
    <row r="331" spans="1:13" x14ac:dyDescent="0.25">
      <c r="A331" t="str">
        <f t="shared" si="77"/>
        <v>E172</v>
      </c>
      <c r="B331">
        <v>1</v>
      </c>
      <c r="C331" t="str">
        <f>"10200"</f>
        <v>10200</v>
      </c>
      <c r="D331" t="str">
        <f>"5620"</f>
        <v>5620</v>
      </c>
      <c r="E331" t="str">
        <f>"094OMS"</f>
        <v>094OMS</v>
      </c>
      <c r="F331" t="str">
        <f>""</f>
        <v/>
      </c>
      <c r="G331" t="str">
        <f>""</f>
        <v/>
      </c>
      <c r="H331" s="1">
        <v>40967</v>
      </c>
      <c r="I331" t="str">
        <f>"COP00259"</f>
        <v>COP00259</v>
      </c>
      <c r="J331" t="str">
        <f t="shared" si="78"/>
        <v>JOB ORDR</v>
      </c>
      <c r="K331" t="str">
        <f t="shared" si="79"/>
        <v>AS89</v>
      </c>
      <c r="L331" t="s">
        <v>1797</v>
      </c>
      <c r="M331">
        <v>291.8</v>
      </c>
    </row>
    <row r="332" spans="1:13" x14ac:dyDescent="0.25">
      <c r="A332" t="str">
        <f t="shared" si="77"/>
        <v>E172</v>
      </c>
      <c r="B332">
        <v>1</v>
      </c>
      <c r="C332" t="str">
        <f t="shared" ref="C332:C339" si="80">"43000"</f>
        <v>43000</v>
      </c>
      <c r="D332" t="str">
        <f t="shared" ref="D332:D340" si="81">"5740"</f>
        <v>5740</v>
      </c>
      <c r="E332" t="str">
        <f t="shared" ref="E332:E338" si="82">"850LOS"</f>
        <v>850LOS</v>
      </c>
      <c r="F332" t="str">
        <f>""</f>
        <v/>
      </c>
      <c r="G332" t="str">
        <f>""</f>
        <v/>
      </c>
      <c r="H332" s="1">
        <v>40752</v>
      </c>
      <c r="I332" t="str">
        <f>"COP00252"</f>
        <v>COP00252</v>
      </c>
      <c r="J332" t="str">
        <f t="shared" si="78"/>
        <v>JOB ORDR</v>
      </c>
      <c r="K332" t="str">
        <f t="shared" si="79"/>
        <v>AS89</v>
      </c>
      <c r="L332" t="s">
        <v>1791</v>
      </c>
      <c r="M332">
        <v>220.88</v>
      </c>
    </row>
    <row r="333" spans="1:13" x14ac:dyDescent="0.25">
      <c r="A333" t="str">
        <f t="shared" si="77"/>
        <v>E172</v>
      </c>
      <c r="B333">
        <v>1</v>
      </c>
      <c r="C333" t="str">
        <f t="shared" si="80"/>
        <v>43000</v>
      </c>
      <c r="D333" t="str">
        <f t="shared" si="81"/>
        <v>5740</v>
      </c>
      <c r="E333" t="str">
        <f t="shared" si="82"/>
        <v>850LOS</v>
      </c>
      <c r="F333" t="str">
        <f>""</f>
        <v/>
      </c>
      <c r="G333" t="str">
        <f>""</f>
        <v/>
      </c>
      <c r="H333" s="1">
        <v>40786</v>
      </c>
      <c r="I333" t="str">
        <f>"COP00253"</f>
        <v>COP00253</v>
      </c>
      <c r="J333" t="str">
        <f t="shared" si="78"/>
        <v>JOB ORDR</v>
      </c>
      <c r="K333" t="str">
        <f t="shared" si="79"/>
        <v>AS89</v>
      </c>
      <c r="L333" t="s">
        <v>1796</v>
      </c>
      <c r="M333" s="2">
        <v>1208.28</v>
      </c>
    </row>
    <row r="334" spans="1:13" x14ac:dyDescent="0.25">
      <c r="A334" t="str">
        <f t="shared" si="77"/>
        <v>E172</v>
      </c>
      <c r="B334">
        <v>1</v>
      </c>
      <c r="C334" t="str">
        <f t="shared" si="80"/>
        <v>43000</v>
      </c>
      <c r="D334" t="str">
        <f t="shared" si="81"/>
        <v>5740</v>
      </c>
      <c r="E334" t="str">
        <f t="shared" si="82"/>
        <v>850LOS</v>
      </c>
      <c r="F334" t="str">
        <f>""</f>
        <v/>
      </c>
      <c r="G334" t="str">
        <f>""</f>
        <v/>
      </c>
      <c r="H334" s="1">
        <v>40815</v>
      </c>
      <c r="I334" t="str">
        <f>"COP00254"</f>
        <v>COP00254</v>
      </c>
      <c r="J334" t="str">
        <f t="shared" si="78"/>
        <v>JOB ORDR</v>
      </c>
      <c r="K334" t="str">
        <f t="shared" si="79"/>
        <v>AS89</v>
      </c>
      <c r="L334" t="s">
        <v>1795</v>
      </c>
      <c r="M334">
        <v>480.79</v>
      </c>
    </row>
    <row r="335" spans="1:13" x14ac:dyDescent="0.25">
      <c r="A335" t="str">
        <f t="shared" si="77"/>
        <v>E172</v>
      </c>
      <c r="B335">
        <v>1</v>
      </c>
      <c r="C335" t="str">
        <f t="shared" si="80"/>
        <v>43000</v>
      </c>
      <c r="D335" t="str">
        <f t="shared" si="81"/>
        <v>5740</v>
      </c>
      <c r="E335" t="str">
        <f t="shared" si="82"/>
        <v>850LOS</v>
      </c>
      <c r="F335" t="str">
        <f>""</f>
        <v/>
      </c>
      <c r="G335" t="str">
        <f>""</f>
        <v/>
      </c>
      <c r="H335" s="1">
        <v>40844</v>
      </c>
      <c r="I335" t="str">
        <f>"COP00255"</f>
        <v>COP00255</v>
      </c>
      <c r="J335" t="str">
        <f t="shared" si="78"/>
        <v>JOB ORDR</v>
      </c>
      <c r="K335" t="str">
        <f t="shared" si="79"/>
        <v>AS89</v>
      </c>
      <c r="L335" t="s">
        <v>1794</v>
      </c>
      <c r="M335">
        <v>111</v>
      </c>
    </row>
    <row r="336" spans="1:13" x14ac:dyDescent="0.25">
      <c r="A336" t="str">
        <f t="shared" si="77"/>
        <v>E172</v>
      </c>
      <c r="B336">
        <v>1</v>
      </c>
      <c r="C336" t="str">
        <f t="shared" si="80"/>
        <v>43000</v>
      </c>
      <c r="D336" t="str">
        <f t="shared" si="81"/>
        <v>5740</v>
      </c>
      <c r="E336" t="str">
        <f t="shared" si="82"/>
        <v>850LOS</v>
      </c>
      <c r="F336" t="str">
        <f>""</f>
        <v/>
      </c>
      <c r="G336" t="str">
        <f>""</f>
        <v/>
      </c>
      <c r="H336" s="1">
        <v>40877</v>
      </c>
      <c r="I336" t="str">
        <f>"COP00256"</f>
        <v>COP00256</v>
      </c>
      <c r="J336" t="str">
        <f t="shared" si="78"/>
        <v>JOB ORDR</v>
      </c>
      <c r="K336" t="str">
        <f t="shared" si="79"/>
        <v>AS89</v>
      </c>
      <c r="L336" t="s">
        <v>1787</v>
      </c>
      <c r="M336">
        <v>249.64</v>
      </c>
    </row>
    <row r="337" spans="1:13" x14ac:dyDescent="0.25">
      <c r="A337" t="str">
        <f t="shared" si="77"/>
        <v>E172</v>
      </c>
      <c r="B337">
        <v>1</v>
      </c>
      <c r="C337" t="str">
        <f t="shared" si="80"/>
        <v>43000</v>
      </c>
      <c r="D337" t="str">
        <f t="shared" si="81"/>
        <v>5740</v>
      </c>
      <c r="E337" t="str">
        <f t="shared" si="82"/>
        <v>850LOS</v>
      </c>
      <c r="F337" t="str">
        <f>""</f>
        <v/>
      </c>
      <c r="G337" t="str">
        <f>""</f>
        <v/>
      </c>
      <c r="H337" s="1">
        <v>40938</v>
      </c>
      <c r="I337" t="str">
        <f>"COP00258"</f>
        <v>COP00258</v>
      </c>
      <c r="J337" t="str">
        <f t="shared" si="78"/>
        <v>JOB ORDR</v>
      </c>
      <c r="K337" t="str">
        <f t="shared" si="79"/>
        <v>AS89</v>
      </c>
      <c r="L337" t="s">
        <v>1793</v>
      </c>
      <c r="M337">
        <v>111</v>
      </c>
    </row>
    <row r="338" spans="1:13" x14ac:dyDescent="0.25">
      <c r="A338" t="str">
        <f t="shared" si="77"/>
        <v>E172</v>
      </c>
      <c r="B338">
        <v>1</v>
      </c>
      <c r="C338" t="str">
        <f t="shared" si="80"/>
        <v>43000</v>
      </c>
      <c r="D338" t="str">
        <f t="shared" si="81"/>
        <v>5740</v>
      </c>
      <c r="E338" t="str">
        <f t="shared" si="82"/>
        <v>850LOS</v>
      </c>
      <c r="F338" t="str">
        <f>""</f>
        <v/>
      </c>
      <c r="G338" t="str">
        <f>""</f>
        <v/>
      </c>
      <c r="H338" s="1">
        <v>41025</v>
      </c>
      <c r="I338" t="str">
        <f>"COP00261"</f>
        <v>COP00261</v>
      </c>
      <c r="J338" t="str">
        <f t="shared" si="78"/>
        <v>JOB ORDR</v>
      </c>
      <c r="K338" t="str">
        <f t="shared" si="79"/>
        <v>AS89</v>
      </c>
      <c r="L338" t="s">
        <v>1792</v>
      </c>
      <c r="M338">
        <v>220.85</v>
      </c>
    </row>
    <row r="339" spans="1:13" x14ac:dyDescent="0.25">
      <c r="A339" t="str">
        <f t="shared" si="77"/>
        <v>E172</v>
      </c>
      <c r="B339">
        <v>1</v>
      </c>
      <c r="C339" t="str">
        <f t="shared" si="80"/>
        <v>43000</v>
      </c>
      <c r="D339" t="str">
        <f t="shared" si="81"/>
        <v>5740</v>
      </c>
      <c r="E339" t="str">
        <f>"850PKE"</f>
        <v>850PKE</v>
      </c>
      <c r="F339" t="str">
        <f>""</f>
        <v/>
      </c>
      <c r="G339" t="str">
        <f>""</f>
        <v/>
      </c>
      <c r="H339" s="1">
        <v>40752</v>
      </c>
      <c r="I339" t="str">
        <f>"COP00252"</f>
        <v>COP00252</v>
      </c>
      <c r="J339" t="str">
        <f t="shared" si="78"/>
        <v>JOB ORDR</v>
      </c>
      <c r="K339" t="str">
        <f t="shared" si="79"/>
        <v>AS89</v>
      </c>
      <c r="L339" t="s">
        <v>1791</v>
      </c>
      <c r="M339">
        <v>272.25</v>
      </c>
    </row>
    <row r="340" spans="1:13" x14ac:dyDescent="0.25">
      <c r="A340" t="str">
        <f t="shared" si="77"/>
        <v>E172</v>
      </c>
      <c r="B340">
        <v>1</v>
      </c>
      <c r="C340" t="str">
        <f>"43007"</f>
        <v>43007</v>
      </c>
      <c r="D340" t="str">
        <f t="shared" si="81"/>
        <v>5740</v>
      </c>
      <c r="E340" t="str">
        <f>"850GAR"</f>
        <v>850GAR</v>
      </c>
      <c r="F340" t="str">
        <f>""</f>
        <v/>
      </c>
      <c r="G340" t="str">
        <f>""</f>
        <v/>
      </c>
      <c r="H340" s="1">
        <v>40877</v>
      </c>
      <c r="I340" t="str">
        <f>"COP00256"</f>
        <v>COP00256</v>
      </c>
      <c r="J340" t="str">
        <f t="shared" si="78"/>
        <v>JOB ORDR</v>
      </c>
      <c r="K340" t="str">
        <f t="shared" si="79"/>
        <v>AS89</v>
      </c>
      <c r="L340" t="s">
        <v>1787</v>
      </c>
      <c r="M340">
        <v>160.81</v>
      </c>
    </row>
    <row r="341" spans="1:13" x14ac:dyDescent="0.25">
      <c r="A341" t="str">
        <f t="shared" ref="A341:A352" si="83">"E173"</f>
        <v>E173</v>
      </c>
      <c r="B341">
        <v>1</v>
      </c>
      <c r="C341" t="str">
        <f t="shared" ref="C341:C347" si="84">"10200"</f>
        <v>10200</v>
      </c>
      <c r="D341" t="str">
        <f t="shared" ref="D341:D347" si="85">"5620"</f>
        <v>5620</v>
      </c>
      <c r="E341" t="str">
        <f t="shared" ref="E341:E347" si="86">"094OMS"</f>
        <v>094OMS</v>
      </c>
      <c r="F341" t="str">
        <f>""</f>
        <v/>
      </c>
      <c r="G341" t="str">
        <f>""</f>
        <v/>
      </c>
      <c r="H341" s="1">
        <v>40816</v>
      </c>
      <c r="I341" t="str">
        <f>"CSS00132"</f>
        <v>CSS00132</v>
      </c>
      <c r="J341" t="str">
        <f>"AUDITRON"</f>
        <v>AUDITRON</v>
      </c>
      <c r="K341" t="str">
        <f t="shared" si="79"/>
        <v>AS89</v>
      </c>
      <c r="L341" t="s">
        <v>1788</v>
      </c>
      <c r="M341">
        <v>120.46</v>
      </c>
    </row>
    <row r="342" spans="1:13" x14ac:dyDescent="0.25">
      <c r="A342" t="str">
        <f t="shared" si="83"/>
        <v>E173</v>
      </c>
      <c r="B342">
        <v>1</v>
      </c>
      <c r="C342" t="str">
        <f t="shared" si="84"/>
        <v>10200</v>
      </c>
      <c r="D342" t="str">
        <f t="shared" si="85"/>
        <v>5620</v>
      </c>
      <c r="E342" t="str">
        <f t="shared" si="86"/>
        <v>094OMS</v>
      </c>
      <c r="F342" t="str">
        <f>""</f>
        <v/>
      </c>
      <c r="G342" t="str">
        <f>""</f>
        <v/>
      </c>
      <c r="H342" s="1">
        <v>40876</v>
      </c>
      <c r="I342" t="str">
        <f>"MLT00031"</f>
        <v>MLT00031</v>
      </c>
      <c r="J342" t="str">
        <f>""</f>
        <v/>
      </c>
      <c r="K342" t="str">
        <f t="shared" si="79"/>
        <v>AS89</v>
      </c>
      <c r="L342" t="s">
        <v>1790</v>
      </c>
      <c r="M342">
        <v>144.9</v>
      </c>
    </row>
    <row r="343" spans="1:13" x14ac:dyDescent="0.25">
      <c r="A343" t="str">
        <f t="shared" si="83"/>
        <v>E173</v>
      </c>
      <c r="B343">
        <v>1</v>
      </c>
      <c r="C343" t="str">
        <f t="shared" si="84"/>
        <v>10200</v>
      </c>
      <c r="D343" t="str">
        <f t="shared" si="85"/>
        <v>5620</v>
      </c>
      <c r="E343" t="str">
        <f t="shared" si="86"/>
        <v>094OMS</v>
      </c>
      <c r="F343" t="str">
        <f>""</f>
        <v/>
      </c>
      <c r="G343" t="str">
        <f>""</f>
        <v/>
      </c>
      <c r="H343" s="1">
        <v>40908</v>
      </c>
      <c r="I343" t="str">
        <f>"CSS00135"</f>
        <v>CSS00135</v>
      </c>
      <c r="J343" t="str">
        <f>"AUDITRON"</f>
        <v>AUDITRON</v>
      </c>
      <c r="K343" t="str">
        <f t="shared" si="79"/>
        <v>AS89</v>
      </c>
      <c r="L343" t="s">
        <v>1786</v>
      </c>
      <c r="M343">
        <v>103.58</v>
      </c>
    </row>
    <row r="344" spans="1:13" x14ac:dyDescent="0.25">
      <c r="A344" t="str">
        <f t="shared" si="83"/>
        <v>E173</v>
      </c>
      <c r="B344">
        <v>1</v>
      </c>
      <c r="C344" t="str">
        <f t="shared" si="84"/>
        <v>10200</v>
      </c>
      <c r="D344" t="str">
        <f t="shared" si="85"/>
        <v>5620</v>
      </c>
      <c r="E344" t="str">
        <f t="shared" si="86"/>
        <v>094OMS</v>
      </c>
      <c r="F344" t="str">
        <f>""</f>
        <v/>
      </c>
      <c r="G344" t="str">
        <f>""</f>
        <v/>
      </c>
      <c r="H344" s="1">
        <v>40939</v>
      </c>
      <c r="I344" t="str">
        <f>"CSS00136"</f>
        <v>CSS00136</v>
      </c>
      <c r="J344" t="str">
        <f>"AUDITRON"</f>
        <v>AUDITRON</v>
      </c>
      <c r="K344" t="str">
        <f t="shared" si="79"/>
        <v>AS89</v>
      </c>
      <c r="L344" t="s">
        <v>1785</v>
      </c>
      <c r="M344">
        <v>132.69999999999999</v>
      </c>
    </row>
    <row r="345" spans="1:13" x14ac:dyDescent="0.25">
      <c r="A345" t="str">
        <f t="shared" si="83"/>
        <v>E173</v>
      </c>
      <c r="B345">
        <v>1</v>
      </c>
      <c r="C345" t="str">
        <f t="shared" si="84"/>
        <v>10200</v>
      </c>
      <c r="D345" t="str">
        <f t="shared" si="85"/>
        <v>5620</v>
      </c>
      <c r="E345" t="str">
        <f t="shared" si="86"/>
        <v>094OMS</v>
      </c>
      <c r="F345" t="str">
        <f>""</f>
        <v/>
      </c>
      <c r="G345" t="str">
        <f>""</f>
        <v/>
      </c>
      <c r="H345" s="1">
        <v>40968</v>
      </c>
      <c r="I345" t="str">
        <f>"CSS00137"</f>
        <v>CSS00137</v>
      </c>
      <c r="J345" t="str">
        <f>"AUDITRON"</f>
        <v>AUDITRON</v>
      </c>
      <c r="K345" t="str">
        <f t="shared" si="79"/>
        <v>AS89</v>
      </c>
      <c r="L345" t="s">
        <v>1784</v>
      </c>
      <c r="M345">
        <v>101.98</v>
      </c>
    </row>
    <row r="346" spans="1:13" x14ac:dyDescent="0.25">
      <c r="A346" t="str">
        <f t="shared" si="83"/>
        <v>E173</v>
      </c>
      <c r="B346">
        <v>1</v>
      </c>
      <c r="C346" t="str">
        <f t="shared" si="84"/>
        <v>10200</v>
      </c>
      <c r="D346" t="str">
        <f t="shared" si="85"/>
        <v>5620</v>
      </c>
      <c r="E346" t="str">
        <f t="shared" si="86"/>
        <v>094OMS</v>
      </c>
      <c r="F346" t="str">
        <f>""</f>
        <v/>
      </c>
      <c r="G346" t="str">
        <f>""</f>
        <v/>
      </c>
      <c r="H346" s="1">
        <v>40998</v>
      </c>
      <c r="I346" t="str">
        <f>"CSS00138"</f>
        <v>CSS00138</v>
      </c>
      <c r="J346" t="str">
        <f>"AUDITRON"</f>
        <v>AUDITRON</v>
      </c>
      <c r="K346" t="str">
        <f t="shared" si="79"/>
        <v>AS89</v>
      </c>
      <c r="L346" t="s">
        <v>1783</v>
      </c>
      <c r="M346">
        <v>106.02</v>
      </c>
    </row>
    <row r="347" spans="1:13" x14ac:dyDescent="0.25">
      <c r="A347" t="str">
        <f t="shared" si="83"/>
        <v>E173</v>
      </c>
      <c r="B347">
        <v>1</v>
      </c>
      <c r="C347" t="str">
        <f t="shared" si="84"/>
        <v>10200</v>
      </c>
      <c r="D347" t="str">
        <f t="shared" si="85"/>
        <v>5620</v>
      </c>
      <c r="E347" t="str">
        <f t="shared" si="86"/>
        <v>094OMS</v>
      </c>
      <c r="F347" t="str">
        <f>""</f>
        <v/>
      </c>
      <c r="G347" t="str">
        <f>""</f>
        <v/>
      </c>
      <c r="H347" s="1">
        <v>41029</v>
      </c>
      <c r="I347" t="str">
        <f>"CSS00139"</f>
        <v>CSS00139</v>
      </c>
      <c r="J347" t="str">
        <f>"AUDITRON"</f>
        <v>AUDITRON</v>
      </c>
      <c r="K347" t="str">
        <f t="shared" si="79"/>
        <v>AS89</v>
      </c>
      <c r="L347" t="s">
        <v>1782</v>
      </c>
      <c r="M347">
        <v>143.38</v>
      </c>
    </row>
    <row r="348" spans="1:13" x14ac:dyDescent="0.25">
      <c r="A348" t="str">
        <f t="shared" si="83"/>
        <v>E173</v>
      </c>
      <c r="B348">
        <v>1</v>
      </c>
      <c r="C348" t="str">
        <f>"32040"</f>
        <v>32040</v>
      </c>
      <c r="D348" t="str">
        <f>"5610"</f>
        <v>5610</v>
      </c>
      <c r="E348" t="str">
        <f>"850LOS"</f>
        <v>850LOS</v>
      </c>
      <c r="F348" t="str">
        <f>""</f>
        <v/>
      </c>
      <c r="G348" t="str">
        <f>""</f>
        <v/>
      </c>
      <c r="H348" s="1">
        <v>40816</v>
      </c>
      <c r="I348" t="str">
        <f>"MLT00029"</f>
        <v>MLT00029</v>
      </c>
      <c r="J348" t="str">
        <f>""</f>
        <v/>
      </c>
      <c r="K348" t="str">
        <f t="shared" si="79"/>
        <v>AS89</v>
      </c>
      <c r="L348" t="s">
        <v>1789</v>
      </c>
      <c r="M348">
        <v>116.4</v>
      </c>
    </row>
    <row r="349" spans="1:13" x14ac:dyDescent="0.25">
      <c r="A349" t="str">
        <f t="shared" si="83"/>
        <v>E173</v>
      </c>
      <c r="B349">
        <v>1</v>
      </c>
      <c r="C349" t="str">
        <f>"43000"</f>
        <v>43000</v>
      </c>
      <c r="D349" t="str">
        <f>"5740"</f>
        <v>5740</v>
      </c>
      <c r="E349" t="str">
        <f>"850LOS"</f>
        <v>850LOS</v>
      </c>
      <c r="F349" t="str">
        <f>""</f>
        <v/>
      </c>
      <c r="G349" t="str">
        <f>""</f>
        <v/>
      </c>
      <c r="H349" s="1">
        <v>40816</v>
      </c>
      <c r="I349" t="str">
        <f>"CSS00132"</f>
        <v>CSS00132</v>
      </c>
      <c r="J349" t="str">
        <f>"AUDITRON"</f>
        <v>AUDITRON</v>
      </c>
      <c r="K349" t="str">
        <f t="shared" si="79"/>
        <v>AS89</v>
      </c>
      <c r="L349" t="s">
        <v>1788</v>
      </c>
      <c r="M349">
        <v>111.16</v>
      </c>
    </row>
    <row r="350" spans="1:13" x14ac:dyDescent="0.25">
      <c r="A350" t="str">
        <f t="shared" si="83"/>
        <v>E173</v>
      </c>
      <c r="B350">
        <v>1</v>
      </c>
      <c r="C350" t="str">
        <f>"43000"</f>
        <v>43000</v>
      </c>
      <c r="D350" t="str">
        <f>"5740"</f>
        <v>5740</v>
      </c>
      <c r="E350" t="str">
        <f>"850LOS"</f>
        <v>850LOS</v>
      </c>
      <c r="F350" t="str">
        <f>""</f>
        <v/>
      </c>
      <c r="G350" t="str">
        <f>""</f>
        <v/>
      </c>
      <c r="H350" s="1">
        <v>40877</v>
      </c>
      <c r="I350" t="str">
        <f>"CSS00134"</f>
        <v>CSS00134</v>
      </c>
      <c r="J350" t="str">
        <f>"AUDITRON"</f>
        <v>AUDITRON</v>
      </c>
      <c r="K350" t="str">
        <f t="shared" si="79"/>
        <v>AS89</v>
      </c>
      <c r="L350" t="s">
        <v>1787</v>
      </c>
      <c r="M350">
        <v>107.52</v>
      </c>
    </row>
    <row r="351" spans="1:13" x14ac:dyDescent="0.25">
      <c r="A351" t="str">
        <f t="shared" si="83"/>
        <v>E173</v>
      </c>
      <c r="B351">
        <v>1</v>
      </c>
      <c r="C351" t="str">
        <f>"43000"</f>
        <v>43000</v>
      </c>
      <c r="D351" t="str">
        <f>"5740"</f>
        <v>5740</v>
      </c>
      <c r="E351" t="str">
        <f>"850LOS"</f>
        <v>850LOS</v>
      </c>
      <c r="F351" t="str">
        <f>""</f>
        <v/>
      </c>
      <c r="G351" t="str">
        <f>""</f>
        <v/>
      </c>
      <c r="H351" s="1">
        <v>41029</v>
      </c>
      <c r="I351" t="str">
        <f>"CSS00139"</f>
        <v>CSS00139</v>
      </c>
      <c r="J351" t="str">
        <f>"AUDITRON"</f>
        <v>AUDITRON</v>
      </c>
      <c r="K351" t="str">
        <f t="shared" si="79"/>
        <v>AS89</v>
      </c>
      <c r="L351" t="s">
        <v>1782</v>
      </c>
      <c r="M351">
        <v>111.4</v>
      </c>
    </row>
    <row r="352" spans="1:13" x14ac:dyDescent="0.25">
      <c r="A352" t="str">
        <f t="shared" si="83"/>
        <v>E173</v>
      </c>
      <c r="B352">
        <v>1</v>
      </c>
      <c r="C352" t="str">
        <f>"43000"</f>
        <v>43000</v>
      </c>
      <c r="D352" t="str">
        <f>"5740"</f>
        <v>5740</v>
      </c>
      <c r="E352" t="str">
        <f>"850LOS"</f>
        <v>850LOS</v>
      </c>
      <c r="F352" t="str">
        <f>""</f>
        <v/>
      </c>
      <c r="G352" t="str">
        <f>""</f>
        <v/>
      </c>
      <c r="H352" s="1">
        <v>41089</v>
      </c>
      <c r="I352" t="str">
        <f>"CSS00141"</f>
        <v>CSS00141</v>
      </c>
      <c r="J352" t="str">
        <f>"AUDITRON"</f>
        <v>AUDITRON</v>
      </c>
      <c r="K352" t="str">
        <f t="shared" si="79"/>
        <v>AS89</v>
      </c>
      <c r="L352" t="s">
        <v>1781</v>
      </c>
      <c r="M352">
        <v>105.24</v>
      </c>
    </row>
    <row r="353" spans="1:13" x14ac:dyDescent="0.25">
      <c r="A353" t="str">
        <f>"E190"</f>
        <v>E190</v>
      </c>
      <c r="B353">
        <v>1</v>
      </c>
      <c r="C353" t="str">
        <f t="shared" ref="C353:C362" si="87">"10200"</f>
        <v>10200</v>
      </c>
      <c r="D353" t="str">
        <f t="shared" ref="D353:D362" si="88">"5620"</f>
        <v>5620</v>
      </c>
      <c r="E353" t="str">
        <f t="shared" ref="E353:E362" si="89">"094OMS"</f>
        <v>094OMS</v>
      </c>
      <c r="F353" t="str">
        <f>""</f>
        <v/>
      </c>
      <c r="G353" t="str">
        <f>""</f>
        <v/>
      </c>
      <c r="H353" s="1">
        <v>40870</v>
      </c>
      <c r="I353" t="str">
        <f>"188735"</f>
        <v>188735</v>
      </c>
      <c r="J353" t="str">
        <f>""</f>
        <v/>
      </c>
      <c r="K353" t="str">
        <f>"INNI"</f>
        <v>INNI</v>
      </c>
      <c r="L353" t="s">
        <v>181</v>
      </c>
      <c r="M353" s="2">
        <v>3283.33</v>
      </c>
    </row>
    <row r="354" spans="1:13" x14ac:dyDescent="0.25">
      <c r="A354" t="str">
        <f>"E190"</f>
        <v>E190</v>
      </c>
      <c r="B354">
        <v>1</v>
      </c>
      <c r="C354" t="str">
        <f t="shared" si="87"/>
        <v>10200</v>
      </c>
      <c r="D354" t="str">
        <f t="shared" si="88"/>
        <v>5620</v>
      </c>
      <c r="E354" t="str">
        <f t="shared" si="89"/>
        <v>094OMS</v>
      </c>
      <c r="F354" t="str">
        <f>""</f>
        <v/>
      </c>
      <c r="G354" t="str">
        <f>""</f>
        <v/>
      </c>
      <c r="H354" s="1">
        <v>40870</v>
      </c>
      <c r="I354" t="str">
        <f>"188737"</f>
        <v>188737</v>
      </c>
      <c r="J354" t="str">
        <f>""</f>
        <v/>
      </c>
      <c r="K354" t="str">
        <f>"INNI"</f>
        <v>INNI</v>
      </c>
      <c r="L354" t="s">
        <v>181</v>
      </c>
      <c r="M354">
        <v>600</v>
      </c>
    </row>
    <row r="355" spans="1:13" x14ac:dyDescent="0.25">
      <c r="A355" t="str">
        <f t="shared" ref="A355:A363" si="90">"E191"</f>
        <v>E191</v>
      </c>
      <c r="B355">
        <v>1</v>
      </c>
      <c r="C355" t="str">
        <f t="shared" si="87"/>
        <v>10200</v>
      </c>
      <c r="D355" t="str">
        <f t="shared" si="88"/>
        <v>5620</v>
      </c>
      <c r="E355" t="str">
        <f t="shared" si="89"/>
        <v>094OMS</v>
      </c>
      <c r="F355" t="str">
        <f>""</f>
        <v/>
      </c>
      <c r="G355" t="str">
        <f>""</f>
        <v/>
      </c>
      <c r="H355" s="1">
        <v>40755</v>
      </c>
      <c r="I355" t="str">
        <f>"PCD00493"</f>
        <v>PCD00493</v>
      </c>
      <c r="J355" t="str">
        <f>"148466"</f>
        <v>148466</v>
      </c>
      <c r="K355" t="str">
        <f>"AS89"</f>
        <v>AS89</v>
      </c>
      <c r="L355" t="s">
        <v>1780</v>
      </c>
      <c r="M355">
        <v>199</v>
      </c>
    </row>
    <row r="356" spans="1:13" x14ac:dyDescent="0.25">
      <c r="A356" t="str">
        <f t="shared" si="90"/>
        <v>E191</v>
      </c>
      <c r="B356">
        <v>1</v>
      </c>
      <c r="C356" t="str">
        <f t="shared" si="87"/>
        <v>10200</v>
      </c>
      <c r="D356" t="str">
        <f t="shared" si="88"/>
        <v>5620</v>
      </c>
      <c r="E356" t="str">
        <f t="shared" si="89"/>
        <v>094OMS</v>
      </c>
      <c r="F356" t="str">
        <f>""</f>
        <v/>
      </c>
      <c r="G356" t="str">
        <f>""</f>
        <v/>
      </c>
      <c r="H356" s="1">
        <v>40814</v>
      </c>
      <c r="I356" t="str">
        <f>"188731"</f>
        <v>188731</v>
      </c>
      <c r="J356" t="str">
        <f>""</f>
        <v/>
      </c>
      <c r="K356" t="str">
        <f>"INNI"</f>
        <v>INNI</v>
      </c>
      <c r="L356" t="s">
        <v>1779</v>
      </c>
      <c r="M356">
        <v>249</v>
      </c>
    </row>
    <row r="357" spans="1:13" x14ac:dyDescent="0.25">
      <c r="A357" t="str">
        <f t="shared" si="90"/>
        <v>E191</v>
      </c>
      <c r="B357">
        <v>1</v>
      </c>
      <c r="C357" t="str">
        <f t="shared" si="87"/>
        <v>10200</v>
      </c>
      <c r="D357" t="str">
        <f t="shared" si="88"/>
        <v>5620</v>
      </c>
      <c r="E357" t="str">
        <f t="shared" si="89"/>
        <v>094OMS</v>
      </c>
      <c r="F357" t="str">
        <f>""</f>
        <v/>
      </c>
      <c r="G357" t="str">
        <f>""</f>
        <v/>
      </c>
      <c r="H357" s="1">
        <v>40847</v>
      </c>
      <c r="I357" t="str">
        <f>"PCD00508"</f>
        <v>PCD00508</v>
      </c>
      <c r="J357" t="str">
        <f>"153575"</f>
        <v>153575</v>
      </c>
      <c r="K357" t="str">
        <f>"AS89"</f>
        <v>AS89</v>
      </c>
      <c r="L357" t="s">
        <v>1778</v>
      </c>
      <c r="M357">
        <v>150</v>
      </c>
    </row>
    <row r="358" spans="1:13" x14ac:dyDescent="0.25">
      <c r="A358" t="str">
        <f t="shared" si="90"/>
        <v>E191</v>
      </c>
      <c r="B358">
        <v>1</v>
      </c>
      <c r="C358" t="str">
        <f t="shared" si="87"/>
        <v>10200</v>
      </c>
      <c r="D358" t="str">
        <f t="shared" si="88"/>
        <v>5620</v>
      </c>
      <c r="E358" t="str">
        <f t="shared" si="89"/>
        <v>094OMS</v>
      </c>
      <c r="F358" t="str">
        <f>""</f>
        <v/>
      </c>
      <c r="G358" t="str">
        <f>""</f>
        <v/>
      </c>
      <c r="H358" s="1">
        <v>40849</v>
      </c>
      <c r="I358" t="str">
        <f>"188736"</f>
        <v>188736</v>
      </c>
      <c r="J358" t="str">
        <f>""</f>
        <v/>
      </c>
      <c r="K358" t="str">
        <f>"INNI"</f>
        <v>INNI</v>
      </c>
      <c r="L358" t="s">
        <v>1777</v>
      </c>
      <c r="M358">
        <v>125</v>
      </c>
    </row>
    <row r="359" spans="1:13" x14ac:dyDescent="0.25">
      <c r="A359" t="str">
        <f t="shared" si="90"/>
        <v>E191</v>
      </c>
      <c r="B359">
        <v>1</v>
      </c>
      <c r="C359" t="str">
        <f t="shared" si="87"/>
        <v>10200</v>
      </c>
      <c r="D359" t="str">
        <f t="shared" si="88"/>
        <v>5620</v>
      </c>
      <c r="E359" t="str">
        <f t="shared" si="89"/>
        <v>094OMS</v>
      </c>
      <c r="F359" t="str">
        <f>""</f>
        <v/>
      </c>
      <c r="G359" t="str">
        <f>""</f>
        <v/>
      </c>
      <c r="H359" s="1">
        <v>40968</v>
      </c>
      <c r="I359" t="str">
        <f>"PCD00522"</f>
        <v>PCD00522</v>
      </c>
      <c r="J359" t="str">
        <f>"162134"</f>
        <v>162134</v>
      </c>
      <c r="K359" t="str">
        <f>"AS89"</f>
        <v>AS89</v>
      </c>
      <c r="L359" t="s">
        <v>1776</v>
      </c>
      <c r="M359">
        <v>350</v>
      </c>
    </row>
    <row r="360" spans="1:13" x14ac:dyDescent="0.25">
      <c r="A360" t="str">
        <f t="shared" si="90"/>
        <v>E191</v>
      </c>
      <c r="B360">
        <v>1</v>
      </c>
      <c r="C360" t="str">
        <f t="shared" si="87"/>
        <v>10200</v>
      </c>
      <c r="D360" t="str">
        <f t="shared" si="88"/>
        <v>5620</v>
      </c>
      <c r="E360" t="str">
        <f t="shared" si="89"/>
        <v>094OMS</v>
      </c>
      <c r="F360" t="str">
        <f>""</f>
        <v/>
      </c>
      <c r="G360" t="str">
        <f>""</f>
        <v/>
      </c>
      <c r="H360" s="1">
        <v>40998</v>
      </c>
      <c r="I360" t="str">
        <f>"PCD00526"</f>
        <v>PCD00526</v>
      </c>
      <c r="J360" t="str">
        <f>"164288"</f>
        <v>164288</v>
      </c>
      <c r="K360" t="str">
        <f>"AS89"</f>
        <v>AS89</v>
      </c>
      <c r="L360" t="s">
        <v>1775</v>
      </c>
      <c r="M360">
        <v>195</v>
      </c>
    </row>
    <row r="361" spans="1:13" x14ac:dyDescent="0.25">
      <c r="A361" t="str">
        <f t="shared" si="90"/>
        <v>E191</v>
      </c>
      <c r="B361">
        <v>1</v>
      </c>
      <c r="C361" t="str">
        <f t="shared" si="87"/>
        <v>10200</v>
      </c>
      <c r="D361" t="str">
        <f t="shared" si="88"/>
        <v>5620</v>
      </c>
      <c r="E361" t="str">
        <f t="shared" si="89"/>
        <v>094OMS</v>
      </c>
      <c r="F361" t="str">
        <f>""</f>
        <v/>
      </c>
      <c r="G361" t="str">
        <f>""</f>
        <v/>
      </c>
      <c r="H361" s="1">
        <v>41019</v>
      </c>
      <c r="I361" t="str">
        <f>"20130634"</f>
        <v>20130634</v>
      </c>
      <c r="J361" t="str">
        <f>""</f>
        <v/>
      </c>
      <c r="K361" t="str">
        <f>"INNI"</f>
        <v>INNI</v>
      </c>
      <c r="L361" t="s">
        <v>181</v>
      </c>
      <c r="M361">
        <v>600</v>
      </c>
    </row>
    <row r="362" spans="1:13" x14ac:dyDescent="0.25">
      <c r="A362" t="str">
        <f t="shared" si="90"/>
        <v>E191</v>
      </c>
      <c r="B362">
        <v>1</v>
      </c>
      <c r="C362" t="str">
        <f t="shared" si="87"/>
        <v>10200</v>
      </c>
      <c r="D362" t="str">
        <f t="shared" si="88"/>
        <v>5620</v>
      </c>
      <c r="E362" t="str">
        <f t="shared" si="89"/>
        <v>094OMS</v>
      </c>
      <c r="F362" t="str">
        <f>""</f>
        <v/>
      </c>
      <c r="G362" t="str">
        <f>""</f>
        <v/>
      </c>
      <c r="H362" s="1">
        <v>41023</v>
      </c>
      <c r="I362" t="str">
        <f>"196025"</f>
        <v>196025</v>
      </c>
      <c r="J362" t="str">
        <f>""</f>
        <v/>
      </c>
      <c r="K362" t="str">
        <f>"INNI"</f>
        <v>INNI</v>
      </c>
      <c r="L362" t="s">
        <v>1774</v>
      </c>
      <c r="M362">
        <v>475</v>
      </c>
    </row>
    <row r="363" spans="1:13" x14ac:dyDescent="0.25">
      <c r="A363" t="str">
        <f t="shared" si="90"/>
        <v>E191</v>
      </c>
      <c r="B363">
        <v>1</v>
      </c>
      <c r="C363" t="str">
        <f>"43000"</f>
        <v>43000</v>
      </c>
      <c r="D363" t="str">
        <f>"5740"</f>
        <v>5740</v>
      </c>
      <c r="E363" t="str">
        <f>"850LOS"</f>
        <v>850LOS</v>
      </c>
      <c r="F363" t="str">
        <f>"PKOLOT"</f>
        <v>PKOLOT</v>
      </c>
      <c r="G363" t="str">
        <f>""</f>
        <v/>
      </c>
      <c r="H363" s="1">
        <v>40785</v>
      </c>
      <c r="I363" t="str">
        <f>"PCD00498"</f>
        <v>PCD00498</v>
      </c>
      <c r="J363" t="str">
        <f>"150933"</f>
        <v>150933</v>
      </c>
      <c r="K363" t="str">
        <f t="shared" ref="K363:K370" si="91">"AS89"</f>
        <v>AS89</v>
      </c>
      <c r="L363" t="s">
        <v>1773</v>
      </c>
      <c r="M363">
        <v>100</v>
      </c>
    </row>
    <row r="364" spans="1:13" x14ac:dyDescent="0.25">
      <c r="A364" t="str">
        <f>"E192"</f>
        <v>E192</v>
      </c>
      <c r="B364">
        <v>1</v>
      </c>
      <c r="C364" t="str">
        <f t="shared" ref="C364:C379" si="92">"10200"</f>
        <v>10200</v>
      </c>
      <c r="D364" t="str">
        <f t="shared" ref="D364:D379" si="93">"5620"</f>
        <v>5620</v>
      </c>
      <c r="E364" t="str">
        <f t="shared" ref="E364:E379" si="94">"094OMS"</f>
        <v>094OMS</v>
      </c>
      <c r="F364" t="str">
        <f>""</f>
        <v/>
      </c>
      <c r="G364" t="str">
        <f>""</f>
        <v/>
      </c>
      <c r="H364" s="1">
        <v>40956</v>
      </c>
      <c r="I364" t="str">
        <f>"PCD00518"</f>
        <v>PCD00518</v>
      </c>
      <c r="J364" t="str">
        <f>"160812"</f>
        <v>160812</v>
      </c>
      <c r="K364" t="str">
        <f t="shared" si="91"/>
        <v>AS89</v>
      </c>
      <c r="L364" t="s">
        <v>1772</v>
      </c>
      <c r="M364">
        <v>180</v>
      </c>
    </row>
    <row r="365" spans="1:13" x14ac:dyDescent="0.25">
      <c r="A365" t="str">
        <f>"E193"</f>
        <v>E193</v>
      </c>
      <c r="B365">
        <v>1</v>
      </c>
      <c r="C365" t="str">
        <f t="shared" si="92"/>
        <v>10200</v>
      </c>
      <c r="D365" t="str">
        <f t="shared" si="93"/>
        <v>5620</v>
      </c>
      <c r="E365" t="str">
        <f t="shared" si="94"/>
        <v>094OMS</v>
      </c>
      <c r="F365" t="str">
        <f>""</f>
        <v/>
      </c>
      <c r="G365" t="str">
        <f>""</f>
        <v/>
      </c>
      <c r="H365" s="1">
        <v>40911</v>
      </c>
      <c r="I365" t="str">
        <f>"PCD00513"</f>
        <v>PCD00513</v>
      </c>
      <c r="J365" t="str">
        <f>"157573"</f>
        <v>157573</v>
      </c>
      <c r="K365" t="str">
        <f t="shared" si="91"/>
        <v>AS89</v>
      </c>
      <c r="L365" t="s">
        <v>1771</v>
      </c>
      <c r="M365">
        <v>300</v>
      </c>
    </row>
    <row r="366" spans="1:13" x14ac:dyDescent="0.25">
      <c r="A366" t="str">
        <f>"E193"</f>
        <v>E193</v>
      </c>
      <c r="B366">
        <v>1</v>
      </c>
      <c r="C366" t="str">
        <f t="shared" si="92"/>
        <v>10200</v>
      </c>
      <c r="D366" t="str">
        <f t="shared" si="93"/>
        <v>5620</v>
      </c>
      <c r="E366" t="str">
        <f t="shared" si="94"/>
        <v>094OMS</v>
      </c>
      <c r="F366" t="str">
        <f>""</f>
        <v/>
      </c>
      <c r="G366" t="str">
        <f>""</f>
        <v/>
      </c>
      <c r="H366" s="1">
        <v>40968</v>
      </c>
      <c r="I366" t="str">
        <f>"PCD00522"</f>
        <v>PCD00522</v>
      </c>
      <c r="J366" t="str">
        <f>"161233"</f>
        <v>161233</v>
      </c>
      <c r="K366" t="str">
        <f t="shared" si="91"/>
        <v>AS89</v>
      </c>
      <c r="L366" t="s">
        <v>1770</v>
      </c>
      <c r="M366">
        <v>590</v>
      </c>
    </row>
    <row r="367" spans="1:13" x14ac:dyDescent="0.25">
      <c r="A367" t="str">
        <f>"E193"</f>
        <v>E193</v>
      </c>
      <c r="B367">
        <v>1</v>
      </c>
      <c r="C367" t="str">
        <f t="shared" si="92"/>
        <v>10200</v>
      </c>
      <c r="D367" t="str">
        <f t="shared" si="93"/>
        <v>5620</v>
      </c>
      <c r="E367" t="str">
        <f t="shared" si="94"/>
        <v>094OMS</v>
      </c>
      <c r="F367" t="str">
        <f>""</f>
        <v/>
      </c>
      <c r="G367" t="str">
        <f>""</f>
        <v/>
      </c>
      <c r="H367" s="1">
        <v>41009</v>
      </c>
      <c r="I367" t="str">
        <f>"PCD00527"</f>
        <v>PCD00527</v>
      </c>
      <c r="J367" t="str">
        <f>"165285"</f>
        <v>165285</v>
      </c>
      <c r="K367" t="str">
        <f t="shared" si="91"/>
        <v>AS89</v>
      </c>
      <c r="L367" t="s">
        <v>1769</v>
      </c>
      <c r="M367">
        <v>225</v>
      </c>
    </row>
    <row r="368" spans="1:13" x14ac:dyDescent="0.25">
      <c r="A368" t="str">
        <f>"E193"</f>
        <v>E193</v>
      </c>
      <c r="B368">
        <v>1</v>
      </c>
      <c r="C368" t="str">
        <f t="shared" si="92"/>
        <v>10200</v>
      </c>
      <c r="D368" t="str">
        <f t="shared" si="93"/>
        <v>5620</v>
      </c>
      <c r="E368" t="str">
        <f t="shared" si="94"/>
        <v>094OMS</v>
      </c>
      <c r="F368" t="str">
        <f>""</f>
        <v/>
      </c>
      <c r="G368" t="str">
        <f>""</f>
        <v/>
      </c>
      <c r="H368" s="1">
        <v>41090</v>
      </c>
      <c r="I368" t="str">
        <f>"PCD00540"</f>
        <v>PCD00540</v>
      </c>
      <c r="J368" t="str">
        <f>"170691"</f>
        <v>170691</v>
      </c>
      <c r="K368" t="str">
        <f t="shared" si="91"/>
        <v>AS89</v>
      </c>
      <c r="L368" t="s">
        <v>1768</v>
      </c>
      <c r="M368">
        <v>300</v>
      </c>
    </row>
    <row r="369" spans="1:13" x14ac:dyDescent="0.25">
      <c r="A369" t="str">
        <f>"E194"</f>
        <v>E194</v>
      </c>
      <c r="B369">
        <v>1</v>
      </c>
      <c r="C369" t="str">
        <f t="shared" si="92"/>
        <v>10200</v>
      </c>
      <c r="D369" t="str">
        <f t="shared" si="93"/>
        <v>5620</v>
      </c>
      <c r="E369" t="str">
        <f t="shared" si="94"/>
        <v>094OMS</v>
      </c>
      <c r="F369" t="str">
        <f>""</f>
        <v/>
      </c>
      <c r="G369" t="str">
        <f>""</f>
        <v/>
      </c>
      <c r="H369" s="1">
        <v>40785</v>
      </c>
      <c r="I369" t="str">
        <f>"PCD00498"</f>
        <v>PCD00498</v>
      </c>
      <c r="J369" t="str">
        <f>"149589"</f>
        <v>149589</v>
      </c>
      <c r="K369" t="str">
        <f t="shared" si="91"/>
        <v>AS89</v>
      </c>
      <c r="L369" t="s">
        <v>1767</v>
      </c>
      <c r="M369">
        <v>530</v>
      </c>
    </row>
    <row r="370" spans="1:13" x14ac:dyDescent="0.25">
      <c r="A370" t="str">
        <f t="shared" ref="A370:A385" si="95">"E210"</f>
        <v>E210</v>
      </c>
      <c r="B370">
        <v>1</v>
      </c>
      <c r="C370" t="str">
        <f t="shared" si="92"/>
        <v>10200</v>
      </c>
      <c r="D370" t="str">
        <f t="shared" si="93"/>
        <v>5620</v>
      </c>
      <c r="E370" t="str">
        <f t="shared" si="94"/>
        <v>094OMS</v>
      </c>
      <c r="F370" t="str">
        <f>""</f>
        <v/>
      </c>
      <c r="G370" t="str">
        <f>""</f>
        <v/>
      </c>
      <c r="H370" s="1">
        <v>40785</v>
      </c>
      <c r="I370" t="str">
        <f>"PCD00498"</f>
        <v>PCD00498</v>
      </c>
      <c r="J370" t="str">
        <f>"149588"</f>
        <v>149588</v>
      </c>
      <c r="K370" t="str">
        <f t="shared" si="91"/>
        <v>AS89</v>
      </c>
      <c r="L370" t="s">
        <v>1766</v>
      </c>
      <c r="M370">
        <v>239.14</v>
      </c>
    </row>
    <row r="371" spans="1:13" x14ac:dyDescent="0.25">
      <c r="A371" t="str">
        <f t="shared" si="95"/>
        <v>E210</v>
      </c>
      <c r="B371">
        <v>1</v>
      </c>
      <c r="C371" t="str">
        <f t="shared" si="92"/>
        <v>10200</v>
      </c>
      <c r="D371" t="str">
        <f t="shared" si="93"/>
        <v>5620</v>
      </c>
      <c r="E371" t="str">
        <f t="shared" si="94"/>
        <v>094OMS</v>
      </c>
      <c r="F371" t="str">
        <f>""</f>
        <v/>
      </c>
      <c r="G371" t="str">
        <f>""</f>
        <v/>
      </c>
      <c r="H371" s="1">
        <v>40847</v>
      </c>
      <c r="I371" t="str">
        <f>"188734"</f>
        <v>188734</v>
      </c>
      <c r="J371" t="str">
        <f>""</f>
        <v/>
      </c>
      <c r="K371" t="str">
        <f>"INNI"</f>
        <v>INNI</v>
      </c>
      <c r="L371" t="s">
        <v>7</v>
      </c>
      <c r="M371">
        <v>340</v>
      </c>
    </row>
    <row r="372" spans="1:13" x14ac:dyDescent="0.25">
      <c r="A372" t="str">
        <f t="shared" si="95"/>
        <v>E210</v>
      </c>
      <c r="B372">
        <v>1</v>
      </c>
      <c r="C372" t="str">
        <f t="shared" si="92"/>
        <v>10200</v>
      </c>
      <c r="D372" t="str">
        <f t="shared" si="93"/>
        <v>5620</v>
      </c>
      <c r="E372" t="str">
        <f t="shared" si="94"/>
        <v>094OMS</v>
      </c>
      <c r="F372" t="str">
        <f>""</f>
        <v/>
      </c>
      <c r="G372" t="str">
        <f>""</f>
        <v/>
      </c>
      <c r="H372" s="1">
        <v>41019</v>
      </c>
      <c r="I372" t="str">
        <f>"196026"</f>
        <v>196026</v>
      </c>
      <c r="J372" t="str">
        <f>""</f>
        <v/>
      </c>
      <c r="K372" t="str">
        <f>"INNI"</f>
        <v>INNI</v>
      </c>
      <c r="L372" t="s">
        <v>4</v>
      </c>
      <c r="M372">
        <v>175</v>
      </c>
    </row>
    <row r="373" spans="1:13" x14ac:dyDescent="0.25">
      <c r="A373" t="str">
        <f t="shared" si="95"/>
        <v>E210</v>
      </c>
      <c r="B373">
        <v>1</v>
      </c>
      <c r="C373" t="str">
        <f t="shared" si="92"/>
        <v>10200</v>
      </c>
      <c r="D373" t="str">
        <f t="shared" si="93"/>
        <v>5620</v>
      </c>
      <c r="E373" t="str">
        <f t="shared" si="94"/>
        <v>094OMS</v>
      </c>
      <c r="F373" t="str">
        <f>""</f>
        <v/>
      </c>
      <c r="G373" t="str">
        <f>""</f>
        <v/>
      </c>
      <c r="H373" s="1">
        <v>41044</v>
      </c>
      <c r="I373" t="str">
        <f>"154333A"</f>
        <v>154333A</v>
      </c>
      <c r="J373" t="str">
        <f>"F188741"</f>
        <v>F188741</v>
      </c>
      <c r="K373" t="str">
        <f>"INEI"</f>
        <v>INEI</v>
      </c>
      <c r="L373" t="s">
        <v>1208</v>
      </c>
      <c r="M373" s="2">
        <v>1902.25</v>
      </c>
    </row>
    <row r="374" spans="1:13" x14ac:dyDescent="0.25">
      <c r="A374" t="str">
        <f t="shared" si="95"/>
        <v>E210</v>
      </c>
      <c r="B374">
        <v>1</v>
      </c>
      <c r="C374" t="str">
        <f t="shared" si="92"/>
        <v>10200</v>
      </c>
      <c r="D374" t="str">
        <f t="shared" si="93"/>
        <v>5620</v>
      </c>
      <c r="E374" t="str">
        <f t="shared" si="94"/>
        <v>094OMS</v>
      </c>
      <c r="F374" t="str">
        <f>""</f>
        <v/>
      </c>
      <c r="G374" t="str">
        <f>""</f>
        <v/>
      </c>
      <c r="H374" s="1">
        <v>41044</v>
      </c>
      <c r="I374" t="str">
        <f>"154543"</f>
        <v>154543</v>
      </c>
      <c r="J374" t="str">
        <f>"F188741"</f>
        <v>F188741</v>
      </c>
      <c r="K374" t="str">
        <f>"INEI"</f>
        <v>INEI</v>
      </c>
      <c r="L374" t="s">
        <v>1208</v>
      </c>
      <c r="M374">
        <v>695.68</v>
      </c>
    </row>
    <row r="375" spans="1:13" x14ac:dyDescent="0.25">
      <c r="A375" t="str">
        <f t="shared" si="95"/>
        <v>E210</v>
      </c>
      <c r="B375">
        <v>1</v>
      </c>
      <c r="C375" t="str">
        <f t="shared" si="92"/>
        <v>10200</v>
      </c>
      <c r="D375" t="str">
        <f t="shared" si="93"/>
        <v>5620</v>
      </c>
      <c r="E375" t="str">
        <f t="shared" si="94"/>
        <v>094OMS</v>
      </c>
      <c r="F375" t="str">
        <f>""</f>
        <v/>
      </c>
      <c r="G375" t="str">
        <f>""</f>
        <v/>
      </c>
      <c r="H375" s="1">
        <v>41072</v>
      </c>
      <c r="I375" t="str">
        <f>"J0001658"</f>
        <v>J0001658</v>
      </c>
      <c r="J375" t="str">
        <f>""</f>
        <v/>
      </c>
      <c r="K375" t="str">
        <f>"J079"</f>
        <v>J079</v>
      </c>
      <c r="L375" t="s">
        <v>1765</v>
      </c>
      <c r="M375" s="2">
        <v>1800</v>
      </c>
    </row>
    <row r="376" spans="1:13" x14ac:dyDescent="0.25">
      <c r="A376" t="str">
        <f t="shared" si="95"/>
        <v>E210</v>
      </c>
      <c r="B376">
        <v>1</v>
      </c>
      <c r="C376" t="str">
        <f t="shared" si="92"/>
        <v>10200</v>
      </c>
      <c r="D376" t="str">
        <f t="shared" si="93"/>
        <v>5620</v>
      </c>
      <c r="E376" t="str">
        <f t="shared" si="94"/>
        <v>094OMS</v>
      </c>
      <c r="F376" t="str">
        <f>""</f>
        <v/>
      </c>
      <c r="G376" t="str">
        <f>""</f>
        <v/>
      </c>
      <c r="H376" s="1">
        <v>41074</v>
      </c>
      <c r="I376" t="str">
        <f>"196033"</f>
        <v>196033</v>
      </c>
      <c r="J376" t="str">
        <f>""</f>
        <v/>
      </c>
      <c r="K376" t="str">
        <f>"INNI"</f>
        <v>INNI</v>
      </c>
      <c r="L376" t="s">
        <v>7</v>
      </c>
      <c r="M376">
        <v>340</v>
      </c>
    </row>
    <row r="377" spans="1:13" x14ac:dyDescent="0.25">
      <c r="A377" t="str">
        <f t="shared" si="95"/>
        <v>E210</v>
      </c>
      <c r="B377">
        <v>1</v>
      </c>
      <c r="C377" t="str">
        <f t="shared" si="92"/>
        <v>10200</v>
      </c>
      <c r="D377" t="str">
        <f t="shared" si="93"/>
        <v>5620</v>
      </c>
      <c r="E377" t="str">
        <f t="shared" si="94"/>
        <v>094OMS</v>
      </c>
      <c r="F377" t="str">
        <f>""</f>
        <v/>
      </c>
      <c r="G377" t="str">
        <f>""</f>
        <v/>
      </c>
      <c r="H377" s="1">
        <v>41074</v>
      </c>
      <c r="I377" t="str">
        <f>"196033"</f>
        <v>196033</v>
      </c>
      <c r="J377" t="str">
        <f>""</f>
        <v/>
      </c>
      <c r="K377" t="str">
        <f>"INNI"</f>
        <v>INNI</v>
      </c>
      <c r="L377" t="s">
        <v>7</v>
      </c>
      <c r="M377">
        <v>340</v>
      </c>
    </row>
    <row r="378" spans="1:13" x14ac:dyDescent="0.25">
      <c r="A378" t="str">
        <f t="shared" si="95"/>
        <v>E210</v>
      </c>
      <c r="B378">
        <v>1</v>
      </c>
      <c r="C378" t="str">
        <f t="shared" si="92"/>
        <v>10200</v>
      </c>
      <c r="D378" t="str">
        <f t="shared" si="93"/>
        <v>5620</v>
      </c>
      <c r="E378" t="str">
        <f t="shared" si="94"/>
        <v>094OMS</v>
      </c>
      <c r="F378" t="str">
        <f>""</f>
        <v/>
      </c>
      <c r="G378" t="str">
        <f>""</f>
        <v/>
      </c>
      <c r="H378" s="1">
        <v>41079</v>
      </c>
      <c r="I378" t="str">
        <f>"154762"</f>
        <v>154762</v>
      </c>
      <c r="J378" t="str">
        <f>"F188741"</f>
        <v>F188741</v>
      </c>
      <c r="K378" t="str">
        <f>"INEI"</f>
        <v>INEI</v>
      </c>
      <c r="L378" t="s">
        <v>1208</v>
      </c>
      <c r="M378" s="2">
        <v>2347.92</v>
      </c>
    </row>
    <row r="379" spans="1:13" x14ac:dyDescent="0.25">
      <c r="A379" t="str">
        <f t="shared" si="95"/>
        <v>E210</v>
      </c>
      <c r="B379">
        <v>1</v>
      </c>
      <c r="C379" t="str">
        <f t="shared" si="92"/>
        <v>10200</v>
      </c>
      <c r="D379" t="str">
        <f t="shared" si="93"/>
        <v>5620</v>
      </c>
      <c r="E379" t="str">
        <f t="shared" si="94"/>
        <v>094OMS</v>
      </c>
      <c r="F379" t="str">
        <f>""</f>
        <v/>
      </c>
      <c r="G379" t="str">
        <f>""</f>
        <v/>
      </c>
      <c r="H379" s="1">
        <v>41090</v>
      </c>
      <c r="I379" t="str">
        <f>"44173"</f>
        <v>44173</v>
      </c>
      <c r="J379" t="str">
        <f>"F188741"</f>
        <v>F188741</v>
      </c>
      <c r="K379" t="str">
        <f>"INEI"</f>
        <v>INEI</v>
      </c>
      <c r="L379" t="s">
        <v>1208</v>
      </c>
      <c r="M379">
        <v>647.85</v>
      </c>
    </row>
    <row r="380" spans="1:13" x14ac:dyDescent="0.25">
      <c r="A380" t="str">
        <f t="shared" si="95"/>
        <v>E210</v>
      </c>
      <c r="B380">
        <v>1</v>
      </c>
      <c r="C380" t="str">
        <f>"43000"</f>
        <v>43000</v>
      </c>
      <c r="D380" t="str">
        <f t="shared" ref="D380:D397" si="96">"5740"</f>
        <v>5740</v>
      </c>
      <c r="E380" t="str">
        <f t="shared" ref="E380:E385" si="97">"850LOS"</f>
        <v>850LOS</v>
      </c>
      <c r="F380" t="str">
        <f>""</f>
        <v/>
      </c>
      <c r="G380" t="str">
        <f>""</f>
        <v/>
      </c>
      <c r="H380" s="1">
        <v>40847</v>
      </c>
      <c r="I380" t="str">
        <f>"188733"</f>
        <v>188733</v>
      </c>
      <c r="J380" t="str">
        <f>""</f>
        <v/>
      </c>
      <c r="K380" t="str">
        <f>"INNI"</f>
        <v>INNI</v>
      </c>
      <c r="L380" t="s">
        <v>92</v>
      </c>
      <c r="M380" s="2">
        <v>17250</v>
      </c>
    </row>
    <row r="381" spans="1:13" x14ac:dyDescent="0.25">
      <c r="A381" t="str">
        <f t="shared" si="95"/>
        <v>E210</v>
      </c>
      <c r="B381">
        <v>1</v>
      </c>
      <c r="C381" t="str">
        <f>"43000"</f>
        <v>43000</v>
      </c>
      <c r="D381" t="str">
        <f t="shared" si="96"/>
        <v>5740</v>
      </c>
      <c r="E381" t="str">
        <f t="shared" si="97"/>
        <v>850LOS</v>
      </c>
      <c r="F381" t="str">
        <f>""</f>
        <v/>
      </c>
      <c r="G381" t="str">
        <f>""</f>
        <v/>
      </c>
      <c r="H381" s="1">
        <v>40861</v>
      </c>
      <c r="I381" t="str">
        <f>"G1205068"</f>
        <v>G1205068</v>
      </c>
      <c r="J381" t="str">
        <f>""</f>
        <v/>
      </c>
      <c r="K381" t="str">
        <f>"J079"</f>
        <v>J079</v>
      </c>
      <c r="L381" t="s">
        <v>1764</v>
      </c>
      <c r="M381" s="2">
        <v>5625</v>
      </c>
    </row>
    <row r="382" spans="1:13" x14ac:dyDescent="0.25">
      <c r="A382" t="str">
        <f t="shared" si="95"/>
        <v>E210</v>
      </c>
      <c r="B382">
        <v>1</v>
      </c>
      <c r="C382" t="str">
        <f>"43000"</f>
        <v>43000</v>
      </c>
      <c r="D382" t="str">
        <f t="shared" si="96"/>
        <v>5740</v>
      </c>
      <c r="E382" t="str">
        <f t="shared" si="97"/>
        <v>850LOS</v>
      </c>
      <c r="F382" t="str">
        <f>""</f>
        <v/>
      </c>
      <c r="G382" t="str">
        <f>""</f>
        <v/>
      </c>
      <c r="H382" s="1">
        <v>40940</v>
      </c>
      <c r="I382" t="str">
        <f>"P002061"</f>
        <v>P002061</v>
      </c>
      <c r="J382" t="str">
        <f>"F188728"</f>
        <v>F188728</v>
      </c>
      <c r="K382" t="str">
        <f>"INEI"</f>
        <v>INEI</v>
      </c>
      <c r="L382" t="s">
        <v>229</v>
      </c>
      <c r="M382" s="2">
        <v>2285</v>
      </c>
    </row>
    <row r="383" spans="1:13" x14ac:dyDescent="0.25">
      <c r="A383" t="str">
        <f t="shared" si="95"/>
        <v>E210</v>
      </c>
      <c r="B383">
        <v>1</v>
      </c>
      <c r="C383" t="str">
        <f>"43003"</f>
        <v>43003</v>
      </c>
      <c r="D383" t="str">
        <f t="shared" si="96"/>
        <v>5740</v>
      </c>
      <c r="E383" t="str">
        <f t="shared" si="97"/>
        <v>850LOS</v>
      </c>
      <c r="F383" t="str">
        <f>""</f>
        <v/>
      </c>
      <c r="G383" t="str">
        <f>""</f>
        <v/>
      </c>
      <c r="H383" s="1">
        <v>41061</v>
      </c>
      <c r="I383" t="str">
        <f>"161686"</f>
        <v>161686</v>
      </c>
      <c r="J383" t="str">
        <f>"N196028"</f>
        <v>N196028</v>
      </c>
      <c r="K383" t="str">
        <f>"INEI"</f>
        <v>INEI</v>
      </c>
      <c r="L383" t="s">
        <v>1189</v>
      </c>
      <c r="M383" s="2">
        <v>13152.7</v>
      </c>
    </row>
    <row r="384" spans="1:13" x14ac:dyDescent="0.25">
      <c r="A384" t="str">
        <f t="shared" si="95"/>
        <v>E210</v>
      </c>
      <c r="B384">
        <v>1</v>
      </c>
      <c r="C384" t="str">
        <f>"43003"</f>
        <v>43003</v>
      </c>
      <c r="D384" t="str">
        <f t="shared" si="96"/>
        <v>5740</v>
      </c>
      <c r="E384" t="str">
        <f t="shared" si="97"/>
        <v>850LOS</v>
      </c>
      <c r="F384" t="str">
        <f>""</f>
        <v/>
      </c>
      <c r="G384" t="str">
        <f>""</f>
        <v/>
      </c>
      <c r="H384" s="1">
        <v>41061</v>
      </c>
      <c r="I384" t="str">
        <f>"161686"</f>
        <v>161686</v>
      </c>
      <c r="J384" t="str">
        <f>"N196028"</f>
        <v>N196028</v>
      </c>
      <c r="K384" t="str">
        <f>"INEI"</f>
        <v>INEI</v>
      </c>
      <c r="L384" t="s">
        <v>1189</v>
      </c>
      <c r="M384" s="2">
        <v>5978.5</v>
      </c>
    </row>
    <row r="385" spans="1:13" x14ac:dyDescent="0.25">
      <c r="A385" t="str">
        <f t="shared" si="95"/>
        <v>E210</v>
      </c>
      <c r="B385">
        <v>1</v>
      </c>
      <c r="C385" t="str">
        <f>"43007"</f>
        <v>43007</v>
      </c>
      <c r="D385" t="str">
        <f t="shared" si="96"/>
        <v>5740</v>
      </c>
      <c r="E385" t="str">
        <f t="shared" si="97"/>
        <v>850LOS</v>
      </c>
      <c r="F385" t="str">
        <f>""</f>
        <v/>
      </c>
      <c r="G385" t="str">
        <f>""</f>
        <v/>
      </c>
      <c r="H385" s="1">
        <v>40826</v>
      </c>
      <c r="I385" t="str">
        <f>"G1204047"</f>
        <v>G1204047</v>
      </c>
      <c r="J385" t="str">
        <f>""</f>
        <v/>
      </c>
      <c r="K385" t="str">
        <f>"J096"</f>
        <v>J096</v>
      </c>
      <c r="L385" t="s">
        <v>1763</v>
      </c>
      <c r="M385" s="2">
        <v>1355.51</v>
      </c>
    </row>
    <row r="386" spans="1:13" x14ac:dyDescent="0.25">
      <c r="A386" t="str">
        <f t="shared" ref="A386:A397" si="98">"E213"</f>
        <v>E213</v>
      </c>
      <c r="B386">
        <v>1</v>
      </c>
      <c r="C386" t="str">
        <f t="shared" ref="C386:C397" si="99">"43000"</f>
        <v>43000</v>
      </c>
      <c r="D386" t="str">
        <f t="shared" si="96"/>
        <v>5740</v>
      </c>
      <c r="E386" t="str">
        <f t="shared" ref="E386:E397" si="100">"850PKE"</f>
        <v>850PKE</v>
      </c>
      <c r="F386" t="str">
        <f>""</f>
        <v/>
      </c>
      <c r="G386" t="str">
        <f>""</f>
        <v/>
      </c>
      <c r="H386" s="1">
        <v>40743</v>
      </c>
      <c r="I386" t="str">
        <f>"0003823A"</f>
        <v>0003823A</v>
      </c>
      <c r="J386" t="str">
        <f t="shared" ref="J386:J397" si="101">"B125380"</f>
        <v>B125380</v>
      </c>
      <c r="K386" t="str">
        <f t="shared" ref="K386:K397" si="102">"INNI"</f>
        <v>INNI</v>
      </c>
      <c r="L386" t="s">
        <v>225</v>
      </c>
      <c r="M386">
        <v>127.15</v>
      </c>
    </row>
    <row r="387" spans="1:13" x14ac:dyDescent="0.25">
      <c r="A387" t="str">
        <f t="shared" si="98"/>
        <v>E213</v>
      </c>
      <c r="B387">
        <v>1</v>
      </c>
      <c r="C387" t="str">
        <f t="shared" si="99"/>
        <v>43000</v>
      </c>
      <c r="D387" t="str">
        <f t="shared" si="96"/>
        <v>5740</v>
      </c>
      <c r="E387" t="str">
        <f t="shared" si="100"/>
        <v>850PKE</v>
      </c>
      <c r="F387" t="str">
        <f>""</f>
        <v/>
      </c>
      <c r="G387" t="str">
        <f>""</f>
        <v/>
      </c>
      <c r="H387" s="1">
        <v>40760</v>
      </c>
      <c r="I387" t="str">
        <f>"00003945"</f>
        <v>00003945</v>
      </c>
      <c r="J387" t="str">
        <f t="shared" si="101"/>
        <v>B125380</v>
      </c>
      <c r="K387" t="str">
        <f t="shared" si="102"/>
        <v>INNI</v>
      </c>
      <c r="L387" t="s">
        <v>225</v>
      </c>
      <c r="M387">
        <v>127.15</v>
      </c>
    </row>
    <row r="388" spans="1:13" x14ac:dyDescent="0.25">
      <c r="A388" t="str">
        <f t="shared" si="98"/>
        <v>E213</v>
      </c>
      <c r="B388">
        <v>1</v>
      </c>
      <c r="C388" t="str">
        <f t="shared" si="99"/>
        <v>43000</v>
      </c>
      <c r="D388" t="str">
        <f t="shared" si="96"/>
        <v>5740</v>
      </c>
      <c r="E388" t="str">
        <f t="shared" si="100"/>
        <v>850PKE</v>
      </c>
      <c r="F388" t="str">
        <f>""</f>
        <v/>
      </c>
      <c r="G388" t="str">
        <f>""</f>
        <v/>
      </c>
      <c r="H388" s="1">
        <v>40799</v>
      </c>
      <c r="I388" t="str">
        <f>"0004113A"</f>
        <v>0004113A</v>
      </c>
      <c r="J388" t="str">
        <f t="shared" si="101"/>
        <v>B125380</v>
      </c>
      <c r="K388" t="str">
        <f t="shared" si="102"/>
        <v>INNI</v>
      </c>
      <c r="L388" t="s">
        <v>225</v>
      </c>
      <c r="M388">
        <v>127.15</v>
      </c>
    </row>
    <row r="389" spans="1:13" x14ac:dyDescent="0.25">
      <c r="A389" t="str">
        <f t="shared" si="98"/>
        <v>E213</v>
      </c>
      <c r="B389">
        <v>1</v>
      </c>
      <c r="C389" t="str">
        <f t="shared" si="99"/>
        <v>43000</v>
      </c>
      <c r="D389" t="str">
        <f t="shared" si="96"/>
        <v>5740</v>
      </c>
      <c r="E389" t="str">
        <f t="shared" si="100"/>
        <v>850PKE</v>
      </c>
      <c r="F389" t="str">
        <f>""</f>
        <v/>
      </c>
      <c r="G389" t="str">
        <f>""</f>
        <v/>
      </c>
      <c r="H389" s="1">
        <v>40823</v>
      </c>
      <c r="I389" t="str">
        <f>"00004233"</f>
        <v>00004233</v>
      </c>
      <c r="J389" t="str">
        <f t="shared" si="101"/>
        <v>B125380</v>
      </c>
      <c r="K389" t="str">
        <f t="shared" si="102"/>
        <v>INNI</v>
      </c>
      <c r="L389" t="s">
        <v>225</v>
      </c>
      <c r="M389">
        <v>127.15</v>
      </c>
    </row>
    <row r="390" spans="1:13" x14ac:dyDescent="0.25">
      <c r="A390" t="str">
        <f t="shared" si="98"/>
        <v>E213</v>
      </c>
      <c r="B390">
        <v>1</v>
      </c>
      <c r="C390" t="str">
        <f t="shared" si="99"/>
        <v>43000</v>
      </c>
      <c r="D390" t="str">
        <f t="shared" si="96"/>
        <v>5740</v>
      </c>
      <c r="E390" t="str">
        <f t="shared" si="100"/>
        <v>850PKE</v>
      </c>
      <c r="F390" t="str">
        <f>""</f>
        <v/>
      </c>
      <c r="G390" t="str">
        <f>""</f>
        <v/>
      </c>
      <c r="H390" s="1">
        <v>40850</v>
      </c>
      <c r="I390" t="str">
        <f>"00004316"</f>
        <v>00004316</v>
      </c>
      <c r="J390" t="str">
        <f t="shared" si="101"/>
        <v>B125380</v>
      </c>
      <c r="K390" t="str">
        <f t="shared" si="102"/>
        <v>INNI</v>
      </c>
      <c r="L390" t="s">
        <v>225</v>
      </c>
      <c r="M390">
        <v>127.15</v>
      </c>
    </row>
    <row r="391" spans="1:13" x14ac:dyDescent="0.25">
      <c r="A391" t="str">
        <f t="shared" si="98"/>
        <v>E213</v>
      </c>
      <c r="B391">
        <v>1</v>
      </c>
      <c r="C391" t="str">
        <f t="shared" si="99"/>
        <v>43000</v>
      </c>
      <c r="D391" t="str">
        <f t="shared" si="96"/>
        <v>5740</v>
      </c>
      <c r="E391" t="str">
        <f t="shared" si="100"/>
        <v>850PKE</v>
      </c>
      <c r="F391" t="str">
        <f>""</f>
        <v/>
      </c>
      <c r="G391" t="str">
        <f>""</f>
        <v/>
      </c>
      <c r="H391" s="1">
        <v>40884</v>
      </c>
      <c r="I391" t="str">
        <f>"00004423"</f>
        <v>00004423</v>
      </c>
      <c r="J391" t="str">
        <f t="shared" si="101"/>
        <v>B125380</v>
      </c>
      <c r="K391" t="str">
        <f t="shared" si="102"/>
        <v>INNI</v>
      </c>
      <c r="L391" t="s">
        <v>225</v>
      </c>
      <c r="M391">
        <v>127.15</v>
      </c>
    </row>
    <row r="392" spans="1:13" x14ac:dyDescent="0.25">
      <c r="A392" t="str">
        <f t="shared" si="98"/>
        <v>E213</v>
      </c>
      <c r="B392">
        <v>1</v>
      </c>
      <c r="C392" t="str">
        <f t="shared" si="99"/>
        <v>43000</v>
      </c>
      <c r="D392" t="str">
        <f t="shared" si="96"/>
        <v>5740</v>
      </c>
      <c r="E392" t="str">
        <f t="shared" si="100"/>
        <v>850PKE</v>
      </c>
      <c r="F392" t="str">
        <f>""</f>
        <v/>
      </c>
      <c r="G392" t="str">
        <f>""</f>
        <v/>
      </c>
      <c r="H392" s="1">
        <v>40914</v>
      </c>
      <c r="I392" t="str">
        <f>"0004477A"</f>
        <v>0004477A</v>
      </c>
      <c r="J392" t="str">
        <f t="shared" si="101"/>
        <v>B125380</v>
      </c>
      <c r="K392" t="str">
        <f t="shared" si="102"/>
        <v>INNI</v>
      </c>
      <c r="L392" t="s">
        <v>225</v>
      </c>
      <c r="M392">
        <v>127.15</v>
      </c>
    </row>
    <row r="393" spans="1:13" x14ac:dyDescent="0.25">
      <c r="A393" t="str">
        <f t="shared" si="98"/>
        <v>E213</v>
      </c>
      <c r="B393">
        <v>1</v>
      </c>
      <c r="C393" t="str">
        <f t="shared" si="99"/>
        <v>43000</v>
      </c>
      <c r="D393" t="str">
        <f t="shared" si="96"/>
        <v>5740</v>
      </c>
      <c r="E393" t="str">
        <f t="shared" si="100"/>
        <v>850PKE</v>
      </c>
      <c r="F393" t="str">
        <f>""</f>
        <v/>
      </c>
      <c r="G393" t="str">
        <f>""</f>
        <v/>
      </c>
      <c r="H393" s="1">
        <v>40953</v>
      </c>
      <c r="I393" t="str">
        <f>"0004545A"</f>
        <v>0004545A</v>
      </c>
      <c r="J393" t="str">
        <f t="shared" si="101"/>
        <v>B125380</v>
      </c>
      <c r="K393" t="str">
        <f t="shared" si="102"/>
        <v>INNI</v>
      </c>
      <c r="L393" t="s">
        <v>225</v>
      </c>
      <c r="M393">
        <v>127.15</v>
      </c>
    </row>
    <row r="394" spans="1:13" x14ac:dyDescent="0.25">
      <c r="A394" t="str">
        <f t="shared" si="98"/>
        <v>E213</v>
      </c>
      <c r="B394">
        <v>1</v>
      </c>
      <c r="C394" t="str">
        <f t="shared" si="99"/>
        <v>43000</v>
      </c>
      <c r="D394" t="str">
        <f t="shared" si="96"/>
        <v>5740</v>
      </c>
      <c r="E394" t="str">
        <f t="shared" si="100"/>
        <v>850PKE</v>
      </c>
      <c r="F394" t="str">
        <f>""</f>
        <v/>
      </c>
      <c r="G394" t="str">
        <f>""</f>
        <v/>
      </c>
      <c r="H394" s="1">
        <v>40974</v>
      </c>
      <c r="I394" t="str">
        <f>"0004601A"</f>
        <v>0004601A</v>
      </c>
      <c r="J394" t="str">
        <f t="shared" si="101"/>
        <v>B125380</v>
      </c>
      <c r="K394" t="str">
        <f t="shared" si="102"/>
        <v>INNI</v>
      </c>
      <c r="L394" t="s">
        <v>225</v>
      </c>
      <c r="M394">
        <v>127.15</v>
      </c>
    </row>
    <row r="395" spans="1:13" x14ac:dyDescent="0.25">
      <c r="A395" t="str">
        <f t="shared" si="98"/>
        <v>E213</v>
      </c>
      <c r="B395">
        <v>1</v>
      </c>
      <c r="C395" t="str">
        <f t="shared" si="99"/>
        <v>43000</v>
      </c>
      <c r="D395" t="str">
        <f t="shared" si="96"/>
        <v>5740</v>
      </c>
      <c r="E395" t="str">
        <f t="shared" si="100"/>
        <v>850PKE</v>
      </c>
      <c r="F395" t="str">
        <f>""</f>
        <v/>
      </c>
      <c r="G395" t="str">
        <f>""</f>
        <v/>
      </c>
      <c r="H395" s="1">
        <v>41004</v>
      </c>
      <c r="I395" t="str">
        <f>"0004687A"</f>
        <v>0004687A</v>
      </c>
      <c r="J395" t="str">
        <f t="shared" si="101"/>
        <v>B125380</v>
      </c>
      <c r="K395" t="str">
        <f t="shared" si="102"/>
        <v>INNI</v>
      </c>
      <c r="L395" t="s">
        <v>225</v>
      </c>
      <c r="M395">
        <v>127.15</v>
      </c>
    </row>
    <row r="396" spans="1:13" x14ac:dyDescent="0.25">
      <c r="A396" t="str">
        <f t="shared" si="98"/>
        <v>E213</v>
      </c>
      <c r="B396">
        <v>1</v>
      </c>
      <c r="C396" t="str">
        <f t="shared" si="99"/>
        <v>43000</v>
      </c>
      <c r="D396" t="str">
        <f t="shared" si="96"/>
        <v>5740</v>
      </c>
      <c r="E396" t="str">
        <f t="shared" si="100"/>
        <v>850PKE</v>
      </c>
      <c r="F396" t="str">
        <f>""</f>
        <v/>
      </c>
      <c r="G396" t="str">
        <f>""</f>
        <v/>
      </c>
      <c r="H396" s="1">
        <v>41051</v>
      </c>
      <c r="I396" t="str">
        <f>"0004741A"</f>
        <v>0004741A</v>
      </c>
      <c r="J396" t="str">
        <f t="shared" si="101"/>
        <v>B125380</v>
      </c>
      <c r="K396" t="str">
        <f t="shared" si="102"/>
        <v>INNI</v>
      </c>
      <c r="L396" t="s">
        <v>225</v>
      </c>
      <c r="M396">
        <v>127.15</v>
      </c>
    </row>
    <row r="397" spans="1:13" x14ac:dyDescent="0.25">
      <c r="A397" t="str">
        <f t="shared" si="98"/>
        <v>E213</v>
      </c>
      <c r="B397">
        <v>1</v>
      </c>
      <c r="C397" t="str">
        <f t="shared" si="99"/>
        <v>43000</v>
      </c>
      <c r="D397" t="str">
        <f t="shared" si="96"/>
        <v>5740</v>
      </c>
      <c r="E397" t="str">
        <f t="shared" si="100"/>
        <v>850PKE</v>
      </c>
      <c r="F397" t="str">
        <f>""</f>
        <v/>
      </c>
      <c r="G397" t="str">
        <f>""</f>
        <v/>
      </c>
      <c r="H397" s="1">
        <v>41078</v>
      </c>
      <c r="I397" t="str">
        <f>"00004821"</f>
        <v>00004821</v>
      </c>
      <c r="J397" t="str">
        <f t="shared" si="101"/>
        <v>B125380</v>
      </c>
      <c r="K397" t="str">
        <f t="shared" si="102"/>
        <v>INNI</v>
      </c>
      <c r="L397" t="s">
        <v>225</v>
      </c>
      <c r="M397">
        <v>127.15</v>
      </c>
    </row>
    <row r="398" spans="1:13" x14ac:dyDescent="0.25">
      <c r="A398" t="str">
        <f t="shared" ref="A398:A424" si="103">"E216"</f>
        <v>E216</v>
      </c>
      <c r="B398">
        <v>1</v>
      </c>
      <c r="C398" t="str">
        <f>"10200"</f>
        <v>10200</v>
      </c>
      <c r="D398" t="str">
        <f>"5620"</f>
        <v>5620</v>
      </c>
      <c r="E398" t="str">
        <f>"094OMS"</f>
        <v>094OMS</v>
      </c>
      <c r="F398" t="str">
        <f>""</f>
        <v/>
      </c>
      <c r="G398" t="str">
        <f>""</f>
        <v/>
      </c>
      <c r="H398" s="1">
        <v>40877</v>
      </c>
      <c r="I398" t="str">
        <f>"010722"</f>
        <v>010722</v>
      </c>
      <c r="J398" t="str">
        <f>"N113831D"</f>
        <v>N113831D</v>
      </c>
      <c r="K398" t="str">
        <f>"INEI"</f>
        <v>INEI</v>
      </c>
      <c r="L398" t="s">
        <v>33</v>
      </c>
      <c r="M398" s="2">
        <v>1760.94</v>
      </c>
    </row>
    <row r="399" spans="1:13" x14ac:dyDescent="0.25">
      <c r="A399" t="str">
        <f t="shared" si="103"/>
        <v>E216</v>
      </c>
      <c r="B399">
        <v>1</v>
      </c>
      <c r="C399" t="str">
        <f>"10200"</f>
        <v>10200</v>
      </c>
      <c r="D399" t="str">
        <f>"5620"</f>
        <v>5620</v>
      </c>
      <c r="E399" t="str">
        <f>"094OMS"</f>
        <v>094OMS</v>
      </c>
      <c r="F399" t="str">
        <f>""</f>
        <v/>
      </c>
      <c r="G399" t="str">
        <f>""</f>
        <v/>
      </c>
      <c r="H399" s="1">
        <v>40918</v>
      </c>
      <c r="I399" t="str">
        <f>"MC007901"</f>
        <v>MC007901</v>
      </c>
      <c r="J399" t="str">
        <f>"N188745"</f>
        <v>N188745</v>
      </c>
      <c r="K399" t="str">
        <f>"INEI"</f>
        <v>INEI</v>
      </c>
      <c r="L399" t="s">
        <v>1231</v>
      </c>
      <c r="M399" s="2">
        <v>1169.07</v>
      </c>
    </row>
    <row r="400" spans="1:13" x14ac:dyDescent="0.25">
      <c r="A400" t="str">
        <f t="shared" si="103"/>
        <v>E216</v>
      </c>
      <c r="B400">
        <v>1</v>
      </c>
      <c r="C400" t="str">
        <f>"10200"</f>
        <v>10200</v>
      </c>
      <c r="D400" t="str">
        <f>"5620"</f>
        <v>5620</v>
      </c>
      <c r="E400" t="str">
        <f>"094OMS"</f>
        <v>094OMS</v>
      </c>
      <c r="F400" t="str">
        <f>""</f>
        <v/>
      </c>
      <c r="G400" t="str">
        <f>""</f>
        <v/>
      </c>
      <c r="H400" s="1">
        <v>40998</v>
      </c>
      <c r="I400" t="str">
        <f>"PCD00526"</f>
        <v>PCD00526</v>
      </c>
      <c r="J400" t="str">
        <f>"163569"</f>
        <v>163569</v>
      </c>
      <c r="K400" t="str">
        <f>"AS89"</f>
        <v>AS89</v>
      </c>
      <c r="L400" t="s">
        <v>1762</v>
      </c>
      <c r="M400">
        <v>856.92</v>
      </c>
    </row>
    <row r="401" spans="1:13" x14ac:dyDescent="0.25">
      <c r="A401" t="str">
        <f t="shared" si="103"/>
        <v>E216</v>
      </c>
      <c r="B401">
        <v>1</v>
      </c>
      <c r="C401" t="str">
        <f>"31040"</f>
        <v>31040</v>
      </c>
      <c r="D401" t="str">
        <f>"5620"</f>
        <v>5620</v>
      </c>
      <c r="E401" t="str">
        <f>"094OMS"</f>
        <v>094OMS</v>
      </c>
      <c r="F401" t="str">
        <f>""</f>
        <v/>
      </c>
      <c r="G401" t="str">
        <f>""</f>
        <v/>
      </c>
      <c r="H401" s="1">
        <v>40865</v>
      </c>
      <c r="I401" t="str">
        <f>"G1205085"</f>
        <v>G1205085</v>
      </c>
      <c r="J401" t="str">
        <f>"N124193D"</f>
        <v>N124193D</v>
      </c>
      <c r="K401" t="str">
        <f>"J096"</f>
        <v>J096</v>
      </c>
      <c r="L401" t="s">
        <v>1761</v>
      </c>
      <c r="M401">
        <v>250</v>
      </c>
    </row>
    <row r="402" spans="1:13" x14ac:dyDescent="0.25">
      <c r="A402" t="str">
        <f t="shared" si="103"/>
        <v>E216</v>
      </c>
      <c r="B402">
        <v>1</v>
      </c>
      <c r="C402" t="str">
        <f t="shared" ref="C402:C409" si="104">"43000"</f>
        <v>43000</v>
      </c>
      <c r="D402" t="str">
        <f t="shared" ref="D402:D449" si="105">"5740"</f>
        <v>5740</v>
      </c>
      <c r="E402" t="str">
        <f t="shared" ref="E402:E449" si="106">"850LOS"</f>
        <v>850LOS</v>
      </c>
      <c r="F402" t="str">
        <f>""</f>
        <v/>
      </c>
      <c r="G402" t="str">
        <f>""</f>
        <v/>
      </c>
      <c r="H402" s="1">
        <v>40740</v>
      </c>
      <c r="I402" t="str">
        <f>"F002191"</f>
        <v>F002191</v>
      </c>
      <c r="J402" t="str">
        <f>"N125348B"</f>
        <v>N125348B</v>
      </c>
      <c r="K402" t="str">
        <f>"INEI"</f>
        <v>INEI</v>
      </c>
      <c r="L402" t="s">
        <v>229</v>
      </c>
      <c r="M402" s="2">
        <v>34945.86</v>
      </c>
    </row>
    <row r="403" spans="1:13" x14ac:dyDescent="0.25">
      <c r="A403" t="str">
        <f t="shared" si="103"/>
        <v>E216</v>
      </c>
      <c r="B403">
        <v>1</v>
      </c>
      <c r="C403" t="str">
        <f t="shared" si="104"/>
        <v>43000</v>
      </c>
      <c r="D403" t="str">
        <f t="shared" si="105"/>
        <v>5740</v>
      </c>
      <c r="E403" t="str">
        <f t="shared" si="106"/>
        <v>850LOS</v>
      </c>
      <c r="F403" t="str">
        <f>""</f>
        <v/>
      </c>
      <c r="G403" t="str">
        <f>""</f>
        <v/>
      </c>
      <c r="H403" s="1">
        <v>40740</v>
      </c>
      <c r="I403" t="str">
        <f>"M001517"</f>
        <v>M001517</v>
      </c>
      <c r="J403" t="str">
        <f>"N125348B"</f>
        <v>N125348B</v>
      </c>
      <c r="K403" t="str">
        <f>"INEI"</f>
        <v>INEI</v>
      </c>
      <c r="L403" t="s">
        <v>229</v>
      </c>
      <c r="M403" s="2">
        <v>5602.4</v>
      </c>
    </row>
    <row r="404" spans="1:13" x14ac:dyDescent="0.25">
      <c r="A404" t="str">
        <f t="shared" si="103"/>
        <v>E216</v>
      </c>
      <c r="B404">
        <v>1</v>
      </c>
      <c r="C404" t="str">
        <f t="shared" si="104"/>
        <v>43000</v>
      </c>
      <c r="D404" t="str">
        <f t="shared" si="105"/>
        <v>5740</v>
      </c>
      <c r="E404" t="str">
        <f t="shared" si="106"/>
        <v>850LOS</v>
      </c>
      <c r="F404" t="str">
        <f>""</f>
        <v/>
      </c>
      <c r="G404" t="str">
        <f>""</f>
        <v/>
      </c>
      <c r="H404" s="1">
        <v>40856</v>
      </c>
      <c r="I404" t="str">
        <f>"F002678"</f>
        <v>F002678</v>
      </c>
      <c r="J404" t="str">
        <f>"N188727"</f>
        <v>N188727</v>
      </c>
      <c r="K404" t="str">
        <f>"INEI"</f>
        <v>INEI</v>
      </c>
      <c r="L404" t="s">
        <v>229</v>
      </c>
      <c r="M404" s="2">
        <v>4728.45</v>
      </c>
    </row>
    <row r="405" spans="1:13" x14ac:dyDescent="0.25">
      <c r="A405" t="str">
        <f t="shared" si="103"/>
        <v>E216</v>
      </c>
      <c r="B405">
        <v>1</v>
      </c>
      <c r="C405" t="str">
        <f t="shared" si="104"/>
        <v>43000</v>
      </c>
      <c r="D405" t="str">
        <f t="shared" si="105"/>
        <v>5740</v>
      </c>
      <c r="E405" t="str">
        <f t="shared" si="106"/>
        <v>850LOS</v>
      </c>
      <c r="F405" t="str">
        <f>""</f>
        <v/>
      </c>
      <c r="G405" t="str">
        <f>""</f>
        <v/>
      </c>
      <c r="H405" s="1">
        <v>40865</v>
      </c>
      <c r="I405" t="str">
        <f>"G1205085"</f>
        <v>G1205085</v>
      </c>
      <c r="J405" t="str">
        <f>"N124193D"</f>
        <v>N124193D</v>
      </c>
      <c r="K405" t="str">
        <f>"J096"</f>
        <v>J096</v>
      </c>
      <c r="L405" t="s">
        <v>1761</v>
      </c>
      <c r="M405">
        <v>250</v>
      </c>
    </row>
    <row r="406" spans="1:13" x14ac:dyDescent="0.25">
      <c r="A406" t="str">
        <f t="shared" si="103"/>
        <v>E216</v>
      </c>
      <c r="B406">
        <v>1</v>
      </c>
      <c r="C406" t="str">
        <f t="shared" si="104"/>
        <v>43000</v>
      </c>
      <c r="D406" t="str">
        <f t="shared" si="105"/>
        <v>5740</v>
      </c>
      <c r="E406" t="str">
        <f t="shared" si="106"/>
        <v>850LOS</v>
      </c>
      <c r="F406" t="str">
        <f>""</f>
        <v/>
      </c>
      <c r="G406" t="str">
        <f>""</f>
        <v/>
      </c>
      <c r="H406" s="1">
        <v>40960</v>
      </c>
      <c r="I406" t="str">
        <f>"P000657"</f>
        <v>P000657</v>
      </c>
      <c r="J406" t="str">
        <f>"N125348B"</f>
        <v>N125348B</v>
      </c>
      <c r="K406" t="str">
        <f t="shared" ref="K406:K424" si="107">"INEI"</f>
        <v>INEI</v>
      </c>
      <c r="L406" t="s">
        <v>229</v>
      </c>
      <c r="M406" s="2">
        <v>2250</v>
      </c>
    </row>
    <row r="407" spans="1:13" x14ac:dyDescent="0.25">
      <c r="A407" t="str">
        <f t="shared" si="103"/>
        <v>E216</v>
      </c>
      <c r="B407">
        <v>1</v>
      </c>
      <c r="C407" t="str">
        <f t="shared" si="104"/>
        <v>43000</v>
      </c>
      <c r="D407" t="str">
        <f t="shared" si="105"/>
        <v>5740</v>
      </c>
      <c r="E407" t="str">
        <f t="shared" si="106"/>
        <v>850LOS</v>
      </c>
      <c r="F407" t="str">
        <f>""</f>
        <v/>
      </c>
      <c r="G407" t="str">
        <f>""</f>
        <v/>
      </c>
      <c r="H407" s="1">
        <v>41086</v>
      </c>
      <c r="I407" t="str">
        <f>"F003036"</f>
        <v>F003036</v>
      </c>
      <c r="J407" t="str">
        <f>"N125348C"</f>
        <v>N125348C</v>
      </c>
      <c r="K407" t="str">
        <f t="shared" si="107"/>
        <v>INEI</v>
      </c>
      <c r="L407" t="s">
        <v>229</v>
      </c>
      <c r="M407" s="2">
        <v>36709.06</v>
      </c>
    </row>
    <row r="408" spans="1:13" x14ac:dyDescent="0.25">
      <c r="A408" t="str">
        <f t="shared" si="103"/>
        <v>E216</v>
      </c>
      <c r="B408">
        <v>1</v>
      </c>
      <c r="C408" t="str">
        <f t="shared" si="104"/>
        <v>43000</v>
      </c>
      <c r="D408" t="str">
        <f t="shared" si="105"/>
        <v>5740</v>
      </c>
      <c r="E408" t="str">
        <f t="shared" si="106"/>
        <v>850LOS</v>
      </c>
      <c r="F408" t="str">
        <f>""</f>
        <v/>
      </c>
      <c r="G408" t="str">
        <f>""</f>
        <v/>
      </c>
      <c r="H408" s="1">
        <v>41086</v>
      </c>
      <c r="I408" t="str">
        <f>"M002039"</f>
        <v>M002039</v>
      </c>
      <c r="J408" t="str">
        <f>"N125348C"</f>
        <v>N125348C</v>
      </c>
      <c r="K408" t="str">
        <f t="shared" si="107"/>
        <v>INEI</v>
      </c>
      <c r="L408" t="s">
        <v>229</v>
      </c>
      <c r="M408" s="2">
        <v>5604.83</v>
      </c>
    </row>
    <row r="409" spans="1:13" x14ac:dyDescent="0.25">
      <c r="A409" t="str">
        <f t="shared" si="103"/>
        <v>E216</v>
      </c>
      <c r="B409">
        <v>1</v>
      </c>
      <c r="C409" t="str">
        <f t="shared" si="104"/>
        <v>43000</v>
      </c>
      <c r="D409" t="str">
        <f t="shared" si="105"/>
        <v>5740</v>
      </c>
      <c r="E409" t="str">
        <f t="shared" si="106"/>
        <v>850LOS</v>
      </c>
      <c r="F409" t="str">
        <f>""</f>
        <v/>
      </c>
      <c r="G409" t="str">
        <f>""</f>
        <v/>
      </c>
      <c r="H409" s="1">
        <v>41090</v>
      </c>
      <c r="I409" t="str">
        <f>"P000657"</f>
        <v>P000657</v>
      </c>
      <c r="J409" t="str">
        <f>"N125348B"</f>
        <v>N125348B</v>
      </c>
      <c r="K409" t="str">
        <f t="shared" si="107"/>
        <v>INEI</v>
      </c>
      <c r="L409" t="s">
        <v>229</v>
      </c>
      <c r="M409" s="2">
        <v>2250</v>
      </c>
    </row>
    <row r="410" spans="1:13" x14ac:dyDescent="0.25">
      <c r="A410" t="str">
        <f t="shared" si="103"/>
        <v>E216</v>
      </c>
      <c r="B410">
        <v>1</v>
      </c>
      <c r="C410" t="str">
        <f t="shared" ref="C410:C424" si="108">"43003"</f>
        <v>43003</v>
      </c>
      <c r="D410" t="str">
        <f t="shared" si="105"/>
        <v>5740</v>
      </c>
      <c r="E410" t="str">
        <f t="shared" si="106"/>
        <v>850LOS</v>
      </c>
      <c r="F410" t="str">
        <f>""</f>
        <v/>
      </c>
      <c r="G410" t="str">
        <f>""</f>
        <v/>
      </c>
      <c r="H410" s="1">
        <v>40745</v>
      </c>
      <c r="I410" t="str">
        <f>"148307"</f>
        <v>148307</v>
      </c>
      <c r="J410" t="str">
        <f>"N125316A"</f>
        <v>N125316A</v>
      </c>
      <c r="K410" t="str">
        <f t="shared" si="107"/>
        <v>INEI</v>
      </c>
      <c r="L410" t="s">
        <v>1189</v>
      </c>
      <c r="M410">
        <v>896.78</v>
      </c>
    </row>
    <row r="411" spans="1:13" x14ac:dyDescent="0.25">
      <c r="A411" t="str">
        <f t="shared" si="103"/>
        <v>E216</v>
      </c>
      <c r="B411">
        <v>1</v>
      </c>
      <c r="C411" t="str">
        <f t="shared" si="108"/>
        <v>43003</v>
      </c>
      <c r="D411" t="str">
        <f t="shared" si="105"/>
        <v>5740</v>
      </c>
      <c r="E411" t="str">
        <f t="shared" si="106"/>
        <v>850LOS</v>
      </c>
      <c r="F411" t="str">
        <f>""</f>
        <v/>
      </c>
      <c r="G411" t="str">
        <f>""</f>
        <v/>
      </c>
      <c r="H411" s="1">
        <v>40745</v>
      </c>
      <c r="I411" t="str">
        <f>"148306A"</f>
        <v>148306A</v>
      </c>
      <c r="J411" t="str">
        <f>"N125316A"</f>
        <v>N125316A</v>
      </c>
      <c r="K411" t="str">
        <f t="shared" si="107"/>
        <v>INEI</v>
      </c>
      <c r="L411" t="s">
        <v>1189</v>
      </c>
      <c r="M411">
        <v>896.78</v>
      </c>
    </row>
    <row r="412" spans="1:13" x14ac:dyDescent="0.25">
      <c r="A412" t="str">
        <f t="shared" si="103"/>
        <v>E216</v>
      </c>
      <c r="B412">
        <v>1</v>
      </c>
      <c r="C412" t="str">
        <f t="shared" si="108"/>
        <v>43003</v>
      </c>
      <c r="D412" t="str">
        <f t="shared" si="105"/>
        <v>5740</v>
      </c>
      <c r="E412" t="str">
        <f t="shared" si="106"/>
        <v>850LOS</v>
      </c>
      <c r="F412" t="str">
        <f>""</f>
        <v/>
      </c>
      <c r="G412" t="str">
        <f>""</f>
        <v/>
      </c>
      <c r="H412" s="1">
        <v>40746</v>
      </c>
      <c r="I412" t="str">
        <f>"4151129"</f>
        <v>4151129</v>
      </c>
      <c r="J412" t="str">
        <f>"N183002B"</f>
        <v>N183002B</v>
      </c>
      <c r="K412" t="str">
        <f t="shared" si="107"/>
        <v>INEI</v>
      </c>
      <c r="L412" t="s">
        <v>1304</v>
      </c>
      <c r="M412">
        <v>650</v>
      </c>
    </row>
    <row r="413" spans="1:13" x14ac:dyDescent="0.25">
      <c r="A413" t="str">
        <f t="shared" si="103"/>
        <v>E216</v>
      </c>
      <c r="B413">
        <v>1</v>
      </c>
      <c r="C413" t="str">
        <f t="shared" si="108"/>
        <v>43003</v>
      </c>
      <c r="D413" t="str">
        <f t="shared" si="105"/>
        <v>5740</v>
      </c>
      <c r="E413" t="str">
        <f t="shared" si="106"/>
        <v>850LOS</v>
      </c>
      <c r="F413" t="str">
        <f>""</f>
        <v/>
      </c>
      <c r="G413" t="str">
        <f>""</f>
        <v/>
      </c>
      <c r="H413" s="1">
        <v>40792</v>
      </c>
      <c r="I413" t="str">
        <f>"148526"</f>
        <v>148526</v>
      </c>
      <c r="J413" t="str">
        <f t="shared" ref="J413:J424" si="109">"N125316B"</f>
        <v>N125316B</v>
      </c>
      <c r="K413" t="str">
        <f t="shared" si="107"/>
        <v>INEI</v>
      </c>
      <c r="L413" t="s">
        <v>1189</v>
      </c>
      <c r="M413">
        <v>896.78</v>
      </c>
    </row>
    <row r="414" spans="1:13" x14ac:dyDescent="0.25">
      <c r="A414" t="str">
        <f t="shared" si="103"/>
        <v>E216</v>
      </c>
      <c r="B414">
        <v>1</v>
      </c>
      <c r="C414" t="str">
        <f t="shared" si="108"/>
        <v>43003</v>
      </c>
      <c r="D414" t="str">
        <f t="shared" si="105"/>
        <v>5740</v>
      </c>
      <c r="E414" t="str">
        <f t="shared" si="106"/>
        <v>850LOS</v>
      </c>
      <c r="F414" t="str">
        <f>""</f>
        <v/>
      </c>
      <c r="G414" t="str">
        <f>""</f>
        <v/>
      </c>
      <c r="H414" s="1">
        <v>40792</v>
      </c>
      <c r="I414" t="str">
        <f>"149661"</f>
        <v>149661</v>
      </c>
      <c r="J414" t="str">
        <f t="shared" si="109"/>
        <v>N125316B</v>
      </c>
      <c r="K414" t="str">
        <f t="shared" si="107"/>
        <v>INEI</v>
      </c>
      <c r="L414" t="s">
        <v>1189</v>
      </c>
      <c r="M414">
        <v>896.77</v>
      </c>
    </row>
    <row r="415" spans="1:13" x14ac:dyDescent="0.25">
      <c r="A415" t="str">
        <f t="shared" si="103"/>
        <v>E216</v>
      </c>
      <c r="B415">
        <v>1</v>
      </c>
      <c r="C415" t="str">
        <f t="shared" si="108"/>
        <v>43003</v>
      </c>
      <c r="D415" t="str">
        <f t="shared" si="105"/>
        <v>5740</v>
      </c>
      <c r="E415" t="str">
        <f t="shared" si="106"/>
        <v>850LOS</v>
      </c>
      <c r="F415" t="str">
        <f>""</f>
        <v/>
      </c>
      <c r="G415" t="str">
        <f>""</f>
        <v/>
      </c>
      <c r="H415" s="1">
        <v>40823</v>
      </c>
      <c r="I415" t="str">
        <f>"151074"</f>
        <v>151074</v>
      </c>
      <c r="J415" t="str">
        <f t="shared" si="109"/>
        <v>N125316B</v>
      </c>
      <c r="K415" t="str">
        <f t="shared" si="107"/>
        <v>INEI</v>
      </c>
      <c r="L415" t="s">
        <v>1189</v>
      </c>
      <c r="M415">
        <v>896.78</v>
      </c>
    </row>
    <row r="416" spans="1:13" x14ac:dyDescent="0.25">
      <c r="A416" t="str">
        <f t="shared" si="103"/>
        <v>E216</v>
      </c>
      <c r="B416">
        <v>1</v>
      </c>
      <c r="C416" t="str">
        <f t="shared" si="108"/>
        <v>43003</v>
      </c>
      <c r="D416" t="str">
        <f t="shared" si="105"/>
        <v>5740</v>
      </c>
      <c r="E416" t="str">
        <f t="shared" si="106"/>
        <v>850LOS</v>
      </c>
      <c r="F416" t="str">
        <f>""</f>
        <v/>
      </c>
      <c r="G416" t="str">
        <f>""</f>
        <v/>
      </c>
      <c r="H416" s="1">
        <v>40884</v>
      </c>
      <c r="I416" t="str">
        <f>"154797"</f>
        <v>154797</v>
      </c>
      <c r="J416" t="str">
        <f t="shared" si="109"/>
        <v>N125316B</v>
      </c>
      <c r="K416" t="str">
        <f t="shared" si="107"/>
        <v>INEI</v>
      </c>
      <c r="L416" t="s">
        <v>1189</v>
      </c>
      <c r="M416">
        <v>896.78</v>
      </c>
    </row>
    <row r="417" spans="1:13" x14ac:dyDescent="0.25">
      <c r="A417" t="str">
        <f t="shared" si="103"/>
        <v>E216</v>
      </c>
      <c r="B417">
        <v>1</v>
      </c>
      <c r="C417" t="str">
        <f t="shared" si="108"/>
        <v>43003</v>
      </c>
      <c r="D417" t="str">
        <f t="shared" si="105"/>
        <v>5740</v>
      </c>
      <c r="E417" t="str">
        <f t="shared" si="106"/>
        <v>850LOS</v>
      </c>
      <c r="F417" t="str">
        <f>""</f>
        <v/>
      </c>
      <c r="G417" t="str">
        <f>""</f>
        <v/>
      </c>
      <c r="H417" s="1">
        <v>40891</v>
      </c>
      <c r="I417" t="str">
        <f>"154796A"</f>
        <v>154796A</v>
      </c>
      <c r="J417" t="str">
        <f t="shared" si="109"/>
        <v>N125316B</v>
      </c>
      <c r="K417" t="str">
        <f t="shared" si="107"/>
        <v>INEI</v>
      </c>
      <c r="L417" t="s">
        <v>1189</v>
      </c>
      <c r="M417">
        <v>896.78</v>
      </c>
    </row>
    <row r="418" spans="1:13" x14ac:dyDescent="0.25">
      <c r="A418" t="str">
        <f t="shared" si="103"/>
        <v>E216</v>
      </c>
      <c r="B418">
        <v>1</v>
      </c>
      <c r="C418" t="str">
        <f t="shared" si="108"/>
        <v>43003</v>
      </c>
      <c r="D418" t="str">
        <f t="shared" si="105"/>
        <v>5740</v>
      </c>
      <c r="E418" t="str">
        <f t="shared" si="106"/>
        <v>850LOS</v>
      </c>
      <c r="F418" t="str">
        <f>""</f>
        <v/>
      </c>
      <c r="G418" t="str">
        <f>""</f>
        <v/>
      </c>
      <c r="H418" s="1">
        <v>40920</v>
      </c>
      <c r="I418" t="str">
        <f>"155954A"</f>
        <v>155954A</v>
      </c>
      <c r="J418" t="str">
        <f t="shared" si="109"/>
        <v>N125316B</v>
      </c>
      <c r="K418" t="str">
        <f t="shared" si="107"/>
        <v>INEI</v>
      </c>
      <c r="L418" t="s">
        <v>1189</v>
      </c>
      <c r="M418">
        <v>896.78</v>
      </c>
    </row>
    <row r="419" spans="1:13" x14ac:dyDescent="0.25">
      <c r="A419" t="str">
        <f t="shared" si="103"/>
        <v>E216</v>
      </c>
      <c r="B419">
        <v>1</v>
      </c>
      <c r="C419" t="str">
        <f t="shared" si="108"/>
        <v>43003</v>
      </c>
      <c r="D419" t="str">
        <f t="shared" si="105"/>
        <v>5740</v>
      </c>
      <c r="E419" t="str">
        <f t="shared" si="106"/>
        <v>850LOS</v>
      </c>
      <c r="F419" t="str">
        <f>""</f>
        <v/>
      </c>
      <c r="G419" t="str">
        <f>""</f>
        <v/>
      </c>
      <c r="H419" s="1">
        <v>40946</v>
      </c>
      <c r="I419" t="str">
        <f>"156643"</f>
        <v>156643</v>
      </c>
      <c r="J419" t="str">
        <f t="shared" si="109"/>
        <v>N125316B</v>
      </c>
      <c r="K419" t="str">
        <f t="shared" si="107"/>
        <v>INEI</v>
      </c>
      <c r="L419" t="s">
        <v>1189</v>
      </c>
      <c r="M419">
        <v>896.78</v>
      </c>
    </row>
    <row r="420" spans="1:13" x14ac:dyDescent="0.25">
      <c r="A420" t="str">
        <f t="shared" si="103"/>
        <v>E216</v>
      </c>
      <c r="B420">
        <v>1</v>
      </c>
      <c r="C420" t="str">
        <f t="shared" si="108"/>
        <v>43003</v>
      </c>
      <c r="D420" t="str">
        <f t="shared" si="105"/>
        <v>5740</v>
      </c>
      <c r="E420" t="str">
        <f t="shared" si="106"/>
        <v>850LOS</v>
      </c>
      <c r="F420" t="str">
        <f>""</f>
        <v/>
      </c>
      <c r="G420" t="str">
        <f>""</f>
        <v/>
      </c>
      <c r="H420" s="1">
        <v>40975</v>
      </c>
      <c r="I420" t="str">
        <f>"158044A"</f>
        <v>158044A</v>
      </c>
      <c r="J420" t="str">
        <f t="shared" si="109"/>
        <v>N125316B</v>
      </c>
      <c r="K420" t="str">
        <f t="shared" si="107"/>
        <v>INEI</v>
      </c>
      <c r="L420" t="s">
        <v>1189</v>
      </c>
      <c r="M420">
        <v>896.78</v>
      </c>
    </row>
    <row r="421" spans="1:13" x14ac:dyDescent="0.25">
      <c r="A421" t="str">
        <f t="shared" si="103"/>
        <v>E216</v>
      </c>
      <c r="B421">
        <v>1</v>
      </c>
      <c r="C421" t="str">
        <f t="shared" si="108"/>
        <v>43003</v>
      </c>
      <c r="D421" t="str">
        <f t="shared" si="105"/>
        <v>5740</v>
      </c>
      <c r="E421" t="str">
        <f t="shared" si="106"/>
        <v>850LOS</v>
      </c>
      <c r="F421" t="str">
        <f>""</f>
        <v/>
      </c>
      <c r="G421" t="str">
        <f>""</f>
        <v/>
      </c>
      <c r="H421" s="1">
        <v>41010</v>
      </c>
      <c r="I421" t="str">
        <f>"159399"</f>
        <v>159399</v>
      </c>
      <c r="J421" t="str">
        <f t="shared" si="109"/>
        <v>N125316B</v>
      </c>
      <c r="K421" t="str">
        <f t="shared" si="107"/>
        <v>INEI</v>
      </c>
      <c r="L421" t="s">
        <v>1189</v>
      </c>
      <c r="M421">
        <v>896.78</v>
      </c>
    </row>
    <row r="422" spans="1:13" x14ac:dyDescent="0.25">
      <c r="A422" t="str">
        <f t="shared" si="103"/>
        <v>E216</v>
      </c>
      <c r="B422">
        <v>1</v>
      </c>
      <c r="C422" t="str">
        <f t="shared" si="108"/>
        <v>43003</v>
      </c>
      <c r="D422" t="str">
        <f t="shared" si="105"/>
        <v>5740</v>
      </c>
      <c r="E422" t="str">
        <f t="shared" si="106"/>
        <v>850LOS</v>
      </c>
      <c r="F422" t="str">
        <f>""</f>
        <v/>
      </c>
      <c r="G422" t="str">
        <f>""</f>
        <v/>
      </c>
      <c r="H422" s="1">
        <v>41037</v>
      </c>
      <c r="I422" t="str">
        <f>"160612"</f>
        <v>160612</v>
      </c>
      <c r="J422" t="str">
        <f t="shared" si="109"/>
        <v>N125316B</v>
      </c>
      <c r="K422" t="str">
        <f t="shared" si="107"/>
        <v>INEI</v>
      </c>
      <c r="L422" t="s">
        <v>1189</v>
      </c>
      <c r="M422">
        <v>896.78</v>
      </c>
    </row>
    <row r="423" spans="1:13" x14ac:dyDescent="0.25">
      <c r="A423" t="str">
        <f t="shared" si="103"/>
        <v>E216</v>
      </c>
      <c r="B423">
        <v>1</v>
      </c>
      <c r="C423" t="str">
        <f t="shared" si="108"/>
        <v>43003</v>
      </c>
      <c r="D423" t="str">
        <f t="shared" si="105"/>
        <v>5740</v>
      </c>
      <c r="E423" t="str">
        <f t="shared" si="106"/>
        <v>850LOS</v>
      </c>
      <c r="F423" t="str">
        <f>""</f>
        <v/>
      </c>
      <c r="G423" t="str">
        <f>""</f>
        <v/>
      </c>
      <c r="H423" s="1">
        <v>41072</v>
      </c>
      <c r="I423" t="str">
        <f>"162032"</f>
        <v>162032</v>
      </c>
      <c r="J423" t="str">
        <f t="shared" si="109"/>
        <v>N125316B</v>
      </c>
      <c r="K423" t="str">
        <f t="shared" si="107"/>
        <v>INEI</v>
      </c>
      <c r="L423" t="s">
        <v>1189</v>
      </c>
      <c r="M423">
        <v>896.78</v>
      </c>
    </row>
    <row r="424" spans="1:13" x14ac:dyDescent="0.25">
      <c r="A424" t="str">
        <f t="shared" si="103"/>
        <v>E216</v>
      </c>
      <c r="B424">
        <v>1</v>
      </c>
      <c r="C424" t="str">
        <f t="shared" si="108"/>
        <v>43003</v>
      </c>
      <c r="D424" t="str">
        <f t="shared" si="105"/>
        <v>5740</v>
      </c>
      <c r="E424" t="str">
        <f t="shared" si="106"/>
        <v>850LOS</v>
      </c>
      <c r="F424" t="str">
        <f>""</f>
        <v/>
      </c>
      <c r="G424" t="str">
        <f>""</f>
        <v/>
      </c>
      <c r="H424" s="1">
        <v>41090</v>
      </c>
      <c r="I424" t="str">
        <f>"163344"</f>
        <v>163344</v>
      </c>
      <c r="J424" t="str">
        <f t="shared" si="109"/>
        <v>N125316B</v>
      </c>
      <c r="K424" t="str">
        <f t="shared" si="107"/>
        <v>INEI</v>
      </c>
      <c r="L424" t="s">
        <v>1189</v>
      </c>
      <c r="M424">
        <v>896.78</v>
      </c>
    </row>
    <row r="425" spans="1:13" x14ac:dyDescent="0.25">
      <c r="A425" t="str">
        <f t="shared" ref="A425:A449" si="110">"E217"</f>
        <v>E217</v>
      </c>
      <c r="B425">
        <v>1</v>
      </c>
      <c r="C425" t="str">
        <f t="shared" ref="C425:C436" si="111">"43000"</f>
        <v>43000</v>
      </c>
      <c r="D425" t="str">
        <f t="shared" si="105"/>
        <v>5740</v>
      </c>
      <c r="E425" t="str">
        <f t="shared" si="106"/>
        <v>850LOS</v>
      </c>
      <c r="F425" t="str">
        <f>""</f>
        <v/>
      </c>
      <c r="G425" t="str">
        <f>""</f>
        <v/>
      </c>
      <c r="H425" s="1">
        <v>40766</v>
      </c>
      <c r="I425" t="str">
        <f>"CMG00714"</f>
        <v>CMG00714</v>
      </c>
      <c r="J425" t="str">
        <f>""</f>
        <v/>
      </c>
      <c r="K425" t="str">
        <f t="shared" ref="K425:K436" si="112">"CM89"</f>
        <v>CM89</v>
      </c>
      <c r="L425" t="s">
        <v>1760</v>
      </c>
      <c r="M425">
        <v>433.82</v>
      </c>
    </row>
    <row r="426" spans="1:13" x14ac:dyDescent="0.25">
      <c r="A426" t="str">
        <f t="shared" si="110"/>
        <v>E217</v>
      </c>
      <c r="B426">
        <v>1</v>
      </c>
      <c r="C426" t="str">
        <f t="shared" si="111"/>
        <v>43000</v>
      </c>
      <c r="D426" t="str">
        <f t="shared" si="105"/>
        <v>5740</v>
      </c>
      <c r="E426" t="str">
        <f t="shared" si="106"/>
        <v>850LOS</v>
      </c>
      <c r="F426" t="str">
        <f>""</f>
        <v/>
      </c>
      <c r="G426" t="str">
        <f>""</f>
        <v/>
      </c>
      <c r="H426" s="1">
        <v>40805</v>
      </c>
      <c r="I426" t="str">
        <f>"CMG00717"</f>
        <v>CMG00717</v>
      </c>
      <c r="J426" t="str">
        <f>""</f>
        <v/>
      </c>
      <c r="K426" t="str">
        <f t="shared" si="112"/>
        <v>CM89</v>
      </c>
      <c r="L426" t="s">
        <v>1759</v>
      </c>
      <c r="M426">
        <v>616.91999999999996</v>
      </c>
    </row>
    <row r="427" spans="1:13" x14ac:dyDescent="0.25">
      <c r="A427" t="str">
        <f t="shared" si="110"/>
        <v>E217</v>
      </c>
      <c r="B427">
        <v>1</v>
      </c>
      <c r="C427" t="str">
        <f t="shared" si="111"/>
        <v>43000</v>
      </c>
      <c r="D427" t="str">
        <f t="shared" si="105"/>
        <v>5740</v>
      </c>
      <c r="E427" t="str">
        <f t="shared" si="106"/>
        <v>850LOS</v>
      </c>
      <c r="F427" t="str">
        <f>""</f>
        <v/>
      </c>
      <c r="G427" t="str">
        <f>""</f>
        <v/>
      </c>
      <c r="H427" s="1">
        <v>40836</v>
      </c>
      <c r="I427" t="str">
        <f>"CMG00720"</f>
        <v>CMG00720</v>
      </c>
      <c r="J427" t="str">
        <f>""</f>
        <v/>
      </c>
      <c r="K427" t="str">
        <f t="shared" si="112"/>
        <v>CM89</v>
      </c>
      <c r="L427" t="s">
        <v>1758</v>
      </c>
      <c r="M427" s="2">
        <v>5010.76</v>
      </c>
    </row>
    <row r="428" spans="1:13" x14ac:dyDescent="0.25">
      <c r="A428" t="str">
        <f t="shared" si="110"/>
        <v>E217</v>
      </c>
      <c r="B428">
        <v>1</v>
      </c>
      <c r="C428" t="str">
        <f t="shared" si="111"/>
        <v>43000</v>
      </c>
      <c r="D428" t="str">
        <f t="shared" si="105"/>
        <v>5740</v>
      </c>
      <c r="E428" t="str">
        <f t="shared" si="106"/>
        <v>850LOS</v>
      </c>
      <c r="F428" t="str">
        <f>""</f>
        <v/>
      </c>
      <c r="G428" t="str">
        <f>""</f>
        <v/>
      </c>
      <c r="H428" s="1">
        <v>40869</v>
      </c>
      <c r="I428" t="str">
        <f>"CMG00723"</f>
        <v>CMG00723</v>
      </c>
      <c r="J428" t="str">
        <f>""</f>
        <v/>
      </c>
      <c r="K428" t="str">
        <f t="shared" si="112"/>
        <v>CM89</v>
      </c>
      <c r="L428" t="s">
        <v>1757</v>
      </c>
      <c r="M428">
        <v>469.02</v>
      </c>
    </row>
    <row r="429" spans="1:13" x14ac:dyDescent="0.25">
      <c r="A429" t="str">
        <f t="shared" si="110"/>
        <v>E217</v>
      </c>
      <c r="B429">
        <v>1</v>
      </c>
      <c r="C429" t="str">
        <f t="shared" si="111"/>
        <v>43000</v>
      </c>
      <c r="D429" t="str">
        <f t="shared" si="105"/>
        <v>5740</v>
      </c>
      <c r="E429" t="str">
        <f t="shared" si="106"/>
        <v>850LOS</v>
      </c>
      <c r="F429" t="str">
        <f>""</f>
        <v/>
      </c>
      <c r="G429" t="str">
        <f>""</f>
        <v/>
      </c>
      <c r="H429" s="1">
        <v>40890</v>
      </c>
      <c r="I429" t="str">
        <f>"CMG00726"</f>
        <v>CMG00726</v>
      </c>
      <c r="J429" t="str">
        <f>""</f>
        <v/>
      </c>
      <c r="K429" t="str">
        <f t="shared" si="112"/>
        <v>CM89</v>
      </c>
      <c r="L429" t="s">
        <v>1756</v>
      </c>
      <c r="M429">
        <v>521.79</v>
      </c>
    </row>
    <row r="430" spans="1:13" x14ac:dyDescent="0.25">
      <c r="A430" t="str">
        <f t="shared" si="110"/>
        <v>E217</v>
      </c>
      <c r="B430">
        <v>1</v>
      </c>
      <c r="C430" t="str">
        <f t="shared" si="111"/>
        <v>43000</v>
      </c>
      <c r="D430" t="str">
        <f t="shared" si="105"/>
        <v>5740</v>
      </c>
      <c r="E430" t="str">
        <f t="shared" si="106"/>
        <v>850LOS</v>
      </c>
      <c r="F430" t="str">
        <f>""</f>
        <v/>
      </c>
      <c r="G430" t="str">
        <f>""</f>
        <v/>
      </c>
      <c r="H430" s="1">
        <v>40934</v>
      </c>
      <c r="I430" t="str">
        <f>"CMG00729"</f>
        <v>CMG00729</v>
      </c>
      <c r="J430" t="str">
        <f>""</f>
        <v/>
      </c>
      <c r="K430" t="str">
        <f t="shared" si="112"/>
        <v>CM89</v>
      </c>
      <c r="L430" t="s">
        <v>1755</v>
      </c>
      <c r="M430">
        <v>444.31</v>
      </c>
    </row>
    <row r="431" spans="1:13" x14ac:dyDescent="0.25">
      <c r="A431" t="str">
        <f t="shared" si="110"/>
        <v>E217</v>
      </c>
      <c r="B431">
        <v>1</v>
      </c>
      <c r="C431" t="str">
        <f t="shared" si="111"/>
        <v>43000</v>
      </c>
      <c r="D431" t="str">
        <f t="shared" si="105"/>
        <v>5740</v>
      </c>
      <c r="E431" t="str">
        <f t="shared" si="106"/>
        <v>850LOS</v>
      </c>
      <c r="F431" t="str">
        <f>""</f>
        <v/>
      </c>
      <c r="G431" t="str">
        <f>""</f>
        <v/>
      </c>
      <c r="H431" s="1">
        <v>40948</v>
      </c>
      <c r="I431" t="str">
        <f>"CMG00732"</f>
        <v>CMG00732</v>
      </c>
      <c r="J431" t="str">
        <f>""</f>
        <v/>
      </c>
      <c r="K431" t="str">
        <f t="shared" si="112"/>
        <v>CM89</v>
      </c>
      <c r="L431" t="s">
        <v>1754</v>
      </c>
      <c r="M431" s="2">
        <v>1217.1500000000001</v>
      </c>
    </row>
    <row r="432" spans="1:13" x14ac:dyDescent="0.25">
      <c r="A432" t="str">
        <f t="shared" si="110"/>
        <v>E217</v>
      </c>
      <c r="B432">
        <v>1</v>
      </c>
      <c r="C432" t="str">
        <f t="shared" si="111"/>
        <v>43000</v>
      </c>
      <c r="D432" t="str">
        <f t="shared" si="105"/>
        <v>5740</v>
      </c>
      <c r="E432" t="str">
        <f t="shared" si="106"/>
        <v>850LOS</v>
      </c>
      <c r="F432" t="str">
        <f>""</f>
        <v/>
      </c>
      <c r="G432" t="str">
        <f>""</f>
        <v/>
      </c>
      <c r="H432" s="1">
        <v>40981</v>
      </c>
      <c r="I432" t="str">
        <f>"CMG00735"</f>
        <v>CMG00735</v>
      </c>
      <c r="J432" t="str">
        <f>""</f>
        <v/>
      </c>
      <c r="K432" t="str">
        <f t="shared" si="112"/>
        <v>CM89</v>
      </c>
      <c r="L432" t="s">
        <v>1753</v>
      </c>
      <c r="M432">
        <v>552.6</v>
      </c>
    </row>
    <row r="433" spans="1:13" x14ac:dyDescent="0.25">
      <c r="A433" t="str">
        <f t="shared" si="110"/>
        <v>E217</v>
      </c>
      <c r="B433">
        <v>1</v>
      </c>
      <c r="C433" t="str">
        <f t="shared" si="111"/>
        <v>43000</v>
      </c>
      <c r="D433" t="str">
        <f t="shared" si="105"/>
        <v>5740</v>
      </c>
      <c r="E433" t="str">
        <f t="shared" si="106"/>
        <v>850LOS</v>
      </c>
      <c r="F433" t="str">
        <f>""</f>
        <v/>
      </c>
      <c r="G433" t="str">
        <f>""</f>
        <v/>
      </c>
      <c r="H433" s="1">
        <v>41016</v>
      </c>
      <c r="I433" t="str">
        <f>"CMG00738"</f>
        <v>CMG00738</v>
      </c>
      <c r="J433" t="str">
        <f>""</f>
        <v/>
      </c>
      <c r="K433" t="str">
        <f t="shared" si="112"/>
        <v>CM89</v>
      </c>
      <c r="L433" t="s">
        <v>1752</v>
      </c>
      <c r="M433" s="2">
        <v>1259.21</v>
      </c>
    </row>
    <row r="434" spans="1:13" x14ac:dyDescent="0.25">
      <c r="A434" t="str">
        <f t="shared" si="110"/>
        <v>E217</v>
      </c>
      <c r="B434">
        <v>1</v>
      </c>
      <c r="C434" t="str">
        <f t="shared" si="111"/>
        <v>43000</v>
      </c>
      <c r="D434" t="str">
        <f t="shared" si="105"/>
        <v>5740</v>
      </c>
      <c r="E434" t="str">
        <f t="shared" si="106"/>
        <v>850LOS</v>
      </c>
      <c r="F434" t="str">
        <f>""</f>
        <v/>
      </c>
      <c r="G434" t="str">
        <f>""</f>
        <v/>
      </c>
      <c r="H434" s="1">
        <v>41040</v>
      </c>
      <c r="I434" t="str">
        <f>"CMG00741"</f>
        <v>CMG00741</v>
      </c>
      <c r="J434" t="str">
        <f>""</f>
        <v/>
      </c>
      <c r="K434" t="str">
        <f t="shared" si="112"/>
        <v>CM89</v>
      </c>
      <c r="L434" t="s">
        <v>1751</v>
      </c>
      <c r="M434">
        <v>649.27</v>
      </c>
    </row>
    <row r="435" spans="1:13" x14ac:dyDescent="0.25">
      <c r="A435" t="str">
        <f t="shared" si="110"/>
        <v>E217</v>
      </c>
      <c r="B435">
        <v>1</v>
      </c>
      <c r="C435" t="str">
        <f t="shared" si="111"/>
        <v>43000</v>
      </c>
      <c r="D435" t="str">
        <f t="shared" si="105"/>
        <v>5740</v>
      </c>
      <c r="E435" t="str">
        <f t="shared" si="106"/>
        <v>850LOS</v>
      </c>
      <c r="F435" t="str">
        <f>""</f>
        <v/>
      </c>
      <c r="G435" t="str">
        <f>""</f>
        <v/>
      </c>
      <c r="H435" s="1">
        <v>41073</v>
      </c>
      <c r="I435" t="str">
        <f>"CMG00747"</f>
        <v>CMG00747</v>
      </c>
      <c r="J435" t="str">
        <f>""</f>
        <v/>
      </c>
      <c r="K435" t="str">
        <f t="shared" si="112"/>
        <v>CM89</v>
      </c>
      <c r="L435" t="s">
        <v>1750</v>
      </c>
      <c r="M435">
        <v>550.54</v>
      </c>
    </row>
    <row r="436" spans="1:13" x14ac:dyDescent="0.25">
      <c r="A436" t="str">
        <f t="shared" si="110"/>
        <v>E217</v>
      </c>
      <c r="B436">
        <v>1</v>
      </c>
      <c r="C436" t="str">
        <f t="shared" si="111"/>
        <v>43000</v>
      </c>
      <c r="D436" t="str">
        <f t="shared" si="105"/>
        <v>5740</v>
      </c>
      <c r="E436" t="str">
        <f t="shared" si="106"/>
        <v>850LOS</v>
      </c>
      <c r="F436" t="str">
        <f>""</f>
        <v/>
      </c>
      <c r="G436" t="str">
        <f>""</f>
        <v/>
      </c>
      <c r="H436" s="1">
        <v>41090</v>
      </c>
      <c r="I436" t="str">
        <f>"CMG00752"</f>
        <v>CMG00752</v>
      </c>
      <c r="J436" t="str">
        <f>""</f>
        <v/>
      </c>
      <c r="K436" t="str">
        <f t="shared" si="112"/>
        <v>CM89</v>
      </c>
      <c r="L436" t="s">
        <v>1749</v>
      </c>
      <c r="M436">
        <v>847.24</v>
      </c>
    </row>
    <row r="437" spans="1:13" x14ac:dyDescent="0.25">
      <c r="A437" t="str">
        <f t="shared" si="110"/>
        <v>E217</v>
      </c>
      <c r="B437">
        <v>1</v>
      </c>
      <c r="C437" t="str">
        <f t="shared" ref="C437:C449" si="113">"43003"</f>
        <v>43003</v>
      </c>
      <c r="D437" t="str">
        <f t="shared" si="105"/>
        <v>5740</v>
      </c>
      <c r="E437" t="str">
        <f t="shared" si="106"/>
        <v>850LOS</v>
      </c>
      <c r="F437" t="str">
        <f>""</f>
        <v/>
      </c>
      <c r="G437" t="str">
        <f>""</f>
        <v/>
      </c>
      <c r="H437" s="1">
        <v>40725</v>
      </c>
      <c r="I437" t="str">
        <f>"G1201049"</f>
        <v>G1201049</v>
      </c>
      <c r="J437" t="str">
        <f>""</f>
        <v/>
      </c>
      <c r="K437" t="str">
        <f t="shared" ref="K437:K442" si="114">"J096"</f>
        <v>J096</v>
      </c>
      <c r="L437" t="s">
        <v>1187</v>
      </c>
      <c r="M437">
        <v>673.81</v>
      </c>
    </row>
    <row r="438" spans="1:13" x14ac:dyDescent="0.25">
      <c r="A438" t="str">
        <f t="shared" si="110"/>
        <v>E217</v>
      </c>
      <c r="B438">
        <v>1</v>
      </c>
      <c r="C438" t="str">
        <f t="shared" si="113"/>
        <v>43003</v>
      </c>
      <c r="D438" t="str">
        <f t="shared" si="105"/>
        <v>5740</v>
      </c>
      <c r="E438" t="str">
        <f t="shared" si="106"/>
        <v>850LOS</v>
      </c>
      <c r="F438" t="str">
        <f>""</f>
        <v/>
      </c>
      <c r="G438" t="str">
        <f>""</f>
        <v/>
      </c>
      <c r="H438" s="1">
        <v>40771</v>
      </c>
      <c r="I438" t="str">
        <f>"G1202113"</f>
        <v>G1202113</v>
      </c>
      <c r="J438" t="str">
        <f>""</f>
        <v/>
      </c>
      <c r="K438" t="str">
        <f t="shared" si="114"/>
        <v>J096</v>
      </c>
      <c r="L438" t="s">
        <v>1468</v>
      </c>
      <c r="M438">
        <v>486.54</v>
      </c>
    </row>
    <row r="439" spans="1:13" x14ac:dyDescent="0.25">
      <c r="A439" t="str">
        <f t="shared" si="110"/>
        <v>E217</v>
      </c>
      <c r="B439">
        <v>1</v>
      </c>
      <c r="C439" t="str">
        <f t="shared" si="113"/>
        <v>43003</v>
      </c>
      <c r="D439" t="str">
        <f t="shared" si="105"/>
        <v>5740</v>
      </c>
      <c r="E439" t="str">
        <f t="shared" si="106"/>
        <v>850LOS</v>
      </c>
      <c r="F439" t="str">
        <f>""</f>
        <v/>
      </c>
      <c r="G439" t="str">
        <f>""</f>
        <v/>
      </c>
      <c r="H439" s="1">
        <v>40816</v>
      </c>
      <c r="I439" t="str">
        <f>"G1203127"</f>
        <v>G1203127</v>
      </c>
      <c r="J439" t="str">
        <f>""</f>
        <v/>
      </c>
      <c r="K439" t="str">
        <f t="shared" si="114"/>
        <v>J096</v>
      </c>
      <c r="L439" t="s">
        <v>1185</v>
      </c>
      <c r="M439">
        <v>618.76</v>
      </c>
    </row>
    <row r="440" spans="1:13" x14ac:dyDescent="0.25">
      <c r="A440" t="str">
        <f t="shared" si="110"/>
        <v>E217</v>
      </c>
      <c r="B440">
        <v>1</v>
      </c>
      <c r="C440" t="str">
        <f t="shared" si="113"/>
        <v>43003</v>
      </c>
      <c r="D440" t="str">
        <f t="shared" si="105"/>
        <v>5740</v>
      </c>
      <c r="E440" t="str">
        <f t="shared" si="106"/>
        <v>850LOS</v>
      </c>
      <c r="F440" t="str">
        <f>""</f>
        <v/>
      </c>
      <c r="G440" t="str">
        <f>""</f>
        <v/>
      </c>
      <c r="H440" s="1">
        <v>40843</v>
      </c>
      <c r="I440" t="str">
        <f>"G1204132"</f>
        <v>G1204132</v>
      </c>
      <c r="J440" t="str">
        <f>""</f>
        <v/>
      </c>
      <c r="K440" t="str">
        <f t="shared" si="114"/>
        <v>J096</v>
      </c>
      <c r="L440" t="s">
        <v>1185</v>
      </c>
      <c r="M440">
        <v>240.41</v>
      </c>
    </row>
    <row r="441" spans="1:13" x14ac:dyDescent="0.25">
      <c r="A441" t="str">
        <f t="shared" si="110"/>
        <v>E217</v>
      </c>
      <c r="B441">
        <v>1</v>
      </c>
      <c r="C441" t="str">
        <f t="shared" si="113"/>
        <v>43003</v>
      </c>
      <c r="D441" t="str">
        <f t="shared" si="105"/>
        <v>5740</v>
      </c>
      <c r="E441" t="str">
        <f t="shared" si="106"/>
        <v>850LOS</v>
      </c>
      <c r="F441" t="str">
        <f>""</f>
        <v/>
      </c>
      <c r="G441" t="str">
        <f>""</f>
        <v/>
      </c>
      <c r="H441" s="1">
        <v>40863</v>
      </c>
      <c r="I441" t="str">
        <f>"G1205074"</f>
        <v>G1205074</v>
      </c>
      <c r="J441" t="str">
        <f>""</f>
        <v/>
      </c>
      <c r="K441" t="str">
        <f t="shared" si="114"/>
        <v>J096</v>
      </c>
      <c r="L441" t="s">
        <v>1185</v>
      </c>
      <c r="M441">
        <v>772.29</v>
      </c>
    </row>
    <row r="442" spans="1:13" x14ac:dyDescent="0.25">
      <c r="A442" t="str">
        <f t="shared" si="110"/>
        <v>E217</v>
      </c>
      <c r="B442">
        <v>1</v>
      </c>
      <c r="C442" t="str">
        <f t="shared" si="113"/>
        <v>43003</v>
      </c>
      <c r="D442" t="str">
        <f t="shared" si="105"/>
        <v>5740</v>
      </c>
      <c r="E442" t="str">
        <f t="shared" si="106"/>
        <v>850LOS</v>
      </c>
      <c r="F442" t="str">
        <f>""</f>
        <v/>
      </c>
      <c r="G442" t="str">
        <f>""</f>
        <v/>
      </c>
      <c r="H442" s="1">
        <v>40907</v>
      </c>
      <c r="I442" t="str">
        <f>"G1206063"</f>
        <v>G1206063</v>
      </c>
      <c r="J442" t="str">
        <f>""</f>
        <v/>
      </c>
      <c r="K442" t="str">
        <f t="shared" si="114"/>
        <v>J096</v>
      </c>
      <c r="L442" t="s">
        <v>1187</v>
      </c>
      <c r="M442">
        <v>948.5</v>
      </c>
    </row>
    <row r="443" spans="1:13" x14ac:dyDescent="0.25">
      <c r="A443" t="str">
        <f t="shared" si="110"/>
        <v>E217</v>
      </c>
      <c r="B443">
        <v>1</v>
      </c>
      <c r="C443" t="str">
        <f t="shared" si="113"/>
        <v>43003</v>
      </c>
      <c r="D443" t="str">
        <f t="shared" si="105"/>
        <v>5740</v>
      </c>
      <c r="E443" t="str">
        <f t="shared" si="106"/>
        <v>850LOS</v>
      </c>
      <c r="F443" t="str">
        <f>""</f>
        <v/>
      </c>
      <c r="G443" t="str">
        <f>""</f>
        <v/>
      </c>
      <c r="H443" s="1">
        <v>40935</v>
      </c>
      <c r="I443" t="str">
        <f>"J0000565"</f>
        <v>J0000565</v>
      </c>
      <c r="J443" t="str">
        <f>""</f>
        <v/>
      </c>
      <c r="K443" t="str">
        <f t="shared" ref="K443:K449" si="115">"J079"</f>
        <v>J079</v>
      </c>
      <c r="L443" t="s">
        <v>1185</v>
      </c>
      <c r="M443">
        <v>491.62</v>
      </c>
    </row>
    <row r="444" spans="1:13" x14ac:dyDescent="0.25">
      <c r="A444" t="str">
        <f t="shared" si="110"/>
        <v>E217</v>
      </c>
      <c r="B444">
        <v>1</v>
      </c>
      <c r="C444" t="str">
        <f t="shared" si="113"/>
        <v>43003</v>
      </c>
      <c r="D444" t="str">
        <f t="shared" si="105"/>
        <v>5740</v>
      </c>
      <c r="E444" t="str">
        <f t="shared" si="106"/>
        <v>850LOS</v>
      </c>
      <c r="F444" t="str">
        <f>""</f>
        <v/>
      </c>
      <c r="G444" t="str">
        <f>""</f>
        <v/>
      </c>
      <c r="H444" s="1">
        <v>40996</v>
      </c>
      <c r="I444" t="str">
        <f>"J0000998"</f>
        <v>J0000998</v>
      </c>
      <c r="J444" t="str">
        <f>""</f>
        <v/>
      </c>
      <c r="K444" t="str">
        <f t="shared" si="115"/>
        <v>J079</v>
      </c>
      <c r="L444" t="s">
        <v>1185</v>
      </c>
      <c r="M444">
        <v>872.29</v>
      </c>
    </row>
    <row r="445" spans="1:13" x14ac:dyDescent="0.25">
      <c r="A445" t="str">
        <f t="shared" si="110"/>
        <v>E217</v>
      </c>
      <c r="B445">
        <v>1</v>
      </c>
      <c r="C445" t="str">
        <f t="shared" si="113"/>
        <v>43003</v>
      </c>
      <c r="D445" t="str">
        <f t="shared" si="105"/>
        <v>5740</v>
      </c>
      <c r="E445" t="str">
        <f t="shared" si="106"/>
        <v>850LOS</v>
      </c>
      <c r="F445" t="str">
        <f>""</f>
        <v/>
      </c>
      <c r="G445" t="str">
        <f>""</f>
        <v/>
      </c>
      <c r="H445" s="1">
        <v>41059</v>
      </c>
      <c r="I445" t="str">
        <f>"J0001522"</f>
        <v>J0001522</v>
      </c>
      <c r="J445" t="str">
        <f>""</f>
        <v/>
      </c>
      <c r="K445" t="str">
        <f t="shared" si="115"/>
        <v>J079</v>
      </c>
      <c r="L445" t="s">
        <v>1185</v>
      </c>
      <c r="M445">
        <v>554.80999999999995</v>
      </c>
    </row>
    <row r="446" spans="1:13" x14ac:dyDescent="0.25">
      <c r="A446" t="str">
        <f t="shared" si="110"/>
        <v>E217</v>
      </c>
      <c r="B446">
        <v>1</v>
      </c>
      <c r="C446" t="str">
        <f t="shared" si="113"/>
        <v>43003</v>
      </c>
      <c r="D446" t="str">
        <f t="shared" si="105"/>
        <v>5740</v>
      </c>
      <c r="E446" t="str">
        <f t="shared" si="106"/>
        <v>850LOS</v>
      </c>
      <c r="F446" t="str">
        <f>""</f>
        <v/>
      </c>
      <c r="G446" t="str">
        <f>""</f>
        <v/>
      </c>
      <c r="H446" s="1">
        <v>41059</v>
      </c>
      <c r="I446" t="str">
        <f>"J0001524"</f>
        <v>J0001524</v>
      </c>
      <c r="J446" t="str">
        <f>""</f>
        <v/>
      </c>
      <c r="K446" t="str">
        <f t="shared" si="115"/>
        <v>J079</v>
      </c>
      <c r="L446" t="s">
        <v>1185</v>
      </c>
      <c r="M446" s="2">
        <v>1015.36</v>
      </c>
    </row>
    <row r="447" spans="1:13" x14ac:dyDescent="0.25">
      <c r="A447" t="str">
        <f t="shared" si="110"/>
        <v>E217</v>
      </c>
      <c r="B447">
        <v>1</v>
      </c>
      <c r="C447" t="str">
        <f t="shared" si="113"/>
        <v>43003</v>
      </c>
      <c r="D447" t="str">
        <f t="shared" si="105"/>
        <v>5740</v>
      </c>
      <c r="E447" t="str">
        <f t="shared" si="106"/>
        <v>850LOS</v>
      </c>
      <c r="F447" t="str">
        <f>""</f>
        <v/>
      </c>
      <c r="G447" t="str">
        <f>""</f>
        <v/>
      </c>
      <c r="H447" s="1">
        <v>41059</v>
      </c>
      <c r="I447" t="str">
        <f>"J0001525"</f>
        <v>J0001525</v>
      </c>
      <c r="J447" t="str">
        <f>""</f>
        <v/>
      </c>
      <c r="K447" t="str">
        <f t="shared" si="115"/>
        <v>J079</v>
      </c>
      <c r="L447" t="s">
        <v>1185</v>
      </c>
      <c r="M447">
        <v>951.21</v>
      </c>
    </row>
    <row r="448" spans="1:13" x14ac:dyDescent="0.25">
      <c r="A448" t="str">
        <f t="shared" si="110"/>
        <v>E217</v>
      </c>
      <c r="B448">
        <v>1</v>
      </c>
      <c r="C448" t="str">
        <f t="shared" si="113"/>
        <v>43003</v>
      </c>
      <c r="D448" t="str">
        <f t="shared" si="105"/>
        <v>5740</v>
      </c>
      <c r="E448" t="str">
        <f t="shared" si="106"/>
        <v>850LOS</v>
      </c>
      <c r="F448" t="str">
        <f>""</f>
        <v/>
      </c>
      <c r="G448" t="str">
        <f>""</f>
        <v/>
      </c>
      <c r="H448" s="1">
        <v>41080</v>
      </c>
      <c r="I448" t="str">
        <f>"J0001785"</f>
        <v>J0001785</v>
      </c>
      <c r="J448" t="str">
        <f>""</f>
        <v/>
      </c>
      <c r="K448" t="str">
        <f t="shared" si="115"/>
        <v>J079</v>
      </c>
      <c r="L448" t="s">
        <v>1185</v>
      </c>
      <c r="M448" s="2">
        <v>1088.27</v>
      </c>
    </row>
    <row r="449" spans="1:13" x14ac:dyDescent="0.25">
      <c r="A449" t="str">
        <f t="shared" si="110"/>
        <v>E217</v>
      </c>
      <c r="B449">
        <v>1</v>
      </c>
      <c r="C449" t="str">
        <f t="shared" si="113"/>
        <v>43003</v>
      </c>
      <c r="D449" t="str">
        <f t="shared" si="105"/>
        <v>5740</v>
      </c>
      <c r="E449" t="str">
        <f t="shared" si="106"/>
        <v>850LOS</v>
      </c>
      <c r="F449" t="str">
        <f>""</f>
        <v/>
      </c>
      <c r="G449" t="str">
        <f>""</f>
        <v/>
      </c>
      <c r="H449" s="1">
        <v>41090</v>
      </c>
      <c r="I449" t="str">
        <f>"J0002318"</f>
        <v>J0002318</v>
      </c>
      <c r="J449" t="str">
        <f>""</f>
        <v/>
      </c>
      <c r="K449" t="str">
        <f t="shared" si="115"/>
        <v>J079</v>
      </c>
      <c r="L449" t="s">
        <v>1681</v>
      </c>
      <c r="M449">
        <v>725.59</v>
      </c>
    </row>
    <row r="450" spans="1:13" x14ac:dyDescent="0.25">
      <c r="A450" t="str">
        <f t="shared" ref="A450:A461" si="116">"E230"</f>
        <v>E230</v>
      </c>
      <c r="B450">
        <v>1</v>
      </c>
      <c r="C450" t="str">
        <f t="shared" ref="C450:C456" si="117">"10200"</f>
        <v>10200</v>
      </c>
      <c r="D450" t="str">
        <f>"5620"</f>
        <v>5620</v>
      </c>
      <c r="E450" t="str">
        <f>"094OMS"</f>
        <v>094OMS</v>
      </c>
      <c r="F450" t="str">
        <f>""</f>
        <v/>
      </c>
      <c r="G450" t="str">
        <f>""</f>
        <v/>
      </c>
      <c r="H450" s="1">
        <v>40765</v>
      </c>
      <c r="I450" t="str">
        <f>"PCD00494"</f>
        <v>PCD00494</v>
      </c>
      <c r="J450" t="str">
        <f>"149413"</f>
        <v>149413</v>
      </c>
      <c r="K450" t="str">
        <f t="shared" ref="K450:K490" si="118">"AS89"</f>
        <v>AS89</v>
      </c>
      <c r="L450" t="s">
        <v>1748</v>
      </c>
      <c r="M450">
        <v>326.02</v>
      </c>
    </row>
    <row r="451" spans="1:13" x14ac:dyDescent="0.25">
      <c r="A451" t="str">
        <f t="shared" si="116"/>
        <v>E230</v>
      </c>
      <c r="B451">
        <v>1</v>
      </c>
      <c r="C451" t="str">
        <f t="shared" si="117"/>
        <v>10200</v>
      </c>
      <c r="D451" t="str">
        <f>"5620"</f>
        <v>5620</v>
      </c>
      <c r="E451" t="str">
        <f>"094OMS"</f>
        <v>094OMS</v>
      </c>
      <c r="F451" t="str">
        <f>""</f>
        <v/>
      </c>
      <c r="G451" t="str">
        <f>""</f>
        <v/>
      </c>
      <c r="H451" s="1">
        <v>41029</v>
      </c>
      <c r="I451" t="str">
        <f>"PCD00531"</f>
        <v>PCD00531</v>
      </c>
      <c r="J451" t="str">
        <f>"166302"</f>
        <v>166302</v>
      </c>
      <c r="K451" t="str">
        <f t="shared" si="118"/>
        <v>AS89</v>
      </c>
      <c r="L451" t="s">
        <v>1747</v>
      </c>
      <c r="M451">
        <v>246.21</v>
      </c>
    </row>
    <row r="452" spans="1:13" x14ac:dyDescent="0.25">
      <c r="A452" t="str">
        <f t="shared" si="116"/>
        <v>E230</v>
      </c>
      <c r="B452">
        <v>1</v>
      </c>
      <c r="C452" t="str">
        <f t="shared" si="117"/>
        <v>10200</v>
      </c>
      <c r="D452" t="str">
        <f>"5620"</f>
        <v>5620</v>
      </c>
      <c r="E452" t="str">
        <f>"094OMS"</f>
        <v>094OMS</v>
      </c>
      <c r="F452" t="str">
        <f>""</f>
        <v/>
      </c>
      <c r="G452" t="str">
        <f>""</f>
        <v/>
      </c>
      <c r="H452" s="1">
        <v>41061</v>
      </c>
      <c r="I452" t="str">
        <f>"PHY00582"</f>
        <v>PHY00582</v>
      </c>
      <c r="J452" t="str">
        <f>"W0096590"</f>
        <v>W0096590</v>
      </c>
      <c r="K452" t="str">
        <f t="shared" si="118"/>
        <v>AS89</v>
      </c>
      <c r="L452" t="s">
        <v>1746</v>
      </c>
      <c r="M452">
        <v>186.38</v>
      </c>
    </row>
    <row r="453" spans="1:13" x14ac:dyDescent="0.25">
      <c r="A453" t="str">
        <f t="shared" si="116"/>
        <v>E230</v>
      </c>
      <c r="B453">
        <v>1</v>
      </c>
      <c r="C453" t="str">
        <f t="shared" si="117"/>
        <v>10200</v>
      </c>
      <c r="D453" t="str">
        <f t="shared" ref="D453:D461" si="119">"5740"</f>
        <v>5740</v>
      </c>
      <c r="E453" t="str">
        <f t="shared" ref="E453:E461" si="120">"850PKE"</f>
        <v>850PKE</v>
      </c>
      <c r="F453" t="str">
        <f>"PKOEQP"</f>
        <v>PKOEQP</v>
      </c>
      <c r="G453" t="str">
        <f>"CS133"</f>
        <v>CS133</v>
      </c>
      <c r="H453" s="1">
        <v>40817</v>
      </c>
      <c r="I453" t="str">
        <f>"PHY00566"</f>
        <v>PHY00566</v>
      </c>
      <c r="J453" t="str">
        <f>"W0084790"</f>
        <v>W0084790</v>
      </c>
      <c r="K453" t="str">
        <f t="shared" si="118"/>
        <v>AS89</v>
      </c>
      <c r="L453" t="s">
        <v>1745</v>
      </c>
      <c r="M453">
        <v>318.29000000000002</v>
      </c>
    </row>
    <row r="454" spans="1:13" x14ac:dyDescent="0.25">
      <c r="A454" t="str">
        <f t="shared" si="116"/>
        <v>E230</v>
      </c>
      <c r="B454">
        <v>1</v>
      </c>
      <c r="C454" t="str">
        <f t="shared" si="117"/>
        <v>10200</v>
      </c>
      <c r="D454" t="str">
        <f t="shared" si="119"/>
        <v>5740</v>
      </c>
      <c r="E454" t="str">
        <f t="shared" si="120"/>
        <v>850PKE</v>
      </c>
      <c r="F454" t="str">
        <f>"PKOEQP"</f>
        <v>PKOEQP</v>
      </c>
      <c r="G454" t="str">
        <f>"CS133"</f>
        <v>CS133</v>
      </c>
      <c r="H454" s="1">
        <v>40848</v>
      </c>
      <c r="I454" t="str">
        <f>"PHY00567"</f>
        <v>PHY00567</v>
      </c>
      <c r="J454" t="str">
        <f>"W0084790"</f>
        <v>W0084790</v>
      </c>
      <c r="K454" t="str">
        <f t="shared" si="118"/>
        <v>AS89</v>
      </c>
      <c r="L454" t="s">
        <v>1745</v>
      </c>
      <c r="M454">
        <v>177.82</v>
      </c>
    </row>
    <row r="455" spans="1:13" x14ac:dyDescent="0.25">
      <c r="A455" t="str">
        <f t="shared" si="116"/>
        <v>E230</v>
      </c>
      <c r="B455">
        <v>1</v>
      </c>
      <c r="C455" t="str">
        <f t="shared" si="117"/>
        <v>10200</v>
      </c>
      <c r="D455" t="str">
        <f t="shared" si="119"/>
        <v>5740</v>
      </c>
      <c r="E455" t="str">
        <f t="shared" si="120"/>
        <v>850PKE</v>
      </c>
      <c r="F455" t="str">
        <f>""</f>
        <v/>
      </c>
      <c r="G455" t="str">
        <f>"CS133"</f>
        <v>CS133</v>
      </c>
      <c r="H455" s="1">
        <v>40940</v>
      </c>
      <c r="I455" t="str">
        <f>"PHY00573"</f>
        <v>PHY00573</v>
      </c>
      <c r="J455" t="str">
        <f>"W0089978"</f>
        <v>W0089978</v>
      </c>
      <c r="K455" t="str">
        <f t="shared" si="118"/>
        <v>AS89</v>
      </c>
      <c r="L455" t="s">
        <v>1744</v>
      </c>
      <c r="M455">
        <v>922.77</v>
      </c>
    </row>
    <row r="456" spans="1:13" x14ac:dyDescent="0.25">
      <c r="A456" t="str">
        <f t="shared" si="116"/>
        <v>E230</v>
      </c>
      <c r="B456">
        <v>1</v>
      </c>
      <c r="C456" t="str">
        <f t="shared" si="117"/>
        <v>10200</v>
      </c>
      <c r="D456" t="str">
        <f t="shared" si="119"/>
        <v>5740</v>
      </c>
      <c r="E456" t="str">
        <f t="shared" si="120"/>
        <v>850PKE</v>
      </c>
      <c r="F456" t="str">
        <f>""</f>
        <v/>
      </c>
      <c r="G456" t="str">
        <f>""</f>
        <v/>
      </c>
      <c r="H456" s="1">
        <v>41061</v>
      </c>
      <c r="I456" t="str">
        <f>"PHY00582"</f>
        <v>PHY00582</v>
      </c>
      <c r="J456" t="str">
        <f>"W0096586"</f>
        <v>W0096586</v>
      </c>
      <c r="K456" t="str">
        <f t="shared" si="118"/>
        <v>AS89</v>
      </c>
      <c r="L456" t="s">
        <v>1743</v>
      </c>
      <c r="M456">
        <v>156.38</v>
      </c>
    </row>
    <row r="457" spans="1:13" x14ac:dyDescent="0.25">
      <c r="A457" t="str">
        <f t="shared" si="116"/>
        <v>E230</v>
      </c>
      <c r="B457">
        <v>1</v>
      </c>
      <c r="C457" t="str">
        <f>"43000"</f>
        <v>43000</v>
      </c>
      <c r="D457" t="str">
        <f t="shared" si="119"/>
        <v>5740</v>
      </c>
      <c r="E457" t="str">
        <f t="shared" si="120"/>
        <v>850PKE</v>
      </c>
      <c r="F457" t="str">
        <f>""</f>
        <v/>
      </c>
      <c r="G457" t="str">
        <f>""</f>
        <v/>
      </c>
      <c r="H457" s="1">
        <v>41061</v>
      </c>
      <c r="I457" t="str">
        <f>"PHY00582"</f>
        <v>PHY00582</v>
      </c>
      <c r="J457" t="str">
        <f>"W0096548"</f>
        <v>W0096548</v>
      </c>
      <c r="K457" t="str">
        <f t="shared" si="118"/>
        <v>AS89</v>
      </c>
      <c r="L457" t="s">
        <v>1742</v>
      </c>
      <c r="M457">
        <v>382.95</v>
      </c>
    </row>
    <row r="458" spans="1:13" x14ac:dyDescent="0.25">
      <c r="A458" t="str">
        <f t="shared" si="116"/>
        <v>E230</v>
      </c>
      <c r="B458">
        <v>1</v>
      </c>
      <c r="C458" t="str">
        <f>"43000"</f>
        <v>43000</v>
      </c>
      <c r="D458" t="str">
        <f t="shared" si="119"/>
        <v>5740</v>
      </c>
      <c r="E458" t="str">
        <f t="shared" si="120"/>
        <v>850PKE</v>
      </c>
      <c r="F458" t="str">
        <f>""</f>
        <v/>
      </c>
      <c r="G458" t="str">
        <f>""</f>
        <v/>
      </c>
      <c r="H458" s="1">
        <v>41061</v>
      </c>
      <c r="I458" t="str">
        <f>"PHY00582"</f>
        <v>PHY00582</v>
      </c>
      <c r="J458" t="str">
        <f>"W0096604"</f>
        <v>W0096604</v>
      </c>
      <c r="K458" t="str">
        <f t="shared" si="118"/>
        <v>AS89</v>
      </c>
      <c r="L458" t="s">
        <v>1741</v>
      </c>
      <c r="M458" s="2">
        <v>1169.3499999999999</v>
      </c>
    </row>
    <row r="459" spans="1:13" x14ac:dyDescent="0.25">
      <c r="A459" t="str">
        <f t="shared" si="116"/>
        <v>E230</v>
      </c>
      <c r="B459">
        <v>1</v>
      </c>
      <c r="C459" t="str">
        <f>"43000"</f>
        <v>43000</v>
      </c>
      <c r="D459" t="str">
        <f t="shared" si="119"/>
        <v>5740</v>
      </c>
      <c r="E459" t="str">
        <f t="shared" si="120"/>
        <v>850PKE</v>
      </c>
      <c r="F459" t="str">
        <f>""</f>
        <v/>
      </c>
      <c r="G459" t="str">
        <f>""</f>
        <v/>
      </c>
      <c r="H459" s="1">
        <v>41090</v>
      </c>
      <c r="I459" t="str">
        <f>"PCD00540"</f>
        <v>PCD00540</v>
      </c>
      <c r="J459" t="str">
        <f>"170962"</f>
        <v>170962</v>
      </c>
      <c r="K459" t="str">
        <f t="shared" si="118"/>
        <v>AS89</v>
      </c>
      <c r="L459" t="s">
        <v>1740</v>
      </c>
      <c r="M459">
        <v>696.79</v>
      </c>
    </row>
    <row r="460" spans="1:13" x14ac:dyDescent="0.25">
      <c r="A460" t="str">
        <f t="shared" si="116"/>
        <v>E230</v>
      </c>
      <c r="B460">
        <v>1</v>
      </c>
      <c r="C460" t="str">
        <f>"43000"</f>
        <v>43000</v>
      </c>
      <c r="D460" t="str">
        <f t="shared" si="119"/>
        <v>5740</v>
      </c>
      <c r="E460" t="str">
        <f t="shared" si="120"/>
        <v>850PKE</v>
      </c>
      <c r="F460" t="str">
        <f>""</f>
        <v/>
      </c>
      <c r="G460" t="str">
        <f>""</f>
        <v/>
      </c>
      <c r="H460" s="1">
        <v>41090</v>
      </c>
      <c r="I460" t="str">
        <f>"PCD00540"</f>
        <v>PCD00540</v>
      </c>
      <c r="J460" t="str">
        <f>"171121"</f>
        <v>171121</v>
      </c>
      <c r="K460" t="str">
        <f t="shared" si="118"/>
        <v>AS89</v>
      </c>
      <c r="L460" t="s">
        <v>1739</v>
      </c>
      <c r="M460">
        <v>135.88</v>
      </c>
    </row>
    <row r="461" spans="1:13" x14ac:dyDescent="0.25">
      <c r="A461" t="str">
        <f t="shared" si="116"/>
        <v>E230</v>
      </c>
      <c r="B461">
        <v>1</v>
      </c>
      <c r="C461" t="str">
        <f>"43000"</f>
        <v>43000</v>
      </c>
      <c r="D461" t="str">
        <f t="shared" si="119"/>
        <v>5740</v>
      </c>
      <c r="E461" t="str">
        <f t="shared" si="120"/>
        <v>850PKE</v>
      </c>
      <c r="F461" t="str">
        <f>""</f>
        <v/>
      </c>
      <c r="G461" t="str">
        <f>""</f>
        <v/>
      </c>
      <c r="H461" s="1">
        <v>41090</v>
      </c>
      <c r="I461" t="str">
        <f>"PCD00540"</f>
        <v>PCD00540</v>
      </c>
      <c r="J461" t="str">
        <f>"171208"</f>
        <v>171208</v>
      </c>
      <c r="K461" t="str">
        <f t="shared" si="118"/>
        <v>AS89</v>
      </c>
      <c r="L461" t="s">
        <v>1738</v>
      </c>
      <c r="M461">
        <v>163.05000000000001</v>
      </c>
    </row>
    <row r="462" spans="1:13" x14ac:dyDescent="0.25">
      <c r="A462" t="str">
        <f t="shared" ref="A462:A489" si="121">"E231"</f>
        <v>E231</v>
      </c>
      <c r="B462">
        <v>1</v>
      </c>
      <c r="C462" t="str">
        <f t="shared" ref="C462:C473" si="122">"10200"</f>
        <v>10200</v>
      </c>
      <c r="D462" t="str">
        <f t="shared" ref="D462:D473" si="123">"5620"</f>
        <v>5620</v>
      </c>
      <c r="E462" t="str">
        <f t="shared" ref="E462:E473" si="124">"094OMS"</f>
        <v>094OMS</v>
      </c>
      <c r="F462" t="str">
        <f>""</f>
        <v/>
      </c>
      <c r="G462" t="str">
        <f>""</f>
        <v/>
      </c>
      <c r="H462" s="1">
        <v>40755</v>
      </c>
      <c r="I462" t="str">
        <f>"MPG00399"</f>
        <v>MPG00399</v>
      </c>
      <c r="J462" t="str">
        <f>""</f>
        <v/>
      </c>
      <c r="K462" t="str">
        <f t="shared" si="118"/>
        <v>AS89</v>
      </c>
      <c r="L462" t="s">
        <v>1737</v>
      </c>
      <c r="M462" s="2">
        <v>2527.88</v>
      </c>
    </row>
    <row r="463" spans="1:13" x14ac:dyDescent="0.25">
      <c r="A463" t="str">
        <f t="shared" si="121"/>
        <v>E231</v>
      </c>
      <c r="B463">
        <v>1</v>
      </c>
      <c r="C463" t="str">
        <f t="shared" si="122"/>
        <v>10200</v>
      </c>
      <c r="D463" t="str">
        <f t="shared" si="123"/>
        <v>5620</v>
      </c>
      <c r="E463" t="str">
        <f t="shared" si="124"/>
        <v>094OMS</v>
      </c>
      <c r="F463" t="str">
        <f>""</f>
        <v/>
      </c>
      <c r="G463" t="str">
        <f>""</f>
        <v/>
      </c>
      <c r="H463" s="1">
        <v>40786</v>
      </c>
      <c r="I463" t="str">
        <f>"MPG00401"</f>
        <v>MPG00401</v>
      </c>
      <c r="J463" t="str">
        <f>""</f>
        <v/>
      </c>
      <c r="K463" t="str">
        <f t="shared" si="118"/>
        <v>AS89</v>
      </c>
      <c r="L463" t="s">
        <v>1736</v>
      </c>
      <c r="M463" s="2">
        <v>1724.69</v>
      </c>
    </row>
    <row r="464" spans="1:13" x14ac:dyDescent="0.25">
      <c r="A464" t="str">
        <f t="shared" si="121"/>
        <v>E231</v>
      </c>
      <c r="B464">
        <v>1</v>
      </c>
      <c r="C464" t="str">
        <f t="shared" si="122"/>
        <v>10200</v>
      </c>
      <c r="D464" t="str">
        <f t="shared" si="123"/>
        <v>5620</v>
      </c>
      <c r="E464" t="str">
        <f t="shared" si="124"/>
        <v>094OMS</v>
      </c>
      <c r="F464" t="str">
        <f>""</f>
        <v/>
      </c>
      <c r="G464" t="str">
        <f>""</f>
        <v/>
      </c>
      <c r="H464" s="1">
        <v>40816</v>
      </c>
      <c r="I464" t="str">
        <f>"MPG00402"</f>
        <v>MPG00402</v>
      </c>
      <c r="J464" t="str">
        <f>""</f>
        <v/>
      </c>
      <c r="K464" t="str">
        <f t="shared" si="118"/>
        <v>AS89</v>
      </c>
      <c r="L464" t="s">
        <v>1735</v>
      </c>
      <c r="M464" s="2">
        <v>2185.38</v>
      </c>
    </row>
    <row r="465" spans="1:13" x14ac:dyDescent="0.25">
      <c r="A465" t="str">
        <f t="shared" si="121"/>
        <v>E231</v>
      </c>
      <c r="B465">
        <v>1</v>
      </c>
      <c r="C465" t="str">
        <f t="shared" si="122"/>
        <v>10200</v>
      </c>
      <c r="D465" t="str">
        <f t="shared" si="123"/>
        <v>5620</v>
      </c>
      <c r="E465" t="str">
        <f t="shared" si="124"/>
        <v>094OMS</v>
      </c>
      <c r="F465" t="str">
        <f>""</f>
        <v/>
      </c>
      <c r="G465" t="str">
        <f>""</f>
        <v/>
      </c>
      <c r="H465" s="1">
        <v>40847</v>
      </c>
      <c r="I465" t="str">
        <f>"MPG00403"</f>
        <v>MPG00403</v>
      </c>
      <c r="J465" t="str">
        <f>""</f>
        <v/>
      </c>
      <c r="K465" t="str">
        <f t="shared" si="118"/>
        <v>AS89</v>
      </c>
      <c r="L465" t="s">
        <v>1734</v>
      </c>
      <c r="M465" s="2">
        <v>2520.9499999999998</v>
      </c>
    </row>
    <row r="466" spans="1:13" x14ac:dyDescent="0.25">
      <c r="A466" t="str">
        <f t="shared" si="121"/>
        <v>E231</v>
      </c>
      <c r="B466">
        <v>1</v>
      </c>
      <c r="C466" t="str">
        <f t="shared" si="122"/>
        <v>10200</v>
      </c>
      <c r="D466" t="str">
        <f t="shared" si="123"/>
        <v>5620</v>
      </c>
      <c r="E466" t="str">
        <f t="shared" si="124"/>
        <v>094OMS</v>
      </c>
      <c r="F466" t="str">
        <f>""</f>
        <v/>
      </c>
      <c r="G466" t="str">
        <f>""</f>
        <v/>
      </c>
      <c r="H466" s="1">
        <v>40877</v>
      </c>
      <c r="I466" t="str">
        <f>"MPG00404"</f>
        <v>MPG00404</v>
      </c>
      <c r="J466" t="str">
        <f>""</f>
        <v/>
      </c>
      <c r="K466" t="str">
        <f t="shared" si="118"/>
        <v>AS89</v>
      </c>
      <c r="L466" t="s">
        <v>1733</v>
      </c>
      <c r="M466" s="2">
        <v>2122.48</v>
      </c>
    </row>
    <row r="467" spans="1:13" x14ac:dyDescent="0.25">
      <c r="A467" t="str">
        <f t="shared" si="121"/>
        <v>E231</v>
      </c>
      <c r="B467">
        <v>1</v>
      </c>
      <c r="C467" t="str">
        <f t="shared" si="122"/>
        <v>10200</v>
      </c>
      <c r="D467" t="str">
        <f t="shared" si="123"/>
        <v>5620</v>
      </c>
      <c r="E467" t="str">
        <f t="shared" si="124"/>
        <v>094OMS</v>
      </c>
      <c r="F467" t="str">
        <f>""</f>
        <v/>
      </c>
      <c r="G467" t="str">
        <f>""</f>
        <v/>
      </c>
      <c r="H467" s="1">
        <v>40908</v>
      </c>
      <c r="I467" t="str">
        <f>"MPG00405"</f>
        <v>MPG00405</v>
      </c>
      <c r="J467" t="str">
        <f>""</f>
        <v/>
      </c>
      <c r="K467" t="str">
        <f t="shared" si="118"/>
        <v>AS89</v>
      </c>
      <c r="L467" t="s">
        <v>1732</v>
      </c>
      <c r="M467" s="2">
        <v>1980.64</v>
      </c>
    </row>
    <row r="468" spans="1:13" x14ac:dyDescent="0.25">
      <c r="A468" t="str">
        <f t="shared" si="121"/>
        <v>E231</v>
      </c>
      <c r="B468">
        <v>1</v>
      </c>
      <c r="C468" t="str">
        <f t="shared" si="122"/>
        <v>10200</v>
      </c>
      <c r="D468" t="str">
        <f t="shared" si="123"/>
        <v>5620</v>
      </c>
      <c r="E468" t="str">
        <f t="shared" si="124"/>
        <v>094OMS</v>
      </c>
      <c r="F468" t="str">
        <f>""</f>
        <v/>
      </c>
      <c r="G468" t="str">
        <f>""</f>
        <v/>
      </c>
      <c r="H468" s="1">
        <v>40939</v>
      </c>
      <c r="I468" t="str">
        <f>"MPG00406"</f>
        <v>MPG00406</v>
      </c>
      <c r="J468" t="str">
        <f>""</f>
        <v/>
      </c>
      <c r="K468" t="str">
        <f t="shared" si="118"/>
        <v>AS89</v>
      </c>
      <c r="L468" t="s">
        <v>1731</v>
      </c>
      <c r="M468" s="2">
        <v>2672.1</v>
      </c>
    </row>
    <row r="469" spans="1:13" x14ac:dyDescent="0.25">
      <c r="A469" t="str">
        <f t="shared" si="121"/>
        <v>E231</v>
      </c>
      <c r="B469">
        <v>1</v>
      </c>
      <c r="C469" t="str">
        <f t="shared" si="122"/>
        <v>10200</v>
      </c>
      <c r="D469" t="str">
        <f t="shared" si="123"/>
        <v>5620</v>
      </c>
      <c r="E469" t="str">
        <f t="shared" si="124"/>
        <v>094OMS</v>
      </c>
      <c r="F469" t="str">
        <f>""</f>
        <v/>
      </c>
      <c r="G469" t="str">
        <f>""</f>
        <v/>
      </c>
      <c r="H469" s="1">
        <v>40958</v>
      </c>
      <c r="I469" t="str">
        <f>"MPG00407"</f>
        <v>MPG00407</v>
      </c>
      <c r="J469" t="str">
        <f>""</f>
        <v/>
      </c>
      <c r="K469" t="str">
        <f t="shared" si="118"/>
        <v>AS89</v>
      </c>
      <c r="L469" t="s">
        <v>1730</v>
      </c>
      <c r="M469" s="2">
        <v>2032.2</v>
      </c>
    </row>
    <row r="470" spans="1:13" x14ac:dyDescent="0.25">
      <c r="A470" t="str">
        <f t="shared" si="121"/>
        <v>E231</v>
      </c>
      <c r="B470">
        <v>1</v>
      </c>
      <c r="C470" t="str">
        <f t="shared" si="122"/>
        <v>10200</v>
      </c>
      <c r="D470" t="str">
        <f t="shared" si="123"/>
        <v>5620</v>
      </c>
      <c r="E470" t="str">
        <f t="shared" si="124"/>
        <v>094OMS</v>
      </c>
      <c r="F470" t="str">
        <f>""</f>
        <v/>
      </c>
      <c r="G470" t="str">
        <f>""</f>
        <v/>
      </c>
      <c r="H470" s="1">
        <v>40999</v>
      </c>
      <c r="I470" t="str">
        <f>"MPG00408"</f>
        <v>MPG00408</v>
      </c>
      <c r="J470" t="str">
        <f>"0"</f>
        <v>0</v>
      </c>
      <c r="K470" t="str">
        <f t="shared" si="118"/>
        <v>AS89</v>
      </c>
      <c r="L470" t="s">
        <v>1729</v>
      </c>
      <c r="M470" s="2">
        <v>2551.69</v>
      </c>
    </row>
    <row r="471" spans="1:13" x14ac:dyDescent="0.25">
      <c r="A471" t="str">
        <f t="shared" si="121"/>
        <v>E231</v>
      </c>
      <c r="B471">
        <v>1</v>
      </c>
      <c r="C471" t="str">
        <f t="shared" si="122"/>
        <v>10200</v>
      </c>
      <c r="D471" t="str">
        <f t="shared" si="123"/>
        <v>5620</v>
      </c>
      <c r="E471" t="str">
        <f t="shared" si="124"/>
        <v>094OMS</v>
      </c>
      <c r="F471" t="str">
        <f>""</f>
        <v/>
      </c>
      <c r="G471" t="str">
        <f>""</f>
        <v/>
      </c>
      <c r="H471" s="1">
        <v>41029</v>
      </c>
      <c r="I471" t="str">
        <f>"MPG00409"</f>
        <v>MPG00409</v>
      </c>
      <c r="J471" t="str">
        <f>"0"</f>
        <v>0</v>
      </c>
      <c r="K471" t="str">
        <f t="shared" si="118"/>
        <v>AS89</v>
      </c>
      <c r="L471" t="s">
        <v>1728</v>
      </c>
      <c r="M471" s="2">
        <v>2347.79</v>
      </c>
    </row>
    <row r="472" spans="1:13" x14ac:dyDescent="0.25">
      <c r="A472" t="str">
        <f t="shared" si="121"/>
        <v>E231</v>
      </c>
      <c r="B472">
        <v>1</v>
      </c>
      <c r="C472" t="str">
        <f t="shared" si="122"/>
        <v>10200</v>
      </c>
      <c r="D472" t="str">
        <f t="shared" si="123"/>
        <v>5620</v>
      </c>
      <c r="E472" t="str">
        <f t="shared" si="124"/>
        <v>094OMS</v>
      </c>
      <c r="F472" t="str">
        <f>""</f>
        <v/>
      </c>
      <c r="G472" t="str">
        <f>""</f>
        <v/>
      </c>
      <c r="H472" s="1">
        <v>41060</v>
      </c>
      <c r="I472" t="str">
        <f>"MPG00410"</f>
        <v>MPG00410</v>
      </c>
      <c r="J472" t="str">
        <f>"0"</f>
        <v>0</v>
      </c>
      <c r="K472" t="str">
        <f t="shared" si="118"/>
        <v>AS89</v>
      </c>
      <c r="L472" t="s">
        <v>1727</v>
      </c>
      <c r="M472" s="2">
        <v>2610.52</v>
      </c>
    </row>
    <row r="473" spans="1:13" x14ac:dyDescent="0.25">
      <c r="A473" t="str">
        <f t="shared" si="121"/>
        <v>E231</v>
      </c>
      <c r="B473">
        <v>1</v>
      </c>
      <c r="C473" t="str">
        <f t="shared" si="122"/>
        <v>10200</v>
      </c>
      <c r="D473" t="str">
        <f t="shared" si="123"/>
        <v>5620</v>
      </c>
      <c r="E473" t="str">
        <f t="shared" si="124"/>
        <v>094OMS</v>
      </c>
      <c r="F473" t="str">
        <f>""</f>
        <v/>
      </c>
      <c r="G473" t="str">
        <f>""</f>
        <v/>
      </c>
      <c r="H473" s="1">
        <v>41090</v>
      </c>
      <c r="I473" t="str">
        <f>"MPG00411"</f>
        <v>MPG00411</v>
      </c>
      <c r="J473" t="str">
        <f>"0"</f>
        <v>0</v>
      </c>
      <c r="K473" t="str">
        <f t="shared" si="118"/>
        <v>AS89</v>
      </c>
      <c r="L473" t="s">
        <v>1726</v>
      </c>
      <c r="M473" s="2">
        <v>2506.96</v>
      </c>
    </row>
    <row r="474" spans="1:13" x14ac:dyDescent="0.25">
      <c r="A474" t="str">
        <f t="shared" si="121"/>
        <v>E231</v>
      </c>
      <c r="B474">
        <v>1</v>
      </c>
      <c r="C474" t="str">
        <f>"32040"</f>
        <v>32040</v>
      </c>
      <c r="D474" t="str">
        <f>"5610"</f>
        <v>5610</v>
      </c>
      <c r="E474" t="str">
        <f t="shared" ref="E474:E489" si="125">"850LOS"</f>
        <v>850LOS</v>
      </c>
      <c r="F474" t="str">
        <f>""</f>
        <v/>
      </c>
      <c r="G474" t="str">
        <f>""</f>
        <v/>
      </c>
      <c r="H474" s="1">
        <v>40755</v>
      </c>
      <c r="I474" t="str">
        <f>"MPG00399"</f>
        <v>MPG00399</v>
      </c>
      <c r="J474" t="str">
        <f>""</f>
        <v/>
      </c>
      <c r="K474" t="str">
        <f t="shared" si="118"/>
        <v>AS89</v>
      </c>
      <c r="L474" t="s">
        <v>1737</v>
      </c>
      <c r="M474">
        <v>107.64</v>
      </c>
    </row>
    <row r="475" spans="1:13" x14ac:dyDescent="0.25">
      <c r="A475" t="str">
        <f t="shared" si="121"/>
        <v>E231</v>
      </c>
      <c r="B475">
        <v>1</v>
      </c>
      <c r="C475" t="str">
        <f>"32040"</f>
        <v>32040</v>
      </c>
      <c r="D475" t="str">
        <f>"5610"</f>
        <v>5610</v>
      </c>
      <c r="E475" t="str">
        <f t="shared" si="125"/>
        <v>850LOS</v>
      </c>
      <c r="F475" t="str">
        <f>""</f>
        <v/>
      </c>
      <c r="G475" t="str">
        <f>""</f>
        <v/>
      </c>
      <c r="H475" s="1">
        <v>40816</v>
      </c>
      <c r="I475" t="str">
        <f>"MPG00402"</f>
        <v>MPG00402</v>
      </c>
      <c r="J475" t="str">
        <f>""</f>
        <v/>
      </c>
      <c r="K475" t="str">
        <f t="shared" si="118"/>
        <v>AS89</v>
      </c>
      <c r="L475" t="s">
        <v>1735</v>
      </c>
      <c r="M475">
        <v>164.65</v>
      </c>
    </row>
    <row r="476" spans="1:13" x14ac:dyDescent="0.25">
      <c r="A476" t="str">
        <f t="shared" si="121"/>
        <v>E231</v>
      </c>
      <c r="B476">
        <v>1</v>
      </c>
      <c r="C476" t="str">
        <f>"32040"</f>
        <v>32040</v>
      </c>
      <c r="D476" t="str">
        <f>"5610"</f>
        <v>5610</v>
      </c>
      <c r="E476" t="str">
        <f t="shared" si="125"/>
        <v>850LOS</v>
      </c>
      <c r="F476" t="str">
        <f>""</f>
        <v/>
      </c>
      <c r="G476" t="str">
        <f>""</f>
        <v/>
      </c>
      <c r="H476" s="1">
        <v>40999</v>
      </c>
      <c r="I476" t="str">
        <f>"MPG00408"</f>
        <v>MPG00408</v>
      </c>
      <c r="J476" t="str">
        <f>"0"</f>
        <v>0</v>
      </c>
      <c r="K476" t="str">
        <f t="shared" si="118"/>
        <v>AS89</v>
      </c>
      <c r="L476" t="s">
        <v>1729</v>
      </c>
      <c r="M476">
        <v>104.68</v>
      </c>
    </row>
    <row r="477" spans="1:13" x14ac:dyDescent="0.25">
      <c r="A477" t="str">
        <f t="shared" si="121"/>
        <v>E231</v>
      </c>
      <c r="B477">
        <v>1</v>
      </c>
      <c r="C477" t="str">
        <f>"32040"</f>
        <v>32040</v>
      </c>
      <c r="D477" t="str">
        <f>"5610"</f>
        <v>5610</v>
      </c>
      <c r="E477" t="str">
        <f t="shared" si="125"/>
        <v>850LOS</v>
      </c>
      <c r="F477" t="str">
        <f>""</f>
        <v/>
      </c>
      <c r="G477" t="str">
        <f>""</f>
        <v/>
      </c>
      <c r="H477" s="1">
        <v>41060</v>
      </c>
      <c r="I477" t="str">
        <f>"MPG00410"</f>
        <v>MPG00410</v>
      </c>
      <c r="J477" t="str">
        <f>"0"</f>
        <v>0</v>
      </c>
      <c r="K477" t="str">
        <f t="shared" si="118"/>
        <v>AS89</v>
      </c>
      <c r="L477" t="s">
        <v>1727</v>
      </c>
      <c r="M477">
        <v>103.22</v>
      </c>
    </row>
    <row r="478" spans="1:13" x14ac:dyDescent="0.25">
      <c r="A478" t="str">
        <f t="shared" si="121"/>
        <v>E231</v>
      </c>
      <c r="B478">
        <v>1</v>
      </c>
      <c r="C478" t="str">
        <f t="shared" ref="C478:C489" si="126">"43000"</f>
        <v>43000</v>
      </c>
      <c r="D478" t="str">
        <f t="shared" ref="D478:D489" si="127">"5740"</f>
        <v>5740</v>
      </c>
      <c r="E478" t="str">
        <f t="shared" si="125"/>
        <v>850LOS</v>
      </c>
      <c r="F478" t="str">
        <f>""</f>
        <v/>
      </c>
      <c r="G478" t="str">
        <f>""</f>
        <v/>
      </c>
      <c r="H478" s="1">
        <v>40755</v>
      </c>
      <c r="I478" t="str">
        <f>"MPG00399"</f>
        <v>MPG00399</v>
      </c>
      <c r="J478" t="str">
        <f>""</f>
        <v/>
      </c>
      <c r="K478" t="str">
        <f t="shared" si="118"/>
        <v>AS89</v>
      </c>
      <c r="L478" t="s">
        <v>1737</v>
      </c>
      <c r="M478">
        <v>742.98</v>
      </c>
    </row>
    <row r="479" spans="1:13" x14ac:dyDescent="0.25">
      <c r="A479" t="str">
        <f t="shared" si="121"/>
        <v>E231</v>
      </c>
      <c r="B479">
        <v>1</v>
      </c>
      <c r="C479" t="str">
        <f t="shared" si="126"/>
        <v>43000</v>
      </c>
      <c r="D479" t="str">
        <f t="shared" si="127"/>
        <v>5740</v>
      </c>
      <c r="E479" t="str">
        <f t="shared" si="125"/>
        <v>850LOS</v>
      </c>
      <c r="F479" t="str">
        <f>""</f>
        <v/>
      </c>
      <c r="G479" t="str">
        <f>""</f>
        <v/>
      </c>
      <c r="H479" s="1">
        <v>40786</v>
      </c>
      <c r="I479" t="str">
        <f>"MPG00401"</f>
        <v>MPG00401</v>
      </c>
      <c r="J479" t="str">
        <f>""</f>
        <v/>
      </c>
      <c r="K479" t="str">
        <f t="shared" si="118"/>
        <v>AS89</v>
      </c>
      <c r="L479" t="s">
        <v>1736</v>
      </c>
      <c r="M479">
        <v>876.86</v>
      </c>
    </row>
    <row r="480" spans="1:13" x14ac:dyDescent="0.25">
      <c r="A480" t="str">
        <f t="shared" si="121"/>
        <v>E231</v>
      </c>
      <c r="B480">
        <v>1</v>
      </c>
      <c r="C480" t="str">
        <f t="shared" si="126"/>
        <v>43000</v>
      </c>
      <c r="D480" t="str">
        <f t="shared" si="127"/>
        <v>5740</v>
      </c>
      <c r="E480" t="str">
        <f t="shared" si="125"/>
        <v>850LOS</v>
      </c>
      <c r="F480" t="str">
        <f>""</f>
        <v/>
      </c>
      <c r="G480" t="str">
        <f>""</f>
        <v/>
      </c>
      <c r="H480" s="1">
        <v>40816</v>
      </c>
      <c r="I480" t="str">
        <f>"MPG00402"</f>
        <v>MPG00402</v>
      </c>
      <c r="J480" t="str">
        <f>""</f>
        <v/>
      </c>
      <c r="K480" t="str">
        <f t="shared" si="118"/>
        <v>AS89</v>
      </c>
      <c r="L480" t="s">
        <v>1735</v>
      </c>
      <c r="M480">
        <v>926.51</v>
      </c>
    </row>
    <row r="481" spans="1:13" x14ac:dyDescent="0.25">
      <c r="A481" t="str">
        <f t="shared" si="121"/>
        <v>E231</v>
      </c>
      <c r="B481">
        <v>1</v>
      </c>
      <c r="C481" t="str">
        <f t="shared" si="126"/>
        <v>43000</v>
      </c>
      <c r="D481" t="str">
        <f t="shared" si="127"/>
        <v>5740</v>
      </c>
      <c r="E481" t="str">
        <f t="shared" si="125"/>
        <v>850LOS</v>
      </c>
      <c r="F481" t="str">
        <f>""</f>
        <v/>
      </c>
      <c r="G481" t="str">
        <f>""</f>
        <v/>
      </c>
      <c r="H481" s="1">
        <v>40847</v>
      </c>
      <c r="I481" t="str">
        <f>"MPG00403"</f>
        <v>MPG00403</v>
      </c>
      <c r="J481" t="str">
        <f>""</f>
        <v/>
      </c>
      <c r="K481" t="str">
        <f t="shared" si="118"/>
        <v>AS89</v>
      </c>
      <c r="L481" t="s">
        <v>1734</v>
      </c>
      <c r="M481" s="2">
        <v>1115.48</v>
      </c>
    </row>
    <row r="482" spans="1:13" x14ac:dyDescent="0.25">
      <c r="A482" t="str">
        <f t="shared" si="121"/>
        <v>E231</v>
      </c>
      <c r="B482">
        <v>1</v>
      </c>
      <c r="C482" t="str">
        <f t="shared" si="126"/>
        <v>43000</v>
      </c>
      <c r="D482" t="str">
        <f t="shared" si="127"/>
        <v>5740</v>
      </c>
      <c r="E482" t="str">
        <f t="shared" si="125"/>
        <v>850LOS</v>
      </c>
      <c r="F482" t="str">
        <f>""</f>
        <v/>
      </c>
      <c r="G482" t="str">
        <f>""</f>
        <v/>
      </c>
      <c r="H482" s="1">
        <v>40877</v>
      </c>
      <c r="I482" t="str">
        <f>"MPG00404"</f>
        <v>MPG00404</v>
      </c>
      <c r="J482" t="str">
        <f>""</f>
        <v/>
      </c>
      <c r="K482" t="str">
        <f t="shared" si="118"/>
        <v>AS89</v>
      </c>
      <c r="L482" t="s">
        <v>1733</v>
      </c>
      <c r="M482" s="2">
        <v>1252.8399999999999</v>
      </c>
    </row>
    <row r="483" spans="1:13" x14ac:dyDescent="0.25">
      <c r="A483" t="str">
        <f t="shared" si="121"/>
        <v>E231</v>
      </c>
      <c r="B483">
        <v>1</v>
      </c>
      <c r="C483" t="str">
        <f t="shared" si="126"/>
        <v>43000</v>
      </c>
      <c r="D483" t="str">
        <f t="shared" si="127"/>
        <v>5740</v>
      </c>
      <c r="E483" t="str">
        <f t="shared" si="125"/>
        <v>850LOS</v>
      </c>
      <c r="F483" t="str">
        <f>""</f>
        <v/>
      </c>
      <c r="G483" t="str">
        <f>""</f>
        <v/>
      </c>
      <c r="H483" s="1">
        <v>40908</v>
      </c>
      <c r="I483" t="str">
        <f>"MPG00405"</f>
        <v>MPG00405</v>
      </c>
      <c r="J483" t="str">
        <f>""</f>
        <v/>
      </c>
      <c r="K483" t="str">
        <f t="shared" si="118"/>
        <v>AS89</v>
      </c>
      <c r="L483" t="s">
        <v>1732</v>
      </c>
      <c r="M483" s="2">
        <v>1129.9000000000001</v>
      </c>
    </row>
    <row r="484" spans="1:13" x14ac:dyDescent="0.25">
      <c r="A484" t="str">
        <f t="shared" si="121"/>
        <v>E231</v>
      </c>
      <c r="B484">
        <v>1</v>
      </c>
      <c r="C484" t="str">
        <f t="shared" si="126"/>
        <v>43000</v>
      </c>
      <c r="D484" t="str">
        <f t="shared" si="127"/>
        <v>5740</v>
      </c>
      <c r="E484" t="str">
        <f t="shared" si="125"/>
        <v>850LOS</v>
      </c>
      <c r="F484" t="str">
        <f>""</f>
        <v/>
      </c>
      <c r="G484" t="str">
        <f>""</f>
        <v/>
      </c>
      <c r="H484" s="1">
        <v>40939</v>
      </c>
      <c r="I484" t="str">
        <f>"MPG00406"</f>
        <v>MPG00406</v>
      </c>
      <c r="J484" t="str">
        <f>""</f>
        <v/>
      </c>
      <c r="K484" t="str">
        <f t="shared" si="118"/>
        <v>AS89</v>
      </c>
      <c r="L484" t="s">
        <v>1731</v>
      </c>
      <c r="M484" s="2">
        <v>1275.46</v>
      </c>
    </row>
    <row r="485" spans="1:13" x14ac:dyDescent="0.25">
      <c r="A485" t="str">
        <f t="shared" si="121"/>
        <v>E231</v>
      </c>
      <c r="B485">
        <v>1</v>
      </c>
      <c r="C485" t="str">
        <f t="shared" si="126"/>
        <v>43000</v>
      </c>
      <c r="D485" t="str">
        <f t="shared" si="127"/>
        <v>5740</v>
      </c>
      <c r="E485" t="str">
        <f t="shared" si="125"/>
        <v>850LOS</v>
      </c>
      <c r="F485" t="str">
        <f>""</f>
        <v/>
      </c>
      <c r="G485" t="str">
        <f>""</f>
        <v/>
      </c>
      <c r="H485" s="1">
        <v>40958</v>
      </c>
      <c r="I485" t="str">
        <f>"MPG00407"</f>
        <v>MPG00407</v>
      </c>
      <c r="J485" t="str">
        <f>""</f>
        <v/>
      </c>
      <c r="K485" t="str">
        <f t="shared" si="118"/>
        <v>AS89</v>
      </c>
      <c r="L485" t="s">
        <v>1730</v>
      </c>
      <c r="M485" s="2">
        <v>1381.88</v>
      </c>
    </row>
    <row r="486" spans="1:13" x14ac:dyDescent="0.25">
      <c r="A486" t="str">
        <f t="shared" si="121"/>
        <v>E231</v>
      </c>
      <c r="B486">
        <v>1</v>
      </c>
      <c r="C486" t="str">
        <f t="shared" si="126"/>
        <v>43000</v>
      </c>
      <c r="D486" t="str">
        <f t="shared" si="127"/>
        <v>5740</v>
      </c>
      <c r="E486" t="str">
        <f t="shared" si="125"/>
        <v>850LOS</v>
      </c>
      <c r="F486" t="str">
        <f>""</f>
        <v/>
      </c>
      <c r="G486" t="str">
        <f>""</f>
        <v/>
      </c>
      <c r="H486" s="1">
        <v>40999</v>
      </c>
      <c r="I486" t="str">
        <f>"MPG00408"</f>
        <v>MPG00408</v>
      </c>
      <c r="J486" t="str">
        <f>"0"</f>
        <v>0</v>
      </c>
      <c r="K486" t="str">
        <f t="shared" si="118"/>
        <v>AS89</v>
      </c>
      <c r="L486" t="s">
        <v>1729</v>
      </c>
      <c r="M486" s="2">
        <v>1385.82</v>
      </c>
    </row>
    <row r="487" spans="1:13" x14ac:dyDescent="0.25">
      <c r="A487" t="str">
        <f t="shared" si="121"/>
        <v>E231</v>
      </c>
      <c r="B487">
        <v>1</v>
      </c>
      <c r="C487" t="str">
        <f t="shared" si="126"/>
        <v>43000</v>
      </c>
      <c r="D487" t="str">
        <f t="shared" si="127"/>
        <v>5740</v>
      </c>
      <c r="E487" t="str">
        <f t="shared" si="125"/>
        <v>850LOS</v>
      </c>
      <c r="F487" t="str">
        <f>""</f>
        <v/>
      </c>
      <c r="G487" t="str">
        <f>""</f>
        <v/>
      </c>
      <c r="H487" s="1">
        <v>41029</v>
      </c>
      <c r="I487" t="str">
        <f>"MPG00409"</f>
        <v>MPG00409</v>
      </c>
      <c r="J487" t="str">
        <f>"0"</f>
        <v>0</v>
      </c>
      <c r="K487" t="str">
        <f t="shared" si="118"/>
        <v>AS89</v>
      </c>
      <c r="L487" t="s">
        <v>1728</v>
      </c>
      <c r="M487" s="2">
        <v>1304.45</v>
      </c>
    </row>
    <row r="488" spans="1:13" x14ac:dyDescent="0.25">
      <c r="A488" t="str">
        <f t="shared" si="121"/>
        <v>E231</v>
      </c>
      <c r="B488">
        <v>1</v>
      </c>
      <c r="C488" t="str">
        <f t="shared" si="126"/>
        <v>43000</v>
      </c>
      <c r="D488" t="str">
        <f t="shared" si="127"/>
        <v>5740</v>
      </c>
      <c r="E488" t="str">
        <f t="shared" si="125"/>
        <v>850LOS</v>
      </c>
      <c r="F488" t="str">
        <f>""</f>
        <v/>
      </c>
      <c r="G488" t="str">
        <f>""</f>
        <v/>
      </c>
      <c r="H488" s="1">
        <v>41060</v>
      </c>
      <c r="I488" t="str">
        <f>"MPG00410"</f>
        <v>MPG00410</v>
      </c>
      <c r="J488" t="str">
        <f>"0"</f>
        <v>0</v>
      </c>
      <c r="K488" t="str">
        <f t="shared" si="118"/>
        <v>AS89</v>
      </c>
      <c r="L488" t="s">
        <v>1727</v>
      </c>
      <c r="M488" s="2">
        <v>1306.07</v>
      </c>
    </row>
    <row r="489" spans="1:13" x14ac:dyDescent="0.25">
      <c r="A489" t="str">
        <f t="shared" si="121"/>
        <v>E231</v>
      </c>
      <c r="B489">
        <v>1</v>
      </c>
      <c r="C489" t="str">
        <f t="shared" si="126"/>
        <v>43000</v>
      </c>
      <c r="D489" t="str">
        <f t="shared" si="127"/>
        <v>5740</v>
      </c>
      <c r="E489" t="str">
        <f t="shared" si="125"/>
        <v>850LOS</v>
      </c>
      <c r="F489" t="str">
        <f>""</f>
        <v/>
      </c>
      <c r="G489" t="str">
        <f>""</f>
        <v/>
      </c>
      <c r="H489" s="1">
        <v>41090</v>
      </c>
      <c r="I489" t="str">
        <f>"MPG00411"</f>
        <v>MPG00411</v>
      </c>
      <c r="J489" t="str">
        <f>"0"</f>
        <v>0</v>
      </c>
      <c r="K489" t="str">
        <f t="shared" si="118"/>
        <v>AS89</v>
      </c>
      <c r="L489" t="s">
        <v>1726</v>
      </c>
      <c r="M489">
        <v>914.86</v>
      </c>
    </row>
    <row r="490" spans="1:13" x14ac:dyDescent="0.25">
      <c r="A490" t="str">
        <f>"E232"</f>
        <v>E232</v>
      </c>
      <c r="B490">
        <v>1</v>
      </c>
      <c r="C490" t="str">
        <f>"10200"</f>
        <v>10200</v>
      </c>
      <c r="D490" t="str">
        <f>"5620"</f>
        <v>5620</v>
      </c>
      <c r="E490" t="str">
        <f>"094OMS"</f>
        <v>094OMS</v>
      </c>
      <c r="F490" t="str">
        <f>""</f>
        <v/>
      </c>
      <c r="G490" t="str">
        <f>""</f>
        <v/>
      </c>
      <c r="H490" s="1">
        <v>40816</v>
      </c>
      <c r="I490" t="str">
        <f>"PRK00077"</f>
        <v>PRK00077</v>
      </c>
      <c r="J490" t="str">
        <f>"2836"</f>
        <v>2836</v>
      </c>
      <c r="K490" t="str">
        <f t="shared" si="118"/>
        <v>AS89</v>
      </c>
      <c r="L490" t="s">
        <v>1682</v>
      </c>
      <c r="M490">
        <v>160</v>
      </c>
    </row>
    <row r="491" spans="1:13" x14ac:dyDescent="0.25">
      <c r="A491" t="str">
        <f t="shared" ref="A491:A496" si="128">"E240"</f>
        <v>E240</v>
      </c>
      <c r="B491">
        <v>1</v>
      </c>
      <c r="C491" t="str">
        <f t="shared" ref="C491:C496" si="129">"54551"</f>
        <v>54551</v>
      </c>
      <c r="D491" t="str">
        <f t="shared" ref="D491:D496" si="130">"5740"</f>
        <v>5740</v>
      </c>
      <c r="E491" t="str">
        <f t="shared" ref="E491:E496" si="131">"111ZAA"</f>
        <v>111ZAA</v>
      </c>
      <c r="F491" t="str">
        <f>""</f>
        <v/>
      </c>
      <c r="G491" t="str">
        <f>""</f>
        <v/>
      </c>
      <c r="H491" s="1">
        <v>40774</v>
      </c>
      <c r="I491" t="str">
        <f>"308406"</f>
        <v>308406</v>
      </c>
      <c r="J491" t="str">
        <f t="shared" ref="J491:J496" si="132">"B191090"</f>
        <v>B191090</v>
      </c>
      <c r="K491" t="str">
        <f t="shared" ref="K491:K496" si="133">"INEI"</f>
        <v>INEI</v>
      </c>
      <c r="L491" t="s">
        <v>222</v>
      </c>
      <c r="M491" s="2">
        <v>3665.7</v>
      </c>
    </row>
    <row r="492" spans="1:13" x14ac:dyDescent="0.25">
      <c r="A492" t="str">
        <f t="shared" si="128"/>
        <v>E240</v>
      </c>
      <c r="B492">
        <v>1</v>
      </c>
      <c r="C492" t="str">
        <f t="shared" si="129"/>
        <v>54551</v>
      </c>
      <c r="D492" t="str">
        <f t="shared" si="130"/>
        <v>5740</v>
      </c>
      <c r="E492" t="str">
        <f t="shared" si="131"/>
        <v>111ZAA</v>
      </c>
      <c r="F492" t="str">
        <f>""</f>
        <v/>
      </c>
      <c r="G492" t="str">
        <f>""</f>
        <v/>
      </c>
      <c r="H492" s="1">
        <v>40805</v>
      </c>
      <c r="I492" t="str">
        <f>"309650"</f>
        <v>309650</v>
      </c>
      <c r="J492" t="str">
        <f t="shared" si="132"/>
        <v>B191090</v>
      </c>
      <c r="K492" t="str">
        <f t="shared" si="133"/>
        <v>INEI</v>
      </c>
      <c r="L492" t="s">
        <v>222</v>
      </c>
      <c r="M492" s="2">
        <v>2749.08</v>
      </c>
    </row>
    <row r="493" spans="1:13" x14ac:dyDescent="0.25">
      <c r="A493" t="str">
        <f t="shared" si="128"/>
        <v>E240</v>
      </c>
      <c r="B493">
        <v>1</v>
      </c>
      <c r="C493" t="str">
        <f t="shared" si="129"/>
        <v>54551</v>
      </c>
      <c r="D493" t="str">
        <f t="shared" si="130"/>
        <v>5740</v>
      </c>
      <c r="E493" t="str">
        <f t="shared" si="131"/>
        <v>111ZAA</v>
      </c>
      <c r="F493" t="str">
        <f>""</f>
        <v/>
      </c>
      <c r="G493" t="str">
        <f>""</f>
        <v/>
      </c>
      <c r="H493" s="1">
        <v>40833</v>
      </c>
      <c r="I493" t="str">
        <f>"310855"</f>
        <v>310855</v>
      </c>
      <c r="J493" t="str">
        <f t="shared" si="132"/>
        <v>B191090</v>
      </c>
      <c r="K493" t="str">
        <f t="shared" si="133"/>
        <v>INEI</v>
      </c>
      <c r="L493" t="s">
        <v>222</v>
      </c>
      <c r="M493">
        <v>386.88</v>
      </c>
    </row>
    <row r="494" spans="1:13" x14ac:dyDescent="0.25">
      <c r="A494" t="str">
        <f t="shared" si="128"/>
        <v>E240</v>
      </c>
      <c r="B494">
        <v>1</v>
      </c>
      <c r="C494" t="str">
        <f t="shared" si="129"/>
        <v>54551</v>
      </c>
      <c r="D494" t="str">
        <f t="shared" si="130"/>
        <v>5740</v>
      </c>
      <c r="E494" t="str">
        <f t="shared" si="131"/>
        <v>111ZAA</v>
      </c>
      <c r="F494" t="str">
        <f>""</f>
        <v/>
      </c>
      <c r="G494" t="str">
        <f>""</f>
        <v/>
      </c>
      <c r="H494" s="1">
        <v>40897</v>
      </c>
      <c r="I494" t="str">
        <f>"312939"</f>
        <v>312939</v>
      </c>
      <c r="J494" t="str">
        <f t="shared" si="132"/>
        <v>B191090</v>
      </c>
      <c r="K494" t="str">
        <f t="shared" si="133"/>
        <v>INEI</v>
      </c>
      <c r="L494" t="s">
        <v>222</v>
      </c>
      <c r="M494" s="2">
        <v>4791.8999999999996</v>
      </c>
    </row>
    <row r="495" spans="1:13" x14ac:dyDescent="0.25">
      <c r="A495" t="str">
        <f t="shared" si="128"/>
        <v>E240</v>
      </c>
      <c r="B495">
        <v>1</v>
      </c>
      <c r="C495" t="str">
        <f t="shared" si="129"/>
        <v>54551</v>
      </c>
      <c r="D495" t="str">
        <f t="shared" si="130"/>
        <v>5740</v>
      </c>
      <c r="E495" t="str">
        <f t="shared" si="131"/>
        <v>111ZAA</v>
      </c>
      <c r="F495" t="str">
        <f>""</f>
        <v/>
      </c>
      <c r="G495" t="str">
        <f>""</f>
        <v/>
      </c>
      <c r="H495" s="1">
        <v>40939</v>
      </c>
      <c r="I495" t="str">
        <f>"314085"</f>
        <v>314085</v>
      </c>
      <c r="J495" t="str">
        <f t="shared" si="132"/>
        <v>B191090</v>
      </c>
      <c r="K495" t="str">
        <f t="shared" si="133"/>
        <v>INEI</v>
      </c>
      <c r="L495" t="s">
        <v>222</v>
      </c>
      <c r="M495" s="2">
        <v>2884.08</v>
      </c>
    </row>
    <row r="496" spans="1:13" x14ac:dyDescent="0.25">
      <c r="A496" t="str">
        <f t="shared" si="128"/>
        <v>E240</v>
      </c>
      <c r="B496">
        <v>1</v>
      </c>
      <c r="C496" t="str">
        <f t="shared" si="129"/>
        <v>54551</v>
      </c>
      <c r="D496" t="str">
        <f t="shared" si="130"/>
        <v>5740</v>
      </c>
      <c r="E496" t="str">
        <f t="shared" si="131"/>
        <v>111ZAA</v>
      </c>
      <c r="F496" t="str">
        <f>""</f>
        <v/>
      </c>
      <c r="G496" t="str">
        <f>""</f>
        <v/>
      </c>
      <c r="H496" s="1">
        <v>40970</v>
      </c>
      <c r="I496" t="str">
        <f>"315027"</f>
        <v>315027</v>
      </c>
      <c r="J496" t="str">
        <f t="shared" si="132"/>
        <v>B191090</v>
      </c>
      <c r="K496" t="str">
        <f t="shared" si="133"/>
        <v>INEI</v>
      </c>
      <c r="L496" t="s">
        <v>222</v>
      </c>
      <c r="M496" s="2">
        <v>3426.05</v>
      </c>
    </row>
    <row r="497" spans="1:13" x14ac:dyDescent="0.25">
      <c r="A497" t="str">
        <f>"E242"</f>
        <v>E242</v>
      </c>
      <c r="B497">
        <v>1</v>
      </c>
      <c r="C497" t="str">
        <f>"10200"</f>
        <v>10200</v>
      </c>
      <c r="D497" t="str">
        <f>"5620"</f>
        <v>5620</v>
      </c>
      <c r="E497" t="str">
        <f>"094OMS"</f>
        <v>094OMS</v>
      </c>
      <c r="F497" t="str">
        <f>""</f>
        <v/>
      </c>
      <c r="G497" t="str">
        <f>""</f>
        <v/>
      </c>
      <c r="H497" s="1">
        <v>41060</v>
      </c>
      <c r="I497" t="str">
        <f>"PCD00536"</f>
        <v>PCD00536</v>
      </c>
      <c r="J497" t="str">
        <f>"169241"</f>
        <v>169241</v>
      </c>
      <c r="K497" t="str">
        <f>"AS89"</f>
        <v>AS89</v>
      </c>
      <c r="L497" t="s">
        <v>1725</v>
      </c>
      <c r="M497">
        <v>152.31</v>
      </c>
    </row>
    <row r="498" spans="1:13" x14ac:dyDescent="0.25">
      <c r="A498" t="str">
        <f>"E242"</f>
        <v>E242</v>
      </c>
      <c r="B498">
        <v>1</v>
      </c>
      <c r="C498" t="str">
        <f>"43003"</f>
        <v>43003</v>
      </c>
      <c r="D498" t="str">
        <f>"5740"</f>
        <v>5740</v>
      </c>
      <c r="E498" t="str">
        <f>"850LOS"</f>
        <v>850LOS</v>
      </c>
      <c r="F498" t="str">
        <f>""</f>
        <v/>
      </c>
      <c r="G498" t="str">
        <f>""</f>
        <v/>
      </c>
      <c r="H498" s="1">
        <v>41009</v>
      </c>
      <c r="I498" t="str">
        <f>"PCD00527"</f>
        <v>PCD00527</v>
      </c>
      <c r="J498" t="str">
        <f>"165396"</f>
        <v>165396</v>
      </c>
      <c r="K498" t="str">
        <f>"AS89"</f>
        <v>AS89</v>
      </c>
      <c r="L498" t="s">
        <v>1723</v>
      </c>
      <c r="M498">
        <v>165.43</v>
      </c>
    </row>
    <row r="499" spans="1:13" x14ac:dyDescent="0.25">
      <c r="A499" t="str">
        <f t="shared" ref="A499:A512" si="134">"E247"</f>
        <v>E247</v>
      </c>
      <c r="B499">
        <v>1</v>
      </c>
      <c r="C499" t="str">
        <f t="shared" ref="C499:C512" si="135">"10200"</f>
        <v>10200</v>
      </c>
      <c r="D499" t="str">
        <f t="shared" ref="D499:D512" si="136">"5620"</f>
        <v>5620</v>
      </c>
      <c r="E499" t="str">
        <f t="shared" ref="E499:E512" si="137">"094OMS"</f>
        <v>094OMS</v>
      </c>
      <c r="F499" t="str">
        <f>""</f>
        <v/>
      </c>
      <c r="G499" t="str">
        <f>""</f>
        <v/>
      </c>
      <c r="H499" s="1">
        <v>40765</v>
      </c>
      <c r="I499" t="str">
        <f>"I0101633"</f>
        <v>I0101633</v>
      </c>
      <c r="J499" t="str">
        <f t="shared" ref="J499:J512" si="138">"N125301D"</f>
        <v>N125301D</v>
      </c>
      <c r="K499" t="str">
        <f t="shared" ref="K499:K512" si="139">"INEI"</f>
        <v>INEI</v>
      </c>
      <c r="L499" t="s">
        <v>838</v>
      </c>
      <c r="M499">
        <v>289.7</v>
      </c>
    </row>
    <row r="500" spans="1:13" x14ac:dyDescent="0.25">
      <c r="A500" t="str">
        <f t="shared" si="134"/>
        <v>E247</v>
      </c>
      <c r="B500">
        <v>1</v>
      </c>
      <c r="C500" t="str">
        <f t="shared" si="135"/>
        <v>10200</v>
      </c>
      <c r="D500" t="str">
        <f t="shared" si="136"/>
        <v>5620</v>
      </c>
      <c r="E500" t="str">
        <f t="shared" si="137"/>
        <v>094OMS</v>
      </c>
      <c r="F500" t="str">
        <f>""</f>
        <v/>
      </c>
      <c r="G500" t="str">
        <f>""</f>
        <v/>
      </c>
      <c r="H500" s="1">
        <v>40798</v>
      </c>
      <c r="I500" t="str">
        <f>"I0101905"</f>
        <v>I0101905</v>
      </c>
      <c r="J500" t="str">
        <f t="shared" si="138"/>
        <v>N125301D</v>
      </c>
      <c r="K500" t="str">
        <f t="shared" si="139"/>
        <v>INEI</v>
      </c>
      <c r="L500" t="s">
        <v>838</v>
      </c>
      <c r="M500">
        <v>269.02</v>
      </c>
    </row>
    <row r="501" spans="1:13" x14ac:dyDescent="0.25">
      <c r="A501" t="str">
        <f t="shared" si="134"/>
        <v>E247</v>
      </c>
      <c r="B501">
        <v>1</v>
      </c>
      <c r="C501" t="str">
        <f t="shared" si="135"/>
        <v>10200</v>
      </c>
      <c r="D501" t="str">
        <f t="shared" si="136"/>
        <v>5620</v>
      </c>
      <c r="E501" t="str">
        <f t="shared" si="137"/>
        <v>094OMS</v>
      </c>
      <c r="F501" t="str">
        <f>""</f>
        <v/>
      </c>
      <c r="G501" t="str">
        <f>""</f>
        <v/>
      </c>
      <c r="H501" s="1">
        <v>40822</v>
      </c>
      <c r="I501" t="str">
        <f>"I0102097"</f>
        <v>I0102097</v>
      </c>
      <c r="J501" t="str">
        <f t="shared" si="138"/>
        <v>N125301D</v>
      </c>
      <c r="K501" t="str">
        <f t="shared" si="139"/>
        <v>INEI</v>
      </c>
      <c r="L501" t="s">
        <v>838</v>
      </c>
      <c r="M501">
        <v>384.09</v>
      </c>
    </row>
    <row r="502" spans="1:13" x14ac:dyDescent="0.25">
      <c r="A502" t="str">
        <f t="shared" si="134"/>
        <v>E247</v>
      </c>
      <c r="B502">
        <v>1</v>
      </c>
      <c r="C502" t="str">
        <f t="shared" si="135"/>
        <v>10200</v>
      </c>
      <c r="D502" t="str">
        <f t="shared" si="136"/>
        <v>5620</v>
      </c>
      <c r="E502" t="str">
        <f t="shared" si="137"/>
        <v>094OMS</v>
      </c>
      <c r="F502" t="str">
        <f>""</f>
        <v/>
      </c>
      <c r="G502" t="str">
        <f>""</f>
        <v/>
      </c>
      <c r="H502" s="1">
        <v>40849</v>
      </c>
      <c r="I502" t="str">
        <f>"I0102277"</f>
        <v>I0102277</v>
      </c>
      <c r="J502" t="str">
        <f t="shared" si="138"/>
        <v>N125301D</v>
      </c>
      <c r="K502" t="str">
        <f t="shared" si="139"/>
        <v>INEI</v>
      </c>
      <c r="L502" t="s">
        <v>838</v>
      </c>
      <c r="M502">
        <v>290.83999999999997</v>
      </c>
    </row>
    <row r="503" spans="1:13" x14ac:dyDescent="0.25">
      <c r="A503" t="str">
        <f t="shared" si="134"/>
        <v>E247</v>
      </c>
      <c r="B503">
        <v>1</v>
      </c>
      <c r="C503" t="str">
        <f t="shared" si="135"/>
        <v>10200</v>
      </c>
      <c r="D503" t="str">
        <f t="shared" si="136"/>
        <v>5620</v>
      </c>
      <c r="E503" t="str">
        <f t="shared" si="137"/>
        <v>094OMS</v>
      </c>
      <c r="F503" t="str">
        <f>""</f>
        <v/>
      </c>
      <c r="G503" t="str">
        <f>""</f>
        <v/>
      </c>
      <c r="H503" s="1">
        <v>40884</v>
      </c>
      <c r="I503" t="str">
        <f>"I0102472"</f>
        <v>I0102472</v>
      </c>
      <c r="J503" t="str">
        <f t="shared" si="138"/>
        <v>N125301D</v>
      </c>
      <c r="K503" t="str">
        <f t="shared" si="139"/>
        <v>INEI</v>
      </c>
      <c r="L503" t="s">
        <v>838</v>
      </c>
      <c r="M503">
        <v>289.10000000000002</v>
      </c>
    </row>
    <row r="504" spans="1:13" x14ac:dyDescent="0.25">
      <c r="A504" t="str">
        <f t="shared" si="134"/>
        <v>E247</v>
      </c>
      <c r="B504">
        <v>1</v>
      </c>
      <c r="C504" t="str">
        <f t="shared" si="135"/>
        <v>10200</v>
      </c>
      <c r="D504" t="str">
        <f t="shared" si="136"/>
        <v>5620</v>
      </c>
      <c r="E504" t="str">
        <f t="shared" si="137"/>
        <v>094OMS</v>
      </c>
      <c r="F504" t="str">
        <f>""</f>
        <v/>
      </c>
      <c r="G504" t="str">
        <f>""</f>
        <v/>
      </c>
      <c r="H504" s="1">
        <v>40884</v>
      </c>
      <c r="I504" t="str">
        <f>"I0102472"</f>
        <v>I0102472</v>
      </c>
      <c r="J504" t="str">
        <f t="shared" si="138"/>
        <v>N125301D</v>
      </c>
      <c r="K504" t="str">
        <f t="shared" si="139"/>
        <v>INEI</v>
      </c>
      <c r="L504" t="s">
        <v>838</v>
      </c>
      <c r="M504">
        <v>289.10000000000002</v>
      </c>
    </row>
    <row r="505" spans="1:13" x14ac:dyDescent="0.25">
      <c r="A505" t="str">
        <f t="shared" si="134"/>
        <v>E247</v>
      </c>
      <c r="B505">
        <v>1</v>
      </c>
      <c r="C505" t="str">
        <f t="shared" si="135"/>
        <v>10200</v>
      </c>
      <c r="D505" t="str">
        <f t="shared" si="136"/>
        <v>5620</v>
      </c>
      <c r="E505" t="str">
        <f t="shared" si="137"/>
        <v>094OMS</v>
      </c>
      <c r="F505" t="str">
        <f>""</f>
        <v/>
      </c>
      <c r="G505" t="str">
        <f>""</f>
        <v/>
      </c>
      <c r="H505" s="1">
        <v>40913</v>
      </c>
      <c r="I505" t="str">
        <f>"I0102707"</f>
        <v>I0102707</v>
      </c>
      <c r="J505" t="str">
        <f t="shared" si="138"/>
        <v>N125301D</v>
      </c>
      <c r="K505" t="str">
        <f t="shared" si="139"/>
        <v>INEI</v>
      </c>
      <c r="L505" t="s">
        <v>838</v>
      </c>
      <c r="M505">
        <v>306.39999999999998</v>
      </c>
    </row>
    <row r="506" spans="1:13" x14ac:dyDescent="0.25">
      <c r="A506" t="str">
        <f t="shared" si="134"/>
        <v>E247</v>
      </c>
      <c r="B506">
        <v>1</v>
      </c>
      <c r="C506" t="str">
        <f t="shared" si="135"/>
        <v>10200</v>
      </c>
      <c r="D506" t="str">
        <f t="shared" si="136"/>
        <v>5620</v>
      </c>
      <c r="E506" t="str">
        <f t="shared" si="137"/>
        <v>094OMS</v>
      </c>
      <c r="F506" t="str">
        <f>""</f>
        <v/>
      </c>
      <c r="G506" t="str">
        <f>""</f>
        <v/>
      </c>
      <c r="H506" s="1">
        <v>40953</v>
      </c>
      <c r="I506" t="str">
        <f>"I0102926"</f>
        <v>I0102926</v>
      </c>
      <c r="J506" t="str">
        <f t="shared" si="138"/>
        <v>N125301D</v>
      </c>
      <c r="K506" t="str">
        <f t="shared" si="139"/>
        <v>INEI</v>
      </c>
      <c r="L506" t="s">
        <v>838</v>
      </c>
      <c r="M506">
        <v>455.94</v>
      </c>
    </row>
    <row r="507" spans="1:13" x14ac:dyDescent="0.25">
      <c r="A507" t="str">
        <f t="shared" si="134"/>
        <v>E247</v>
      </c>
      <c r="B507">
        <v>1</v>
      </c>
      <c r="C507" t="str">
        <f t="shared" si="135"/>
        <v>10200</v>
      </c>
      <c r="D507" t="str">
        <f t="shared" si="136"/>
        <v>5620</v>
      </c>
      <c r="E507" t="str">
        <f t="shared" si="137"/>
        <v>094OMS</v>
      </c>
      <c r="F507" t="str">
        <f>""</f>
        <v/>
      </c>
      <c r="G507" t="str">
        <f>""</f>
        <v/>
      </c>
      <c r="H507" s="1">
        <v>40975</v>
      </c>
      <c r="I507" t="str">
        <f>"I0103076"</f>
        <v>I0103076</v>
      </c>
      <c r="J507" t="str">
        <f t="shared" si="138"/>
        <v>N125301D</v>
      </c>
      <c r="K507" t="str">
        <f t="shared" si="139"/>
        <v>INEI</v>
      </c>
      <c r="L507" t="s">
        <v>838</v>
      </c>
      <c r="M507">
        <v>266.06</v>
      </c>
    </row>
    <row r="508" spans="1:13" x14ac:dyDescent="0.25">
      <c r="A508" t="str">
        <f t="shared" si="134"/>
        <v>E247</v>
      </c>
      <c r="B508">
        <v>1</v>
      </c>
      <c r="C508" t="str">
        <f t="shared" si="135"/>
        <v>10200</v>
      </c>
      <c r="D508" t="str">
        <f t="shared" si="136"/>
        <v>5620</v>
      </c>
      <c r="E508" t="str">
        <f t="shared" si="137"/>
        <v>094OMS</v>
      </c>
      <c r="F508" t="str">
        <f>""</f>
        <v/>
      </c>
      <c r="G508" t="str">
        <f>""</f>
        <v/>
      </c>
      <c r="H508" s="1">
        <v>40975</v>
      </c>
      <c r="I508" t="str">
        <f>"I0103076"</f>
        <v>I0103076</v>
      </c>
      <c r="J508" t="str">
        <f t="shared" si="138"/>
        <v>N125301D</v>
      </c>
      <c r="K508" t="str">
        <f t="shared" si="139"/>
        <v>INEI</v>
      </c>
      <c r="L508" t="s">
        <v>838</v>
      </c>
      <c r="M508">
        <v>266.06</v>
      </c>
    </row>
    <row r="509" spans="1:13" x14ac:dyDescent="0.25">
      <c r="A509" t="str">
        <f t="shared" si="134"/>
        <v>E247</v>
      </c>
      <c r="B509">
        <v>1</v>
      </c>
      <c r="C509" t="str">
        <f t="shared" si="135"/>
        <v>10200</v>
      </c>
      <c r="D509" t="str">
        <f t="shared" si="136"/>
        <v>5620</v>
      </c>
      <c r="E509" t="str">
        <f t="shared" si="137"/>
        <v>094OMS</v>
      </c>
      <c r="F509" t="str">
        <f>""</f>
        <v/>
      </c>
      <c r="G509" t="str">
        <f>""</f>
        <v/>
      </c>
      <c r="H509" s="1">
        <v>41004</v>
      </c>
      <c r="I509" t="str">
        <f>"I0103244"</f>
        <v>I0103244</v>
      </c>
      <c r="J509" t="str">
        <f t="shared" si="138"/>
        <v>N125301D</v>
      </c>
      <c r="K509" t="str">
        <f t="shared" si="139"/>
        <v>INEI</v>
      </c>
      <c r="L509" t="s">
        <v>838</v>
      </c>
      <c r="M509">
        <v>341.39</v>
      </c>
    </row>
    <row r="510" spans="1:13" x14ac:dyDescent="0.25">
      <c r="A510" t="str">
        <f t="shared" si="134"/>
        <v>E247</v>
      </c>
      <c r="B510">
        <v>1</v>
      </c>
      <c r="C510" t="str">
        <f t="shared" si="135"/>
        <v>10200</v>
      </c>
      <c r="D510" t="str">
        <f t="shared" si="136"/>
        <v>5620</v>
      </c>
      <c r="E510" t="str">
        <f t="shared" si="137"/>
        <v>094OMS</v>
      </c>
      <c r="F510" t="str">
        <f>""</f>
        <v/>
      </c>
      <c r="G510" t="str">
        <f>""</f>
        <v/>
      </c>
      <c r="H510" s="1">
        <v>41033</v>
      </c>
      <c r="I510" t="str">
        <f>"I0103527"</f>
        <v>I0103527</v>
      </c>
      <c r="J510" t="str">
        <f t="shared" si="138"/>
        <v>N125301D</v>
      </c>
      <c r="K510" t="str">
        <f t="shared" si="139"/>
        <v>INEI</v>
      </c>
      <c r="L510" t="s">
        <v>838</v>
      </c>
      <c r="M510">
        <v>357.27</v>
      </c>
    </row>
    <row r="511" spans="1:13" x14ac:dyDescent="0.25">
      <c r="A511" t="str">
        <f t="shared" si="134"/>
        <v>E247</v>
      </c>
      <c r="B511">
        <v>1</v>
      </c>
      <c r="C511" t="str">
        <f t="shared" si="135"/>
        <v>10200</v>
      </c>
      <c r="D511" t="str">
        <f t="shared" si="136"/>
        <v>5620</v>
      </c>
      <c r="E511" t="str">
        <f t="shared" si="137"/>
        <v>094OMS</v>
      </c>
      <c r="F511" t="str">
        <f>""</f>
        <v/>
      </c>
      <c r="G511" t="str">
        <f>""</f>
        <v/>
      </c>
      <c r="H511" s="1">
        <v>41066</v>
      </c>
      <c r="I511" t="str">
        <f>"I0103714"</f>
        <v>I0103714</v>
      </c>
      <c r="J511" t="str">
        <f t="shared" si="138"/>
        <v>N125301D</v>
      </c>
      <c r="K511" t="str">
        <f t="shared" si="139"/>
        <v>INEI</v>
      </c>
      <c r="L511" t="s">
        <v>838</v>
      </c>
      <c r="M511">
        <v>468.34</v>
      </c>
    </row>
    <row r="512" spans="1:13" x14ac:dyDescent="0.25">
      <c r="A512" t="str">
        <f t="shared" si="134"/>
        <v>E247</v>
      </c>
      <c r="B512">
        <v>1</v>
      </c>
      <c r="C512" t="str">
        <f t="shared" si="135"/>
        <v>10200</v>
      </c>
      <c r="D512" t="str">
        <f t="shared" si="136"/>
        <v>5620</v>
      </c>
      <c r="E512" t="str">
        <f t="shared" si="137"/>
        <v>094OMS</v>
      </c>
      <c r="F512" t="str">
        <f>""</f>
        <v/>
      </c>
      <c r="G512" t="str">
        <f>""</f>
        <v/>
      </c>
      <c r="H512" s="1">
        <v>41090</v>
      </c>
      <c r="I512" t="str">
        <f>"I0103933"</f>
        <v>I0103933</v>
      </c>
      <c r="J512" t="str">
        <f t="shared" si="138"/>
        <v>N125301D</v>
      </c>
      <c r="K512" t="str">
        <f t="shared" si="139"/>
        <v>INEI</v>
      </c>
      <c r="L512" t="s">
        <v>838</v>
      </c>
      <c r="M512">
        <v>370.29</v>
      </c>
    </row>
    <row r="513" spans="1:13" x14ac:dyDescent="0.25">
      <c r="A513" t="str">
        <f>"E255"</f>
        <v>E255</v>
      </c>
      <c r="B513">
        <v>1</v>
      </c>
      <c r="C513" t="str">
        <f>"32040"</f>
        <v>32040</v>
      </c>
      <c r="D513" t="str">
        <f>"5610"</f>
        <v>5610</v>
      </c>
      <c r="E513" t="str">
        <f t="shared" ref="E513:E518" si="140">"850LOS"</f>
        <v>850LOS</v>
      </c>
      <c r="F513" t="str">
        <f>""</f>
        <v/>
      </c>
      <c r="G513" t="str">
        <f>""</f>
        <v/>
      </c>
      <c r="H513" s="1">
        <v>40877</v>
      </c>
      <c r="I513" t="str">
        <f>"PCD00510"</f>
        <v>PCD00510</v>
      </c>
      <c r="J513" t="str">
        <f>"155510"</f>
        <v>155510</v>
      </c>
      <c r="K513" t="str">
        <f t="shared" ref="K513:K526" si="141">"AS89"</f>
        <v>AS89</v>
      </c>
      <c r="L513" t="s">
        <v>1722</v>
      </c>
      <c r="M513">
        <v>153.22</v>
      </c>
    </row>
    <row r="514" spans="1:13" x14ac:dyDescent="0.25">
      <c r="A514" t="str">
        <f>"E255"</f>
        <v>E255</v>
      </c>
      <c r="B514">
        <v>1</v>
      </c>
      <c r="C514" t="str">
        <f>"32040"</f>
        <v>32040</v>
      </c>
      <c r="D514" t="str">
        <f>"5610"</f>
        <v>5610</v>
      </c>
      <c r="E514" t="str">
        <f t="shared" si="140"/>
        <v>850LOS</v>
      </c>
      <c r="F514" t="str">
        <f>""</f>
        <v/>
      </c>
      <c r="G514" t="str">
        <f>""</f>
        <v/>
      </c>
      <c r="H514" s="1">
        <v>40877</v>
      </c>
      <c r="I514" t="str">
        <f>"PCD00510"</f>
        <v>PCD00510</v>
      </c>
      <c r="J514" t="str">
        <f>"155643"</f>
        <v>155643</v>
      </c>
      <c r="K514" t="str">
        <f t="shared" si="141"/>
        <v>AS89</v>
      </c>
      <c r="L514" t="s">
        <v>1721</v>
      </c>
      <c r="M514">
        <v>454.99</v>
      </c>
    </row>
    <row r="515" spans="1:13" x14ac:dyDescent="0.25">
      <c r="A515" t="str">
        <f>"E255"</f>
        <v>E255</v>
      </c>
      <c r="B515">
        <v>1</v>
      </c>
      <c r="C515" t="str">
        <f>"43000"</f>
        <v>43000</v>
      </c>
      <c r="D515" t="str">
        <f>"5740"</f>
        <v>5740</v>
      </c>
      <c r="E515" t="str">
        <f t="shared" si="140"/>
        <v>850LOS</v>
      </c>
      <c r="F515" t="str">
        <f>"PKOLOT"</f>
        <v>PKOLOT</v>
      </c>
      <c r="G515" t="str">
        <f>""</f>
        <v/>
      </c>
      <c r="H515" s="1">
        <v>40816</v>
      </c>
      <c r="I515" t="str">
        <f>"PCD00502"</f>
        <v>PCD00502</v>
      </c>
      <c r="J515" t="str">
        <f>"151681"</f>
        <v>151681</v>
      </c>
      <c r="K515" t="str">
        <f t="shared" si="141"/>
        <v>AS89</v>
      </c>
      <c r="L515" t="s">
        <v>1720</v>
      </c>
      <c r="M515">
        <v>217.58</v>
      </c>
    </row>
    <row r="516" spans="1:13" x14ac:dyDescent="0.25">
      <c r="A516" t="str">
        <f>"E255"</f>
        <v>E255</v>
      </c>
      <c r="B516">
        <v>1</v>
      </c>
      <c r="C516" t="str">
        <f>"43000"</f>
        <v>43000</v>
      </c>
      <c r="D516" t="str">
        <f>"5740"</f>
        <v>5740</v>
      </c>
      <c r="E516" t="str">
        <f t="shared" si="140"/>
        <v>850LOS</v>
      </c>
      <c r="F516" t="str">
        <f>""</f>
        <v/>
      </c>
      <c r="G516" t="str">
        <f>""</f>
        <v/>
      </c>
      <c r="H516" s="1">
        <v>40877</v>
      </c>
      <c r="I516" t="str">
        <f>"PCD00510"</f>
        <v>PCD00510</v>
      </c>
      <c r="J516" t="str">
        <f>"155517"</f>
        <v>155517</v>
      </c>
      <c r="K516" t="str">
        <f t="shared" si="141"/>
        <v>AS89</v>
      </c>
      <c r="L516" t="s">
        <v>1719</v>
      </c>
      <c r="M516">
        <v>173.9</v>
      </c>
    </row>
    <row r="517" spans="1:13" x14ac:dyDescent="0.25">
      <c r="A517" t="str">
        <f>"E255"</f>
        <v>E255</v>
      </c>
      <c r="B517">
        <v>1</v>
      </c>
      <c r="C517" t="str">
        <f>"43000"</f>
        <v>43000</v>
      </c>
      <c r="D517" t="str">
        <f>"5740"</f>
        <v>5740</v>
      </c>
      <c r="E517" t="str">
        <f t="shared" si="140"/>
        <v>850LOS</v>
      </c>
      <c r="F517" t="str">
        <f>""</f>
        <v/>
      </c>
      <c r="G517" t="str">
        <f>""</f>
        <v/>
      </c>
      <c r="H517" s="1">
        <v>40939</v>
      </c>
      <c r="I517" t="str">
        <f>"PCD00517"</f>
        <v>PCD00517</v>
      </c>
      <c r="J517" t="str">
        <f>"159917"</f>
        <v>159917</v>
      </c>
      <c r="K517" t="str">
        <f t="shared" si="141"/>
        <v>AS89</v>
      </c>
      <c r="L517" t="s">
        <v>1718</v>
      </c>
      <c r="M517">
        <v>172.29</v>
      </c>
    </row>
    <row r="518" spans="1:13" x14ac:dyDescent="0.25">
      <c r="A518" t="str">
        <f>"E256"</f>
        <v>E256</v>
      </c>
      <c r="B518">
        <v>1</v>
      </c>
      <c r="C518" t="str">
        <f>"43000"</f>
        <v>43000</v>
      </c>
      <c r="D518" t="str">
        <f>"5740"</f>
        <v>5740</v>
      </c>
      <c r="E518" t="str">
        <f t="shared" si="140"/>
        <v>850LOS</v>
      </c>
      <c r="F518" t="str">
        <f>"PKOLOT"</f>
        <v>PKOLOT</v>
      </c>
      <c r="G518" t="str">
        <f>""</f>
        <v/>
      </c>
      <c r="H518" s="1">
        <v>40785</v>
      </c>
      <c r="I518" t="str">
        <f>"PCD00498"</f>
        <v>PCD00498</v>
      </c>
      <c r="J518" t="str">
        <f>"150450"</f>
        <v>150450</v>
      </c>
      <c r="K518" t="str">
        <f t="shared" si="141"/>
        <v>AS89</v>
      </c>
      <c r="L518" t="s">
        <v>1717</v>
      </c>
      <c r="M518">
        <v>136.94999999999999</v>
      </c>
    </row>
    <row r="519" spans="1:13" x14ac:dyDescent="0.25">
      <c r="A519" t="str">
        <f t="shared" ref="A519:A535" si="142">"E257"</f>
        <v>E257</v>
      </c>
      <c r="B519">
        <v>1</v>
      </c>
      <c r="C519" t="str">
        <f t="shared" ref="C519:C532" si="143">"10200"</f>
        <v>10200</v>
      </c>
      <c r="D519" t="str">
        <f t="shared" ref="D519:D533" si="144">"5620"</f>
        <v>5620</v>
      </c>
      <c r="E519" t="str">
        <f t="shared" ref="E519:E533" si="145">"094OMS"</f>
        <v>094OMS</v>
      </c>
      <c r="F519" t="str">
        <f>""</f>
        <v/>
      </c>
      <c r="G519" t="str">
        <f>""</f>
        <v/>
      </c>
      <c r="H519" s="1">
        <v>40785</v>
      </c>
      <c r="I519" t="str">
        <f>"PCD00498"</f>
        <v>PCD00498</v>
      </c>
      <c r="J519" t="str">
        <f>"149765"</f>
        <v>149765</v>
      </c>
      <c r="K519" t="str">
        <f t="shared" si="141"/>
        <v>AS89</v>
      </c>
      <c r="L519" t="s">
        <v>1716</v>
      </c>
      <c r="M519">
        <v>270.07</v>
      </c>
    </row>
    <row r="520" spans="1:13" x14ac:dyDescent="0.25">
      <c r="A520" t="str">
        <f t="shared" si="142"/>
        <v>E257</v>
      </c>
      <c r="B520">
        <v>1</v>
      </c>
      <c r="C520" t="str">
        <f t="shared" si="143"/>
        <v>10200</v>
      </c>
      <c r="D520" t="str">
        <f t="shared" si="144"/>
        <v>5620</v>
      </c>
      <c r="E520" t="str">
        <f t="shared" si="145"/>
        <v>094OMS</v>
      </c>
      <c r="F520" t="str">
        <f>""</f>
        <v/>
      </c>
      <c r="G520" t="str">
        <f>""</f>
        <v/>
      </c>
      <c r="H520" s="1">
        <v>40816</v>
      </c>
      <c r="I520" t="str">
        <f>"PCD00502"</f>
        <v>PCD00502</v>
      </c>
      <c r="J520" t="str">
        <f>"151577"</f>
        <v>151577</v>
      </c>
      <c r="K520" t="str">
        <f t="shared" si="141"/>
        <v>AS89</v>
      </c>
      <c r="L520" t="s">
        <v>1715</v>
      </c>
      <c r="M520">
        <v>120.93</v>
      </c>
    </row>
    <row r="521" spans="1:13" x14ac:dyDescent="0.25">
      <c r="A521" t="str">
        <f t="shared" si="142"/>
        <v>E257</v>
      </c>
      <c r="B521">
        <v>1</v>
      </c>
      <c r="C521" t="str">
        <f t="shared" si="143"/>
        <v>10200</v>
      </c>
      <c r="D521" t="str">
        <f t="shared" si="144"/>
        <v>5620</v>
      </c>
      <c r="E521" t="str">
        <f t="shared" si="145"/>
        <v>094OMS</v>
      </c>
      <c r="F521" t="str">
        <f>""</f>
        <v/>
      </c>
      <c r="G521" t="str">
        <f>""</f>
        <v/>
      </c>
      <c r="H521" s="1">
        <v>40847</v>
      </c>
      <c r="I521" t="str">
        <f>"PCD00508"</f>
        <v>PCD00508</v>
      </c>
      <c r="J521" t="str">
        <f>"153612"</f>
        <v>153612</v>
      </c>
      <c r="K521" t="str">
        <f t="shared" si="141"/>
        <v>AS89</v>
      </c>
      <c r="L521" t="s">
        <v>1714</v>
      </c>
      <c r="M521">
        <v>661.85</v>
      </c>
    </row>
    <row r="522" spans="1:13" x14ac:dyDescent="0.25">
      <c r="A522" t="str">
        <f t="shared" si="142"/>
        <v>E257</v>
      </c>
      <c r="B522">
        <v>1</v>
      </c>
      <c r="C522" t="str">
        <f t="shared" si="143"/>
        <v>10200</v>
      </c>
      <c r="D522" t="str">
        <f t="shared" si="144"/>
        <v>5620</v>
      </c>
      <c r="E522" t="str">
        <f t="shared" si="145"/>
        <v>094OMS</v>
      </c>
      <c r="F522" t="str">
        <f>""</f>
        <v/>
      </c>
      <c r="G522" t="str">
        <f>""</f>
        <v/>
      </c>
      <c r="H522" s="1">
        <v>40847</v>
      </c>
      <c r="I522" t="str">
        <f>"PCD00508"</f>
        <v>PCD00508</v>
      </c>
      <c r="J522" t="str">
        <f>"153613"</f>
        <v>153613</v>
      </c>
      <c r="K522" t="str">
        <f t="shared" si="141"/>
        <v>AS89</v>
      </c>
      <c r="L522" t="s">
        <v>1714</v>
      </c>
      <c r="M522">
        <v>702.09</v>
      </c>
    </row>
    <row r="523" spans="1:13" x14ac:dyDescent="0.25">
      <c r="A523" t="str">
        <f t="shared" si="142"/>
        <v>E257</v>
      </c>
      <c r="B523">
        <v>1</v>
      </c>
      <c r="C523" t="str">
        <f t="shared" si="143"/>
        <v>10200</v>
      </c>
      <c r="D523" t="str">
        <f t="shared" si="144"/>
        <v>5620</v>
      </c>
      <c r="E523" t="str">
        <f t="shared" si="145"/>
        <v>094OMS</v>
      </c>
      <c r="F523" t="str">
        <f>""</f>
        <v/>
      </c>
      <c r="G523" t="str">
        <f>""</f>
        <v/>
      </c>
      <c r="H523" s="1">
        <v>40847</v>
      </c>
      <c r="I523" t="str">
        <f>"PCD00508"</f>
        <v>PCD00508</v>
      </c>
      <c r="J523" t="str">
        <f>"154893"</f>
        <v>154893</v>
      </c>
      <c r="K523" t="str">
        <f t="shared" si="141"/>
        <v>AS89</v>
      </c>
      <c r="L523" t="s">
        <v>1713</v>
      </c>
      <c r="M523">
        <v>194.03</v>
      </c>
    </row>
    <row r="524" spans="1:13" x14ac:dyDescent="0.25">
      <c r="A524" t="str">
        <f t="shared" si="142"/>
        <v>E257</v>
      </c>
      <c r="B524">
        <v>1</v>
      </c>
      <c r="C524" t="str">
        <f t="shared" si="143"/>
        <v>10200</v>
      </c>
      <c r="D524" t="str">
        <f t="shared" si="144"/>
        <v>5620</v>
      </c>
      <c r="E524" t="str">
        <f t="shared" si="145"/>
        <v>094OMS</v>
      </c>
      <c r="F524" t="str">
        <f>""</f>
        <v/>
      </c>
      <c r="G524" t="str">
        <f>""</f>
        <v/>
      </c>
      <c r="H524" s="1">
        <v>40911</v>
      </c>
      <c r="I524" t="str">
        <f>"PCD00513"</f>
        <v>PCD00513</v>
      </c>
      <c r="J524" t="str">
        <f>"157081"</f>
        <v>157081</v>
      </c>
      <c r="K524" t="str">
        <f t="shared" si="141"/>
        <v>AS89</v>
      </c>
      <c r="L524" t="s">
        <v>1712</v>
      </c>
      <c r="M524">
        <v>773.88</v>
      </c>
    </row>
    <row r="525" spans="1:13" x14ac:dyDescent="0.25">
      <c r="A525" t="str">
        <f t="shared" si="142"/>
        <v>E257</v>
      </c>
      <c r="B525">
        <v>1</v>
      </c>
      <c r="C525" t="str">
        <f t="shared" si="143"/>
        <v>10200</v>
      </c>
      <c r="D525" t="str">
        <f t="shared" si="144"/>
        <v>5620</v>
      </c>
      <c r="E525" t="str">
        <f t="shared" si="145"/>
        <v>094OMS</v>
      </c>
      <c r="F525" t="str">
        <f>""</f>
        <v/>
      </c>
      <c r="G525" t="str">
        <f>""</f>
        <v/>
      </c>
      <c r="H525" s="1">
        <v>40911</v>
      </c>
      <c r="I525" t="str">
        <f>"PCD00513"</f>
        <v>PCD00513</v>
      </c>
      <c r="J525" t="str">
        <f>"157082"</f>
        <v>157082</v>
      </c>
      <c r="K525" t="str">
        <f t="shared" si="141"/>
        <v>AS89</v>
      </c>
      <c r="L525" t="s">
        <v>1712</v>
      </c>
      <c r="M525">
        <v>916.36</v>
      </c>
    </row>
    <row r="526" spans="1:13" x14ac:dyDescent="0.25">
      <c r="A526" t="str">
        <f t="shared" si="142"/>
        <v>E257</v>
      </c>
      <c r="B526">
        <v>1</v>
      </c>
      <c r="C526" t="str">
        <f t="shared" si="143"/>
        <v>10200</v>
      </c>
      <c r="D526" t="str">
        <f t="shared" si="144"/>
        <v>5620</v>
      </c>
      <c r="E526" t="str">
        <f t="shared" si="145"/>
        <v>094OMS</v>
      </c>
      <c r="F526" t="str">
        <f>""</f>
        <v/>
      </c>
      <c r="G526" t="str">
        <f>""</f>
        <v/>
      </c>
      <c r="H526" s="1">
        <v>40911</v>
      </c>
      <c r="I526" t="str">
        <f>"PCD00513"</f>
        <v>PCD00513</v>
      </c>
      <c r="J526" t="str">
        <f>"157083"</f>
        <v>157083</v>
      </c>
      <c r="K526" t="str">
        <f t="shared" si="141"/>
        <v>AS89</v>
      </c>
      <c r="L526" t="s">
        <v>1712</v>
      </c>
      <c r="M526">
        <v>963.45</v>
      </c>
    </row>
    <row r="527" spans="1:13" x14ac:dyDescent="0.25">
      <c r="A527" t="str">
        <f t="shared" si="142"/>
        <v>E257</v>
      </c>
      <c r="B527">
        <v>1</v>
      </c>
      <c r="C527" t="str">
        <f t="shared" si="143"/>
        <v>10200</v>
      </c>
      <c r="D527" t="str">
        <f t="shared" si="144"/>
        <v>5620</v>
      </c>
      <c r="E527" t="str">
        <f t="shared" si="145"/>
        <v>094OMS</v>
      </c>
      <c r="F527" t="str">
        <f>""</f>
        <v/>
      </c>
      <c r="G527" t="str">
        <f>""</f>
        <v/>
      </c>
      <c r="H527" s="1">
        <v>40956</v>
      </c>
      <c r="I527" t="str">
        <f>"188871"</f>
        <v>188871</v>
      </c>
      <c r="J527" t="str">
        <f>""</f>
        <v/>
      </c>
      <c r="K527" t="str">
        <f>"INNI"</f>
        <v>INNI</v>
      </c>
      <c r="L527" t="s">
        <v>280</v>
      </c>
      <c r="M527" s="2">
        <v>1293.97</v>
      </c>
    </row>
    <row r="528" spans="1:13" x14ac:dyDescent="0.25">
      <c r="A528" t="str">
        <f t="shared" si="142"/>
        <v>E257</v>
      </c>
      <c r="B528">
        <v>1</v>
      </c>
      <c r="C528" t="str">
        <f t="shared" si="143"/>
        <v>10200</v>
      </c>
      <c r="D528" t="str">
        <f t="shared" si="144"/>
        <v>5620</v>
      </c>
      <c r="E528" t="str">
        <f t="shared" si="145"/>
        <v>094OMS</v>
      </c>
      <c r="F528" t="str">
        <f>""</f>
        <v/>
      </c>
      <c r="G528" t="str">
        <f>""</f>
        <v/>
      </c>
      <c r="H528" s="1">
        <v>40956</v>
      </c>
      <c r="I528" t="str">
        <f>"PCD00518"</f>
        <v>PCD00518</v>
      </c>
      <c r="J528" t="str">
        <f>"160839"</f>
        <v>160839</v>
      </c>
      <c r="K528" t="str">
        <f t="shared" ref="K528:K534" si="146">"AS89"</f>
        <v>AS89</v>
      </c>
      <c r="L528" t="s">
        <v>1711</v>
      </c>
      <c r="M528">
        <v>273.45</v>
      </c>
    </row>
    <row r="529" spans="1:13" x14ac:dyDescent="0.25">
      <c r="A529" t="str">
        <f t="shared" si="142"/>
        <v>E257</v>
      </c>
      <c r="B529">
        <v>1</v>
      </c>
      <c r="C529" t="str">
        <f t="shared" si="143"/>
        <v>10200</v>
      </c>
      <c r="D529" t="str">
        <f t="shared" si="144"/>
        <v>5620</v>
      </c>
      <c r="E529" t="str">
        <f t="shared" si="145"/>
        <v>094OMS</v>
      </c>
      <c r="F529" t="str">
        <f>""</f>
        <v/>
      </c>
      <c r="G529" t="str">
        <f>""</f>
        <v/>
      </c>
      <c r="H529" s="1">
        <v>41060</v>
      </c>
      <c r="I529" t="str">
        <f>"PCD00536"</f>
        <v>PCD00536</v>
      </c>
      <c r="J529" t="str">
        <f>"167700"</f>
        <v>167700</v>
      </c>
      <c r="K529" t="str">
        <f t="shared" si="146"/>
        <v>AS89</v>
      </c>
      <c r="L529" t="s">
        <v>1710</v>
      </c>
      <c r="M529">
        <v>442.34</v>
      </c>
    </row>
    <row r="530" spans="1:13" x14ac:dyDescent="0.25">
      <c r="A530" t="str">
        <f t="shared" si="142"/>
        <v>E257</v>
      </c>
      <c r="B530">
        <v>1</v>
      </c>
      <c r="C530" t="str">
        <f t="shared" si="143"/>
        <v>10200</v>
      </c>
      <c r="D530" t="str">
        <f t="shared" si="144"/>
        <v>5620</v>
      </c>
      <c r="E530" t="str">
        <f t="shared" si="145"/>
        <v>094OMS</v>
      </c>
      <c r="F530" t="str">
        <f>""</f>
        <v/>
      </c>
      <c r="G530" t="str">
        <f>""</f>
        <v/>
      </c>
      <c r="H530" s="1">
        <v>41090</v>
      </c>
      <c r="I530" t="str">
        <f>"PCD00540"</f>
        <v>PCD00540</v>
      </c>
      <c r="J530" t="str">
        <f>"170179"</f>
        <v>170179</v>
      </c>
      <c r="K530" t="str">
        <f t="shared" si="146"/>
        <v>AS89</v>
      </c>
      <c r="L530" t="s">
        <v>1709</v>
      </c>
      <c r="M530">
        <v>284.88</v>
      </c>
    </row>
    <row r="531" spans="1:13" x14ac:dyDescent="0.25">
      <c r="A531" t="str">
        <f t="shared" si="142"/>
        <v>E257</v>
      </c>
      <c r="B531">
        <v>1</v>
      </c>
      <c r="C531" t="str">
        <f t="shared" si="143"/>
        <v>10200</v>
      </c>
      <c r="D531" t="str">
        <f t="shared" si="144"/>
        <v>5620</v>
      </c>
      <c r="E531" t="str">
        <f t="shared" si="145"/>
        <v>094OMS</v>
      </c>
      <c r="F531" t="str">
        <f>""</f>
        <v/>
      </c>
      <c r="G531" t="str">
        <f>""</f>
        <v/>
      </c>
      <c r="H531" s="1">
        <v>41090</v>
      </c>
      <c r="I531" t="str">
        <f>"PCD00540"</f>
        <v>PCD00540</v>
      </c>
      <c r="J531" t="str">
        <f>"170837"</f>
        <v>170837</v>
      </c>
      <c r="K531" t="str">
        <f t="shared" si="146"/>
        <v>AS89</v>
      </c>
      <c r="L531" t="s">
        <v>1708</v>
      </c>
      <c r="M531">
        <v>572.61</v>
      </c>
    </row>
    <row r="532" spans="1:13" x14ac:dyDescent="0.25">
      <c r="A532" t="str">
        <f t="shared" si="142"/>
        <v>E257</v>
      </c>
      <c r="B532">
        <v>1</v>
      </c>
      <c r="C532" t="str">
        <f t="shared" si="143"/>
        <v>10200</v>
      </c>
      <c r="D532" t="str">
        <f t="shared" si="144"/>
        <v>5620</v>
      </c>
      <c r="E532" t="str">
        <f t="shared" si="145"/>
        <v>094OMS</v>
      </c>
      <c r="F532" t="str">
        <f>""</f>
        <v/>
      </c>
      <c r="G532" t="str">
        <f>""</f>
        <v/>
      </c>
      <c r="H532" s="1">
        <v>41090</v>
      </c>
      <c r="I532" t="str">
        <f>"PCD00540"</f>
        <v>PCD00540</v>
      </c>
      <c r="J532" t="str">
        <f>"171525"</f>
        <v>171525</v>
      </c>
      <c r="K532" t="str">
        <f t="shared" si="146"/>
        <v>AS89</v>
      </c>
      <c r="L532" t="s">
        <v>1707</v>
      </c>
      <c r="M532">
        <v>753.6</v>
      </c>
    </row>
    <row r="533" spans="1:13" x14ac:dyDescent="0.25">
      <c r="A533" t="str">
        <f t="shared" si="142"/>
        <v>E257</v>
      </c>
      <c r="B533">
        <v>1</v>
      </c>
      <c r="C533" t="str">
        <f>"31040"</f>
        <v>31040</v>
      </c>
      <c r="D533" t="str">
        <f t="shared" si="144"/>
        <v>5620</v>
      </c>
      <c r="E533" t="str">
        <f t="shared" si="145"/>
        <v>094OMS</v>
      </c>
      <c r="F533" t="str">
        <f>""</f>
        <v/>
      </c>
      <c r="G533" t="str">
        <f>""</f>
        <v/>
      </c>
      <c r="H533" s="1">
        <v>40785</v>
      </c>
      <c r="I533" t="str">
        <f>"PCD00498"</f>
        <v>PCD00498</v>
      </c>
      <c r="J533" t="str">
        <f>"149721"</f>
        <v>149721</v>
      </c>
      <c r="K533" t="str">
        <f t="shared" si="146"/>
        <v>AS89</v>
      </c>
      <c r="L533" t="s">
        <v>1706</v>
      </c>
      <c r="M533">
        <v>379.95</v>
      </c>
    </row>
    <row r="534" spans="1:13" x14ac:dyDescent="0.25">
      <c r="A534" t="str">
        <f t="shared" si="142"/>
        <v>E257</v>
      </c>
      <c r="B534">
        <v>1</v>
      </c>
      <c r="C534" t="str">
        <f>"43000"</f>
        <v>43000</v>
      </c>
      <c r="D534" t="str">
        <f>"5740"</f>
        <v>5740</v>
      </c>
      <c r="E534" t="str">
        <f>"850LOS"</f>
        <v>850LOS</v>
      </c>
      <c r="F534" t="str">
        <f>"PKOLOT"</f>
        <v>PKOLOT</v>
      </c>
      <c r="G534" t="str">
        <f>""</f>
        <v/>
      </c>
      <c r="H534" s="1">
        <v>41090</v>
      </c>
      <c r="I534" t="str">
        <f>"MPG00411"</f>
        <v>MPG00411</v>
      </c>
      <c r="J534" t="str">
        <f>"0"</f>
        <v>0</v>
      </c>
      <c r="K534" t="str">
        <f t="shared" si="146"/>
        <v>AS89</v>
      </c>
      <c r="L534" t="s">
        <v>1705</v>
      </c>
      <c r="M534">
        <v>140</v>
      </c>
    </row>
    <row r="535" spans="1:13" x14ac:dyDescent="0.25">
      <c r="A535" t="str">
        <f t="shared" si="142"/>
        <v>E257</v>
      </c>
      <c r="B535">
        <v>1</v>
      </c>
      <c r="C535" t="str">
        <f>"43000"</f>
        <v>43000</v>
      </c>
      <c r="D535" t="str">
        <f>"5740"</f>
        <v>5740</v>
      </c>
      <c r="E535" t="str">
        <f>"850PKE"</f>
        <v>850PKE</v>
      </c>
      <c r="F535" t="str">
        <f>""</f>
        <v/>
      </c>
      <c r="G535" t="str">
        <f>""</f>
        <v/>
      </c>
      <c r="H535" s="1">
        <v>40956</v>
      </c>
      <c r="I535" t="str">
        <f>"188871"</f>
        <v>188871</v>
      </c>
      <c r="J535" t="str">
        <f>""</f>
        <v/>
      </c>
      <c r="K535" t="str">
        <f>"INNI"</f>
        <v>INNI</v>
      </c>
      <c r="L535" t="s">
        <v>280</v>
      </c>
      <c r="M535">
        <v>140.69</v>
      </c>
    </row>
    <row r="536" spans="1:13" x14ac:dyDescent="0.25">
      <c r="A536" t="str">
        <f>"E260"</f>
        <v>E260</v>
      </c>
      <c r="B536">
        <v>1</v>
      </c>
      <c r="C536" t="str">
        <f>"43003"</f>
        <v>43003</v>
      </c>
      <c r="D536" t="str">
        <f>"5740"</f>
        <v>5740</v>
      </c>
      <c r="E536" t="str">
        <f>"850LOS"</f>
        <v>850LOS</v>
      </c>
      <c r="F536" t="str">
        <f>""</f>
        <v/>
      </c>
      <c r="G536" t="str">
        <f>""</f>
        <v/>
      </c>
      <c r="H536" s="1">
        <v>41036</v>
      </c>
      <c r="I536" t="str">
        <f>"196019"</f>
        <v>196019</v>
      </c>
      <c r="J536" t="str">
        <f>""</f>
        <v/>
      </c>
      <c r="K536" t="str">
        <f>"INNI"</f>
        <v>INNI</v>
      </c>
      <c r="L536" t="s">
        <v>1189</v>
      </c>
      <c r="M536" s="2">
        <v>1122</v>
      </c>
    </row>
    <row r="537" spans="1:13" x14ac:dyDescent="0.25">
      <c r="A537" t="str">
        <f>"E261"</f>
        <v>E261</v>
      </c>
      <c r="B537">
        <v>1</v>
      </c>
      <c r="C537" t="str">
        <f>"10200"</f>
        <v>10200</v>
      </c>
      <c r="D537" t="str">
        <f>"5620"</f>
        <v>5620</v>
      </c>
      <c r="E537" t="str">
        <f>"094OMS"</f>
        <v>094OMS</v>
      </c>
      <c r="F537" t="str">
        <f>""</f>
        <v/>
      </c>
      <c r="G537" t="str">
        <f>""</f>
        <v/>
      </c>
      <c r="H537" s="1">
        <v>40956</v>
      </c>
      <c r="I537" t="str">
        <f>"PCD00518"</f>
        <v>PCD00518</v>
      </c>
      <c r="J537" t="str">
        <f>"160798"</f>
        <v>160798</v>
      </c>
      <c r="K537" t="str">
        <f>"AS89"</f>
        <v>AS89</v>
      </c>
      <c r="L537" t="s">
        <v>1704</v>
      </c>
      <c r="M537">
        <v>209</v>
      </c>
    </row>
    <row r="538" spans="1:13" x14ac:dyDescent="0.25">
      <c r="A538" t="str">
        <f>"E261"</f>
        <v>E261</v>
      </c>
      <c r="B538">
        <v>1</v>
      </c>
      <c r="C538" t="str">
        <f>"10200"</f>
        <v>10200</v>
      </c>
      <c r="D538" t="str">
        <f>"5620"</f>
        <v>5620</v>
      </c>
      <c r="E538" t="str">
        <f>"094OMS"</f>
        <v>094OMS</v>
      </c>
      <c r="F538" t="str">
        <f>""</f>
        <v/>
      </c>
      <c r="G538" t="str">
        <f>""</f>
        <v/>
      </c>
      <c r="H538" s="1">
        <v>40968</v>
      </c>
      <c r="I538" t="str">
        <f>"PCD00522"</f>
        <v>PCD00522</v>
      </c>
      <c r="J538" t="str">
        <f>"161425"</f>
        <v>161425</v>
      </c>
      <c r="K538" t="str">
        <f>"AS89"</f>
        <v>AS89</v>
      </c>
      <c r="L538" t="s">
        <v>1703</v>
      </c>
      <c r="M538">
        <v>115.72</v>
      </c>
    </row>
    <row r="539" spans="1:13" x14ac:dyDescent="0.25">
      <c r="A539" t="str">
        <f>"E263"</f>
        <v>E263</v>
      </c>
      <c r="B539">
        <v>1</v>
      </c>
      <c r="C539" t="str">
        <f>"31040"</f>
        <v>31040</v>
      </c>
      <c r="D539" t="str">
        <f>"5620"</f>
        <v>5620</v>
      </c>
      <c r="E539" t="str">
        <f>"094OMS"</f>
        <v>094OMS</v>
      </c>
      <c r="F539" t="str">
        <f>""</f>
        <v/>
      </c>
      <c r="G539" t="str">
        <f>""</f>
        <v/>
      </c>
      <c r="H539" s="1">
        <v>40822</v>
      </c>
      <c r="I539" t="str">
        <f>"Q64749"</f>
        <v>Q64749</v>
      </c>
      <c r="J539" t="str">
        <f>""</f>
        <v/>
      </c>
      <c r="K539" t="str">
        <f>"INNI"</f>
        <v>INNI</v>
      </c>
      <c r="L539" t="s">
        <v>284</v>
      </c>
      <c r="M539">
        <v>134.32</v>
      </c>
    </row>
    <row r="540" spans="1:13" x14ac:dyDescent="0.25">
      <c r="A540" t="str">
        <f>"E263"</f>
        <v>E263</v>
      </c>
      <c r="B540">
        <v>1</v>
      </c>
      <c r="C540" t="str">
        <f>"43000"</f>
        <v>43000</v>
      </c>
      <c r="D540" t="str">
        <f>"5740"</f>
        <v>5740</v>
      </c>
      <c r="E540" t="str">
        <f>"850LOS"</f>
        <v>850LOS</v>
      </c>
      <c r="F540" t="str">
        <f>""</f>
        <v/>
      </c>
      <c r="G540" t="str">
        <f>""</f>
        <v/>
      </c>
      <c r="H540" s="1">
        <v>40822</v>
      </c>
      <c r="I540" t="str">
        <f>"Q64749"</f>
        <v>Q64749</v>
      </c>
      <c r="J540" t="str">
        <f>""</f>
        <v/>
      </c>
      <c r="K540" t="str">
        <f>"INNI"</f>
        <v>INNI</v>
      </c>
      <c r="L540" t="s">
        <v>284</v>
      </c>
      <c r="M540">
        <v>122.16</v>
      </c>
    </row>
    <row r="541" spans="1:13" x14ac:dyDescent="0.25">
      <c r="A541" t="str">
        <f>"E263"</f>
        <v>E263</v>
      </c>
      <c r="B541">
        <v>1</v>
      </c>
      <c r="C541" t="str">
        <f>"43000"</f>
        <v>43000</v>
      </c>
      <c r="D541" t="str">
        <f>"5740"</f>
        <v>5740</v>
      </c>
      <c r="E541" t="str">
        <f>"850LOS"</f>
        <v>850LOS</v>
      </c>
      <c r="F541" t="str">
        <f>""</f>
        <v/>
      </c>
      <c r="G541" t="str">
        <f>""</f>
        <v/>
      </c>
      <c r="H541" s="1">
        <v>40822</v>
      </c>
      <c r="I541" t="str">
        <f>"Q64749"</f>
        <v>Q64749</v>
      </c>
      <c r="J541" t="str">
        <f>""</f>
        <v/>
      </c>
      <c r="K541" t="str">
        <f>"INNI"</f>
        <v>INNI</v>
      </c>
      <c r="L541" t="s">
        <v>284</v>
      </c>
      <c r="M541">
        <v>142.21</v>
      </c>
    </row>
    <row r="542" spans="1:13" x14ac:dyDescent="0.25">
      <c r="A542" t="str">
        <f>"E263"</f>
        <v>E263</v>
      </c>
      <c r="B542">
        <v>1</v>
      </c>
      <c r="C542" t="str">
        <f>"43000"</f>
        <v>43000</v>
      </c>
      <c r="D542" t="str">
        <f>"5740"</f>
        <v>5740</v>
      </c>
      <c r="E542" t="str">
        <f>"850LOS"</f>
        <v>850LOS</v>
      </c>
      <c r="F542" t="str">
        <f>""</f>
        <v/>
      </c>
      <c r="G542" t="str">
        <f>""</f>
        <v/>
      </c>
      <c r="H542" s="1">
        <v>40841</v>
      </c>
      <c r="I542" t="str">
        <f>"188729"</f>
        <v>188729</v>
      </c>
      <c r="J542" t="str">
        <f>""</f>
        <v/>
      </c>
      <c r="K542" t="str">
        <f>"INNI"</f>
        <v>INNI</v>
      </c>
      <c r="L542" t="s">
        <v>1702</v>
      </c>
      <c r="M542">
        <v>205.17</v>
      </c>
    </row>
    <row r="543" spans="1:13" x14ac:dyDescent="0.25">
      <c r="A543" t="str">
        <f>"E266"</f>
        <v>E266</v>
      </c>
      <c r="B543">
        <v>1</v>
      </c>
      <c r="C543" t="str">
        <f>"78020"</f>
        <v>78020</v>
      </c>
      <c r="D543" t="str">
        <f>"5740"</f>
        <v>5740</v>
      </c>
      <c r="E543" t="str">
        <f>"850GAR"</f>
        <v>850GAR</v>
      </c>
      <c r="F543" t="str">
        <f>""</f>
        <v/>
      </c>
      <c r="G543" t="str">
        <f>""</f>
        <v/>
      </c>
      <c r="H543" s="1">
        <v>41082</v>
      </c>
      <c r="I543" t="str">
        <f>"ACG02168"</f>
        <v>ACG02168</v>
      </c>
      <c r="J543" t="str">
        <f>""</f>
        <v/>
      </c>
      <c r="K543" t="str">
        <f>"AS79"</f>
        <v>AS79</v>
      </c>
      <c r="L543" t="s">
        <v>951</v>
      </c>
      <c r="M543" s="2">
        <v>3060.26</v>
      </c>
    </row>
    <row r="544" spans="1:13" x14ac:dyDescent="0.25">
      <c r="A544" t="str">
        <f>"E266"</f>
        <v>E266</v>
      </c>
      <c r="B544">
        <v>1</v>
      </c>
      <c r="C544" t="str">
        <f>"78020"</f>
        <v>78020</v>
      </c>
      <c r="D544" t="str">
        <f>"5740"</f>
        <v>5740</v>
      </c>
      <c r="E544" t="str">
        <f>"850GAR"</f>
        <v>850GAR</v>
      </c>
      <c r="F544" t="str">
        <f>""</f>
        <v/>
      </c>
      <c r="G544" t="str">
        <f>""</f>
        <v/>
      </c>
      <c r="H544" s="1">
        <v>41090</v>
      </c>
      <c r="I544" t="str">
        <f>"ACG02232"</f>
        <v>ACG02232</v>
      </c>
      <c r="J544" t="str">
        <f>""</f>
        <v/>
      </c>
      <c r="K544" t="str">
        <f t="shared" ref="K544:K552" si="147">"AS96"</f>
        <v>AS96</v>
      </c>
      <c r="L544" t="s">
        <v>1701</v>
      </c>
      <c r="M544" s="2">
        <v>3242.54</v>
      </c>
    </row>
    <row r="545" spans="1:13" x14ac:dyDescent="0.25">
      <c r="A545" t="str">
        <f t="shared" ref="A545:A552" si="148">"E267"</f>
        <v>E267</v>
      </c>
      <c r="B545">
        <v>1</v>
      </c>
      <c r="C545" t="str">
        <f>"32040"</f>
        <v>32040</v>
      </c>
      <c r="D545" t="str">
        <f>"5610"</f>
        <v>5610</v>
      </c>
      <c r="E545" t="str">
        <f t="shared" ref="E545:E555" si="149">"850LOS"</f>
        <v>850LOS</v>
      </c>
      <c r="F545" t="str">
        <f>""</f>
        <v/>
      </c>
      <c r="G545" t="str">
        <f>""</f>
        <v/>
      </c>
      <c r="H545" s="1">
        <v>40994</v>
      </c>
      <c r="I545" t="str">
        <f>"BJV00324"</f>
        <v>BJV00324</v>
      </c>
      <c r="J545" t="str">
        <f>""</f>
        <v/>
      </c>
      <c r="K545" t="str">
        <f t="shared" si="147"/>
        <v>AS96</v>
      </c>
      <c r="L545" t="s">
        <v>1700</v>
      </c>
      <c r="M545" s="2">
        <v>2352</v>
      </c>
    </row>
    <row r="546" spans="1:13" x14ac:dyDescent="0.25">
      <c r="A546" t="str">
        <f t="shared" si="148"/>
        <v>E267</v>
      </c>
      <c r="B546">
        <v>1</v>
      </c>
      <c r="C546" t="str">
        <f>"32040"</f>
        <v>32040</v>
      </c>
      <c r="D546" t="str">
        <f>"5610"</f>
        <v>5610</v>
      </c>
      <c r="E546" t="str">
        <f t="shared" si="149"/>
        <v>850LOS</v>
      </c>
      <c r="F546" t="str">
        <f>""</f>
        <v/>
      </c>
      <c r="G546" t="str">
        <f>""</f>
        <v/>
      </c>
      <c r="H546" s="1">
        <v>40994</v>
      </c>
      <c r="I546" t="str">
        <f>"BJV00325"</f>
        <v>BJV00325</v>
      </c>
      <c r="J546" t="str">
        <f>""</f>
        <v/>
      </c>
      <c r="K546" t="str">
        <f t="shared" si="147"/>
        <v>AS96</v>
      </c>
      <c r="L546" t="s">
        <v>1700</v>
      </c>
      <c r="M546" s="2">
        <v>3098</v>
      </c>
    </row>
    <row r="547" spans="1:13" x14ac:dyDescent="0.25">
      <c r="A547" t="str">
        <f t="shared" si="148"/>
        <v>E267</v>
      </c>
      <c r="B547">
        <v>1</v>
      </c>
      <c r="C547" t="str">
        <f>"32040"</f>
        <v>32040</v>
      </c>
      <c r="D547" t="str">
        <f>"5610"</f>
        <v>5610</v>
      </c>
      <c r="E547" t="str">
        <f t="shared" si="149"/>
        <v>850LOS</v>
      </c>
      <c r="F547" t="str">
        <f>""</f>
        <v/>
      </c>
      <c r="G547" t="str">
        <f>""</f>
        <v/>
      </c>
      <c r="H547" s="1">
        <v>41010</v>
      </c>
      <c r="I547" t="str">
        <f>"BJV00326"</f>
        <v>BJV00326</v>
      </c>
      <c r="J547" t="str">
        <f>""</f>
        <v/>
      </c>
      <c r="K547" t="str">
        <f t="shared" si="147"/>
        <v>AS96</v>
      </c>
      <c r="L547" t="s">
        <v>1699</v>
      </c>
      <c r="M547" s="2">
        <v>1482</v>
      </c>
    </row>
    <row r="548" spans="1:13" x14ac:dyDescent="0.25">
      <c r="A548" t="str">
        <f t="shared" si="148"/>
        <v>E267</v>
      </c>
      <c r="B548">
        <v>1</v>
      </c>
      <c r="C548" t="str">
        <f>"32040"</f>
        <v>32040</v>
      </c>
      <c r="D548" t="str">
        <f>"5610"</f>
        <v>5610</v>
      </c>
      <c r="E548" t="str">
        <f t="shared" si="149"/>
        <v>850LOS</v>
      </c>
      <c r="F548" t="str">
        <f>""</f>
        <v/>
      </c>
      <c r="G548" t="str">
        <f>""</f>
        <v/>
      </c>
      <c r="H548" s="1">
        <v>41090</v>
      </c>
      <c r="I548" t="str">
        <f>"BJV00328"</f>
        <v>BJV00328</v>
      </c>
      <c r="J548" t="str">
        <f>""</f>
        <v/>
      </c>
      <c r="K548" t="str">
        <f t="shared" si="147"/>
        <v>AS96</v>
      </c>
      <c r="L548" t="s">
        <v>1698</v>
      </c>
      <c r="M548" s="2">
        <v>3555</v>
      </c>
    </row>
    <row r="549" spans="1:13" x14ac:dyDescent="0.25">
      <c r="A549" t="str">
        <f t="shared" si="148"/>
        <v>E267</v>
      </c>
      <c r="B549">
        <v>1</v>
      </c>
      <c r="C549" t="str">
        <f t="shared" ref="C549:C555" si="150">"43000"</f>
        <v>43000</v>
      </c>
      <c r="D549" t="str">
        <f t="shared" ref="D549:D555" si="151">"5740"</f>
        <v>5740</v>
      </c>
      <c r="E549" t="str">
        <f t="shared" si="149"/>
        <v>850LOS</v>
      </c>
      <c r="F549" t="str">
        <f>""</f>
        <v/>
      </c>
      <c r="G549" t="str">
        <f>""</f>
        <v/>
      </c>
      <c r="H549" s="1">
        <v>40994</v>
      </c>
      <c r="I549" t="str">
        <f>"BJV00324"</f>
        <v>BJV00324</v>
      </c>
      <c r="J549" t="str">
        <f>""</f>
        <v/>
      </c>
      <c r="K549" t="str">
        <f t="shared" si="147"/>
        <v>AS96</v>
      </c>
      <c r="L549" t="s">
        <v>1700</v>
      </c>
      <c r="M549" s="2">
        <v>31349</v>
      </c>
    </row>
    <row r="550" spans="1:13" x14ac:dyDescent="0.25">
      <c r="A550" t="str">
        <f t="shared" si="148"/>
        <v>E267</v>
      </c>
      <c r="B550">
        <v>1</v>
      </c>
      <c r="C550" t="str">
        <f t="shared" si="150"/>
        <v>43000</v>
      </c>
      <c r="D550" t="str">
        <f t="shared" si="151"/>
        <v>5740</v>
      </c>
      <c r="E550" t="str">
        <f t="shared" si="149"/>
        <v>850LOS</v>
      </c>
      <c r="F550" t="str">
        <f>""</f>
        <v/>
      </c>
      <c r="G550" t="str">
        <f>""</f>
        <v/>
      </c>
      <c r="H550" s="1">
        <v>40994</v>
      </c>
      <c r="I550" t="str">
        <f>"BJV00325"</f>
        <v>BJV00325</v>
      </c>
      <c r="J550" t="str">
        <f>""</f>
        <v/>
      </c>
      <c r="K550" t="str">
        <f t="shared" si="147"/>
        <v>AS96</v>
      </c>
      <c r="L550" t="s">
        <v>1700</v>
      </c>
      <c r="M550" s="2">
        <v>8197</v>
      </c>
    </row>
    <row r="551" spans="1:13" x14ac:dyDescent="0.25">
      <c r="A551" t="str">
        <f t="shared" si="148"/>
        <v>E267</v>
      </c>
      <c r="B551">
        <v>1</v>
      </c>
      <c r="C551" t="str">
        <f t="shared" si="150"/>
        <v>43000</v>
      </c>
      <c r="D551" t="str">
        <f t="shared" si="151"/>
        <v>5740</v>
      </c>
      <c r="E551" t="str">
        <f t="shared" si="149"/>
        <v>850LOS</v>
      </c>
      <c r="F551" t="str">
        <f>""</f>
        <v/>
      </c>
      <c r="G551" t="str">
        <f>""</f>
        <v/>
      </c>
      <c r="H551" s="1">
        <v>41010</v>
      </c>
      <c r="I551" t="str">
        <f>"BJV00326"</f>
        <v>BJV00326</v>
      </c>
      <c r="J551" t="str">
        <f>""</f>
        <v/>
      </c>
      <c r="K551" t="str">
        <f t="shared" si="147"/>
        <v>AS96</v>
      </c>
      <c r="L551" t="s">
        <v>1699</v>
      </c>
      <c r="M551" s="2">
        <v>18710</v>
      </c>
    </row>
    <row r="552" spans="1:13" x14ac:dyDescent="0.25">
      <c r="A552" t="str">
        <f t="shared" si="148"/>
        <v>E267</v>
      </c>
      <c r="B552">
        <v>1</v>
      </c>
      <c r="C552" t="str">
        <f t="shared" si="150"/>
        <v>43000</v>
      </c>
      <c r="D552" t="str">
        <f t="shared" si="151"/>
        <v>5740</v>
      </c>
      <c r="E552" t="str">
        <f t="shared" si="149"/>
        <v>850LOS</v>
      </c>
      <c r="F552" t="str">
        <f>""</f>
        <v/>
      </c>
      <c r="G552" t="str">
        <f>""</f>
        <v/>
      </c>
      <c r="H552" s="1">
        <v>41090</v>
      </c>
      <c r="I552" t="str">
        <f>"BJV00328"</f>
        <v>BJV00328</v>
      </c>
      <c r="J552" t="str">
        <f>""</f>
        <v/>
      </c>
      <c r="K552" t="str">
        <f t="shared" si="147"/>
        <v>AS96</v>
      </c>
      <c r="L552" t="s">
        <v>1698</v>
      </c>
      <c r="M552" s="2">
        <v>12400</v>
      </c>
    </row>
    <row r="553" spans="1:13" x14ac:dyDescent="0.25">
      <c r="A553" t="str">
        <f>"E279"</f>
        <v>E279</v>
      </c>
      <c r="B553">
        <v>1</v>
      </c>
      <c r="C553" t="str">
        <f t="shared" si="150"/>
        <v>43000</v>
      </c>
      <c r="D553" t="str">
        <f t="shared" si="151"/>
        <v>5740</v>
      </c>
      <c r="E553" t="str">
        <f t="shared" si="149"/>
        <v>850LOS</v>
      </c>
      <c r="F553" t="str">
        <f>""</f>
        <v/>
      </c>
      <c r="G553" t="str">
        <f>""</f>
        <v/>
      </c>
      <c r="H553" s="1">
        <v>40909</v>
      </c>
      <c r="I553" t="str">
        <f>"011779IN"</f>
        <v>011779IN</v>
      </c>
      <c r="J553" t="str">
        <f>"N113803D"</f>
        <v>N113803D</v>
      </c>
      <c r="K553" t="str">
        <f>"INEI"</f>
        <v>INEI</v>
      </c>
      <c r="L553" t="s">
        <v>330</v>
      </c>
      <c r="M553" s="2">
        <v>57501</v>
      </c>
    </row>
    <row r="554" spans="1:13" x14ac:dyDescent="0.25">
      <c r="A554" t="str">
        <f>"E279"</f>
        <v>E279</v>
      </c>
      <c r="B554">
        <v>1</v>
      </c>
      <c r="C554" t="str">
        <f t="shared" si="150"/>
        <v>43000</v>
      </c>
      <c r="D554" t="str">
        <f t="shared" si="151"/>
        <v>5740</v>
      </c>
      <c r="E554" t="str">
        <f t="shared" si="149"/>
        <v>850LOS</v>
      </c>
      <c r="F554" t="str">
        <f>""</f>
        <v/>
      </c>
      <c r="G554" t="str">
        <f>""</f>
        <v/>
      </c>
      <c r="H554" s="1">
        <v>40977</v>
      </c>
      <c r="I554" t="str">
        <f>"012107IN"</f>
        <v>012107IN</v>
      </c>
      <c r="J554" t="str">
        <f>"N113803D"</f>
        <v>N113803D</v>
      </c>
      <c r="K554" t="str">
        <f>"INEI"</f>
        <v>INEI</v>
      </c>
      <c r="L554" t="s">
        <v>330</v>
      </c>
      <c r="M554" s="2">
        <v>3290</v>
      </c>
    </row>
    <row r="555" spans="1:13" x14ac:dyDescent="0.25">
      <c r="A555" t="str">
        <f>"E279"</f>
        <v>E279</v>
      </c>
      <c r="B555">
        <v>1</v>
      </c>
      <c r="C555" t="str">
        <f t="shared" si="150"/>
        <v>43000</v>
      </c>
      <c r="D555" t="str">
        <f t="shared" si="151"/>
        <v>5740</v>
      </c>
      <c r="E555" t="str">
        <f t="shared" si="149"/>
        <v>850LOS</v>
      </c>
      <c r="F555" t="str">
        <f>""</f>
        <v/>
      </c>
      <c r="G555" t="str">
        <f>""</f>
        <v/>
      </c>
      <c r="H555" s="1">
        <v>41079</v>
      </c>
      <c r="I555" t="str">
        <f>"012300IN"</f>
        <v>012300IN</v>
      </c>
      <c r="J555" t="str">
        <f>"N113803D"</f>
        <v>N113803D</v>
      </c>
      <c r="K555" t="str">
        <f>"INEI"</f>
        <v>INEI</v>
      </c>
      <c r="L555" t="s">
        <v>330</v>
      </c>
      <c r="M555" s="2">
        <v>3666</v>
      </c>
    </row>
    <row r="556" spans="1:13" x14ac:dyDescent="0.25">
      <c r="A556" t="str">
        <f t="shared" ref="A556:A570" si="152">"E351"</f>
        <v>E351</v>
      </c>
      <c r="B556">
        <v>1</v>
      </c>
      <c r="C556" t="str">
        <f t="shared" ref="C556:C568" si="153">"10200"</f>
        <v>10200</v>
      </c>
      <c r="D556" t="str">
        <f t="shared" ref="D556:D568" si="154">"5620"</f>
        <v>5620</v>
      </c>
      <c r="E556" t="str">
        <f t="shared" ref="E556:E568" si="155">"094OMS"</f>
        <v>094OMS</v>
      </c>
      <c r="F556" t="str">
        <f>""</f>
        <v/>
      </c>
      <c r="G556" t="str">
        <f>""</f>
        <v/>
      </c>
      <c r="H556" s="1">
        <v>40800</v>
      </c>
      <c r="I556" t="str">
        <f>"V90311"</f>
        <v>V90311</v>
      </c>
      <c r="J556" t="str">
        <f>""</f>
        <v/>
      </c>
      <c r="K556" t="str">
        <f t="shared" ref="K556:K581" si="156">"INNI"</f>
        <v>INNI</v>
      </c>
      <c r="L556" t="s">
        <v>334</v>
      </c>
      <c r="M556">
        <v>341.56</v>
      </c>
    </row>
    <row r="557" spans="1:13" x14ac:dyDescent="0.25">
      <c r="A557" t="str">
        <f t="shared" si="152"/>
        <v>E351</v>
      </c>
      <c r="B557">
        <v>1</v>
      </c>
      <c r="C557" t="str">
        <f t="shared" si="153"/>
        <v>10200</v>
      </c>
      <c r="D557" t="str">
        <f t="shared" si="154"/>
        <v>5620</v>
      </c>
      <c r="E557" t="str">
        <f t="shared" si="155"/>
        <v>094OMS</v>
      </c>
      <c r="F557" t="str">
        <f>""</f>
        <v/>
      </c>
      <c r="G557" t="str">
        <f>""</f>
        <v/>
      </c>
      <c r="H557" s="1">
        <v>40801</v>
      </c>
      <c r="I557" t="str">
        <f>"V90313"</f>
        <v>V90313</v>
      </c>
      <c r="J557" t="str">
        <f>""</f>
        <v/>
      </c>
      <c r="K557" t="str">
        <f t="shared" si="156"/>
        <v>INNI</v>
      </c>
      <c r="L557" t="s">
        <v>336</v>
      </c>
      <c r="M557">
        <v>174.2</v>
      </c>
    </row>
    <row r="558" spans="1:13" x14ac:dyDescent="0.25">
      <c r="A558" t="str">
        <f t="shared" si="152"/>
        <v>E351</v>
      </c>
      <c r="B558">
        <v>1</v>
      </c>
      <c r="C558" t="str">
        <f t="shared" si="153"/>
        <v>10200</v>
      </c>
      <c r="D558" t="str">
        <f t="shared" si="154"/>
        <v>5620</v>
      </c>
      <c r="E558" t="str">
        <f t="shared" si="155"/>
        <v>094OMS</v>
      </c>
      <c r="F558" t="str">
        <f>""</f>
        <v/>
      </c>
      <c r="G558" t="str">
        <f>""</f>
        <v/>
      </c>
      <c r="H558" s="1">
        <v>40801</v>
      </c>
      <c r="I558" t="str">
        <f>"V90312"</f>
        <v>V90312</v>
      </c>
      <c r="J558" t="str">
        <f>""</f>
        <v/>
      </c>
      <c r="K558" t="str">
        <f t="shared" si="156"/>
        <v>INNI</v>
      </c>
      <c r="L558" t="s">
        <v>335</v>
      </c>
      <c r="M558">
        <v>224.2</v>
      </c>
    </row>
    <row r="559" spans="1:13" x14ac:dyDescent="0.25">
      <c r="A559" t="str">
        <f t="shared" si="152"/>
        <v>E351</v>
      </c>
      <c r="B559">
        <v>1</v>
      </c>
      <c r="C559" t="str">
        <f t="shared" si="153"/>
        <v>10200</v>
      </c>
      <c r="D559" t="str">
        <f t="shared" si="154"/>
        <v>5620</v>
      </c>
      <c r="E559" t="str">
        <f t="shared" si="155"/>
        <v>094OMS</v>
      </c>
      <c r="F559" t="str">
        <f>""</f>
        <v/>
      </c>
      <c r="G559" t="str">
        <f>""</f>
        <v/>
      </c>
      <c r="H559" s="1">
        <v>40843</v>
      </c>
      <c r="I559" t="str">
        <f>"V90314"</f>
        <v>V90314</v>
      </c>
      <c r="J559" t="str">
        <f>""</f>
        <v/>
      </c>
      <c r="K559" t="str">
        <f t="shared" si="156"/>
        <v>INNI</v>
      </c>
      <c r="L559" t="s">
        <v>338</v>
      </c>
      <c r="M559">
        <v>888.36</v>
      </c>
    </row>
    <row r="560" spans="1:13" x14ac:dyDescent="0.25">
      <c r="A560" t="str">
        <f t="shared" si="152"/>
        <v>E351</v>
      </c>
      <c r="B560">
        <v>1</v>
      </c>
      <c r="C560" t="str">
        <f t="shared" si="153"/>
        <v>10200</v>
      </c>
      <c r="D560" t="str">
        <f t="shared" si="154"/>
        <v>5620</v>
      </c>
      <c r="E560" t="str">
        <f t="shared" si="155"/>
        <v>094OMS</v>
      </c>
      <c r="F560" t="str">
        <f>""</f>
        <v/>
      </c>
      <c r="G560" t="str">
        <f>""</f>
        <v/>
      </c>
      <c r="H560" s="1">
        <v>40875</v>
      </c>
      <c r="I560" t="str">
        <f>"V90317"</f>
        <v>V90317</v>
      </c>
      <c r="J560" t="str">
        <f>""</f>
        <v/>
      </c>
      <c r="K560" t="str">
        <f t="shared" si="156"/>
        <v>INNI</v>
      </c>
      <c r="L560" t="s">
        <v>335</v>
      </c>
      <c r="M560">
        <v>166.55</v>
      </c>
    </row>
    <row r="561" spans="1:13" x14ac:dyDescent="0.25">
      <c r="A561" t="str">
        <f t="shared" si="152"/>
        <v>E351</v>
      </c>
      <c r="B561">
        <v>1</v>
      </c>
      <c r="C561" t="str">
        <f t="shared" si="153"/>
        <v>10200</v>
      </c>
      <c r="D561" t="str">
        <f t="shared" si="154"/>
        <v>5620</v>
      </c>
      <c r="E561" t="str">
        <f t="shared" si="155"/>
        <v>094OMS</v>
      </c>
      <c r="F561" t="str">
        <f>""</f>
        <v/>
      </c>
      <c r="G561" t="str">
        <f>""</f>
        <v/>
      </c>
      <c r="H561" s="1">
        <v>40877</v>
      </c>
      <c r="I561" t="str">
        <f>"V90315"</f>
        <v>V90315</v>
      </c>
      <c r="J561" t="str">
        <f>""</f>
        <v/>
      </c>
      <c r="K561" t="str">
        <f t="shared" si="156"/>
        <v>INNI</v>
      </c>
      <c r="L561" t="s">
        <v>785</v>
      </c>
      <c r="M561">
        <v>475.31</v>
      </c>
    </row>
    <row r="562" spans="1:13" x14ac:dyDescent="0.25">
      <c r="A562" t="str">
        <f t="shared" si="152"/>
        <v>E351</v>
      </c>
      <c r="B562">
        <v>1</v>
      </c>
      <c r="C562" t="str">
        <f t="shared" si="153"/>
        <v>10200</v>
      </c>
      <c r="D562" t="str">
        <f t="shared" si="154"/>
        <v>5620</v>
      </c>
      <c r="E562" t="str">
        <f t="shared" si="155"/>
        <v>094OMS</v>
      </c>
      <c r="F562" t="str">
        <f>""</f>
        <v/>
      </c>
      <c r="G562" t="str">
        <f>""</f>
        <v/>
      </c>
      <c r="H562" s="1">
        <v>40889</v>
      </c>
      <c r="I562" t="str">
        <f>"V90316"</f>
        <v>V90316</v>
      </c>
      <c r="J562" t="str">
        <f>""</f>
        <v/>
      </c>
      <c r="K562" t="str">
        <f t="shared" si="156"/>
        <v>INNI</v>
      </c>
      <c r="L562" t="s">
        <v>1696</v>
      </c>
      <c r="M562">
        <v>113</v>
      </c>
    </row>
    <row r="563" spans="1:13" x14ac:dyDescent="0.25">
      <c r="A563" t="str">
        <f t="shared" si="152"/>
        <v>E351</v>
      </c>
      <c r="B563">
        <v>1</v>
      </c>
      <c r="C563" t="str">
        <f t="shared" si="153"/>
        <v>10200</v>
      </c>
      <c r="D563" t="str">
        <f t="shared" si="154"/>
        <v>5620</v>
      </c>
      <c r="E563" t="str">
        <f t="shared" si="155"/>
        <v>094OMS</v>
      </c>
      <c r="F563" t="str">
        <f>""</f>
        <v/>
      </c>
      <c r="G563" t="str">
        <f>""</f>
        <v/>
      </c>
      <c r="H563" s="1">
        <v>40917</v>
      </c>
      <c r="I563" t="str">
        <f>"V90319"</f>
        <v>V90319</v>
      </c>
      <c r="J563" t="str">
        <f>""</f>
        <v/>
      </c>
      <c r="K563" t="str">
        <f t="shared" si="156"/>
        <v>INNI</v>
      </c>
      <c r="L563" t="s">
        <v>336</v>
      </c>
      <c r="M563">
        <v>253.28</v>
      </c>
    </row>
    <row r="564" spans="1:13" x14ac:dyDescent="0.25">
      <c r="A564" t="str">
        <f t="shared" si="152"/>
        <v>E351</v>
      </c>
      <c r="B564">
        <v>1</v>
      </c>
      <c r="C564" t="str">
        <f t="shared" si="153"/>
        <v>10200</v>
      </c>
      <c r="D564" t="str">
        <f t="shared" si="154"/>
        <v>5620</v>
      </c>
      <c r="E564" t="str">
        <f t="shared" si="155"/>
        <v>094OMS</v>
      </c>
      <c r="F564" t="str">
        <f>""</f>
        <v/>
      </c>
      <c r="G564" t="str">
        <f>""</f>
        <v/>
      </c>
      <c r="H564" s="1">
        <v>40962</v>
      </c>
      <c r="I564" t="str">
        <f>"V90321"</f>
        <v>V90321</v>
      </c>
      <c r="J564" t="str">
        <f>""</f>
        <v/>
      </c>
      <c r="K564" t="str">
        <f t="shared" si="156"/>
        <v>INNI</v>
      </c>
      <c r="L564" t="s">
        <v>338</v>
      </c>
      <c r="M564">
        <v>199.81</v>
      </c>
    </row>
    <row r="565" spans="1:13" x14ac:dyDescent="0.25">
      <c r="A565" t="str">
        <f t="shared" si="152"/>
        <v>E351</v>
      </c>
      <c r="B565">
        <v>1</v>
      </c>
      <c r="C565" t="str">
        <f t="shared" si="153"/>
        <v>10200</v>
      </c>
      <c r="D565" t="str">
        <f t="shared" si="154"/>
        <v>5620</v>
      </c>
      <c r="E565" t="str">
        <f t="shared" si="155"/>
        <v>094OMS</v>
      </c>
      <c r="F565" t="str">
        <f>""</f>
        <v/>
      </c>
      <c r="G565" t="str">
        <f>""</f>
        <v/>
      </c>
      <c r="H565" s="1">
        <v>41030</v>
      </c>
      <c r="I565" t="str">
        <f>"V129757"</f>
        <v>V129757</v>
      </c>
      <c r="J565" t="str">
        <f>""</f>
        <v/>
      </c>
      <c r="K565" t="str">
        <f t="shared" si="156"/>
        <v>INNI</v>
      </c>
      <c r="L565" t="s">
        <v>337</v>
      </c>
      <c r="M565">
        <v>162.44999999999999</v>
      </c>
    </row>
    <row r="566" spans="1:13" x14ac:dyDescent="0.25">
      <c r="A566" t="str">
        <f t="shared" si="152"/>
        <v>E351</v>
      </c>
      <c r="B566">
        <v>1</v>
      </c>
      <c r="C566" t="str">
        <f t="shared" si="153"/>
        <v>10200</v>
      </c>
      <c r="D566" t="str">
        <f t="shared" si="154"/>
        <v>5620</v>
      </c>
      <c r="E566" t="str">
        <f t="shared" si="155"/>
        <v>094OMS</v>
      </c>
      <c r="F566" t="str">
        <f>""</f>
        <v/>
      </c>
      <c r="G566" t="str">
        <f>""</f>
        <v/>
      </c>
      <c r="H566" s="1">
        <v>41036</v>
      </c>
      <c r="I566" t="str">
        <f>"V129758"</f>
        <v>V129758</v>
      </c>
      <c r="J566" t="str">
        <f>""</f>
        <v/>
      </c>
      <c r="K566" t="str">
        <f t="shared" si="156"/>
        <v>INNI</v>
      </c>
      <c r="L566" t="s">
        <v>334</v>
      </c>
      <c r="M566">
        <v>196.42</v>
      </c>
    </row>
    <row r="567" spans="1:13" x14ac:dyDescent="0.25">
      <c r="A567" t="str">
        <f t="shared" si="152"/>
        <v>E351</v>
      </c>
      <c r="B567">
        <v>1</v>
      </c>
      <c r="C567" t="str">
        <f t="shared" si="153"/>
        <v>10200</v>
      </c>
      <c r="D567" t="str">
        <f t="shared" si="154"/>
        <v>5620</v>
      </c>
      <c r="E567" t="str">
        <f t="shared" si="155"/>
        <v>094OMS</v>
      </c>
      <c r="F567" t="str">
        <f>""</f>
        <v/>
      </c>
      <c r="G567" t="str">
        <f>""</f>
        <v/>
      </c>
      <c r="H567" s="1">
        <v>41060</v>
      </c>
      <c r="I567" t="str">
        <f>"V129759"</f>
        <v>V129759</v>
      </c>
      <c r="J567" t="str">
        <f>""</f>
        <v/>
      </c>
      <c r="K567" t="str">
        <f t="shared" si="156"/>
        <v>INNI</v>
      </c>
      <c r="L567" t="s">
        <v>1484</v>
      </c>
      <c r="M567">
        <v>461.55</v>
      </c>
    </row>
    <row r="568" spans="1:13" x14ac:dyDescent="0.25">
      <c r="A568" t="str">
        <f t="shared" si="152"/>
        <v>E351</v>
      </c>
      <c r="B568">
        <v>1</v>
      </c>
      <c r="C568" t="str">
        <f t="shared" si="153"/>
        <v>10200</v>
      </c>
      <c r="D568" t="str">
        <f t="shared" si="154"/>
        <v>5620</v>
      </c>
      <c r="E568" t="str">
        <f t="shared" si="155"/>
        <v>094OMS</v>
      </c>
      <c r="F568" t="str">
        <f>""</f>
        <v/>
      </c>
      <c r="G568" t="str">
        <f>""</f>
        <v/>
      </c>
      <c r="H568" s="1">
        <v>41078</v>
      </c>
      <c r="I568" t="str">
        <f>"V129760"</f>
        <v>V129760</v>
      </c>
      <c r="J568" t="str">
        <f>""</f>
        <v/>
      </c>
      <c r="K568" t="str">
        <f t="shared" si="156"/>
        <v>INNI</v>
      </c>
      <c r="L568" t="s">
        <v>785</v>
      </c>
      <c r="M568">
        <v>295.52999999999997</v>
      </c>
    </row>
    <row r="569" spans="1:13" x14ac:dyDescent="0.25">
      <c r="A569" t="str">
        <f t="shared" si="152"/>
        <v>E351</v>
      </c>
      <c r="B569">
        <v>1</v>
      </c>
      <c r="C569" t="str">
        <f>"43000"</f>
        <v>43000</v>
      </c>
      <c r="D569" t="str">
        <f>"5740"</f>
        <v>5740</v>
      </c>
      <c r="E569" t="str">
        <f>"850LOS"</f>
        <v>850LOS</v>
      </c>
      <c r="F569" t="str">
        <f>""</f>
        <v/>
      </c>
      <c r="G569" t="str">
        <f>""</f>
        <v/>
      </c>
      <c r="H569" s="1">
        <v>40763</v>
      </c>
      <c r="I569" t="str">
        <f>"V127900"</f>
        <v>V127900</v>
      </c>
      <c r="J569" t="str">
        <f>""</f>
        <v/>
      </c>
      <c r="K569" t="str">
        <f t="shared" si="156"/>
        <v>INNI</v>
      </c>
      <c r="L569" t="s">
        <v>284</v>
      </c>
      <c r="M569">
        <v>140.15</v>
      </c>
    </row>
    <row r="570" spans="1:13" x14ac:dyDescent="0.25">
      <c r="A570" t="str">
        <f t="shared" si="152"/>
        <v>E351</v>
      </c>
      <c r="B570">
        <v>1</v>
      </c>
      <c r="C570" t="str">
        <f>"43000"</f>
        <v>43000</v>
      </c>
      <c r="D570" t="str">
        <f>"5740"</f>
        <v>5740</v>
      </c>
      <c r="E570" t="str">
        <f>"850LOS"</f>
        <v>850LOS</v>
      </c>
      <c r="F570" t="str">
        <f>""</f>
        <v/>
      </c>
      <c r="G570" t="str">
        <f>""</f>
        <v/>
      </c>
      <c r="H570" s="1">
        <v>40983</v>
      </c>
      <c r="I570" t="str">
        <f>"V90327"</f>
        <v>V90327</v>
      </c>
      <c r="J570" t="str">
        <f>""</f>
        <v/>
      </c>
      <c r="K570" t="str">
        <f t="shared" si="156"/>
        <v>INNI</v>
      </c>
      <c r="L570" t="s">
        <v>284</v>
      </c>
      <c r="M570">
        <v>166.97</v>
      </c>
    </row>
    <row r="571" spans="1:13" x14ac:dyDescent="0.25">
      <c r="A571" t="str">
        <f>"E353"</f>
        <v>E353</v>
      </c>
      <c r="B571">
        <v>1</v>
      </c>
      <c r="C571" t="str">
        <f>"10200"</f>
        <v>10200</v>
      </c>
      <c r="D571" t="str">
        <f>"5620"</f>
        <v>5620</v>
      </c>
      <c r="E571" t="str">
        <f>"094OMS"</f>
        <v>094OMS</v>
      </c>
      <c r="F571" t="str">
        <f>""</f>
        <v/>
      </c>
      <c r="G571" t="str">
        <f>""</f>
        <v/>
      </c>
      <c r="H571" s="1">
        <v>40875</v>
      </c>
      <c r="I571" t="str">
        <f>"V90317"</f>
        <v>V90317</v>
      </c>
      <c r="J571" t="str">
        <f>""</f>
        <v/>
      </c>
      <c r="K571" t="str">
        <f t="shared" si="156"/>
        <v>INNI</v>
      </c>
      <c r="L571" t="s">
        <v>335</v>
      </c>
      <c r="M571">
        <v>229.5</v>
      </c>
    </row>
    <row r="572" spans="1:13" x14ac:dyDescent="0.25">
      <c r="A572" t="str">
        <f>"E353"</f>
        <v>E353</v>
      </c>
      <c r="B572">
        <v>1</v>
      </c>
      <c r="C572" t="str">
        <f>"10200"</f>
        <v>10200</v>
      </c>
      <c r="D572" t="str">
        <f>"5620"</f>
        <v>5620</v>
      </c>
      <c r="E572" t="str">
        <f>"094OMS"</f>
        <v>094OMS</v>
      </c>
      <c r="F572" t="str">
        <f>""</f>
        <v/>
      </c>
      <c r="G572" t="str">
        <f>""</f>
        <v/>
      </c>
      <c r="H572" s="1">
        <v>41029</v>
      </c>
      <c r="I572" t="str">
        <f>"V90328"</f>
        <v>V90328</v>
      </c>
      <c r="J572" t="str">
        <f>""</f>
        <v/>
      </c>
      <c r="K572" t="str">
        <f t="shared" si="156"/>
        <v>INNI</v>
      </c>
      <c r="L572" t="s">
        <v>336</v>
      </c>
      <c r="M572">
        <v>102</v>
      </c>
    </row>
    <row r="573" spans="1:13" x14ac:dyDescent="0.25">
      <c r="A573" t="str">
        <f>"E353"</f>
        <v>E353</v>
      </c>
      <c r="B573">
        <v>1</v>
      </c>
      <c r="C573" t="str">
        <f>"10200"</f>
        <v>10200</v>
      </c>
      <c r="D573" t="str">
        <f>"5620"</f>
        <v>5620</v>
      </c>
      <c r="E573" t="str">
        <f>"094OMS"</f>
        <v>094OMS</v>
      </c>
      <c r="F573" t="str">
        <f>""</f>
        <v/>
      </c>
      <c r="G573" t="str">
        <f>""</f>
        <v/>
      </c>
      <c r="H573" s="1">
        <v>41060</v>
      </c>
      <c r="I573" t="str">
        <f>"V129759"</f>
        <v>V129759</v>
      </c>
      <c r="J573" t="str">
        <f>""</f>
        <v/>
      </c>
      <c r="K573" t="str">
        <f t="shared" si="156"/>
        <v>INNI</v>
      </c>
      <c r="L573" t="s">
        <v>1484</v>
      </c>
      <c r="M573">
        <v>274.5</v>
      </c>
    </row>
    <row r="574" spans="1:13" x14ac:dyDescent="0.25">
      <c r="A574" t="str">
        <f>"E353"</f>
        <v>E353</v>
      </c>
      <c r="B574">
        <v>1</v>
      </c>
      <c r="C574" t="str">
        <f>"10200"</f>
        <v>10200</v>
      </c>
      <c r="D574" t="str">
        <f>"5620"</f>
        <v>5620</v>
      </c>
      <c r="E574" t="str">
        <f>"094OMS"</f>
        <v>094OMS</v>
      </c>
      <c r="F574" t="str">
        <f>""</f>
        <v/>
      </c>
      <c r="G574" t="str">
        <f>""</f>
        <v/>
      </c>
      <c r="H574" s="1">
        <v>41078</v>
      </c>
      <c r="I574" t="str">
        <f>"V129760"</f>
        <v>V129760</v>
      </c>
      <c r="J574" t="str">
        <f>""</f>
        <v/>
      </c>
      <c r="K574" t="str">
        <f t="shared" si="156"/>
        <v>INNI</v>
      </c>
      <c r="L574" t="s">
        <v>785</v>
      </c>
      <c r="M574">
        <v>314.16000000000003</v>
      </c>
    </row>
    <row r="575" spans="1:13" x14ac:dyDescent="0.25">
      <c r="A575" t="str">
        <f>"E353"</f>
        <v>E353</v>
      </c>
      <c r="B575">
        <v>1</v>
      </c>
      <c r="C575" t="str">
        <f>"43000"</f>
        <v>43000</v>
      </c>
      <c r="D575" t="str">
        <f>"5740"</f>
        <v>5740</v>
      </c>
      <c r="E575" t="str">
        <f>"850LOS"</f>
        <v>850LOS</v>
      </c>
      <c r="F575" t="str">
        <f>""</f>
        <v/>
      </c>
      <c r="G575" t="str">
        <f>""</f>
        <v/>
      </c>
      <c r="H575" s="1">
        <v>40763</v>
      </c>
      <c r="I575" t="str">
        <f>"V127900"</f>
        <v>V127900</v>
      </c>
      <c r="J575" t="str">
        <f>""</f>
        <v/>
      </c>
      <c r="K575" t="str">
        <f t="shared" si="156"/>
        <v>INNI</v>
      </c>
      <c r="L575" t="s">
        <v>284</v>
      </c>
      <c r="M575">
        <v>257.04000000000002</v>
      </c>
    </row>
    <row r="576" spans="1:13" x14ac:dyDescent="0.25">
      <c r="A576" t="str">
        <f>"E354"</f>
        <v>E354</v>
      </c>
      <c r="B576">
        <v>1</v>
      </c>
      <c r="C576" t="str">
        <f>"10200"</f>
        <v>10200</v>
      </c>
      <c r="D576" t="str">
        <f>"5620"</f>
        <v>5620</v>
      </c>
      <c r="E576" t="str">
        <f>"094OMS"</f>
        <v>094OMS</v>
      </c>
      <c r="F576" t="str">
        <f>""</f>
        <v/>
      </c>
      <c r="G576" t="str">
        <f>""</f>
        <v/>
      </c>
      <c r="H576" s="1">
        <v>41029</v>
      </c>
      <c r="I576" t="str">
        <f>"V129756"</f>
        <v>V129756</v>
      </c>
      <c r="J576" t="str">
        <f>""</f>
        <v/>
      </c>
      <c r="K576" t="str">
        <f t="shared" si="156"/>
        <v>INNI</v>
      </c>
      <c r="L576" t="s">
        <v>337</v>
      </c>
      <c r="M576">
        <v>213.46</v>
      </c>
    </row>
    <row r="577" spans="1:13" x14ac:dyDescent="0.25">
      <c r="A577" t="str">
        <f>"E355"</f>
        <v>E355</v>
      </c>
      <c r="B577">
        <v>1</v>
      </c>
      <c r="C577" t="str">
        <f>"43000"</f>
        <v>43000</v>
      </c>
      <c r="D577" t="str">
        <f>"5740"</f>
        <v>5740</v>
      </c>
      <c r="E577" t="str">
        <f>"850LOS"</f>
        <v>850LOS</v>
      </c>
      <c r="F577" t="str">
        <f>""</f>
        <v/>
      </c>
      <c r="G577" t="str">
        <f>""</f>
        <v/>
      </c>
      <c r="H577" s="1">
        <v>40983</v>
      </c>
      <c r="I577" t="str">
        <f>"V90323"</f>
        <v>V90323</v>
      </c>
      <c r="J577" t="str">
        <f>""</f>
        <v/>
      </c>
      <c r="K577" t="str">
        <f t="shared" si="156"/>
        <v>INNI</v>
      </c>
      <c r="L577" t="s">
        <v>284</v>
      </c>
      <c r="M577">
        <v>509.5</v>
      </c>
    </row>
    <row r="578" spans="1:13" x14ac:dyDescent="0.25">
      <c r="A578" t="str">
        <f>"E370"</f>
        <v>E370</v>
      </c>
      <c r="B578">
        <v>1</v>
      </c>
      <c r="C578" t="str">
        <f t="shared" ref="C578:C584" si="157">"10200"</f>
        <v>10200</v>
      </c>
      <c r="D578" t="str">
        <f t="shared" ref="D578:D584" si="158">"5620"</f>
        <v>5620</v>
      </c>
      <c r="E578" t="str">
        <f t="shared" ref="E578:E584" si="159">"094OMS"</f>
        <v>094OMS</v>
      </c>
      <c r="F578" t="str">
        <f>""</f>
        <v/>
      </c>
      <c r="G578" t="str">
        <f>""</f>
        <v/>
      </c>
      <c r="H578" s="1">
        <v>41029</v>
      </c>
      <c r="I578" t="str">
        <f>"V90328"</f>
        <v>V90328</v>
      </c>
      <c r="J578" t="str">
        <f>""</f>
        <v/>
      </c>
      <c r="K578" t="str">
        <f t="shared" si="156"/>
        <v>INNI</v>
      </c>
      <c r="L578" t="s">
        <v>336</v>
      </c>
      <c r="M578">
        <v>732.66</v>
      </c>
    </row>
    <row r="579" spans="1:13" x14ac:dyDescent="0.25">
      <c r="A579" t="str">
        <f>"E370"</f>
        <v>E370</v>
      </c>
      <c r="B579">
        <v>1</v>
      </c>
      <c r="C579" t="str">
        <f t="shared" si="157"/>
        <v>10200</v>
      </c>
      <c r="D579" t="str">
        <f t="shared" si="158"/>
        <v>5620</v>
      </c>
      <c r="E579" t="str">
        <f t="shared" si="159"/>
        <v>094OMS</v>
      </c>
      <c r="F579" t="str">
        <f>""</f>
        <v/>
      </c>
      <c r="G579" t="str">
        <f>""</f>
        <v/>
      </c>
      <c r="H579" s="1">
        <v>41029</v>
      </c>
      <c r="I579" t="str">
        <f>"V129756"</f>
        <v>V129756</v>
      </c>
      <c r="J579" t="str">
        <f>""</f>
        <v/>
      </c>
      <c r="K579" t="str">
        <f t="shared" si="156"/>
        <v>INNI</v>
      </c>
      <c r="L579" t="s">
        <v>337</v>
      </c>
      <c r="M579">
        <v>882.38</v>
      </c>
    </row>
    <row r="580" spans="1:13" x14ac:dyDescent="0.25">
      <c r="A580" t="str">
        <f>"E374"</f>
        <v>E374</v>
      </c>
      <c r="B580">
        <v>1</v>
      </c>
      <c r="C580" t="str">
        <f t="shared" si="157"/>
        <v>10200</v>
      </c>
      <c r="D580" t="str">
        <f t="shared" si="158"/>
        <v>5620</v>
      </c>
      <c r="E580" t="str">
        <f t="shared" si="159"/>
        <v>094OMS</v>
      </c>
      <c r="F580" t="str">
        <f>""</f>
        <v/>
      </c>
      <c r="G580" t="str">
        <f>""</f>
        <v/>
      </c>
      <c r="H580" s="1">
        <v>41029</v>
      </c>
      <c r="I580" t="str">
        <f>"V90328"</f>
        <v>V90328</v>
      </c>
      <c r="J580" t="str">
        <f>""</f>
        <v/>
      </c>
      <c r="K580" t="str">
        <f t="shared" si="156"/>
        <v>INNI</v>
      </c>
      <c r="L580" t="s">
        <v>336</v>
      </c>
      <c r="M580">
        <v>219.6</v>
      </c>
    </row>
    <row r="581" spans="1:13" x14ac:dyDescent="0.25">
      <c r="A581" t="str">
        <f>"E374"</f>
        <v>E374</v>
      </c>
      <c r="B581">
        <v>1</v>
      </c>
      <c r="C581" t="str">
        <f t="shared" si="157"/>
        <v>10200</v>
      </c>
      <c r="D581" t="str">
        <f t="shared" si="158"/>
        <v>5620</v>
      </c>
      <c r="E581" t="str">
        <f t="shared" si="159"/>
        <v>094OMS</v>
      </c>
      <c r="F581" t="str">
        <f>""</f>
        <v/>
      </c>
      <c r="G581" t="str">
        <f>""</f>
        <v/>
      </c>
      <c r="H581" s="1">
        <v>41029</v>
      </c>
      <c r="I581" t="str">
        <f>"V129756"</f>
        <v>V129756</v>
      </c>
      <c r="J581" t="str">
        <f>""</f>
        <v/>
      </c>
      <c r="K581" t="str">
        <f t="shared" si="156"/>
        <v>INNI</v>
      </c>
      <c r="L581" t="s">
        <v>337</v>
      </c>
      <c r="M581">
        <v>370.2</v>
      </c>
    </row>
    <row r="582" spans="1:13" x14ac:dyDescent="0.25">
      <c r="A582" t="str">
        <f>"E402"</f>
        <v>E402</v>
      </c>
      <c r="B582">
        <v>1</v>
      </c>
      <c r="C582" t="str">
        <f t="shared" si="157"/>
        <v>10200</v>
      </c>
      <c r="D582" t="str">
        <f t="shared" si="158"/>
        <v>5620</v>
      </c>
      <c r="E582" t="str">
        <f t="shared" si="159"/>
        <v>094OMS</v>
      </c>
      <c r="F582" t="str">
        <f>""</f>
        <v/>
      </c>
      <c r="G582" t="str">
        <f>""</f>
        <v/>
      </c>
      <c r="H582" s="1">
        <v>41060</v>
      </c>
      <c r="I582" t="str">
        <f>"PCD00536"</f>
        <v>PCD00536</v>
      </c>
      <c r="J582" t="str">
        <f>"169459"</f>
        <v>169459</v>
      </c>
      <c r="K582" t="str">
        <f>"AS89"</f>
        <v>AS89</v>
      </c>
      <c r="L582" t="s">
        <v>1691</v>
      </c>
      <c r="M582">
        <v>173.91</v>
      </c>
    </row>
    <row r="583" spans="1:13" x14ac:dyDescent="0.25">
      <c r="A583" t="str">
        <f>"E403"</f>
        <v>E403</v>
      </c>
      <c r="B583">
        <v>1</v>
      </c>
      <c r="C583" t="str">
        <f t="shared" si="157"/>
        <v>10200</v>
      </c>
      <c r="D583" t="str">
        <f t="shared" si="158"/>
        <v>5620</v>
      </c>
      <c r="E583" t="str">
        <f t="shared" si="159"/>
        <v>094OMS</v>
      </c>
      <c r="F583" t="str">
        <f>""</f>
        <v/>
      </c>
      <c r="G583" t="str">
        <f>""</f>
        <v/>
      </c>
      <c r="H583" s="1">
        <v>40968</v>
      </c>
      <c r="I583" t="str">
        <f>"SWS00093"</f>
        <v>SWS00093</v>
      </c>
      <c r="J583" t="str">
        <f>"12225"</f>
        <v>12225</v>
      </c>
      <c r="K583" t="str">
        <f>"AS96"</f>
        <v>AS96</v>
      </c>
      <c r="L583" t="s">
        <v>1695</v>
      </c>
      <c r="M583">
        <v>100</v>
      </c>
    </row>
    <row r="584" spans="1:13" x14ac:dyDescent="0.25">
      <c r="A584" t="str">
        <f>"E403"</f>
        <v>E403</v>
      </c>
      <c r="B584">
        <v>1</v>
      </c>
      <c r="C584" t="str">
        <f t="shared" si="157"/>
        <v>10200</v>
      </c>
      <c r="D584" t="str">
        <f t="shared" si="158"/>
        <v>5620</v>
      </c>
      <c r="E584" t="str">
        <f t="shared" si="159"/>
        <v>094OMS</v>
      </c>
      <c r="F584" t="str">
        <f>""</f>
        <v/>
      </c>
      <c r="G584" t="str">
        <f>""</f>
        <v/>
      </c>
      <c r="H584" s="1">
        <v>41090</v>
      </c>
      <c r="I584" t="str">
        <f>"SWS00097"</f>
        <v>SWS00097</v>
      </c>
      <c r="J584" t="str">
        <f>"12727"</f>
        <v>12727</v>
      </c>
      <c r="K584" t="str">
        <f t="shared" ref="K584:K590" si="160">"AS89"</f>
        <v>AS89</v>
      </c>
      <c r="L584" t="s">
        <v>1692</v>
      </c>
      <c r="M584">
        <v>169</v>
      </c>
    </row>
    <row r="585" spans="1:13" x14ac:dyDescent="0.25">
      <c r="A585" t="str">
        <f>"E403"</f>
        <v>E403</v>
      </c>
      <c r="B585">
        <v>1</v>
      </c>
      <c r="C585" t="str">
        <f>"32040"</f>
        <v>32040</v>
      </c>
      <c r="D585" t="str">
        <f>"5610"</f>
        <v>5610</v>
      </c>
      <c r="E585" t="str">
        <f>"850LOS"</f>
        <v>850LOS</v>
      </c>
      <c r="F585" t="str">
        <f>""</f>
        <v/>
      </c>
      <c r="G585" t="str">
        <f>""</f>
        <v/>
      </c>
      <c r="H585" s="1">
        <v>41060</v>
      </c>
      <c r="I585" t="str">
        <f>"PCD00536"</f>
        <v>PCD00536</v>
      </c>
      <c r="J585" t="str">
        <f>"168986"</f>
        <v>168986</v>
      </c>
      <c r="K585" t="str">
        <f t="shared" si="160"/>
        <v>AS89</v>
      </c>
      <c r="L585" t="s">
        <v>1694</v>
      </c>
      <c r="M585" s="2">
        <v>2947.95</v>
      </c>
    </row>
    <row r="586" spans="1:13" x14ac:dyDescent="0.25">
      <c r="A586" t="str">
        <f>"E403"</f>
        <v>E403</v>
      </c>
      <c r="B586">
        <v>1</v>
      </c>
      <c r="C586" t="str">
        <f>"32040"</f>
        <v>32040</v>
      </c>
      <c r="D586" t="str">
        <f>"5610"</f>
        <v>5610</v>
      </c>
      <c r="E586" t="str">
        <f>"850LOS"</f>
        <v>850LOS</v>
      </c>
      <c r="F586" t="str">
        <f>""</f>
        <v/>
      </c>
      <c r="G586" t="str">
        <f>""</f>
        <v/>
      </c>
      <c r="H586" s="1">
        <v>41060</v>
      </c>
      <c r="I586" t="str">
        <f>"PCD00536"</f>
        <v>PCD00536</v>
      </c>
      <c r="J586" t="str">
        <f>"169090"</f>
        <v>169090</v>
      </c>
      <c r="K586" t="str">
        <f t="shared" si="160"/>
        <v>AS89</v>
      </c>
      <c r="L586" t="s">
        <v>1693</v>
      </c>
      <c r="M586">
        <v>144.30000000000001</v>
      </c>
    </row>
    <row r="587" spans="1:13" x14ac:dyDescent="0.25">
      <c r="A587" t="str">
        <f>"E403"</f>
        <v>E403</v>
      </c>
      <c r="B587">
        <v>1</v>
      </c>
      <c r="C587" t="str">
        <f>"43000"</f>
        <v>43000</v>
      </c>
      <c r="D587" t="str">
        <f>"5740"</f>
        <v>5740</v>
      </c>
      <c r="E587" t="str">
        <f>"850LOS"</f>
        <v>850LOS</v>
      </c>
      <c r="F587" t="str">
        <f>""</f>
        <v/>
      </c>
      <c r="G587" t="str">
        <f>""</f>
        <v/>
      </c>
      <c r="H587" s="1">
        <v>41090</v>
      </c>
      <c r="I587" t="str">
        <f>"SWS00097"</f>
        <v>SWS00097</v>
      </c>
      <c r="J587" t="str">
        <f>"12728"</f>
        <v>12728</v>
      </c>
      <c r="K587" t="str">
        <f t="shared" si="160"/>
        <v>AS89</v>
      </c>
      <c r="L587" t="s">
        <v>1692</v>
      </c>
      <c r="M587">
        <v>169</v>
      </c>
    </row>
    <row r="588" spans="1:13" x14ac:dyDescent="0.25">
      <c r="A588" t="str">
        <f>"E404"</f>
        <v>E404</v>
      </c>
      <c r="B588">
        <v>1</v>
      </c>
      <c r="C588" t="str">
        <f t="shared" ref="C588:C604" si="161">"10200"</f>
        <v>10200</v>
      </c>
      <c r="D588" t="str">
        <f t="shared" ref="D588:D605" si="162">"5620"</f>
        <v>5620</v>
      </c>
      <c r="E588" t="str">
        <f t="shared" ref="E588:E604" si="163">"094OMS"</f>
        <v>094OMS</v>
      </c>
      <c r="F588" t="str">
        <f>""</f>
        <v/>
      </c>
      <c r="G588" t="str">
        <f>""</f>
        <v/>
      </c>
      <c r="H588" s="1">
        <v>41060</v>
      </c>
      <c r="I588" t="str">
        <f>"PCD00536"</f>
        <v>PCD00536</v>
      </c>
      <c r="J588" t="str">
        <f>"169459"</f>
        <v>169459</v>
      </c>
      <c r="K588" t="str">
        <f t="shared" si="160"/>
        <v>AS89</v>
      </c>
      <c r="L588" t="s">
        <v>1691</v>
      </c>
      <c r="M588">
        <v>450.55</v>
      </c>
    </row>
    <row r="589" spans="1:13" x14ac:dyDescent="0.25">
      <c r="A589" t="str">
        <f>"E406"</f>
        <v>E406</v>
      </c>
      <c r="B589">
        <v>1</v>
      </c>
      <c r="C589" t="str">
        <f t="shared" si="161"/>
        <v>10200</v>
      </c>
      <c r="D589" t="str">
        <f t="shared" si="162"/>
        <v>5620</v>
      </c>
      <c r="E589" t="str">
        <f t="shared" si="163"/>
        <v>094OMS</v>
      </c>
      <c r="F589" t="str">
        <f>""</f>
        <v/>
      </c>
      <c r="G589" t="str">
        <f>""</f>
        <v/>
      </c>
      <c r="H589" s="1">
        <v>41060</v>
      </c>
      <c r="I589" t="str">
        <f>"PCD00536"</f>
        <v>PCD00536</v>
      </c>
      <c r="J589" t="str">
        <f>"169456"</f>
        <v>169456</v>
      </c>
      <c r="K589" t="str">
        <f t="shared" si="160"/>
        <v>AS89</v>
      </c>
      <c r="L589" t="s">
        <v>1690</v>
      </c>
      <c r="M589">
        <v>146.99</v>
      </c>
    </row>
    <row r="590" spans="1:13" x14ac:dyDescent="0.25">
      <c r="A590" t="str">
        <f t="shared" ref="A590:A605" si="164">"E408"</f>
        <v>E408</v>
      </c>
      <c r="B590">
        <v>1</v>
      </c>
      <c r="C590" t="str">
        <f t="shared" si="161"/>
        <v>10200</v>
      </c>
      <c r="D590" t="str">
        <f t="shared" si="162"/>
        <v>5620</v>
      </c>
      <c r="E590" t="str">
        <f t="shared" si="163"/>
        <v>094OMS</v>
      </c>
      <c r="F590" t="str">
        <f>""</f>
        <v/>
      </c>
      <c r="G590" t="str">
        <f>""</f>
        <v/>
      </c>
      <c r="H590" s="1">
        <v>40755</v>
      </c>
      <c r="I590" t="str">
        <f>"PCD00493"</f>
        <v>PCD00493</v>
      </c>
      <c r="J590" t="str">
        <f>"148489"</f>
        <v>148489</v>
      </c>
      <c r="K590" t="str">
        <f t="shared" si="160"/>
        <v>AS89</v>
      </c>
      <c r="L590" t="s">
        <v>1689</v>
      </c>
      <c r="M590">
        <v>691.54</v>
      </c>
    </row>
    <row r="591" spans="1:13" x14ac:dyDescent="0.25">
      <c r="A591" t="str">
        <f t="shared" si="164"/>
        <v>E408</v>
      </c>
      <c r="B591">
        <v>1</v>
      </c>
      <c r="C591" t="str">
        <f t="shared" si="161"/>
        <v>10200</v>
      </c>
      <c r="D591" t="str">
        <f t="shared" si="162"/>
        <v>5620</v>
      </c>
      <c r="E591" t="str">
        <f t="shared" si="163"/>
        <v>094OMS</v>
      </c>
      <c r="F591" t="str">
        <f>""</f>
        <v/>
      </c>
      <c r="G591" t="str">
        <f>""</f>
        <v/>
      </c>
      <c r="H591" s="1">
        <v>40934</v>
      </c>
      <c r="I591" t="str">
        <f>"13876170"</f>
        <v>13876170</v>
      </c>
      <c r="J591" t="str">
        <f>"F188740"</f>
        <v>F188740</v>
      </c>
      <c r="K591" t="str">
        <f>"INEI"</f>
        <v>INEI</v>
      </c>
      <c r="L591" t="s">
        <v>1688</v>
      </c>
      <c r="M591" s="2">
        <v>3966.57</v>
      </c>
    </row>
    <row r="592" spans="1:13" x14ac:dyDescent="0.25">
      <c r="A592" t="str">
        <f t="shared" si="164"/>
        <v>E408</v>
      </c>
      <c r="B592">
        <v>1</v>
      </c>
      <c r="C592" t="str">
        <f t="shared" si="161"/>
        <v>10200</v>
      </c>
      <c r="D592" t="str">
        <f t="shared" si="162"/>
        <v>5620</v>
      </c>
      <c r="E592" t="str">
        <f t="shared" si="163"/>
        <v>094OMS</v>
      </c>
      <c r="F592" t="str">
        <f>""</f>
        <v/>
      </c>
      <c r="G592" t="str">
        <f>""</f>
        <v/>
      </c>
      <c r="H592" s="1">
        <v>40952</v>
      </c>
      <c r="I592" t="str">
        <f>"188748"</f>
        <v>188748</v>
      </c>
      <c r="J592" t="str">
        <f>""</f>
        <v/>
      </c>
      <c r="K592" t="str">
        <f>"INNI"</f>
        <v>INNI</v>
      </c>
      <c r="L592" t="s">
        <v>1472</v>
      </c>
      <c r="M592" s="2">
        <v>2243.25</v>
      </c>
    </row>
    <row r="593" spans="1:13" x14ac:dyDescent="0.25">
      <c r="A593" t="str">
        <f t="shared" si="164"/>
        <v>E408</v>
      </c>
      <c r="B593">
        <v>1</v>
      </c>
      <c r="C593" t="str">
        <f t="shared" si="161"/>
        <v>10200</v>
      </c>
      <c r="D593" t="str">
        <f t="shared" si="162"/>
        <v>5620</v>
      </c>
      <c r="E593" t="str">
        <f t="shared" si="163"/>
        <v>094OMS</v>
      </c>
      <c r="F593" t="str">
        <f>""</f>
        <v/>
      </c>
      <c r="G593" t="str">
        <f>""</f>
        <v/>
      </c>
      <c r="H593" s="1">
        <v>40960</v>
      </c>
      <c r="I593" t="str">
        <f>"13875655"</f>
        <v>13875655</v>
      </c>
      <c r="J593" t="str">
        <f t="shared" ref="J593:J601" si="165">"F188740"</f>
        <v>F188740</v>
      </c>
      <c r="K593" t="str">
        <f t="shared" ref="K593:K601" si="166">"INEI"</f>
        <v>INEI</v>
      </c>
      <c r="L593" t="s">
        <v>1688</v>
      </c>
      <c r="M593" s="2">
        <v>2097.77</v>
      </c>
    </row>
    <row r="594" spans="1:13" x14ac:dyDescent="0.25">
      <c r="A594" t="str">
        <f t="shared" si="164"/>
        <v>E408</v>
      </c>
      <c r="B594">
        <v>1</v>
      </c>
      <c r="C594" t="str">
        <f t="shared" si="161"/>
        <v>10200</v>
      </c>
      <c r="D594" t="str">
        <f t="shared" si="162"/>
        <v>5620</v>
      </c>
      <c r="E594" t="str">
        <f t="shared" si="163"/>
        <v>094OMS</v>
      </c>
      <c r="F594" t="str">
        <f>""</f>
        <v/>
      </c>
      <c r="G594" t="str">
        <f>""</f>
        <v/>
      </c>
      <c r="H594" s="1">
        <v>40963</v>
      </c>
      <c r="I594" t="str">
        <f>"13875652"</f>
        <v>13875652</v>
      </c>
      <c r="J594" t="str">
        <f t="shared" si="165"/>
        <v>F188740</v>
      </c>
      <c r="K594" t="str">
        <f t="shared" si="166"/>
        <v>INEI</v>
      </c>
      <c r="L594" t="s">
        <v>1688</v>
      </c>
      <c r="M594" s="2">
        <v>2773.68</v>
      </c>
    </row>
    <row r="595" spans="1:13" x14ac:dyDescent="0.25">
      <c r="A595" t="str">
        <f t="shared" si="164"/>
        <v>E408</v>
      </c>
      <c r="B595">
        <v>1</v>
      </c>
      <c r="C595" t="str">
        <f t="shared" si="161"/>
        <v>10200</v>
      </c>
      <c r="D595" t="str">
        <f t="shared" si="162"/>
        <v>5620</v>
      </c>
      <c r="E595" t="str">
        <f t="shared" si="163"/>
        <v>094OMS</v>
      </c>
      <c r="F595" t="str">
        <f>""</f>
        <v/>
      </c>
      <c r="G595" t="str">
        <f>""</f>
        <v/>
      </c>
      <c r="H595" s="1">
        <v>40963</v>
      </c>
      <c r="I595" t="str">
        <f>"13875653"</f>
        <v>13875653</v>
      </c>
      <c r="J595" t="str">
        <f t="shared" si="165"/>
        <v>F188740</v>
      </c>
      <c r="K595" t="str">
        <f t="shared" si="166"/>
        <v>INEI</v>
      </c>
      <c r="L595" t="s">
        <v>1688</v>
      </c>
      <c r="M595" s="2">
        <v>2080.2600000000002</v>
      </c>
    </row>
    <row r="596" spans="1:13" x14ac:dyDescent="0.25">
      <c r="A596" t="str">
        <f t="shared" si="164"/>
        <v>E408</v>
      </c>
      <c r="B596">
        <v>1</v>
      </c>
      <c r="C596" t="str">
        <f t="shared" si="161"/>
        <v>10200</v>
      </c>
      <c r="D596" t="str">
        <f t="shared" si="162"/>
        <v>5620</v>
      </c>
      <c r="E596" t="str">
        <f t="shared" si="163"/>
        <v>094OMS</v>
      </c>
      <c r="F596" t="str">
        <f>""</f>
        <v/>
      </c>
      <c r="G596" t="str">
        <f>""</f>
        <v/>
      </c>
      <c r="H596" s="1">
        <v>40963</v>
      </c>
      <c r="I596" t="str">
        <f>"13875654"</f>
        <v>13875654</v>
      </c>
      <c r="J596" t="str">
        <f t="shared" si="165"/>
        <v>F188740</v>
      </c>
      <c r="K596" t="str">
        <f t="shared" si="166"/>
        <v>INEI</v>
      </c>
      <c r="L596" t="s">
        <v>1688</v>
      </c>
      <c r="M596" s="2">
        <v>1547.34</v>
      </c>
    </row>
    <row r="597" spans="1:13" x14ac:dyDescent="0.25">
      <c r="A597" t="str">
        <f t="shared" si="164"/>
        <v>E408</v>
      </c>
      <c r="B597">
        <v>1</v>
      </c>
      <c r="C597" t="str">
        <f t="shared" si="161"/>
        <v>10200</v>
      </c>
      <c r="D597" t="str">
        <f t="shared" si="162"/>
        <v>5620</v>
      </c>
      <c r="E597" t="str">
        <f t="shared" si="163"/>
        <v>094OMS</v>
      </c>
      <c r="F597" t="str">
        <f>""</f>
        <v/>
      </c>
      <c r="G597" t="str">
        <f>""</f>
        <v/>
      </c>
      <c r="H597" s="1">
        <v>40963</v>
      </c>
      <c r="I597" t="str">
        <f>"13876170"</f>
        <v>13876170</v>
      </c>
      <c r="J597" t="str">
        <f t="shared" si="165"/>
        <v>F188740</v>
      </c>
      <c r="K597" t="str">
        <f t="shared" si="166"/>
        <v>INEI</v>
      </c>
      <c r="L597" t="s">
        <v>1688</v>
      </c>
      <c r="M597" s="2">
        <v>3966.57</v>
      </c>
    </row>
    <row r="598" spans="1:13" x14ac:dyDescent="0.25">
      <c r="A598" t="str">
        <f t="shared" si="164"/>
        <v>E408</v>
      </c>
      <c r="B598">
        <v>1</v>
      </c>
      <c r="C598" t="str">
        <f t="shared" si="161"/>
        <v>10200</v>
      </c>
      <c r="D598" t="str">
        <f t="shared" si="162"/>
        <v>5620</v>
      </c>
      <c r="E598" t="str">
        <f t="shared" si="163"/>
        <v>094OMS</v>
      </c>
      <c r="F598" t="str">
        <f>""</f>
        <v/>
      </c>
      <c r="G598" t="str">
        <f>""</f>
        <v/>
      </c>
      <c r="H598" s="1">
        <v>40963</v>
      </c>
      <c r="I598" t="str">
        <f>"13876527"</f>
        <v>13876527</v>
      </c>
      <c r="J598" t="str">
        <f t="shared" si="165"/>
        <v>F188740</v>
      </c>
      <c r="K598" t="str">
        <f t="shared" si="166"/>
        <v>INEI</v>
      </c>
      <c r="L598" t="s">
        <v>1688</v>
      </c>
      <c r="M598" s="2">
        <v>6151.73</v>
      </c>
    </row>
    <row r="599" spans="1:13" x14ac:dyDescent="0.25">
      <c r="A599" t="str">
        <f t="shared" si="164"/>
        <v>E408</v>
      </c>
      <c r="B599">
        <v>1</v>
      </c>
      <c r="C599" t="str">
        <f t="shared" si="161"/>
        <v>10200</v>
      </c>
      <c r="D599" t="str">
        <f t="shared" si="162"/>
        <v>5620</v>
      </c>
      <c r="E599" t="str">
        <f t="shared" si="163"/>
        <v>094OMS</v>
      </c>
      <c r="F599" t="str">
        <f>""</f>
        <v/>
      </c>
      <c r="G599" t="str">
        <f>""</f>
        <v/>
      </c>
      <c r="H599" s="1">
        <v>40963</v>
      </c>
      <c r="I599" t="str">
        <f>"13876003"</f>
        <v>13876003</v>
      </c>
      <c r="J599" t="str">
        <f t="shared" si="165"/>
        <v>F188740</v>
      </c>
      <c r="K599" t="str">
        <f t="shared" si="166"/>
        <v>INEI</v>
      </c>
      <c r="L599" t="s">
        <v>1688</v>
      </c>
      <c r="M599" s="2">
        <v>5839.91</v>
      </c>
    </row>
    <row r="600" spans="1:13" x14ac:dyDescent="0.25">
      <c r="A600" t="str">
        <f t="shared" si="164"/>
        <v>E408</v>
      </c>
      <c r="B600">
        <v>1</v>
      </c>
      <c r="C600" t="str">
        <f t="shared" si="161"/>
        <v>10200</v>
      </c>
      <c r="D600" t="str">
        <f t="shared" si="162"/>
        <v>5620</v>
      </c>
      <c r="E600" t="str">
        <f t="shared" si="163"/>
        <v>094OMS</v>
      </c>
      <c r="F600" t="str">
        <f>""</f>
        <v/>
      </c>
      <c r="G600" t="str">
        <f>""</f>
        <v/>
      </c>
      <c r="H600" s="1">
        <v>40963</v>
      </c>
      <c r="I600" t="str">
        <f>"13876000"</f>
        <v>13876000</v>
      </c>
      <c r="J600" t="str">
        <f t="shared" si="165"/>
        <v>F188740</v>
      </c>
      <c r="K600" t="str">
        <f t="shared" si="166"/>
        <v>INEI</v>
      </c>
      <c r="L600" t="s">
        <v>1688</v>
      </c>
      <c r="M600" s="2">
        <v>1033.55</v>
      </c>
    </row>
    <row r="601" spans="1:13" x14ac:dyDescent="0.25">
      <c r="A601" t="str">
        <f t="shared" si="164"/>
        <v>E408</v>
      </c>
      <c r="B601">
        <v>1</v>
      </c>
      <c r="C601" t="str">
        <f t="shared" si="161"/>
        <v>10200</v>
      </c>
      <c r="D601" t="str">
        <f t="shared" si="162"/>
        <v>5620</v>
      </c>
      <c r="E601" t="str">
        <f t="shared" si="163"/>
        <v>094OMS</v>
      </c>
      <c r="F601" t="str">
        <f>""</f>
        <v/>
      </c>
      <c r="G601" t="str">
        <f>""</f>
        <v/>
      </c>
      <c r="H601" s="1">
        <v>40963</v>
      </c>
      <c r="I601" t="str">
        <f>"13875997"</f>
        <v>13875997</v>
      </c>
      <c r="J601" t="str">
        <f t="shared" si="165"/>
        <v>F188740</v>
      </c>
      <c r="K601" t="str">
        <f t="shared" si="166"/>
        <v>INEI</v>
      </c>
      <c r="L601" t="s">
        <v>1688</v>
      </c>
      <c r="M601" s="2">
        <v>21863.79</v>
      </c>
    </row>
    <row r="602" spans="1:13" x14ac:dyDescent="0.25">
      <c r="A602" t="str">
        <f t="shared" si="164"/>
        <v>E408</v>
      </c>
      <c r="B602">
        <v>1</v>
      </c>
      <c r="C602" t="str">
        <f t="shared" si="161"/>
        <v>10200</v>
      </c>
      <c r="D602" t="str">
        <f t="shared" si="162"/>
        <v>5620</v>
      </c>
      <c r="E602" t="str">
        <f t="shared" si="163"/>
        <v>094OMS</v>
      </c>
      <c r="F602" t="str">
        <f>""</f>
        <v/>
      </c>
      <c r="G602" t="str">
        <f>""</f>
        <v/>
      </c>
      <c r="H602" s="1">
        <v>40968</v>
      </c>
      <c r="I602" t="str">
        <f>"PCD00522"</f>
        <v>PCD00522</v>
      </c>
      <c r="J602" t="str">
        <f>"161092"</f>
        <v>161092</v>
      </c>
      <c r="K602" t="str">
        <f>"AS89"</f>
        <v>AS89</v>
      </c>
      <c r="L602" t="s">
        <v>1687</v>
      </c>
      <c r="M602">
        <v>699.88</v>
      </c>
    </row>
    <row r="603" spans="1:13" x14ac:dyDescent="0.25">
      <c r="A603" t="str">
        <f t="shared" si="164"/>
        <v>E408</v>
      </c>
      <c r="B603">
        <v>1</v>
      </c>
      <c r="C603" t="str">
        <f t="shared" si="161"/>
        <v>10200</v>
      </c>
      <c r="D603" t="str">
        <f t="shared" si="162"/>
        <v>5620</v>
      </c>
      <c r="E603" t="str">
        <f t="shared" si="163"/>
        <v>094OMS</v>
      </c>
      <c r="F603" t="str">
        <f>""</f>
        <v/>
      </c>
      <c r="G603" t="str">
        <f>""</f>
        <v/>
      </c>
      <c r="H603" s="1">
        <v>41023</v>
      </c>
      <c r="I603" t="str">
        <f>"PCD00529"</f>
        <v>PCD00529</v>
      </c>
      <c r="J603" t="str">
        <f>"166566"</f>
        <v>166566</v>
      </c>
      <c r="K603" t="str">
        <f>"AS89"</f>
        <v>AS89</v>
      </c>
      <c r="L603" t="s">
        <v>1685</v>
      </c>
      <c r="M603">
        <v>196</v>
      </c>
    </row>
    <row r="604" spans="1:13" x14ac:dyDescent="0.25">
      <c r="A604" t="str">
        <f t="shared" si="164"/>
        <v>E408</v>
      </c>
      <c r="B604">
        <v>1</v>
      </c>
      <c r="C604" t="str">
        <f t="shared" si="161"/>
        <v>10200</v>
      </c>
      <c r="D604" t="str">
        <f t="shared" si="162"/>
        <v>5620</v>
      </c>
      <c r="E604" t="str">
        <f t="shared" si="163"/>
        <v>094OMS</v>
      </c>
      <c r="F604" t="str">
        <f>""</f>
        <v/>
      </c>
      <c r="G604" t="str">
        <f>""</f>
        <v/>
      </c>
      <c r="H604" s="1">
        <v>41072</v>
      </c>
      <c r="I604" t="str">
        <f>"PCD00537"</f>
        <v>PCD00537</v>
      </c>
      <c r="J604" t="str">
        <f>"169783"</f>
        <v>169783</v>
      </c>
      <c r="K604" t="str">
        <f>"AS89"</f>
        <v>AS89</v>
      </c>
      <c r="L604" t="s">
        <v>1686</v>
      </c>
      <c r="M604">
        <v>849</v>
      </c>
    </row>
    <row r="605" spans="1:13" x14ac:dyDescent="0.25">
      <c r="A605" t="str">
        <f t="shared" si="164"/>
        <v>E408</v>
      </c>
      <c r="B605">
        <v>1</v>
      </c>
      <c r="C605" t="str">
        <f>"55770"</f>
        <v>55770</v>
      </c>
      <c r="D605" t="str">
        <f t="shared" si="162"/>
        <v>5620</v>
      </c>
      <c r="E605" t="str">
        <f>"111ZAA"</f>
        <v>111ZAA</v>
      </c>
      <c r="F605" t="str">
        <f>""</f>
        <v/>
      </c>
      <c r="G605" t="str">
        <f>""</f>
        <v/>
      </c>
      <c r="H605" s="1">
        <v>41023</v>
      </c>
      <c r="I605" t="str">
        <f>"PCD00529"</f>
        <v>PCD00529</v>
      </c>
      <c r="J605" t="str">
        <f>"166566"</f>
        <v>166566</v>
      </c>
      <c r="K605" t="str">
        <f>"AS89"</f>
        <v>AS89</v>
      </c>
      <c r="L605" t="s">
        <v>1685</v>
      </c>
      <c r="M605">
        <v>799</v>
      </c>
    </row>
    <row r="606" spans="1:13" x14ac:dyDescent="0.25">
      <c r="A606" t="str">
        <f>"E491"</f>
        <v>E491</v>
      </c>
      <c r="B606">
        <v>1</v>
      </c>
      <c r="C606" t="str">
        <f>"54551"</f>
        <v>54551</v>
      </c>
      <c r="D606" t="str">
        <f>"5740"</f>
        <v>5740</v>
      </c>
      <c r="E606" t="str">
        <f>"111ZAA"</f>
        <v>111ZAA</v>
      </c>
      <c r="F606" t="str">
        <f>""</f>
        <v/>
      </c>
      <c r="G606" t="str">
        <f>""</f>
        <v/>
      </c>
      <c r="H606" s="1">
        <v>41090</v>
      </c>
      <c r="I606" t="str">
        <f>"J0002306"</f>
        <v>J0002306</v>
      </c>
      <c r="J606" t="str">
        <f>""</f>
        <v/>
      </c>
      <c r="K606" t="str">
        <f>"J096"</f>
        <v>J096</v>
      </c>
      <c r="L606" t="s">
        <v>1684</v>
      </c>
      <c r="M606" s="2">
        <v>18481.240000000002</v>
      </c>
    </row>
    <row r="607" spans="1:13" x14ac:dyDescent="0.25">
      <c r="A607" t="str">
        <f>"E494"</f>
        <v>E494</v>
      </c>
      <c r="B607">
        <v>1</v>
      </c>
      <c r="C607" t="str">
        <f>"43000"</f>
        <v>43000</v>
      </c>
      <c r="D607" t="str">
        <f>"5740"</f>
        <v>5740</v>
      </c>
      <c r="E607" t="str">
        <f>"850LOS"</f>
        <v>850LOS</v>
      </c>
      <c r="F607" t="str">
        <f>""</f>
        <v/>
      </c>
      <c r="G607" t="str">
        <f>""</f>
        <v/>
      </c>
      <c r="H607" s="1">
        <v>40969</v>
      </c>
      <c r="I607" t="str">
        <f>"14365F"</f>
        <v>14365F</v>
      </c>
      <c r="J607" t="str">
        <f>"N138267B"</f>
        <v>N138267B</v>
      </c>
      <c r="K607" t="str">
        <f>"INEI"</f>
        <v>INEI</v>
      </c>
      <c r="L607" t="s">
        <v>3</v>
      </c>
      <c r="M607" s="2">
        <v>12491.01</v>
      </c>
    </row>
    <row r="608" spans="1:13" x14ac:dyDescent="0.25">
      <c r="A608" t="str">
        <f>"E494"</f>
        <v>E494</v>
      </c>
      <c r="B608">
        <v>1</v>
      </c>
      <c r="C608" t="str">
        <f>"43007"</f>
        <v>43007</v>
      </c>
      <c r="D608" t="str">
        <f>"5740"</f>
        <v>5740</v>
      </c>
      <c r="E608" t="str">
        <f>"850LOS"</f>
        <v>850LOS</v>
      </c>
      <c r="F608" t="str">
        <f>""</f>
        <v/>
      </c>
      <c r="G608" t="str">
        <f>""</f>
        <v/>
      </c>
      <c r="H608" s="1">
        <v>40770</v>
      </c>
      <c r="I608" t="str">
        <f>"209G"</f>
        <v>209G</v>
      </c>
      <c r="J608" t="str">
        <f>"B191097"</f>
        <v>B191097</v>
      </c>
      <c r="K608" t="str">
        <f>"INEI"</f>
        <v>INEI</v>
      </c>
      <c r="L608" t="s">
        <v>1683</v>
      </c>
      <c r="M608" s="2">
        <v>5162.5</v>
      </c>
    </row>
    <row r="609" spans="1:13" x14ac:dyDescent="0.25">
      <c r="A609" t="str">
        <f>"E494"</f>
        <v>E494</v>
      </c>
      <c r="B609">
        <v>1</v>
      </c>
      <c r="C609" t="str">
        <f>"43007"</f>
        <v>43007</v>
      </c>
      <c r="D609" t="str">
        <f>"5740"</f>
        <v>5740</v>
      </c>
      <c r="E609" t="str">
        <f>"850LOS"</f>
        <v>850LOS</v>
      </c>
      <c r="F609" t="str">
        <f>""</f>
        <v/>
      </c>
      <c r="G609" t="str">
        <f>""</f>
        <v/>
      </c>
      <c r="H609" s="1">
        <v>40805</v>
      </c>
      <c r="I609" t="str">
        <f>"226F"</f>
        <v>226F</v>
      </c>
      <c r="J609" t="str">
        <f>"B191097"</f>
        <v>B191097</v>
      </c>
      <c r="K609" t="str">
        <f>"INEI"</f>
        <v>INEI</v>
      </c>
      <c r="L609" t="s">
        <v>1683</v>
      </c>
      <c r="M609" s="2">
        <v>3701.5</v>
      </c>
    </row>
    <row r="610" spans="1:13" x14ac:dyDescent="0.25">
      <c r="A610" t="str">
        <f>"E494"</f>
        <v>E494</v>
      </c>
      <c r="B610">
        <v>1</v>
      </c>
      <c r="C610" t="str">
        <f>"43007"</f>
        <v>43007</v>
      </c>
      <c r="D610" t="str">
        <f>"5740"</f>
        <v>5740</v>
      </c>
      <c r="E610" t="str">
        <f>"850LOS"</f>
        <v>850LOS</v>
      </c>
      <c r="F610" t="str">
        <f>""</f>
        <v/>
      </c>
      <c r="G610" t="str">
        <f>""</f>
        <v/>
      </c>
      <c r="H610" s="1">
        <v>40836</v>
      </c>
      <c r="I610" t="str">
        <f>"244D"</f>
        <v>244D</v>
      </c>
      <c r="J610" t="str">
        <f>"B191097"</f>
        <v>B191097</v>
      </c>
      <c r="K610" t="str">
        <f>"INEI"</f>
        <v>INEI</v>
      </c>
      <c r="L610" t="s">
        <v>1683</v>
      </c>
      <c r="M610" s="2">
        <v>1425</v>
      </c>
    </row>
  </sheetData>
  <autoFilter ref="A1:M61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6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4.42578125" bestFit="1" customWidth="1"/>
    <col min="3" max="3" width="7.7109375" bestFit="1" customWidth="1"/>
    <col min="4" max="4" width="6.42578125" bestFit="1" customWidth="1"/>
    <col min="5" max="5" width="10.7109375" bestFit="1" customWidth="1"/>
    <col min="6" max="6" width="10" bestFit="1" customWidth="1"/>
    <col min="7" max="7" width="7.28515625" bestFit="1" customWidth="1"/>
    <col min="8" max="8" width="12.5703125" bestFit="1" customWidth="1"/>
    <col min="9" max="9" width="14.28515625" bestFit="1" customWidth="1"/>
    <col min="10" max="10" width="13.5703125" bestFit="1" customWidth="1"/>
    <col min="11" max="11" width="12.7109375" bestFit="1" customWidth="1"/>
    <col min="12" max="12" width="40.28515625" bestFit="1" customWidth="1"/>
    <col min="13" max="13" width="22.85546875" bestFit="1" customWidth="1"/>
  </cols>
  <sheetData>
    <row r="1" spans="1:13" x14ac:dyDescent="0.25">
      <c r="A1" t="s">
        <v>3168</v>
      </c>
      <c r="B1" t="s">
        <v>3169</v>
      </c>
      <c r="C1" t="s">
        <v>3170</v>
      </c>
      <c r="D1" t="s">
        <v>3171</v>
      </c>
      <c r="E1" t="s">
        <v>3172</v>
      </c>
      <c r="F1" t="s">
        <v>3173</v>
      </c>
      <c r="G1" t="s">
        <v>3174</v>
      </c>
      <c r="H1" t="s">
        <v>3175</v>
      </c>
      <c r="I1" t="s">
        <v>3176</v>
      </c>
      <c r="J1" t="s">
        <v>3177</v>
      </c>
      <c r="K1" t="s">
        <v>3178</v>
      </c>
      <c r="L1" t="s">
        <v>3179</v>
      </c>
      <c r="M1" s="3" t="s">
        <v>3180</v>
      </c>
    </row>
    <row r="2" spans="1:13" x14ac:dyDescent="0.25">
      <c r="A2" t="str">
        <f>"E051"</f>
        <v>E051</v>
      </c>
      <c r="B2">
        <v>1</v>
      </c>
      <c r="C2" t="str">
        <f>"43000"</f>
        <v>43000</v>
      </c>
      <c r="D2" t="str">
        <f>"5740"</f>
        <v>5740</v>
      </c>
      <c r="E2" t="str">
        <f>"850LOS"</f>
        <v>850LOS</v>
      </c>
      <c r="F2" t="str">
        <f>""</f>
        <v/>
      </c>
      <c r="G2" t="str">
        <f>""</f>
        <v/>
      </c>
      <c r="H2" s="1">
        <v>41316</v>
      </c>
      <c r="I2" t="str">
        <f>"J0003547"</f>
        <v>J0003547</v>
      </c>
      <c r="J2" t="str">
        <f>""</f>
        <v/>
      </c>
      <c r="K2" t="str">
        <f>"J089"</f>
        <v>J089</v>
      </c>
      <c r="L2" t="s">
        <v>2194</v>
      </c>
      <c r="M2" s="2">
        <v>4109.5</v>
      </c>
    </row>
    <row r="3" spans="1:13" x14ac:dyDescent="0.25">
      <c r="A3" t="str">
        <f>"E055"</f>
        <v>E055</v>
      </c>
      <c r="B3">
        <v>1</v>
      </c>
      <c r="C3" t="str">
        <f t="shared" ref="C3:C41" si="0">"10200"</f>
        <v>10200</v>
      </c>
      <c r="D3" t="str">
        <f t="shared" ref="D3:D41" si="1">"5620"</f>
        <v>5620</v>
      </c>
      <c r="E3" t="str">
        <f t="shared" ref="E3:E41" si="2">"094OMS"</f>
        <v>094OMS</v>
      </c>
      <c r="F3" t="str">
        <f>""</f>
        <v/>
      </c>
      <c r="G3" t="str">
        <f>""</f>
        <v/>
      </c>
      <c r="H3" s="1">
        <v>41242</v>
      </c>
      <c r="I3" t="str">
        <f>"196041"</f>
        <v>196041</v>
      </c>
      <c r="J3" t="str">
        <f>""</f>
        <v/>
      </c>
      <c r="K3" t="str">
        <f>"INNI"</f>
        <v>INNI</v>
      </c>
      <c r="L3" t="s">
        <v>4</v>
      </c>
      <c r="M3">
        <v>175</v>
      </c>
    </row>
    <row r="4" spans="1:13" x14ac:dyDescent="0.25">
      <c r="A4" t="str">
        <f>"E056"</f>
        <v>E056</v>
      </c>
      <c r="B4">
        <v>1</v>
      </c>
      <c r="C4" t="str">
        <f t="shared" si="0"/>
        <v>10200</v>
      </c>
      <c r="D4" t="str">
        <f t="shared" si="1"/>
        <v>5620</v>
      </c>
      <c r="E4" t="str">
        <f t="shared" si="2"/>
        <v>094OMS</v>
      </c>
      <c r="F4" t="str">
        <f>""</f>
        <v/>
      </c>
      <c r="G4" t="str">
        <f>""</f>
        <v/>
      </c>
      <c r="H4" s="1">
        <v>41312</v>
      </c>
      <c r="I4" t="str">
        <f>"210956A"</f>
        <v>210956A</v>
      </c>
      <c r="J4" t="str">
        <f>""</f>
        <v/>
      </c>
      <c r="K4" t="str">
        <f>"INNI"</f>
        <v>INNI</v>
      </c>
      <c r="L4" t="s">
        <v>7</v>
      </c>
      <c r="M4">
        <v>750</v>
      </c>
    </row>
    <row r="5" spans="1:13" x14ac:dyDescent="0.25">
      <c r="A5" t="str">
        <f t="shared" ref="A5:A36" si="3">"E111"</f>
        <v>E111</v>
      </c>
      <c r="B5">
        <v>1</v>
      </c>
      <c r="C5" t="str">
        <f t="shared" si="0"/>
        <v>10200</v>
      </c>
      <c r="D5" t="str">
        <f t="shared" si="1"/>
        <v>5620</v>
      </c>
      <c r="E5" t="str">
        <f t="shared" si="2"/>
        <v>094OMS</v>
      </c>
      <c r="F5" t="str">
        <f>""</f>
        <v/>
      </c>
      <c r="G5" t="str">
        <f>""</f>
        <v/>
      </c>
      <c r="H5" s="1">
        <v>41121</v>
      </c>
      <c r="I5" t="str">
        <f>"PCD00546"</f>
        <v>PCD00546</v>
      </c>
      <c r="J5" t="str">
        <f>"171995"</f>
        <v>171995</v>
      </c>
      <c r="K5" t="str">
        <f t="shared" ref="K5:K11" si="4">"AS89"</f>
        <v>AS89</v>
      </c>
      <c r="L5" t="s">
        <v>2193</v>
      </c>
      <c r="M5">
        <v>134.22999999999999</v>
      </c>
    </row>
    <row r="6" spans="1:13" x14ac:dyDescent="0.25">
      <c r="A6" t="str">
        <f t="shared" si="3"/>
        <v>E111</v>
      </c>
      <c r="B6">
        <v>1</v>
      </c>
      <c r="C6" t="str">
        <f t="shared" si="0"/>
        <v>10200</v>
      </c>
      <c r="D6" t="str">
        <f t="shared" si="1"/>
        <v>5620</v>
      </c>
      <c r="E6" t="str">
        <f t="shared" si="2"/>
        <v>094OMS</v>
      </c>
      <c r="F6" t="str">
        <f>""</f>
        <v/>
      </c>
      <c r="G6" t="str">
        <f>""</f>
        <v/>
      </c>
      <c r="H6" s="1">
        <v>41121</v>
      </c>
      <c r="I6" t="str">
        <f>"PCD00546"</f>
        <v>PCD00546</v>
      </c>
      <c r="J6" t="str">
        <f>"172786"</f>
        <v>172786</v>
      </c>
      <c r="K6" t="str">
        <f t="shared" si="4"/>
        <v>AS89</v>
      </c>
      <c r="L6" t="s">
        <v>2192</v>
      </c>
      <c r="M6">
        <v>329.77</v>
      </c>
    </row>
    <row r="7" spans="1:13" x14ac:dyDescent="0.25">
      <c r="A7" t="str">
        <f t="shared" si="3"/>
        <v>E111</v>
      </c>
      <c r="B7">
        <v>1</v>
      </c>
      <c r="C7" t="str">
        <f t="shared" si="0"/>
        <v>10200</v>
      </c>
      <c r="D7" t="str">
        <f t="shared" si="1"/>
        <v>5620</v>
      </c>
      <c r="E7" t="str">
        <f t="shared" si="2"/>
        <v>094OMS</v>
      </c>
      <c r="F7" t="str">
        <f>""</f>
        <v/>
      </c>
      <c r="G7" t="str">
        <f>""</f>
        <v/>
      </c>
      <c r="H7" s="1">
        <v>41158</v>
      </c>
      <c r="I7" t="str">
        <f>"PCD00553"</f>
        <v>PCD00553</v>
      </c>
      <c r="J7" t="str">
        <f>"174463"</f>
        <v>174463</v>
      </c>
      <c r="K7" t="str">
        <f t="shared" si="4"/>
        <v>AS89</v>
      </c>
      <c r="L7" t="s">
        <v>2191</v>
      </c>
      <c r="M7">
        <v>229.7</v>
      </c>
    </row>
    <row r="8" spans="1:13" x14ac:dyDescent="0.25">
      <c r="A8" t="str">
        <f t="shared" si="3"/>
        <v>E111</v>
      </c>
      <c r="B8">
        <v>1</v>
      </c>
      <c r="C8" t="str">
        <f t="shared" si="0"/>
        <v>10200</v>
      </c>
      <c r="D8" t="str">
        <f t="shared" si="1"/>
        <v>5620</v>
      </c>
      <c r="E8" t="str">
        <f t="shared" si="2"/>
        <v>094OMS</v>
      </c>
      <c r="F8" t="str">
        <f>""</f>
        <v/>
      </c>
      <c r="G8" t="str">
        <f>""</f>
        <v/>
      </c>
      <c r="H8" s="1">
        <v>41158</v>
      </c>
      <c r="I8" t="str">
        <f>"PCD00553"</f>
        <v>PCD00553</v>
      </c>
      <c r="J8" t="str">
        <f>"174812"</f>
        <v>174812</v>
      </c>
      <c r="K8" t="str">
        <f t="shared" si="4"/>
        <v>AS89</v>
      </c>
      <c r="L8" t="s">
        <v>2190</v>
      </c>
      <c r="M8">
        <v>314.16000000000003</v>
      </c>
    </row>
    <row r="9" spans="1:13" x14ac:dyDescent="0.25">
      <c r="A9" t="str">
        <f t="shared" si="3"/>
        <v>E111</v>
      </c>
      <c r="B9">
        <v>1</v>
      </c>
      <c r="C9" t="str">
        <f t="shared" si="0"/>
        <v>10200</v>
      </c>
      <c r="D9" t="str">
        <f t="shared" si="1"/>
        <v>5620</v>
      </c>
      <c r="E9" t="str">
        <f t="shared" si="2"/>
        <v>094OMS</v>
      </c>
      <c r="F9" t="str">
        <f>""</f>
        <v/>
      </c>
      <c r="G9" t="str">
        <f>""</f>
        <v/>
      </c>
      <c r="H9" s="1">
        <v>41158</v>
      </c>
      <c r="I9" t="str">
        <f>"PCD00553"</f>
        <v>PCD00553</v>
      </c>
      <c r="J9" t="str">
        <f>"174877"</f>
        <v>174877</v>
      </c>
      <c r="K9" t="str">
        <f t="shared" si="4"/>
        <v>AS89</v>
      </c>
      <c r="L9" t="s">
        <v>2189</v>
      </c>
      <c r="M9">
        <v>104.51</v>
      </c>
    </row>
    <row r="10" spans="1:13" x14ac:dyDescent="0.25">
      <c r="A10" t="str">
        <f t="shared" si="3"/>
        <v>E111</v>
      </c>
      <c r="B10">
        <v>1</v>
      </c>
      <c r="C10" t="str">
        <f t="shared" si="0"/>
        <v>10200</v>
      </c>
      <c r="D10" t="str">
        <f t="shared" si="1"/>
        <v>5620</v>
      </c>
      <c r="E10" t="str">
        <f t="shared" si="2"/>
        <v>094OMS</v>
      </c>
      <c r="F10" t="str">
        <f>""</f>
        <v/>
      </c>
      <c r="G10" t="str">
        <f>""</f>
        <v/>
      </c>
      <c r="H10" s="1">
        <v>41182</v>
      </c>
      <c r="I10" t="str">
        <f>"PCD00558"</f>
        <v>PCD00558</v>
      </c>
      <c r="J10" t="str">
        <f>"176876"</f>
        <v>176876</v>
      </c>
      <c r="K10" t="str">
        <f t="shared" si="4"/>
        <v>AS89</v>
      </c>
      <c r="L10" t="s">
        <v>2188</v>
      </c>
      <c r="M10">
        <v>155.04</v>
      </c>
    </row>
    <row r="11" spans="1:13" x14ac:dyDescent="0.25">
      <c r="A11" t="str">
        <f t="shared" si="3"/>
        <v>E111</v>
      </c>
      <c r="B11">
        <v>1</v>
      </c>
      <c r="C11" t="str">
        <f t="shared" si="0"/>
        <v>10200</v>
      </c>
      <c r="D11" t="str">
        <f t="shared" si="1"/>
        <v>5620</v>
      </c>
      <c r="E11" t="str">
        <f t="shared" si="2"/>
        <v>094OMS</v>
      </c>
      <c r="F11" t="str">
        <f>""</f>
        <v/>
      </c>
      <c r="G11" t="str">
        <f>""</f>
        <v/>
      </c>
      <c r="H11" s="1">
        <v>41191</v>
      </c>
      <c r="I11" t="str">
        <f>"PCD00559"</f>
        <v>PCD00559</v>
      </c>
      <c r="J11" t="str">
        <f>"177197"</f>
        <v>177197</v>
      </c>
      <c r="K11" t="str">
        <f t="shared" si="4"/>
        <v>AS89</v>
      </c>
      <c r="L11" t="s">
        <v>2144</v>
      </c>
      <c r="M11">
        <v>117.49</v>
      </c>
    </row>
    <row r="12" spans="1:13" x14ac:dyDescent="0.25">
      <c r="A12" t="str">
        <f t="shared" si="3"/>
        <v>E111</v>
      </c>
      <c r="B12">
        <v>1</v>
      </c>
      <c r="C12" t="str">
        <f t="shared" si="0"/>
        <v>10200</v>
      </c>
      <c r="D12" t="str">
        <f t="shared" si="1"/>
        <v>5620</v>
      </c>
      <c r="E12" t="str">
        <f t="shared" si="2"/>
        <v>094OMS</v>
      </c>
      <c r="F12" t="str">
        <f>""</f>
        <v/>
      </c>
      <c r="G12" t="str">
        <f>""</f>
        <v/>
      </c>
      <c r="H12" s="1">
        <v>41207</v>
      </c>
      <c r="I12" t="str">
        <f>"C0019110"</f>
        <v>C0019110</v>
      </c>
      <c r="J12" t="str">
        <f>""</f>
        <v/>
      </c>
      <c r="K12" t="str">
        <f>"ISSU"</f>
        <v>ISSU</v>
      </c>
      <c r="L12" t="s">
        <v>2168</v>
      </c>
      <c r="M12">
        <v>295.23</v>
      </c>
    </row>
    <row r="13" spans="1:13" x14ac:dyDescent="0.25">
      <c r="A13" t="str">
        <f t="shared" si="3"/>
        <v>E111</v>
      </c>
      <c r="B13">
        <v>1</v>
      </c>
      <c r="C13" t="str">
        <f t="shared" si="0"/>
        <v>10200</v>
      </c>
      <c r="D13" t="str">
        <f t="shared" si="1"/>
        <v>5620</v>
      </c>
      <c r="E13" t="str">
        <f t="shared" si="2"/>
        <v>094OMS</v>
      </c>
      <c r="F13" t="str">
        <f>""</f>
        <v/>
      </c>
      <c r="G13" t="str">
        <f>""</f>
        <v/>
      </c>
      <c r="H13" s="1">
        <v>41213</v>
      </c>
      <c r="I13" t="str">
        <f>"PCD00564"</f>
        <v>PCD00564</v>
      </c>
      <c r="J13" t="str">
        <f>"178380"</f>
        <v>178380</v>
      </c>
      <c r="K13" t="str">
        <f t="shared" ref="K13:K18" si="5">"AS89"</f>
        <v>AS89</v>
      </c>
      <c r="L13" t="s">
        <v>2187</v>
      </c>
      <c r="M13">
        <v>228.27</v>
      </c>
    </row>
    <row r="14" spans="1:13" x14ac:dyDescent="0.25">
      <c r="A14" t="str">
        <f t="shared" si="3"/>
        <v>E111</v>
      </c>
      <c r="B14">
        <v>1</v>
      </c>
      <c r="C14" t="str">
        <f t="shared" si="0"/>
        <v>10200</v>
      </c>
      <c r="D14" t="str">
        <f t="shared" si="1"/>
        <v>5620</v>
      </c>
      <c r="E14" t="str">
        <f t="shared" si="2"/>
        <v>094OMS</v>
      </c>
      <c r="F14" t="str">
        <f>""</f>
        <v/>
      </c>
      <c r="G14" t="str">
        <f>""</f>
        <v/>
      </c>
      <c r="H14" s="1">
        <v>41213</v>
      </c>
      <c r="I14" t="str">
        <f>"PCD00564"</f>
        <v>PCD00564</v>
      </c>
      <c r="J14" t="str">
        <f>"178978"</f>
        <v>178978</v>
      </c>
      <c r="K14" t="str">
        <f t="shared" si="5"/>
        <v>AS89</v>
      </c>
      <c r="L14" t="s">
        <v>2186</v>
      </c>
      <c r="M14">
        <v>192.14</v>
      </c>
    </row>
    <row r="15" spans="1:13" x14ac:dyDescent="0.25">
      <c r="A15" t="str">
        <f t="shared" si="3"/>
        <v>E111</v>
      </c>
      <c r="B15">
        <v>1</v>
      </c>
      <c r="C15" t="str">
        <f t="shared" si="0"/>
        <v>10200</v>
      </c>
      <c r="D15" t="str">
        <f t="shared" si="1"/>
        <v>5620</v>
      </c>
      <c r="E15" t="str">
        <f t="shared" si="2"/>
        <v>094OMS</v>
      </c>
      <c r="F15" t="str">
        <f>""</f>
        <v/>
      </c>
      <c r="G15" t="str">
        <f>""</f>
        <v/>
      </c>
      <c r="H15" s="1">
        <v>41243</v>
      </c>
      <c r="I15" t="str">
        <f>"PCD00570"</f>
        <v>PCD00570</v>
      </c>
      <c r="J15" t="str">
        <f>"180614"</f>
        <v>180614</v>
      </c>
      <c r="K15" t="str">
        <f t="shared" si="5"/>
        <v>AS89</v>
      </c>
      <c r="L15" t="s">
        <v>2185</v>
      </c>
      <c r="M15">
        <v>279.01</v>
      </c>
    </row>
    <row r="16" spans="1:13" x14ac:dyDescent="0.25">
      <c r="A16" t="str">
        <f t="shared" si="3"/>
        <v>E111</v>
      </c>
      <c r="B16">
        <v>1</v>
      </c>
      <c r="C16" t="str">
        <f t="shared" si="0"/>
        <v>10200</v>
      </c>
      <c r="D16" t="str">
        <f t="shared" si="1"/>
        <v>5620</v>
      </c>
      <c r="E16" t="str">
        <f t="shared" si="2"/>
        <v>094OMS</v>
      </c>
      <c r="F16" t="str">
        <f>""</f>
        <v/>
      </c>
      <c r="G16" t="str">
        <f>""</f>
        <v/>
      </c>
      <c r="H16" s="1">
        <v>41243</v>
      </c>
      <c r="I16" t="str">
        <f>"PCD00570"</f>
        <v>PCD00570</v>
      </c>
      <c r="J16" t="str">
        <f>"181307"</f>
        <v>181307</v>
      </c>
      <c r="K16" t="str">
        <f t="shared" si="5"/>
        <v>AS89</v>
      </c>
      <c r="L16" t="s">
        <v>2184</v>
      </c>
      <c r="M16">
        <v>481.96</v>
      </c>
    </row>
    <row r="17" spans="1:13" x14ac:dyDescent="0.25">
      <c r="A17" t="str">
        <f t="shared" si="3"/>
        <v>E111</v>
      </c>
      <c r="B17">
        <v>1</v>
      </c>
      <c r="C17" t="str">
        <f t="shared" si="0"/>
        <v>10200</v>
      </c>
      <c r="D17" t="str">
        <f t="shared" si="1"/>
        <v>5620</v>
      </c>
      <c r="E17" t="str">
        <f t="shared" si="2"/>
        <v>094OMS</v>
      </c>
      <c r="F17" t="str">
        <f>""</f>
        <v/>
      </c>
      <c r="G17" t="str">
        <f>""</f>
        <v/>
      </c>
      <c r="H17" s="1">
        <v>41274</v>
      </c>
      <c r="I17" t="str">
        <f>"PCD00575"</f>
        <v>PCD00575</v>
      </c>
      <c r="J17" t="str">
        <f>"181448"</f>
        <v>181448</v>
      </c>
      <c r="K17" t="str">
        <f t="shared" si="5"/>
        <v>AS89</v>
      </c>
      <c r="L17" t="s">
        <v>2183</v>
      </c>
      <c r="M17">
        <v>187.28</v>
      </c>
    </row>
    <row r="18" spans="1:13" x14ac:dyDescent="0.25">
      <c r="A18" t="str">
        <f t="shared" si="3"/>
        <v>E111</v>
      </c>
      <c r="B18">
        <v>1</v>
      </c>
      <c r="C18" t="str">
        <f t="shared" si="0"/>
        <v>10200</v>
      </c>
      <c r="D18" t="str">
        <f t="shared" si="1"/>
        <v>5620</v>
      </c>
      <c r="E18" t="str">
        <f t="shared" si="2"/>
        <v>094OMS</v>
      </c>
      <c r="F18" t="str">
        <f>""</f>
        <v/>
      </c>
      <c r="G18" t="str">
        <f>""</f>
        <v/>
      </c>
      <c r="H18" s="1">
        <v>41274</v>
      </c>
      <c r="I18" t="str">
        <f>"PCD00575"</f>
        <v>PCD00575</v>
      </c>
      <c r="J18" t="str">
        <f>"183017"</f>
        <v>183017</v>
      </c>
      <c r="K18" t="str">
        <f t="shared" si="5"/>
        <v>AS89</v>
      </c>
      <c r="L18" t="s">
        <v>2182</v>
      </c>
      <c r="M18">
        <v>119.84</v>
      </c>
    </row>
    <row r="19" spans="1:13" x14ac:dyDescent="0.25">
      <c r="A19" t="str">
        <f t="shared" si="3"/>
        <v>E111</v>
      </c>
      <c r="B19">
        <v>1</v>
      </c>
      <c r="C19" t="str">
        <f t="shared" si="0"/>
        <v>10200</v>
      </c>
      <c r="D19" t="str">
        <f t="shared" si="1"/>
        <v>5620</v>
      </c>
      <c r="E19" t="str">
        <f t="shared" si="2"/>
        <v>094OMS</v>
      </c>
      <c r="F19" t="str">
        <f>""</f>
        <v/>
      </c>
      <c r="G19" t="str">
        <f>""</f>
        <v/>
      </c>
      <c r="H19" s="1">
        <v>41284</v>
      </c>
      <c r="I19" t="str">
        <f>"C0019412"</f>
        <v>C0019412</v>
      </c>
      <c r="J19" t="str">
        <f>""</f>
        <v/>
      </c>
      <c r="K19" t="str">
        <f>"ISSU"</f>
        <v>ISSU</v>
      </c>
      <c r="L19" t="s">
        <v>2149</v>
      </c>
      <c r="M19">
        <v>295.23</v>
      </c>
    </row>
    <row r="20" spans="1:13" x14ac:dyDescent="0.25">
      <c r="A20" t="str">
        <f t="shared" si="3"/>
        <v>E111</v>
      </c>
      <c r="B20">
        <v>1</v>
      </c>
      <c r="C20" t="str">
        <f t="shared" si="0"/>
        <v>10200</v>
      </c>
      <c r="D20" t="str">
        <f t="shared" si="1"/>
        <v>5620</v>
      </c>
      <c r="E20" t="str">
        <f t="shared" si="2"/>
        <v>094OMS</v>
      </c>
      <c r="F20" t="str">
        <f>""</f>
        <v/>
      </c>
      <c r="G20" t="str">
        <f>""</f>
        <v/>
      </c>
      <c r="H20" s="1">
        <v>41305</v>
      </c>
      <c r="I20" t="str">
        <f t="shared" ref="I20:I26" si="6">"PCD00580"</f>
        <v>PCD00580</v>
      </c>
      <c r="J20" t="str">
        <f>"183573"</f>
        <v>183573</v>
      </c>
      <c r="K20" t="str">
        <f t="shared" ref="K20:K32" si="7">"AS89"</f>
        <v>AS89</v>
      </c>
      <c r="L20" t="s">
        <v>2181</v>
      </c>
      <c r="M20">
        <v>114.68</v>
      </c>
    </row>
    <row r="21" spans="1:13" x14ac:dyDescent="0.25">
      <c r="A21" t="str">
        <f t="shared" si="3"/>
        <v>E111</v>
      </c>
      <c r="B21">
        <v>1</v>
      </c>
      <c r="C21" t="str">
        <f t="shared" si="0"/>
        <v>10200</v>
      </c>
      <c r="D21" t="str">
        <f t="shared" si="1"/>
        <v>5620</v>
      </c>
      <c r="E21" t="str">
        <f t="shared" si="2"/>
        <v>094OMS</v>
      </c>
      <c r="F21" t="str">
        <f>""</f>
        <v/>
      </c>
      <c r="G21" t="str">
        <f>""</f>
        <v/>
      </c>
      <c r="H21" s="1">
        <v>41305</v>
      </c>
      <c r="I21" t="str">
        <f t="shared" si="6"/>
        <v>PCD00580</v>
      </c>
      <c r="J21" t="str">
        <f>"183610"</f>
        <v>183610</v>
      </c>
      <c r="K21" t="str">
        <f t="shared" si="7"/>
        <v>AS89</v>
      </c>
      <c r="L21" t="s">
        <v>2180</v>
      </c>
      <c r="M21">
        <v>343.28</v>
      </c>
    </row>
    <row r="22" spans="1:13" x14ac:dyDescent="0.25">
      <c r="A22" t="str">
        <f t="shared" si="3"/>
        <v>E111</v>
      </c>
      <c r="B22">
        <v>1</v>
      </c>
      <c r="C22" t="str">
        <f t="shared" si="0"/>
        <v>10200</v>
      </c>
      <c r="D22" t="str">
        <f t="shared" si="1"/>
        <v>5620</v>
      </c>
      <c r="E22" t="str">
        <f t="shared" si="2"/>
        <v>094OMS</v>
      </c>
      <c r="F22" t="str">
        <f>""</f>
        <v/>
      </c>
      <c r="G22" t="str">
        <f>""</f>
        <v/>
      </c>
      <c r="H22" s="1">
        <v>41305</v>
      </c>
      <c r="I22" t="str">
        <f t="shared" si="6"/>
        <v>PCD00580</v>
      </c>
      <c r="J22" t="str">
        <f>"183878"</f>
        <v>183878</v>
      </c>
      <c r="K22" t="str">
        <f t="shared" si="7"/>
        <v>AS89</v>
      </c>
      <c r="L22" t="s">
        <v>2179</v>
      </c>
      <c r="M22">
        <v>233.14</v>
      </c>
    </row>
    <row r="23" spans="1:13" x14ac:dyDescent="0.25">
      <c r="A23" t="str">
        <f t="shared" si="3"/>
        <v>E111</v>
      </c>
      <c r="B23">
        <v>1</v>
      </c>
      <c r="C23" t="str">
        <f t="shared" si="0"/>
        <v>10200</v>
      </c>
      <c r="D23" t="str">
        <f t="shared" si="1"/>
        <v>5620</v>
      </c>
      <c r="E23" t="str">
        <f t="shared" si="2"/>
        <v>094OMS</v>
      </c>
      <c r="F23" t="str">
        <f>""</f>
        <v/>
      </c>
      <c r="G23" t="str">
        <f>""</f>
        <v/>
      </c>
      <c r="H23" s="1">
        <v>41305</v>
      </c>
      <c r="I23" t="str">
        <f t="shared" si="6"/>
        <v>PCD00580</v>
      </c>
      <c r="J23" t="str">
        <f>"183880"</f>
        <v>183880</v>
      </c>
      <c r="K23" t="str">
        <f t="shared" si="7"/>
        <v>AS89</v>
      </c>
      <c r="L23" t="s">
        <v>2178</v>
      </c>
      <c r="M23">
        <v>315.25</v>
      </c>
    </row>
    <row r="24" spans="1:13" x14ac:dyDescent="0.25">
      <c r="A24" t="str">
        <f t="shared" si="3"/>
        <v>E111</v>
      </c>
      <c r="B24">
        <v>1</v>
      </c>
      <c r="C24" t="str">
        <f t="shared" si="0"/>
        <v>10200</v>
      </c>
      <c r="D24" t="str">
        <f t="shared" si="1"/>
        <v>5620</v>
      </c>
      <c r="E24" t="str">
        <f t="shared" si="2"/>
        <v>094OMS</v>
      </c>
      <c r="F24" t="str">
        <f>""</f>
        <v/>
      </c>
      <c r="G24" t="str">
        <f>""</f>
        <v/>
      </c>
      <c r="H24" s="1">
        <v>41305</v>
      </c>
      <c r="I24" t="str">
        <f t="shared" si="6"/>
        <v>PCD00580</v>
      </c>
      <c r="J24" t="str">
        <f>"184397"</f>
        <v>184397</v>
      </c>
      <c r="K24" t="str">
        <f t="shared" si="7"/>
        <v>AS89</v>
      </c>
      <c r="L24" t="s">
        <v>2177</v>
      </c>
      <c r="M24">
        <v>148.32</v>
      </c>
    </row>
    <row r="25" spans="1:13" x14ac:dyDescent="0.25">
      <c r="A25" t="str">
        <f t="shared" si="3"/>
        <v>E111</v>
      </c>
      <c r="B25">
        <v>1</v>
      </c>
      <c r="C25" t="str">
        <f t="shared" si="0"/>
        <v>10200</v>
      </c>
      <c r="D25" t="str">
        <f t="shared" si="1"/>
        <v>5620</v>
      </c>
      <c r="E25" t="str">
        <f t="shared" si="2"/>
        <v>094OMS</v>
      </c>
      <c r="F25" t="str">
        <f>""</f>
        <v/>
      </c>
      <c r="G25" t="str">
        <f>""</f>
        <v/>
      </c>
      <c r="H25" s="1">
        <v>41305</v>
      </c>
      <c r="I25" t="str">
        <f t="shared" si="6"/>
        <v>PCD00580</v>
      </c>
      <c r="J25" t="str">
        <f>"184511"</f>
        <v>184511</v>
      </c>
      <c r="K25" t="str">
        <f t="shared" si="7"/>
        <v>AS89</v>
      </c>
      <c r="L25" t="s">
        <v>2176</v>
      </c>
      <c r="M25">
        <v>109.68</v>
      </c>
    </row>
    <row r="26" spans="1:13" x14ac:dyDescent="0.25">
      <c r="A26" t="str">
        <f t="shared" si="3"/>
        <v>E111</v>
      </c>
      <c r="B26">
        <v>1</v>
      </c>
      <c r="C26" t="str">
        <f t="shared" si="0"/>
        <v>10200</v>
      </c>
      <c r="D26" t="str">
        <f t="shared" si="1"/>
        <v>5620</v>
      </c>
      <c r="E26" t="str">
        <f t="shared" si="2"/>
        <v>094OMS</v>
      </c>
      <c r="F26" t="str">
        <f>""</f>
        <v/>
      </c>
      <c r="G26" t="str">
        <f>""</f>
        <v/>
      </c>
      <c r="H26" s="1">
        <v>41305</v>
      </c>
      <c r="I26" t="str">
        <f t="shared" si="6"/>
        <v>PCD00580</v>
      </c>
      <c r="J26" t="str">
        <f>"185199"</f>
        <v>185199</v>
      </c>
      <c r="K26" t="str">
        <f t="shared" si="7"/>
        <v>AS89</v>
      </c>
      <c r="L26" t="s">
        <v>2175</v>
      </c>
      <c r="M26">
        <v>109.22</v>
      </c>
    </row>
    <row r="27" spans="1:13" x14ac:dyDescent="0.25">
      <c r="A27" t="str">
        <f t="shared" si="3"/>
        <v>E111</v>
      </c>
      <c r="B27">
        <v>1</v>
      </c>
      <c r="C27" t="str">
        <f t="shared" si="0"/>
        <v>10200</v>
      </c>
      <c r="D27" t="str">
        <f t="shared" si="1"/>
        <v>5620</v>
      </c>
      <c r="E27" t="str">
        <f t="shared" si="2"/>
        <v>094OMS</v>
      </c>
      <c r="F27" t="str">
        <f>""</f>
        <v/>
      </c>
      <c r="G27" t="str">
        <f>""</f>
        <v/>
      </c>
      <c r="H27" s="1">
        <v>41333</v>
      </c>
      <c r="I27" t="str">
        <f>"PCD00584"</f>
        <v>PCD00584</v>
      </c>
      <c r="J27" t="str">
        <f>"185295"</f>
        <v>185295</v>
      </c>
      <c r="K27" t="str">
        <f t="shared" si="7"/>
        <v>AS89</v>
      </c>
      <c r="L27" t="s">
        <v>2174</v>
      </c>
      <c r="M27">
        <v>119.22</v>
      </c>
    </row>
    <row r="28" spans="1:13" x14ac:dyDescent="0.25">
      <c r="A28" t="str">
        <f t="shared" si="3"/>
        <v>E111</v>
      </c>
      <c r="B28">
        <v>1</v>
      </c>
      <c r="C28" t="str">
        <f t="shared" si="0"/>
        <v>10200</v>
      </c>
      <c r="D28" t="str">
        <f t="shared" si="1"/>
        <v>5620</v>
      </c>
      <c r="E28" t="str">
        <f t="shared" si="2"/>
        <v>094OMS</v>
      </c>
      <c r="F28" t="str">
        <f>""</f>
        <v/>
      </c>
      <c r="G28" t="str">
        <f>""</f>
        <v/>
      </c>
      <c r="H28" s="1">
        <v>41333</v>
      </c>
      <c r="I28" t="str">
        <f>"PCD00584"</f>
        <v>PCD00584</v>
      </c>
      <c r="J28" t="str">
        <f>"185464"</f>
        <v>185464</v>
      </c>
      <c r="K28" t="str">
        <f t="shared" si="7"/>
        <v>AS89</v>
      </c>
      <c r="L28" t="s">
        <v>2173</v>
      </c>
      <c r="M28">
        <v>108.87</v>
      </c>
    </row>
    <row r="29" spans="1:13" x14ac:dyDescent="0.25">
      <c r="A29" t="str">
        <f t="shared" si="3"/>
        <v>E111</v>
      </c>
      <c r="B29">
        <v>1</v>
      </c>
      <c r="C29" t="str">
        <f t="shared" si="0"/>
        <v>10200</v>
      </c>
      <c r="D29" t="str">
        <f t="shared" si="1"/>
        <v>5620</v>
      </c>
      <c r="E29" t="str">
        <f t="shared" si="2"/>
        <v>094OMS</v>
      </c>
      <c r="F29" t="str">
        <f>""</f>
        <v/>
      </c>
      <c r="G29" t="str">
        <f>""</f>
        <v/>
      </c>
      <c r="H29" s="1">
        <v>41333</v>
      </c>
      <c r="I29" t="str">
        <f>"PCD00584"</f>
        <v>PCD00584</v>
      </c>
      <c r="J29" t="str">
        <f>"186132"</f>
        <v>186132</v>
      </c>
      <c r="K29" t="str">
        <f t="shared" si="7"/>
        <v>AS89</v>
      </c>
      <c r="L29" t="s">
        <v>2172</v>
      </c>
      <c r="M29">
        <v>619.55999999999995</v>
      </c>
    </row>
    <row r="30" spans="1:13" x14ac:dyDescent="0.25">
      <c r="A30" t="str">
        <f t="shared" si="3"/>
        <v>E111</v>
      </c>
      <c r="B30">
        <v>1</v>
      </c>
      <c r="C30" t="str">
        <f t="shared" si="0"/>
        <v>10200</v>
      </c>
      <c r="D30" t="str">
        <f t="shared" si="1"/>
        <v>5620</v>
      </c>
      <c r="E30" t="str">
        <f t="shared" si="2"/>
        <v>094OMS</v>
      </c>
      <c r="F30" t="str">
        <f>""</f>
        <v/>
      </c>
      <c r="G30" t="str">
        <f>""</f>
        <v/>
      </c>
      <c r="H30" s="1">
        <v>41364</v>
      </c>
      <c r="I30" t="str">
        <f>"PCD00588"</f>
        <v>PCD00588</v>
      </c>
      <c r="J30" t="str">
        <f>"187836"</f>
        <v>187836</v>
      </c>
      <c r="K30" t="str">
        <f t="shared" si="7"/>
        <v>AS89</v>
      </c>
      <c r="L30" t="s">
        <v>2171</v>
      </c>
      <c r="M30">
        <v>109.24</v>
      </c>
    </row>
    <row r="31" spans="1:13" x14ac:dyDescent="0.25">
      <c r="A31" t="str">
        <f t="shared" si="3"/>
        <v>E111</v>
      </c>
      <c r="B31">
        <v>1</v>
      </c>
      <c r="C31" t="str">
        <f t="shared" si="0"/>
        <v>10200</v>
      </c>
      <c r="D31" t="str">
        <f t="shared" si="1"/>
        <v>5620</v>
      </c>
      <c r="E31" t="str">
        <f t="shared" si="2"/>
        <v>094OMS</v>
      </c>
      <c r="F31" t="str">
        <f>""</f>
        <v/>
      </c>
      <c r="G31" t="str">
        <f>""</f>
        <v/>
      </c>
      <c r="H31" s="1">
        <v>41364</v>
      </c>
      <c r="I31" t="str">
        <f>"PCD00588"</f>
        <v>PCD00588</v>
      </c>
      <c r="J31" t="str">
        <f>"189047"</f>
        <v>189047</v>
      </c>
      <c r="K31" t="str">
        <f t="shared" si="7"/>
        <v>AS89</v>
      </c>
      <c r="L31" t="s">
        <v>2170</v>
      </c>
      <c r="M31">
        <v>118.86</v>
      </c>
    </row>
    <row r="32" spans="1:13" x14ac:dyDescent="0.25">
      <c r="A32" t="str">
        <f t="shared" si="3"/>
        <v>E111</v>
      </c>
      <c r="B32">
        <v>1</v>
      </c>
      <c r="C32" t="str">
        <f t="shared" si="0"/>
        <v>10200</v>
      </c>
      <c r="D32" t="str">
        <f t="shared" si="1"/>
        <v>5620</v>
      </c>
      <c r="E32" t="str">
        <f t="shared" si="2"/>
        <v>094OMS</v>
      </c>
      <c r="F32" t="str">
        <f>""</f>
        <v/>
      </c>
      <c r="G32" t="str">
        <f>""</f>
        <v/>
      </c>
      <c r="H32" s="1">
        <v>41364</v>
      </c>
      <c r="I32" t="str">
        <f>"PCD00588"</f>
        <v>PCD00588</v>
      </c>
      <c r="J32" t="str">
        <f>"189488"</f>
        <v>189488</v>
      </c>
      <c r="K32" t="str">
        <f t="shared" si="7"/>
        <v>AS89</v>
      </c>
      <c r="L32" t="s">
        <v>2169</v>
      </c>
      <c r="M32">
        <v>138.88</v>
      </c>
    </row>
    <row r="33" spans="1:13" x14ac:dyDescent="0.25">
      <c r="A33" t="str">
        <f t="shared" si="3"/>
        <v>E111</v>
      </c>
      <c r="B33">
        <v>1</v>
      </c>
      <c r="C33" t="str">
        <f t="shared" si="0"/>
        <v>10200</v>
      </c>
      <c r="D33" t="str">
        <f t="shared" si="1"/>
        <v>5620</v>
      </c>
      <c r="E33" t="str">
        <f t="shared" si="2"/>
        <v>094OMS</v>
      </c>
      <c r="F33" t="str">
        <f>""</f>
        <v/>
      </c>
      <c r="G33" t="str">
        <f>""</f>
        <v/>
      </c>
      <c r="H33" s="1">
        <v>41366</v>
      </c>
      <c r="I33" t="str">
        <f>"C0019777"</f>
        <v>C0019777</v>
      </c>
      <c r="J33" t="str">
        <f>""</f>
        <v/>
      </c>
      <c r="K33" t="str">
        <f>"ISSU"</f>
        <v>ISSU</v>
      </c>
      <c r="L33" t="s">
        <v>2168</v>
      </c>
      <c r="M33">
        <v>204.61</v>
      </c>
    </row>
    <row r="34" spans="1:13" x14ac:dyDescent="0.25">
      <c r="A34" t="str">
        <f t="shared" si="3"/>
        <v>E111</v>
      </c>
      <c r="B34">
        <v>1</v>
      </c>
      <c r="C34" t="str">
        <f t="shared" si="0"/>
        <v>10200</v>
      </c>
      <c r="D34" t="str">
        <f t="shared" si="1"/>
        <v>5620</v>
      </c>
      <c r="E34" t="str">
        <f t="shared" si="2"/>
        <v>094OMS</v>
      </c>
      <c r="F34" t="str">
        <f>""</f>
        <v/>
      </c>
      <c r="G34" t="str">
        <f>""</f>
        <v/>
      </c>
      <c r="H34" s="1">
        <v>41394</v>
      </c>
      <c r="I34" t="str">
        <f>"PCD00594"</f>
        <v>PCD00594</v>
      </c>
      <c r="J34" t="str">
        <f>"191717"</f>
        <v>191717</v>
      </c>
      <c r="K34" t="str">
        <f t="shared" ref="K34:K42" si="8">"AS89"</f>
        <v>AS89</v>
      </c>
      <c r="L34" t="s">
        <v>2167</v>
      </c>
      <c r="M34">
        <v>189.98</v>
      </c>
    </row>
    <row r="35" spans="1:13" x14ac:dyDescent="0.25">
      <c r="A35" t="str">
        <f t="shared" si="3"/>
        <v>E111</v>
      </c>
      <c r="B35">
        <v>1</v>
      </c>
      <c r="C35" t="str">
        <f t="shared" si="0"/>
        <v>10200</v>
      </c>
      <c r="D35" t="str">
        <f t="shared" si="1"/>
        <v>5620</v>
      </c>
      <c r="E35" t="str">
        <f t="shared" si="2"/>
        <v>094OMS</v>
      </c>
      <c r="F35" t="str">
        <f>""</f>
        <v/>
      </c>
      <c r="G35" t="str">
        <f>""</f>
        <v/>
      </c>
      <c r="H35" s="1">
        <v>41394</v>
      </c>
      <c r="I35" t="str">
        <f>"PCD00594"</f>
        <v>PCD00594</v>
      </c>
      <c r="J35" t="str">
        <f>"191885"</f>
        <v>191885</v>
      </c>
      <c r="K35" t="str">
        <f t="shared" si="8"/>
        <v>AS89</v>
      </c>
      <c r="L35" t="s">
        <v>2166</v>
      </c>
      <c r="M35">
        <v>100.37</v>
      </c>
    </row>
    <row r="36" spans="1:13" x14ac:dyDescent="0.25">
      <c r="A36" t="str">
        <f t="shared" si="3"/>
        <v>E111</v>
      </c>
      <c r="B36">
        <v>1</v>
      </c>
      <c r="C36" t="str">
        <f t="shared" si="0"/>
        <v>10200</v>
      </c>
      <c r="D36" t="str">
        <f t="shared" si="1"/>
        <v>5620</v>
      </c>
      <c r="E36" t="str">
        <f t="shared" si="2"/>
        <v>094OMS</v>
      </c>
      <c r="F36" t="str">
        <f>""</f>
        <v/>
      </c>
      <c r="G36" t="str">
        <f>""</f>
        <v/>
      </c>
      <c r="H36" s="1">
        <v>41455</v>
      </c>
      <c r="I36" t="str">
        <f>"PCD00604"</f>
        <v>PCD00604</v>
      </c>
      <c r="J36" t="str">
        <f>"195862"</f>
        <v>195862</v>
      </c>
      <c r="K36" t="str">
        <f t="shared" si="8"/>
        <v>AS89</v>
      </c>
      <c r="L36" t="s">
        <v>2165</v>
      </c>
      <c r="M36">
        <v>192.8</v>
      </c>
    </row>
    <row r="37" spans="1:13" x14ac:dyDescent="0.25">
      <c r="A37" t="str">
        <f t="shared" ref="A37:A68" si="9">"E111"</f>
        <v>E111</v>
      </c>
      <c r="B37">
        <v>1</v>
      </c>
      <c r="C37" t="str">
        <f t="shared" si="0"/>
        <v>10200</v>
      </c>
      <c r="D37" t="str">
        <f t="shared" si="1"/>
        <v>5620</v>
      </c>
      <c r="E37" t="str">
        <f t="shared" si="2"/>
        <v>094OMS</v>
      </c>
      <c r="F37" t="str">
        <f>""</f>
        <v/>
      </c>
      <c r="G37" t="str">
        <f>""</f>
        <v/>
      </c>
      <c r="H37" s="1">
        <v>41455</v>
      </c>
      <c r="I37" t="str">
        <f>"PCD00604"</f>
        <v>PCD00604</v>
      </c>
      <c r="J37" t="str">
        <f>"195863"</f>
        <v>195863</v>
      </c>
      <c r="K37" t="str">
        <f t="shared" si="8"/>
        <v>AS89</v>
      </c>
      <c r="L37" t="s">
        <v>2163</v>
      </c>
      <c r="M37">
        <v>146.19999999999999</v>
      </c>
    </row>
    <row r="38" spans="1:13" x14ac:dyDescent="0.25">
      <c r="A38" t="str">
        <f t="shared" si="9"/>
        <v>E111</v>
      </c>
      <c r="B38">
        <v>1</v>
      </c>
      <c r="C38" t="str">
        <f t="shared" si="0"/>
        <v>10200</v>
      </c>
      <c r="D38" t="str">
        <f t="shared" si="1"/>
        <v>5620</v>
      </c>
      <c r="E38" t="str">
        <f t="shared" si="2"/>
        <v>094OMS</v>
      </c>
      <c r="F38" t="str">
        <f>""</f>
        <v/>
      </c>
      <c r="G38" t="str">
        <f>""</f>
        <v/>
      </c>
      <c r="H38" s="1">
        <v>41455</v>
      </c>
      <c r="I38" t="str">
        <f>"PCD00605"</f>
        <v>PCD00605</v>
      </c>
      <c r="J38" t="str">
        <f>"195558"</f>
        <v>195558</v>
      </c>
      <c r="K38" t="str">
        <f t="shared" si="8"/>
        <v>AS89</v>
      </c>
      <c r="L38" t="s">
        <v>2164</v>
      </c>
      <c r="M38">
        <v>153.94</v>
      </c>
    </row>
    <row r="39" spans="1:13" x14ac:dyDescent="0.25">
      <c r="A39" t="str">
        <f t="shared" si="9"/>
        <v>E111</v>
      </c>
      <c r="B39">
        <v>1</v>
      </c>
      <c r="C39" t="str">
        <f t="shared" si="0"/>
        <v>10200</v>
      </c>
      <c r="D39" t="str">
        <f t="shared" si="1"/>
        <v>5620</v>
      </c>
      <c r="E39" t="str">
        <f t="shared" si="2"/>
        <v>094OMS</v>
      </c>
      <c r="F39" t="str">
        <f>""</f>
        <v/>
      </c>
      <c r="G39" t="str">
        <f>""</f>
        <v/>
      </c>
      <c r="H39" s="1">
        <v>41455</v>
      </c>
      <c r="I39" t="str">
        <f>"PCD00605"</f>
        <v>PCD00605</v>
      </c>
      <c r="J39" t="str">
        <f>"195859"</f>
        <v>195859</v>
      </c>
      <c r="K39" t="str">
        <f t="shared" si="8"/>
        <v>AS89</v>
      </c>
      <c r="L39" t="s">
        <v>2163</v>
      </c>
      <c r="M39">
        <v>146.19999999999999</v>
      </c>
    </row>
    <row r="40" spans="1:13" x14ac:dyDescent="0.25">
      <c r="A40" t="str">
        <f t="shared" si="9"/>
        <v>E111</v>
      </c>
      <c r="B40">
        <v>1</v>
      </c>
      <c r="C40" t="str">
        <f t="shared" si="0"/>
        <v>10200</v>
      </c>
      <c r="D40" t="str">
        <f t="shared" si="1"/>
        <v>5620</v>
      </c>
      <c r="E40" t="str">
        <f t="shared" si="2"/>
        <v>094OMS</v>
      </c>
      <c r="F40" t="str">
        <f>""</f>
        <v/>
      </c>
      <c r="G40" t="str">
        <f>""</f>
        <v/>
      </c>
      <c r="H40" s="1">
        <v>41455</v>
      </c>
      <c r="I40" t="str">
        <f>"PCD00605"</f>
        <v>PCD00605</v>
      </c>
      <c r="J40" t="str">
        <f>"195860"</f>
        <v>195860</v>
      </c>
      <c r="K40" t="str">
        <f t="shared" si="8"/>
        <v>AS89</v>
      </c>
      <c r="L40" t="s">
        <v>2162</v>
      </c>
      <c r="M40">
        <v>619.55999999999995</v>
      </c>
    </row>
    <row r="41" spans="1:13" x14ac:dyDescent="0.25">
      <c r="A41" t="str">
        <f t="shared" si="9"/>
        <v>E111</v>
      </c>
      <c r="B41">
        <v>1</v>
      </c>
      <c r="C41" t="str">
        <f t="shared" si="0"/>
        <v>10200</v>
      </c>
      <c r="D41" t="str">
        <f t="shared" si="1"/>
        <v>5620</v>
      </c>
      <c r="E41" t="str">
        <f t="shared" si="2"/>
        <v>094OMS</v>
      </c>
      <c r="F41" t="str">
        <f>""</f>
        <v/>
      </c>
      <c r="G41" t="str">
        <f>""</f>
        <v/>
      </c>
      <c r="H41" s="1">
        <v>41455</v>
      </c>
      <c r="I41" t="str">
        <f>"PCD00605"</f>
        <v>PCD00605</v>
      </c>
      <c r="J41" t="str">
        <f>"196050"</f>
        <v>196050</v>
      </c>
      <c r="K41" t="str">
        <f t="shared" si="8"/>
        <v>AS89</v>
      </c>
      <c r="L41" t="s">
        <v>2161</v>
      </c>
      <c r="M41">
        <v>185.47</v>
      </c>
    </row>
    <row r="42" spans="1:13" x14ac:dyDescent="0.25">
      <c r="A42" t="str">
        <f t="shared" si="9"/>
        <v>E111</v>
      </c>
      <c r="B42">
        <v>1</v>
      </c>
      <c r="C42" t="str">
        <f>"23275"</f>
        <v>23275</v>
      </c>
      <c r="D42" t="str">
        <f>"5741"</f>
        <v>5741</v>
      </c>
      <c r="E42" t="str">
        <f>"063STF"</f>
        <v>063STF</v>
      </c>
      <c r="F42" t="str">
        <f>""</f>
        <v/>
      </c>
      <c r="G42" t="str">
        <f>""</f>
        <v/>
      </c>
      <c r="H42" s="1">
        <v>41364</v>
      </c>
      <c r="I42" t="str">
        <f>"BKS01358"</f>
        <v>BKS01358</v>
      </c>
      <c r="J42" t="str">
        <f>"71951"</f>
        <v>71951</v>
      </c>
      <c r="K42" t="str">
        <f t="shared" si="8"/>
        <v>AS89</v>
      </c>
      <c r="L42" t="s">
        <v>746</v>
      </c>
      <c r="M42">
        <v>100</v>
      </c>
    </row>
    <row r="43" spans="1:13" x14ac:dyDescent="0.25">
      <c r="A43" t="str">
        <f t="shared" si="9"/>
        <v>E111</v>
      </c>
      <c r="B43">
        <v>1</v>
      </c>
      <c r="C43" t="str">
        <f t="shared" ref="C43:C85" si="10">"32040"</f>
        <v>32040</v>
      </c>
      <c r="D43" t="str">
        <f t="shared" ref="D43:D85" si="11">"5610"</f>
        <v>5610</v>
      </c>
      <c r="E43" t="str">
        <f t="shared" ref="E43:E74" si="12">"850LOS"</f>
        <v>850LOS</v>
      </c>
      <c r="F43" t="str">
        <f>""</f>
        <v/>
      </c>
      <c r="G43" t="str">
        <f>""</f>
        <v/>
      </c>
      <c r="H43" s="1">
        <v>41114</v>
      </c>
      <c r="I43" t="str">
        <f>"80788102"</f>
        <v>80788102</v>
      </c>
      <c r="J43" t="str">
        <f t="shared" ref="J43:J60" si="13">"NP52205R"</f>
        <v>NP52205R</v>
      </c>
      <c r="K43" t="str">
        <f t="shared" ref="K43:K74" si="14">"INEI"</f>
        <v>INEI</v>
      </c>
      <c r="L43" t="s">
        <v>36</v>
      </c>
      <c r="M43">
        <v>451.98</v>
      </c>
    </row>
    <row r="44" spans="1:13" x14ac:dyDescent="0.25">
      <c r="A44" t="str">
        <f t="shared" si="9"/>
        <v>E111</v>
      </c>
      <c r="B44">
        <v>1</v>
      </c>
      <c r="C44" t="str">
        <f t="shared" si="10"/>
        <v>32040</v>
      </c>
      <c r="D44" t="str">
        <f t="shared" si="11"/>
        <v>5610</v>
      </c>
      <c r="E44" t="str">
        <f t="shared" si="12"/>
        <v>850LOS</v>
      </c>
      <c r="F44" t="str">
        <f>""</f>
        <v/>
      </c>
      <c r="G44" t="str">
        <f>""</f>
        <v/>
      </c>
      <c r="H44" s="1">
        <v>41157</v>
      </c>
      <c r="I44" t="str">
        <f>"81593102"</f>
        <v>81593102</v>
      </c>
      <c r="J44" t="str">
        <f t="shared" si="13"/>
        <v>NP52205R</v>
      </c>
      <c r="K44" t="str">
        <f t="shared" si="14"/>
        <v>INEI</v>
      </c>
      <c r="L44" t="s">
        <v>36</v>
      </c>
      <c r="M44">
        <v>190.3</v>
      </c>
    </row>
    <row r="45" spans="1:13" x14ac:dyDescent="0.25">
      <c r="A45" t="str">
        <f t="shared" si="9"/>
        <v>E111</v>
      </c>
      <c r="B45">
        <v>1</v>
      </c>
      <c r="C45" t="str">
        <f t="shared" si="10"/>
        <v>32040</v>
      </c>
      <c r="D45" t="str">
        <f t="shared" si="11"/>
        <v>5610</v>
      </c>
      <c r="E45" t="str">
        <f t="shared" si="12"/>
        <v>850LOS</v>
      </c>
      <c r="F45" t="str">
        <f>""</f>
        <v/>
      </c>
      <c r="G45" t="str">
        <f>""</f>
        <v/>
      </c>
      <c r="H45" s="1">
        <v>41157</v>
      </c>
      <c r="I45" t="str">
        <f>"81593103"</f>
        <v>81593103</v>
      </c>
      <c r="J45" t="str">
        <f t="shared" si="13"/>
        <v>NP52205R</v>
      </c>
      <c r="K45" t="str">
        <f t="shared" si="14"/>
        <v>INEI</v>
      </c>
      <c r="L45" t="s">
        <v>36</v>
      </c>
      <c r="M45" s="2">
        <v>1350.23</v>
      </c>
    </row>
    <row r="46" spans="1:13" x14ac:dyDescent="0.25">
      <c r="A46" t="str">
        <f t="shared" si="9"/>
        <v>E111</v>
      </c>
      <c r="B46">
        <v>1</v>
      </c>
      <c r="C46" t="str">
        <f t="shared" si="10"/>
        <v>32040</v>
      </c>
      <c r="D46" t="str">
        <f t="shared" si="11"/>
        <v>5610</v>
      </c>
      <c r="E46" t="str">
        <f t="shared" si="12"/>
        <v>850LOS</v>
      </c>
      <c r="F46" t="str">
        <f>""</f>
        <v/>
      </c>
      <c r="G46" t="str">
        <f>""</f>
        <v/>
      </c>
      <c r="H46" s="1">
        <v>41164</v>
      </c>
      <c r="I46" t="str">
        <f>"81728301"</f>
        <v>81728301</v>
      </c>
      <c r="J46" t="str">
        <f t="shared" si="13"/>
        <v>NP52205R</v>
      </c>
      <c r="K46" t="str">
        <f t="shared" si="14"/>
        <v>INEI</v>
      </c>
      <c r="L46" t="s">
        <v>36</v>
      </c>
      <c r="M46">
        <v>723.94</v>
      </c>
    </row>
    <row r="47" spans="1:13" x14ac:dyDescent="0.25">
      <c r="A47" t="str">
        <f t="shared" si="9"/>
        <v>E111</v>
      </c>
      <c r="B47">
        <v>1</v>
      </c>
      <c r="C47" t="str">
        <f t="shared" si="10"/>
        <v>32040</v>
      </c>
      <c r="D47" t="str">
        <f t="shared" si="11"/>
        <v>5610</v>
      </c>
      <c r="E47" t="str">
        <f t="shared" si="12"/>
        <v>850LOS</v>
      </c>
      <c r="F47" t="str">
        <f>""</f>
        <v/>
      </c>
      <c r="G47" t="str">
        <f>""</f>
        <v/>
      </c>
      <c r="H47" s="1">
        <v>41185</v>
      </c>
      <c r="I47" t="str">
        <f>"81773301"</f>
        <v>81773301</v>
      </c>
      <c r="J47" t="str">
        <f t="shared" si="13"/>
        <v>NP52205R</v>
      </c>
      <c r="K47" t="str">
        <f t="shared" si="14"/>
        <v>INEI</v>
      </c>
      <c r="L47" t="s">
        <v>36</v>
      </c>
      <c r="M47">
        <v>233.71</v>
      </c>
    </row>
    <row r="48" spans="1:13" x14ac:dyDescent="0.25">
      <c r="A48" t="str">
        <f t="shared" si="9"/>
        <v>E111</v>
      </c>
      <c r="B48">
        <v>1</v>
      </c>
      <c r="C48" t="str">
        <f t="shared" si="10"/>
        <v>32040</v>
      </c>
      <c r="D48" t="str">
        <f t="shared" si="11"/>
        <v>5610</v>
      </c>
      <c r="E48" t="str">
        <f t="shared" si="12"/>
        <v>850LOS</v>
      </c>
      <c r="F48" t="str">
        <f>""</f>
        <v/>
      </c>
      <c r="G48" t="str">
        <f>""</f>
        <v/>
      </c>
      <c r="H48" s="1">
        <v>41185</v>
      </c>
      <c r="I48" t="str">
        <f>"81623601"</f>
        <v>81623601</v>
      </c>
      <c r="J48" t="str">
        <f t="shared" si="13"/>
        <v>NP52205R</v>
      </c>
      <c r="K48" t="str">
        <f t="shared" si="14"/>
        <v>INEI</v>
      </c>
      <c r="L48" t="s">
        <v>36</v>
      </c>
      <c r="M48">
        <v>595.98</v>
      </c>
    </row>
    <row r="49" spans="1:13" x14ac:dyDescent="0.25">
      <c r="A49" t="str">
        <f t="shared" si="9"/>
        <v>E111</v>
      </c>
      <c r="B49">
        <v>1</v>
      </c>
      <c r="C49" t="str">
        <f t="shared" si="10"/>
        <v>32040</v>
      </c>
      <c r="D49" t="str">
        <f t="shared" si="11"/>
        <v>5610</v>
      </c>
      <c r="E49" t="str">
        <f t="shared" si="12"/>
        <v>850LOS</v>
      </c>
      <c r="F49" t="str">
        <f>""</f>
        <v/>
      </c>
      <c r="G49" t="str">
        <f>""</f>
        <v/>
      </c>
      <c r="H49" s="1">
        <v>41185</v>
      </c>
      <c r="I49" t="str">
        <f>"81623602"</f>
        <v>81623602</v>
      </c>
      <c r="J49" t="str">
        <f t="shared" si="13"/>
        <v>NP52205R</v>
      </c>
      <c r="K49" t="str">
        <f t="shared" si="14"/>
        <v>INEI</v>
      </c>
      <c r="L49" t="s">
        <v>36</v>
      </c>
      <c r="M49" s="2">
        <v>2054.4299999999998</v>
      </c>
    </row>
    <row r="50" spans="1:13" x14ac:dyDescent="0.25">
      <c r="A50" t="str">
        <f t="shared" si="9"/>
        <v>E111</v>
      </c>
      <c r="B50">
        <v>1</v>
      </c>
      <c r="C50" t="str">
        <f t="shared" si="10"/>
        <v>32040</v>
      </c>
      <c r="D50" t="str">
        <f t="shared" si="11"/>
        <v>5610</v>
      </c>
      <c r="E50" t="str">
        <f t="shared" si="12"/>
        <v>850LOS</v>
      </c>
      <c r="F50" t="str">
        <f>""</f>
        <v/>
      </c>
      <c r="G50" t="str">
        <f>""</f>
        <v/>
      </c>
      <c r="H50" s="1">
        <v>41185</v>
      </c>
      <c r="I50" t="str">
        <f>"81932801"</f>
        <v>81932801</v>
      </c>
      <c r="J50" t="str">
        <f t="shared" si="13"/>
        <v>NP52205R</v>
      </c>
      <c r="K50" t="str">
        <f t="shared" si="14"/>
        <v>INEI</v>
      </c>
      <c r="L50" t="s">
        <v>36</v>
      </c>
      <c r="M50">
        <v>171.69</v>
      </c>
    </row>
    <row r="51" spans="1:13" x14ac:dyDescent="0.25">
      <c r="A51" t="str">
        <f t="shared" si="9"/>
        <v>E111</v>
      </c>
      <c r="B51">
        <v>1</v>
      </c>
      <c r="C51" t="str">
        <f t="shared" si="10"/>
        <v>32040</v>
      </c>
      <c r="D51" t="str">
        <f t="shared" si="11"/>
        <v>5610</v>
      </c>
      <c r="E51" t="str">
        <f t="shared" si="12"/>
        <v>850LOS</v>
      </c>
      <c r="F51" t="str">
        <f>""</f>
        <v/>
      </c>
      <c r="G51" t="str">
        <f>""</f>
        <v/>
      </c>
      <c r="H51" s="1">
        <v>41201</v>
      </c>
      <c r="I51" t="str">
        <f>"81199501"</f>
        <v>81199501</v>
      </c>
      <c r="J51" t="str">
        <f t="shared" si="13"/>
        <v>NP52205R</v>
      </c>
      <c r="K51" t="str">
        <f t="shared" si="14"/>
        <v>INEI</v>
      </c>
      <c r="L51" t="s">
        <v>36</v>
      </c>
      <c r="M51">
        <v>355.03</v>
      </c>
    </row>
    <row r="52" spans="1:13" x14ac:dyDescent="0.25">
      <c r="A52" t="str">
        <f t="shared" si="9"/>
        <v>E111</v>
      </c>
      <c r="B52">
        <v>1</v>
      </c>
      <c r="C52" t="str">
        <f t="shared" si="10"/>
        <v>32040</v>
      </c>
      <c r="D52" t="str">
        <f t="shared" si="11"/>
        <v>5610</v>
      </c>
      <c r="E52" t="str">
        <f t="shared" si="12"/>
        <v>850LOS</v>
      </c>
      <c r="F52" t="str">
        <f>""</f>
        <v/>
      </c>
      <c r="G52" t="str">
        <f>""</f>
        <v/>
      </c>
      <c r="H52" s="1">
        <v>41201</v>
      </c>
      <c r="I52" t="str">
        <f>"81773401"</f>
        <v>81773401</v>
      </c>
      <c r="J52" t="str">
        <f t="shared" si="13"/>
        <v>NP52205R</v>
      </c>
      <c r="K52" t="str">
        <f t="shared" si="14"/>
        <v>INEI</v>
      </c>
      <c r="L52" t="s">
        <v>36</v>
      </c>
      <c r="M52">
        <v>116.88</v>
      </c>
    </row>
    <row r="53" spans="1:13" x14ac:dyDescent="0.25">
      <c r="A53" t="str">
        <f t="shared" si="9"/>
        <v>E111</v>
      </c>
      <c r="B53">
        <v>1</v>
      </c>
      <c r="C53" t="str">
        <f t="shared" si="10"/>
        <v>32040</v>
      </c>
      <c r="D53" t="str">
        <f t="shared" si="11"/>
        <v>5610</v>
      </c>
      <c r="E53" t="str">
        <f t="shared" si="12"/>
        <v>850LOS</v>
      </c>
      <c r="F53" t="str">
        <f>""</f>
        <v/>
      </c>
      <c r="G53" t="str">
        <f>""</f>
        <v/>
      </c>
      <c r="H53" s="1">
        <v>41204</v>
      </c>
      <c r="I53" t="str">
        <f>"81593104"</f>
        <v>81593104</v>
      </c>
      <c r="J53" t="str">
        <f t="shared" si="13"/>
        <v>NP52205R</v>
      </c>
      <c r="K53" t="str">
        <f t="shared" si="14"/>
        <v>INEI</v>
      </c>
      <c r="L53" t="s">
        <v>36</v>
      </c>
      <c r="M53" s="2">
        <v>1230.92</v>
      </c>
    </row>
    <row r="54" spans="1:13" x14ac:dyDescent="0.25">
      <c r="A54" t="str">
        <f t="shared" si="9"/>
        <v>E111</v>
      </c>
      <c r="B54">
        <v>1</v>
      </c>
      <c r="C54" t="str">
        <f t="shared" si="10"/>
        <v>32040</v>
      </c>
      <c r="D54" t="str">
        <f t="shared" si="11"/>
        <v>5610</v>
      </c>
      <c r="E54" t="str">
        <f t="shared" si="12"/>
        <v>850LOS</v>
      </c>
      <c r="F54" t="str">
        <f>""</f>
        <v/>
      </c>
      <c r="G54" t="str">
        <f>""</f>
        <v/>
      </c>
      <c r="H54" s="1">
        <v>41204</v>
      </c>
      <c r="I54" t="str">
        <f>"81623603"</f>
        <v>81623603</v>
      </c>
      <c r="J54" t="str">
        <f t="shared" si="13"/>
        <v>NP52205R</v>
      </c>
      <c r="K54" t="str">
        <f t="shared" si="14"/>
        <v>INEI</v>
      </c>
      <c r="L54" t="s">
        <v>36</v>
      </c>
      <c r="M54" s="2">
        <v>1153.0899999999999</v>
      </c>
    </row>
    <row r="55" spans="1:13" x14ac:dyDescent="0.25">
      <c r="A55" t="str">
        <f t="shared" si="9"/>
        <v>E111</v>
      </c>
      <c r="B55">
        <v>1</v>
      </c>
      <c r="C55" t="str">
        <f t="shared" si="10"/>
        <v>32040</v>
      </c>
      <c r="D55" t="str">
        <f t="shared" si="11"/>
        <v>5610</v>
      </c>
      <c r="E55" t="str">
        <f t="shared" si="12"/>
        <v>850LOS</v>
      </c>
      <c r="F55" t="str">
        <f>""</f>
        <v/>
      </c>
      <c r="G55" t="str">
        <f>""</f>
        <v/>
      </c>
      <c r="H55" s="1">
        <v>41226</v>
      </c>
      <c r="I55" t="str">
        <f>"82175001"</f>
        <v>82175001</v>
      </c>
      <c r="J55" t="str">
        <f t="shared" si="13"/>
        <v>NP52205R</v>
      </c>
      <c r="K55" t="str">
        <f t="shared" si="14"/>
        <v>INEI</v>
      </c>
      <c r="L55" t="s">
        <v>36</v>
      </c>
      <c r="M55" s="2">
        <v>1366.36</v>
      </c>
    </row>
    <row r="56" spans="1:13" x14ac:dyDescent="0.25">
      <c r="A56" t="str">
        <f t="shared" si="9"/>
        <v>E111</v>
      </c>
      <c r="B56">
        <v>1</v>
      </c>
      <c r="C56" t="str">
        <f t="shared" si="10"/>
        <v>32040</v>
      </c>
      <c r="D56" t="str">
        <f t="shared" si="11"/>
        <v>5610</v>
      </c>
      <c r="E56" t="str">
        <f t="shared" si="12"/>
        <v>850LOS</v>
      </c>
      <c r="F56" t="str">
        <f>""</f>
        <v/>
      </c>
      <c r="G56" t="str">
        <f>""</f>
        <v/>
      </c>
      <c r="H56" s="1">
        <v>41247</v>
      </c>
      <c r="I56" t="str">
        <f>"82174701"</f>
        <v>82174701</v>
      </c>
      <c r="J56" t="str">
        <f t="shared" si="13"/>
        <v>NP52205R</v>
      </c>
      <c r="K56" t="str">
        <f t="shared" si="14"/>
        <v>INEI</v>
      </c>
      <c r="L56" t="s">
        <v>36</v>
      </c>
      <c r="M56">
        <v>763.07</v>
      </c>
    </row>
    <row r="57" spans="1:13" x14ac:dyDescent="0.25">
      <c r="A57" t="str">
        <f t="shared" si="9"/>
        <v>E111</v>
      </c>
      <c r="B57">
        <v>1</v>
      </c>
      <c r="C57" t="str">
        <f t="shared" si="10"/>
        <v>32040</v>
      </c>
      <c r="D57" t="str">
        <f t="shared" si="11"/>
        <v>5610</v>
      </c>
      <c r="E57" t="str">
        <f t="shared" si="12"/>
        <v>850LOS</v>
      </c>
      <c r="F57" t="str">
        <f>""</f>
        <v/>
      </c>
      <c r="G57" t="str">
        <f>""</f>
        <v/>
      </c>
      <c r="H57" s="1">
        <v>41247</v>
      </c>
      <c r="I57" t="str">
        <f>"82551001"</f>
        <v>82551001</v>
      </c>
      <c r="J57" t="str">
        <f t="shared" si="13"/>
        <v>NP52205R</v>
      </c>
      <c r="K57" t="str">
        <f t="shared" si="14"/>
        <v>INEI</v>
      </c>
      <c r="L57" t="s">
        <v>36</v>
      </c>
      <c r="M57">
        <v>225.98</v>
      </c>
    </row>
    <row r="58" spans="1:13" x14ac:dyDescent="0.25">
      <c r="A58" t="str">
        <f t="shared" si="9"/>
        <v>E111</v>
      </c>
      <c r="B58">
        <v>1</v>
      </c>
      <c r="C58" t="str">
        <f t="shared" si="10"/>
        <v>32040</v>
      </c>
      <c r="D58" t="str">
        <f t="shared" si="11"/>
        <v>5610</v>
      </c>
      <c r="E58" t="str">
        <f t="shared" si="12"/>
        <v>850LOS</v>
      </c>
      <c r="F58" t="str">
        <f>""</f>
        <v/>
      </c>
      <c r="G58" t="str">
        <f>""</f>
        <v/>
      </c>
      <c r="H58" s="1">
        <v>41269</v>
      </c>
      <c r="I58" t="str">
        <f>"82817903"</f>
        <v>82817903</v>
      </c>
      <c r="J58" t="str">
        <f t="shared" si="13"/>
        <v>NP52205R</v>
      </c>
      <c r="K58" t="str">
        <f t="shared" si="14"/>
        <v>INEI</v>
      </c>
      <c r="L58" t="s">
        <v>36</v>
      </c>
      <c r="M58">
        <v>147.88999999999999</v>
      </c>
    </row>
    <row r="59" spans="1:13" x14ac:dyDescent="0.25">
      <c r="A59" t="str">
        <f t="shared" si="9"/>
        <v>E111</v>
      </c>
      <c r="B59">
        <v>1</v>
      </c>
      <c r="C59" t="str">
        <f t="shared" si="10"/>
        <v>32040</v>
      </c>
      <c r="D59" t="str">
        <f t="shared" si="11"/>
        <v>5610</v>
      </c>
      <c r="E59" t="str">
        <f t="shared" si="12"/>
        <v>850LOS</v>
      </c>
      <c r="F59" t="str">
        <f>""</f>
        <v/>
      </c>
      <c r="G59" t="str">
        <f>""</f>
        <v/>
      </c>
      <c r="H59" s="1">
        <v>41274</v>
      </c>
      <c r="I59" t="str">
        <f>"82894001"</f>
        <v>82894001</v>
      </c>
      <c r="J59" t="str">
        <f t="shared" si="13"/>
        <v>NP52205R</v>
      </c>
      <c r="K59" t="str">
        <f t="shared" si="14"/>
        <v>INEI</v>
      </c>
      <c r="L59" t="s">
        <v>36</v>
      </c>
      <c r="M59">
        <v>160.26</v>
      </c>
    </row>
    <row r="60" spans="1:13" x14ac:dyDescent="0.25">
      <c r="A60" t="str">
        <f t="shared" si="9"/>
        <v>E111</v>
      </c>
      <c r="B60">
        <v>1</v>
      </c>
      <c r="C60" t="str">
        <f t="shared" si="10"/>
        <v>32040</v>
      </c>
      <c r="D60" t="str">
        <f t="shared" si="11"/>
        <v>5610</v>
      </c>
      <c r="E60" t="str">
        <f t="shared" si="12"/>
        <v>850LOS</v>
      </c>
      <c r="F60" t="str">
        <f>""</f>
        <v/>
      </c>
      <c r="G60" t="str">
        <f>""</f>
        <v/>
      </c>
      <c r="H60" s="1">
        <v>41274</v>
      </c>
      <c r="I60" t="str">
        <f>"82551003"</f>
        <v>82551003</v>
      </c>
      <c r="J60" t="str">
        <f t="shared" si="13"/>
        <v>NP52205R</v>
      </c>
      <c r="K60" t="str">
        <f t="shared" si="14"/>
        <v>INEI</v>
      </c>
      <c r="L60" t="s">
        <v>36</v>
      </c>
      <c r="M60">
        <v>451.98</v>
      </c>
    </row>
    <row r="61" spans="1:13" x14ac:dyDescent="0.25">
      <c r="A61" t="str">
        <f t="shared" si="9"/>
        <v>E111</v>
      </c>
      <c r="B61">
        <v>1</v>
      </c>
      <c r="C61" t="str">
        <f t="shared" si="10"/>
        <v>32040</v>
      </c>
      <c r="D61" t="str">
        <f t="shared" si="11"/>
        <v>5610</v>
      </c>
      <c r="E61" t="str">
        <f t="shared" si="12"/>
        <v>850LOS</v>
      </c>
      <c r="F61" t="str">
        <f>""</f>
        <v/>
      </c>
      <c r="G61" t="str">
        <f>""</f>
        <v/>
      </c>
      <c r="H61" s="1">
        <v>41310</v>
      </c>
      <c r="I61" t="str">
        <f>"82894002"</f>
        <v>82894002</v>
      </c>
      <c r="J61" t="str">
        <f t="shared" ref="J61:J74" si="15">"NP52205S"</f>
        <v>NP52205S</v>
      </c>
      <c r="K61" t="str">
        <f t="shared" si="14"/>
        <v>INEI</v>
      </c>
      <c r="L61" t="s">
        <v>36</v>
      </c>
      <c r="M61">
        <v>122.4</v>
      </c>
    </row>
    <row r="62" spans="1:13" x14ac:dyDescent="0.25">
      <c r="A62" t="str">
        <f t="shared" si="9"/>
        <v>E111</v>
      </c>
      <c r="B62">
        <v>1</v>
      </c>
      <c r="C62" t="str">
        <f t="shared" si="10"/>
        <v>32040</v>
      </c>
      <c r="D62" t="str">
        <f t="shared" si="11"/>
        <v>5610</v>
      </c>
      <c r="E62" t="str">
        <f t="shared" si="12"/>
        <v>850LOS</v>
      </c>
      <c r="F62" t="str">
        <f>""</f>
        <v/>
      </c>
      <c r="G62" t="str">
        <f>""</f>
        <v/>
      </c>
      <c r="H62" s="1">
        <v>41327</v>
      </c>
      <c r="I62" t="str">
        <f>"83337702"</f>
        <v>83337702</v>
      </c>
      <c r="J62" t="str">
        <f t="shared" si="15"/>
        <v>NP52205S</v>
      </c>
      <c r="K62" t="str">
        <f t="shared" si="14"/>
        <v>INEI</v>
      </c>
      <c r="L62" t="s">
        <v>36</v>
      </c>
      <c r="M62" s="2">
        <v>2356.0100000000002</v>
      </c>
    </row>
    <row r="63" spans="1:13" x14ac:dyDescent="0.25">
      <c r="A63" t="str">
        <f t="shared" si="9"/>
        <v>E111</v>
      </c>
      <c r="B63">
        <v>1</v>
      </c>
      <c r="C63" t="str">
        <f t="shared" si="10"/>
        <v>32040</v>
      </c>
      <c r="D63" t="str">
        <f t="shared" si="11"/>
        <v>5610</v>
      </c>
      <c r="E63" t="str">
        <f t="shared" si="12"/>
        <v>850LOS</v>
      </c>
      <c r="F63" t="str">
        <f>""</f>
        <v/>
      </c>
      <c r="G63" t="str">
        <f>""</f>
        <v/>
      </c>
      <c r="H63" s="1">
        <v>41327</v>
      </c>
      <c r="I63" t="str">
        <f>"83337701"</f>
        <v>83337701</v>
      </c>
      <c r="J63" t="str">
        <f t="shared" si="15"/>
        <v>NP52205S</v>
      </c>
      <c r="K63" t="str">
        <f t="shared" si="14"/>
        <v>INEI</v>
      </c>
      <c r="L63" t="s">
        <v>36</v>
      </c>
      <c r="M63">
        <v>133.44</v>
      </c>
    </row>
    <row r="64" spans="1:13" x14ac:dyDescent="0.25">
      <c r="A64" t="str">
        <f t="shared" si="9"/>
        <v>E111</v>
      </c>
      <c r="B64">
        <v>1</v>
      </c>
      <c r="C64" t="str">
        <f t="shared" si="10"/>
        <v>32040</v>
      </c>
      <c r="D64" t="str">
        <f t="shared" si="11"/>
        <v>5610</v>
      </c>
      <c r="E64" t="str">
        <f t="shared" si="12"/>
        <v>850LOS</v>
      </c>
      <c r="F64" t="str">
        <f>""</f>
        <v/>
      </c>
      <c r="G64" t="str">
        <f>""</f>
        <v/>
      </c>
      <c r="H64" s="1">
        <v>41327</v>
      </c>
      <c r="I64" t="str">
        <f>"82817906"</f>
        <v>82817906</v>
      </c>
      <c r="J64" t="str">
        <f t="shared" si="15"/>
        <v>NP52205S</v>
      </c>
      <c r="K64" t="str">
        <f t="shared" si="14"/>
        <v>INEI</v>
      </c>
      <c r="L64" t="s">
        <v>36</v>
      </c>
      <c r="M64">
        <v>132.07</v>
      </c>
    </row>
    <row r="65" spans="1:13" x14ac:dyDescent="0.25">
      <c r="A65" t="str">
        <f t="shared" si="9"/>
        <v>E111</v>
      </c>
      <c r="B65">
        <v>1</v>
      </c>
      <c r="C65" t="str">
        <f t="shared" si="10"/>
        <v>32040</v>
      </c>
      <c r="D65" t="str">
        <f t="shared" si="11"/>
        <v>5610</v>
      </c>
      <c r="E65" t="str">
        <f t="shared" si="12"/>
        <v>850LOS</v>
      </c>
      <c r="F65" t="str">
        <f>""</f>
        <v/>
      </c>
      <c r="G65" t="str">
        <f>""</f>
        <v/>
      </c>
      <c r="H65" s="1">
        <v>41339</v>
      </c>
      <c r="I65" t="str">
        <f>"82817905"</f>
        <v>82817905</v>
      </c>
      <c r="J65" t="str">
        <f t="shared" si="15"/>
        <v>NP52205S</v>
      </c>
      <c r="K65" t="str">
        <f t="shared" si="14"/>
        <v>INEI</v>
      </c>
      <c r="L65" t="s">
        <v>36</v>
      </c>
      <c r="M65">
        <v>677.96</v>
      </c>
    </row>
    <row r="66" spans="1:13" x14ac:dyDescent="0.25">
      <c r="A66" t="str">
        <f t="shared" si="9"/>
        <v>E111</v>
      </c>
      <c r="B66">
        <v>1</v>
      </c>
      <c r="C66" t="str">
        <f t="shared" si="10"/>
        <v>32040</v>
      </c>
      <c r="D66" t="str">
        <f t="shared" si="11"/>
        <v>5610</v>
      </c>
      <c r="E66" t="str">
        <f t="shared" si="12"/>
        <v>850LOS</v>
      </c>
      <c r="F66" t="str">
        <f>""</f>
        <v/>
      </c>
      <c r="G66" t="str">
        <f>""</f>
        <v/>
      </c>
      <c r="H66" s="1">
        <v>41339</v>
      </c>
      <c r="I66" t="str">
        <f>"82817904"</f>
        <v>82817904</v>
      </c>
      <c r="J66" t="str">
        <f t="shared" si="15"/>
        <v>NP52205S</v>
      </c>
      <c r="K66" t="str">
        <f t="shared" si="14"/>
        <v>INEI</v>
      </c>
      <c r="L66" t="s">
        <v>36</v>
      </c>
      <c r="M66">
        <v>225.98</v>
      </c>
    </row>
    <row r="67" spans="1:13" x14ac:dyDescent="0.25">
      <c r="A67" t="str">
        <f t="shared" si="9"/>
        <v>E111</v>
      </c>
      <c r="B67">
        <v>1</v>
      </c>
      <c r="C67" t="str">
        <f t="shared" si="10"/>
        <v>32040</v>
      </c>
      <c r="D67" t="str">
        <f t="shared" si="11"/>
        <v>5610</v>
      </c>
      <c r="E67" t="str">
        <f t="shared" si="12"/>
        <v>850LOS</v>
      </c>
      <c r="F67" t="str">
        <f>""</f>
        <v/>
      </c>
      <c r="G67" t="str">
        <f>""</f>
        <v/>
      </c>
      <c r="H67" s="1">
        <v>41339</v>
      </c>
      <c r="I67" t="str">
        <f>"83251601"</f>
        <v>83251601</v>
      </c>
      <c r="J67" t="str">
        <f t="shared" si="15"/>
        <v>NP52205S</v>
      </c>
      <c r="K67" t="str">
        <f t="shared" si="14"/>
        <v>INEI</v>
      </c>
      <c r="L67" t="s">
        <v>36</v>
      </c>
      <c r="M67" s="2">
        <v>8244.1299999999992</v>
      </c>
    </row>
    <row r="68" spans="1:13" x14ac:dyDescent="0.25">
      <c r="A68" t="str">
        <f t="shared" si="9"/>
        <v>E111</v>
      </c>
      <c r="B68">
        <v>1</v>
      </c>
      <c r="C68" t="str">
        <f t="shared" si="10"/>
        <v>32040</v>
      </c>
      <c r="D68" t="str">
        <f t="shared" si="11"/>
        <v>5610</v>
      </c>
      <c r="E68" t="str">
        <f t="shared" si="12"/>
        <v>850LOS</v>
      </c>
      <c r="F68" t="str">
        <f>""</f>
        <v/>
      </c>
      <c r="G68" t="str">
        <f>""</f>
        <v/>
      </c>
      <c r="H68" s="1">
        <v>41353</v>
      </c>
      <c r="I68" t="str">
        <f>"83630102"</f>
        <v>83630102</v>
      </c>
      <c r="J68" t="str">
        <f t="shared" si="15"/>
        <v>NP52205S</v>
      </c>
      <c r="K68" t="str">
        <f t="shared" si="14"/>
        <v>INEI</v>
      </c>
      <c r="L68" t="s">
        <v>36</v>
      </c>
      <c r="M68">
        <v>387.49</v>
      </c>
    </row>
    <row r="69" spans="1:13" x14ac:dyDescent="0.25">
      <c r="A69" t="str">
        <f t="shared" ref="A69:A100" si="16">"E111"</f>
        <v>E111</v>
      </c>
      <c r="B69">
        <v>1</v>
      </c>
      <c r="C69" t="str">
        <f t="shared" si="10"/>
        <v>32040</v>
      </c>
      <c r="D69" t="str">
        <f t="shared" si="11"/>
        <v>5610</v>
      </c>
      <c r="E69" t="str">
        <f t="shared" si="12"/>
        <v>850LOS</v>
      </c>
      <c r="F69" t="str">
        <f>""</f>
        <v/>
      </c>
      <c r="G69" t="str">
        <f>""</f>
        <v/>
      </c>
      <c r="H69" s="1">
        <v>41353</v>
      </c>
      <c r="I69" t="str">
        <f>"83648001"</f>
        <v>83648001</v>
      </c>
      <c r="J69" t="str">
        <f t="shared" si="15"/>
        <v>NP52205S</v>
      </c>
      <c r="K69" t="str">
        <f t="shared" si="14"/>
        <v>INEI</v>
      </c>
      <c r="L69" t="s">
        <v>36</v>
      </c>
      <c r="M69">
        <v>388.28</v>
      </c>
    </row>
    <row r="70" spans="1:13" x14ac:dyDescent="0.25">
      <c r="A70" t="str">
        <f t="shared" si="16"/>
        <v>E111</v>
      </c>
      <c r="B70">
        <v>1</v>
      </c>
      <c r="C70" t="str">
        <f t="shared" si="10"/>
        <v>32040</v>
      </c>
      <c r="D70" t="str">
        <f t="shared" si="11"/>
        <v>5610</v>
      </c>
      <c r="E70" t="str">
        <f t="shared" si="12"/>
        <v>850LOS</v>
      </c>
      <c r="F70" t="str">
        <f>""</f>
        <v/>
      </c>
      <c r="G70" t="str">
        <f>""</f>
        <v/>
      </c>
      <c r="H70" s="1">
        <v>41365</v>
      </c>
      <c r="I70" t="str">
        <f>"83657401"</f>
        <v>83657401</v>
      </c>
      <c r="J70" t="str">
        <f t="shared" si="15"/>
        <v>NP52205S</v>
      </c>
      <c r="K70" t="str">
        <f t="shared" si="14"/>
        <v>INEI</v>
      </c>
      <c r="L70" t="s">
        <v>36</v>
      </c>
      <c r="M70" s="2">
        <v>6645.26</v>
      </c>
    </row>
    <row r="71" spans="1:13" x14ac:dyDescent="0.25">
      <c r="A71" t="str">
        <f t="shared" si="16"/>
        <v>E111</v>
      </c>
      <c r="B71">
        <v>1</v>
      </c>
      <c r="C71" t="str">
        <f t="shared" si="10"/>
        <v>32040</v>
      </c>
      <c r="D71" t="str">
        <f t="shared" si="11"/>
        <v>5610</v>
      </c>
      <c r="E71" t="str">
        <f t="shared" si="12"/>
        <v>850LOS</v>
      </c>
      <c r="F71" t="str">
        <f>""</f>
        <v/>
      </c>
      <c r="G71" t="str">
        <f>""</f>
        <v/>
      </c>
      <c r="H71" s="1">
        <v>41380</v>
      </c>
      <c r="I71" t="str">
        <f>"83653001"</f>
        <v>83653001</v>
      </c>
      <c r="J71" t="str">
        <f t="shared" si="15"/>
        <v>NP52205S</v>
      </c>
      <c r="K71" t="str">
        <f t="shared" si="14"/>
        <v>INEI</v>
      </c>
      <c r="L71" t="s">
        <v>36</v>
      </c>
      <c r="M71" s="2">
        <v>3329.27</v>
      </c>
    </row>
    <row r="72" spans="1:13" x14ac:dyDescent="0.25">
      <c r="A72" t="str">
        <f t="shared" si="16"/>
        <v>E111</v>
      </c>
      <c r="B72">
        <v>1</v>
      </c>
      <c r="C72" t="str">
        <f t="shared" si="10"/>
        <v>32040</v>
      </c>
      <c r="D72" t="str">
        <f t="shared" si="11"/>
        <v>5610</v>
      </c>
      <c r="E72" t="str">
        <f t="shared" si="12"/>
        <v>850LOS</v>
      </c>
      <c r="F72" t="str">
        <f>""</f>
        <v/>
      </c>
      <c r="G72" t="str">
        <f>""</f>
        <v/>
      </c>
      <c r="H72" s="1">
        <v>41380</v>
      </c>
      <c r="I72" t="str">
        <f>"83653302"</f>
        <v>83653302</v>
      </c>
      <c r="J72" t="str">
        <f t="shared" si="15"/>
        <v>NP52205S</v>
      </c>
      <c r="K72" t="str">
        <f t="shared" si="14"/>
        <v>INEI</v>
      </c>
      <c r="L72" t="s">
        <v>36</v>
      </c>
      <c r="M72" s="2">
        <v>1956.22</v>
      </c>
    </row>
    <row r="73" spans="1:13" x14ac:dyDescent="0.25">
      <c r="A73" t="str">
        <f t="shared" si="16"/>
        <v>E111</v>
      </c>
      <c r="B73">
        <v>1</v>
      </c>
      <c r="C73" t="str">
        <f t="shared" si="10"/>
        <v>32040</v>
      </c>
      <c r="D73" t="str">
        <f t="shared" si="11"/>
        <v>5610</v>
      </c>
      <c r="E73" t="str">
        <f t="shared" si="12"/>
        <v>850LOS</v>
      </c>
      <c r="F73" t="str">
        <f>""</f>
        <v/>
      </c>
      <c r="G73" t="str">
        <f>""</f>
        <v/>
      </c>
      <c r="H73" s="1">
        <v>41425</v>
      </c>
      <c r="I73" t="str">
        <f>"84569201"</f>
        <v>84569201</v>
      </c>
      <c r="J73" t="str">
        <f t="shared" si="15"/>
        <v>NP52205S</v>
      </c>
      <c r="K73" t="str">
        <f t="shared" si="14"/>
        <v>INEI</v>
      </c>
      <c r="L73" t="s">
        <v>36</v>
      </c>
      <c r="M73" s="2">
        <v>1088.1600000000001</v>
      </c>
    </row>
    <row r="74" spans="1:13" x14ac:dyDescent="0.25">
      <c r="A74" t="str">
        <f t="shared" si="16"/>
        <v>E111</v>
      </c>
      <c r="B74">
        <v>1</v>
      </c>
      <c r="C74" t="str">
        <f t="shared" si="10"/>
        <v>32040</v>
      </c>
      <c r="D74" t="str">
        <f t="shared" si="11"/>
        <v>5610</v>
      </c>
      <c r="E74" t="str">
        <f t="shared" si="12"/>
        <v>850LOS</v>
      </c>
      <c r="F74" t="str">
        <f>""</f>
        <v/>
      </c>
      <c r="G74" t="str">
        <f>""</f>
        <v/>
      </c>
      <c r="H74" s="1">
        <v>41425</v>
      </c>
      <c r="I74" t="str">
        <f>"84569202"</f>
        <v>84569202</v>
      </c>
      <c r="J74" t="str">
        <f t="shared" si="15"/>
        <v>NP52205S</v>
      </c>
      <c r="K74" t="str">
        <f t="shared" si="14"/>
        <v>INEI</v>
      </c>
      <c r="L74" t="s">
        <v>36</v>
      </c>
      <c r="M74">
        <v>261.85000000000002</v>
      </c>
    </row>
    <row r="75" spans="1:13" x14ac:dyDescent="0.25">
      <c r="A75" t="str">
        <f t="shared" si="16"/>
        <v>E111</v>
      </c>
      <c r="B75">
        <v>1</v>
      </c>
      <c r="C75" t="str">
        <f t="shared" si="10"/>
        <v>32040</v>
      </c>
      <c r="D75" t="str">
        <f t="shared" si="11"/>
        <v>5610</v>
      </c>
      <c r="E75" t="str">
        <f t="shared" ref="E75:E106" si="17">"850LOS"</f>
        <v>850LOS</v>
      </c>
      <c r="F75" t="str">
        <f>""</f>
        <v/>
      </c>
      <c r="G75" t="str">
        <f>""</f>
        <v/>
      </c>
      <c r="H75" s="1">
        <v>41425</v>
      </c>
      <c r="I75" t="str">
        <f>"PCD00599"</f>
        <v>PCD00599</v>
      </c>
      <c r="J75" t="str">
        <f>"193820"</f>
        <v>193820</v>
      </c>
      <c r="K75" t="str">
        <f>"AS89"</f>
        <v>AS89</v>
      </c>
      <c r="L75" t="s">
        <v>2160</v>
      </c>
      <c r="M75" s="2">
        <v>1148</v>
      </c>
    </row>
    <row r="76" spans="1:13" x14ac:dyDescent="0.25">
      <c r="A76" t="str">
        <f t="shared" si="16"/>
        <v>E111</v>
      </c>
      <c r="B76">
        <v>1</v>
      </c>
      <c r="C76" t="str">
        <f t="shared" si="10"/>
        <v>32040</v>
      </c>
      <c r="D76" t="str">
        <f t="shared" si="11"/>
        <v>5610</v>
      </c>
      <c r="E76" t="str">
        <f t="shared" si="17"/>
        <v>850LOS</v>
      </c>
      <c r="F76" t="str">
        <f>""</f>
        <v/>
      </c>
      <c r="G76" t="str">
        <f>""</f>
        <v/>
      </c>
      <c r="H76" s="1">
        <v>41425</v>
      </c>
      <c r="I76" t="str">
        <f>"PCD00599"</f>
        <v>PCD00599</v>
      </c>
      <c r="J76" t="str">
        <f>"193921"</f>
        <v>193921</v>
      </c>
      <c r="K76" t="str">
        <f>"AS89"</f>
        <v>AS89</v>
      </c>
      <c r="L76" t="s">
        <v>2159</v>
      </c>
      <c r="M76">
        <v>268.51</v>
      </c>
    </row>
    <row r="77" spans="1:13" x14ac:dyDescent="0.25">
      <c r="A77" t="str">
        <f t="shared" si="16"/>
        <v>E111</v>
      </c>
      <c r="B77">
        <v>1</v>
      </c>
      <c r="C77" t="str">
        <f t="shared" si="10"/>
        <v>32040</v>
      </c>
      <c r="D77" t="str">
        <f t="shared" si="11"/>
        <v>5610</v>
      </c>
      <c r="E77" t="str">
        <f t="shared" si="17"/>
        <v>850LOS</v>
      </c>
      <c r="F77" t="str">
        <f>""</f>
        <v/>
      </c>
      <c r="G77" t="str">
        <f>""</f>
        <v/>
      </c>
      <c r="H77" s="1">
        <v>41445</v>
      </c>
      <c r="I77" t="str">
        <f>"84625601"</f>
        <v>84625601</v>
      </c>
      <c r="J77" t="str">
        <f t="shared" ref="J77:J85" si="18">"NP52205S"</f>
        <v>NP52205S</v>
      </c>
      <c r="K77" t="str">
        <f t="shared" ref="K77:K85" si="19">"INEI"</f>
        <v>INEI</v>
      </c>
      <c r="L77" t="s">
        <v>36</v>
      </c>
      <c r="M77" s="2">
        <v>1929.64</v>
      </c>
    </row>
    <row r="78" spans="1:13" x14ac:dyDescent="0.25">
      <c r="A78" t="str">
        <f t="shared" si="16"/>
        <v>E111</v>
      </c>
      <c r="B78">
        <v>1</v>
      </c>
      <c r="C78" t="str">
        <f t="shared" si="10"/>
        <v>32040</v>
      </c>
      <c r="D78" t="str">
        <f t="shared" si="11"/>
        <v>5610</v>
      </c>
      <c r="E78" t="str">
        <f t="shared" si="17"/>
        <v>850LOS</v>
      </c>
      <c r="F78" t="str">
        <f>""</f>
        <v/>
      </c>
      <c r="G78" t="str">
        <f>""</f>
        <v/>
      </c>
      <c r="H78" s="1">
        <v>41449</v>
      </c>
      <c r="I78" t="str">
        <f>"84041101"</f>
        <v>84041101</v>
      </c>
      <c r="J78" t="str">
        <f t="shared" si="18"/>
        <v>NP52205S</v>
      </c>
      <c r="K78" t="str">
        <f t="shared" si="19"/>
        <v>INEI</v>
      </c>
      <c r="L78" t="s">
        <v>36</v>
      </c>
      <c r="M78" s="2">
        <v>71117.929999999993</v>
      </c>
    </row>
    <row r="79" spans="1:13" x14ac:dyDescent="0.25">
      <c r="A79" t="str">
        <f t="shared" si="16"/>
        <v>E111</v>
      </c>
      <c r="B79">
        <v>1</v>
      </c>
      <c r="C79" t="str">
        <f t="shared" si="10"/>
        <v>32040</v>
      </c>
      <c r="D79" t="str">
        <f t="shared" si="11"/>
        <v>5610</v>
      </c>
      <c r="E79" t="str">
        <f t="shared" si="17"/>
        <v>850LOS</v>
      </c>
      <c r="F79" t="str">
        <f>""</f>
        <v/>
      </c>
      <c r="G79" t="str">
        <f>""</f>
        <v/>
      </c>
      <c r="H79" s="1">
        <v>41449</v>
      </c>
      <c r="I79" t="str">
        <f>"84534001"</f>
        <v>84534001</v>
      </c>
      <c r="J79" t="str">
        <f t="shared" si="18"/>
        <v>NP52205S</v>
      </c>
      <c r="K79" t="str">
        <f t="shared" si="19"/>
        <v>INEI</v>
      </c>
      <c r="L79" t="s">
        <v>36</v>
      </c>
      <c r="M79" s="2">
        <v>1416.18</v>
      </c>
    </row>
    <row r="80" spans="1:13" x14ac:dyDescent="0.25">
      <c r="A80" t="str">
        <f t="shared" si="16"/>
        <v>E111</v>
      </c>
      <c r="B80">
        <v>1</v>
      </c>
      <c r="C80" t="str">
        <f t="shared" si="10"/>
        <v>32040</v>
      </c>
      <c r="D80" t="str">
        <f t="shared" si="11"/>
        <v>5610</v>
      </c>
      <c r="E80" t="str">
        <f t="shared" si="17"/>
        <v>850LOS</v>
      </c>
      <c r="F80" t="str">
        <f>""</f>
        <v/>
      </c>
      <c r="G80" t="str">
        <f>""</f>
        <v/>
      </c>
      <c r="H80" s="1">
        <v>41449</v>
      </c>
      <c r="I80" t="str">
        <f>"84854402"</f>
        <v>84854402</v>
      </c>
      <c r="J80" t="str">
        <f t="shared" si="18"/>
        <v>NP52205S</v>
      </c>
      <c r="K80" t="str">
        <f t="shared" si="19"/>
        <v>INEI</v>
      </c>
      <c r="L80" t="s">
        <v>36</v>
      </c>
      <c r="M80" s="2">
        <v>2336.84</v>
      </c>
    </row>
    <row r="81" spans="1:13" x14ac:dyDescent="0.25">
      <c r="A81" t="str">
        <f t="shared" si="16"/>
        <v>E111</v>
      </c>
      <c r="B81">
        <v>1</v>
      </c>
      <c r="C81" t="str">
        <f t="shared" si="10"/>
        <v>32040</v>
      </c>
      <c r="D81" t="str">
        <f t="shared" si="11"/>
        <v>5610</v>
      </c>
      <c r="E81" t="str">
        <f t="shared" si="17"/>
        <v>850LOS</v>
      </c>
      <c r="F81" t="str">
        <f>""</f>
        <v/>
      </c>
      <c r="G81" t="str">
        <f>""</f>
        <v/>
      </c>
      <c r="H81" s="1">
        <v>41451</v>
      </c>
      <c r="I81" t="str">
        <f>"84569203"</f>
        <v>84569203</v>
      </c>
      <c r="J81" t="str">
        <f t="shared" si="18"/>
        <v>NP52205S</v>
      </c>
      <c r="K81" t="str">
        <f t="shared" si="19"/>
        <v>INEI</v>
      </c>
      <c r="L81" t="s">
        <v>36</v>
      </c>
      <c r="M81">
        <v>188.48</v>
      </c>
    </row>
    <row r="82" spans="1:13" x14ac:dyDescent="0.25">
      <c r="A82" t="str">
        <f t="shared" si="16"/>
        <v>E111</v>
      </c>
      <c r="B82">
        <v>1</v>
      </c>
      <c r="C82" t="str">
        <f t="shared" si="10"/>
        <v>32040</v>
      </c>
      <c r="D82" t="str">
        <f t="shared" si="11"/>
        <v>5610</v>
      </c>
      <c r="E82" t="str">
        <f t="shared" si="17"/>
        <v>850LOS</v>
      </c>
      <c r="F82" t="str">
        <f>""</f>
        <v/>
      </c>
      <c r="G82" t="str">
        <f>""</f>
        <v/>
      </c>
      <c r="H82" s="1">
        <v>41451</v>
      </c>
      <c r="I82" t="str">
        <f>"84579601"</f>
        <v>84579601</v>
      </c>
      <c r="J82" t="str">
        <f t="shared" si="18"/>
        <v>NP52205S</v>
      </c>
      <c r="K82" t="str">
        <f t="shared" si="19"/>
        <v>INEI</v>
      </c>
      <c r="L82" t="s">
        <v>36</v>
      </c>
      <c r="M82">
        <v>738.75</v>
      </c>
    </row>
    <row r="83" spans="1:13" x14ac:dyDescent="0.25">
      <c r="A83" t="str">
        <f t="shared" si="16"/>
        <v>E111</v>
      </c>
      <c r="B83">
        <v>1</v>
      </c>
      <c r="C83" t="str">
        <f t="shared" si="10"/>
        <v>32040</v>
      </c>
      <c r="D83" t="str">
        <f t="shared" si="11"/>
        <v>5610</v>
      </c>
      <c r="E83" t="str">
        <f t="shared" si="17"/>
        <v>850LOS</v>
      </c>
      <c r="F83" t="str">
        <f>""</f>
        <v/>
      </c>
      <c r="G83" t="str">
        <f>""</f>
        <v/>
      </c>
      <c r="H83" s="1">
        <v>41451</v>
      </c>
      <c r="I83" t="str">
        <f>"84569204"</f>
        <v>84569204</v>
      </c>
      <c r="J83" t="str">
        <f t="shared" si="18"/>
        <v>NP52205S</v>
      </c>
      <c r="K83" t="str">
        <f t="shared" si="19"/>
        <v>INEI</v>
      </c>
      <c r="L83" t="s">
        <v>36</v>
      </c>
      <c r="M83">
        <v>669.27</v>
      </c>
    </row>
    <row r="84" spans="1:13" x14ac:dyDescent="0.25">
      <c r="A84" t="str">
        <f t="shared" si="16"/>
        <v>E111</v>
      </c>
      <c r="B84">
        <v>1</v>
      </c>
      <c r="C84" t="str">
        <f t="shared" si="10"/>
        <v>32040</v>
      </c>
      <c r="D84" t="str">
        <f t="shared" si="11"/>
        <v>5610</v>
      </c>
      <c r="E84" t="str">
        <f t="shared" si="17"/>
        <v>850LOS</v>
      </c>
      <c r="F84" t="str">
        <f>""</f>
        <v/>
      </c>
      <c r="G84" t="str">
        <f>""</f>
        <v/>
      </c>
      <c r="H84" s="1">
        <v>41451</v>
      </c>
      <c r="I84" t="str">
        <f>"84854401"</f>
        <v>84854401</v>
      </c>
      <c r="J84" t="str">
        <f t="shared" si="18"/>
        <v>NP52205S</v>
      </c>
      <c r="K84" t="str">
        <f t="shared" si="19"/>
        <v>INEI</v>
      </c>
      <c r="L84" t="s">
        <v>36</v>
      </c>
      <c r="M84">
        <v>316.75</v>
      </c>
    </row>
    <row r="85" spans="1:13" x14ac:dyDescent="0.25">
      <c r="A85" t="str">
        <f t="shared" si="16"/>
        <v>E111</v>
      </c>
      <c r="B85">
        <v>1</v>
      </c>
      <c r="C85" t="str">
        <f t="shared" si="10"/>
        <v>32040</v>
      </c>
      <c r="D85" t="str">
        <f t="shared" si="11"/>
        <v>5610</v>
      </c>
      <c r="E85" t="str">
        <f t="shared" si="17"/>
        <v>850LOS</v>
      </c>
      <c r="F85" t="str">
        <f>""</f>
        <v/>
      </c>
      <c r="G85" t="str">
        <f>""</f>
        <v/>
      </c>
      <c r="H85" s="1">
        <v>41455</v>
      </c>
      <c r="I85" t="str">
        <f>"84060501"</f>
        <v>84060501</v>
      </c>
      <c r="J85" t="str">
        <f t="shared" si="18"/>
        <v>NP52205S</v>
      </c>
      <c r="K85" t="str">
        <f t="shared" si="19"/>
        <v>INEI</v>
      </c>
      <c r="L85" t="s">
        <v>36</v>
      </c>
      <c r="M85" s="2">
        <v>17329.849999999999</v>
      </c>
    </row>
    <row r="86" spans="1:13" x14ac:dyDescent="0.25">
      <c r="A86" t="str">
        <f t="shared" si="16"/>
        <v>E111</v>
      </c>
      <c r="B86">
        <v>1</v>
      </c>
      <c r="C86" t="str">
        <f t="shared" ref="C86:C125" si="20">"43000"</f>
        <v>43000</v>
      </c>
      <c r="D86" t="str">
        <f t="shared" ref="D86:D133" si="21">"5740"</f>
        <v>5740</v>
      </c>
      <c r="E86" t="str">
        <f t="shared" si="17"/>
        <v>850LOS</v>
      </c>
      <c r="F86" t="str">
        <f t="shared" ref="F86:F94" si="22">"PKOLOT"</f>
        <v>PKOLOT</v>
      </c>
      <c r="G86" t="str">
        <f>""</f>
        <v/>
      </c>
      <c r="H86" s="1">
        <v>41121</v>
      </c>
      <c r="I86" t="str">
        <f>"PCD00546"</f>
        <v>PCD00546</v>
      </c>
      <c r="J86" t="str">
        <f>"172282"</f>
        <v>172282</v>
      </c>
      <c r="K86" t="str">
        <f t="shared" ref="K86:K94" si="23">"AS89"</f>
        <v>AS89</v>
      </c>
      <c r="L86" t="s">
        <v>2158</v>
      </c>
      <c r="M86">
        <v>187.66</v>
      </c>
    </row>
    <row r="87" spans="1:13" x14ac:dyDescent="0.25">
      <c r="A87" t="str">
        <f t="shared" si="16"/>
        <v>E111</v>
      </c>
      <c r="B87">
        <v>1</v>
      </c>
      <c r="C87" t="str">
        <f t="shared" si="20"/>
        <v>43000</v>
      </c>
      <c r="D87" t="str">
        <f t="shared" si="21"/>
        <v>5740</v>
      </c>
      <c r="E87" t="str">
        <f t="shared" si="17"/>
        <v>850LOS</v>
      </c>
      <c r="F87" t="str">
        <f t="shared" si="22"/>
        <v>PKOLOT</v>
      </c>
      <c r="G87" t="str">
        <f>""</f>
        <v/>
      </c>
      <c r="H87" s="1">
        <v>41121</v>
      </c>
      <c r="I87" t="str">
        <f>"PCD00546"</f>
        <v>PCD00546</v>
      </c>
      <c r="J87" t="str">
        <f>"172527"</f>
        <v>172527</v>
      </c>
      <c r="K87" t="str">
        <f t="shared" si="23"/>
        <v>AS89</v>
      </c>
      <c r="L87" t="s">
        <v>2157</v>
      </c>
      <c r="M87">
        <v>216.35</v>
      </c>
    </row>
    <row r="88" spans="1:13" x14ac:dyDescent="0.25">
      <c r="A88" t="str">
        <f t="shared" si="16"/>
        <v>E111</v>
      </c>
      <c r="B88">
        <v>1</v>
      </c>
      <c r="C88" t="str">
        <f t="shared" si="20"/>
        <v>43000</v>
      </c>
      <c r="D88" t="str">
        <f t="shared" si="21"/>
        <v>5740</v>
      </c>
      <c r="E88" t="str">
        <f t="shared" si="17"/>
        <v>850LOS</v>
      </c>
      <c r="F88" t="str">
        <f t="shared" si="22"/>
        <v>PKOLOT</v>
      </c>
      <c r="G88" t="str">
        <f>""</f>
        <v/>
      </c>
      <c r="H88" s="1">
        <v>41158</v>
      </c>
      <c r="I88" t="str">
        <f>"PCD00553"</f>
        <v>PCD00553</v>
      </c>
      <c r="J88" t="str">
        <f>"173640"</f>
        <v>173640</v>
      </c>
      <c r="K88" t="str">
        <f t="shared" si="23"/>
        <v>AS89</v>
      </c>
      <c r="L88" t="s">
        <v>2156</v>
      </c>
      <c r="M88">
        <v>130.43</v>
      </c>
    </row>
    <row r="89" spans="1:13" x14ac:dyDescent="0.25">
      <c r="A89" t="str">
        <f t="shared" si="16"/>
        <v>E111</v>
      </c>
      <c r="B89">
        <v>1</v>
      </c>
      <c r="C89" t="str">
        <f t="shared" si="20"/>
        <v>43000</v>
      </c>
      <c r="D89" t="str">
        <f t="shared" si="21"/>
        <v>5740</v>
      </c>
      <c r="E89" t="str">
        <f t="shared" si="17"/>
        <v>850LOS</v>
      </c>
      <c r="F89" t="str">
        <f t="shared" si="22"/>
        <v>PKOLOT</v>
      </c>
      <c r="G89" t="str">
        <f>""</f>
        <v/>
      </c>
      <c r="H89" s="1">
        <v>41158</v>
      </c>
      <c r="I89" t="str">
        <f>"PCD00553"</f>
        <v>PCD00553</v>
      </c>
      <c r="J89" t="str">
        <f>"174313"</f>
        <v>174313</v>
      </c>
      <c r="K89" t="str">
        <f t="shared" si="23"/>
        <v>AS89</v>
      </c>
      <c r="L89" t="s">
        <v>2155</v>
      </c>
      <c r="M89">
        <v>156.46</v>
      </c>
    </row>
    <row r="90" spans="1:13" x14ac:dyDescent="0.25">
      <c r="A90" t="str">
        <f t="shared" si="16"/>
        <v>E111</v>
      </c>
      <c r="B90">
        <v>1</v>
      </c>
      <c r="C90" t="str">
        <f t="shared" si="20"/>
        <v>43000</v>
      </c>
      <c r="D90" t="str">
        <f t="shared" si="21"/>
        <v>5740</v>
      </c>
      <c r="E90" t="str">
        <f t="shared" si="17"/>
        <v>850LOS</v>
      </c>
      <c r="F90" t="str">
        <f t="shared" si="22"/>
        <v>PKOLOT</v>
      </c>
      <c r="G90" t="str">
        <f>""</f>
        <v/>
      </c>
      <c r="H90" s="1">
        <v>41333</v>
      </c>
      <c r="I90" t="str">
        <f>"PCD0584A"</f>
        <v>PCD0584A</v>
      </c>
      <c r="J90" t="str">
        <f>"187003"</f>
        <v>187003</v>
      </c>
      <c r="K90" t="str">
        <f t="shared" si="23"/>
        <v>AS89</v>
      </c>
      <c r="L90" t="s">
        <v>2154</v>
      </c>
      <c r="M90">
        <v>314.14999999999998</v>
      </c>
    </row>
    <row r="91" spans="1:13" x14ac:dyDescent="0.25">
      <c r="A91" t="str">
        <f t="shared" si="16"/>
        <v>E111</v>
      </c>
      <c r="B91">
        <v>1</v>
      </c>
      <c r="C91" t="str">
        <f t="shared" si="20"/>
        <v>43000</v>
      </c>
      <c r="D91" t="str">
        <f t="shared" si="21"/>
        <v>5740</v>
      </c>
      <c r="E91" t="str">
        <f t="shared" si="17"/>
        <v>850LOS</v>
      </c>
      <c r="F91" t="str">
        <f t="shared" si="22"/>
        <v>PKOLOT</v>
      </c>
      <c r="G91" t="str">
        <f>""</f>
        <v/>
      </c>
      <c r="H91" s="1">
        <v>41364</v>
      </c>
      <c r="I91" t="str">
        <f>"PCD00588"</f>
        <v>PCD00588</v>
      </c>
      <c r="J91" t="str">
        <f>"188634"</f>
        <v>188634</v>
      </c>
      <c r="K91" t="str">
        <f t="shared" si="23"/>
        <v>AS89</v>
      </c>
      <c r="L91" t="s">
        <v>2153</v>
      </c>
      <c r="M91">
        <v>694.6</v>
      </c>
    </row>
    <row r="92" spans="1:13" x14ac:dyDescent="0.25">
      <c r="A92" t="str">
        <f t="shared" si="16"/>
        <v>E111</v>
      </c>
      <c r="B92">
        <v>1</v>
      </c>
      <c r="C92" t="str">
        <f t="shared" si="20"/>
        <v>43000</v>
      </c>
      <c r="D92" t="str">
        <f t="shared" si="21"/>
        <v>5740</v>
      </c>
      <c r="E92" t="str">
        <f t="shared" si="17"/>
        <v>850LOS</v>
      </c>
      <c r="F92" t="str">
        <f t="shared" si="22"/>
        <v>PKOLOT</v>
      </c>
      <c r="G92" t="str">
        <f>""</f>
        <v/>
      </c>
      <c r="H92" s="1">
        <v>41425</v>
      </c>
      <c r="I92" t="str">
        <f>"PCD00599"</f>
        <v>PCD00599</v>
      </c>
      <c r="J92" t="str">
        <f>"193521"</f>
        <v>193521</v>
      </c>
      <c r="K92" t="str">
        <f t="shared" si="23"/>
        <v>AS89</v>
      </c>
      <c r="L92" t="s">
        <v>2152</v>
      </c>
      <c r="M92">
        <v>460.45</v>
      </c>
    </row>
    <row r="93" spans="1:13" x14ac:dyDescent="0.25">
      <c r="A93" t="str">
        <f t="shared" si="16"/>
        <v>E111</v>
      </c>
      <c r="B93">
        <v>1</v>
      </c>
      <c r="C93" t="str">
        <f t="shared" si="20"/>
        <v>43000</v>
      </c>
      <c r="D93" t="str">
        <f t="shared" si="21"/>
        <v>5740</v>
      </c>
      <c r="E93" t="str">
        <f t="shared" si="17"/>
        <v>850LOS</v>
      </c>
      <c r="F93" t="str">
        <f t="shared" si="22"/>
        <v>PKOLOT</v>
      </c>
      <c r="G93" t="str">
        <f>""</f>
        <v/>
      </c>
      <c r="H93" s="1">
        <v>41425</v>
      </c>
      <c r="I93" t="str">
        <f>"PCD00599"</f>
        <v>PCD00599</v>
      </c>
      <c r="J93" t="str">
        <f>"193657"</f>
        <v>193657</v>
      </c>
      <c r="K93" t="str">
        <f t="shared" si="23"/>
        <v>AS89</v>
      </c>
      <c r="L93" t="s">
        <v>2151</v>
      </c>
      <c r="M93">
        <v>141</v>
      </c>
    </row>
    <row r="94" spans="1:13" x14ac:dyDescent="0.25">
      <c r="A94" t="str">
        <f t="shared" si="16"/>
        <v>E111</v>
      </c>
      <c r="B94">
        <v>1</v>
      </c>
      <c r="C94" t="str">
        <f t="shared" si="20"/>
        <v>43000</v>
      </c>
      <c r="D94" t="str">
        <f t="shared" si="21"/>
        <v>5740</v>
      </c>
      <c r="E94" t="str">
        <f t="shared" si="17"/>
        <v>850LOS</v>
      </c>
      <c r="F94" t="str">
        <f t="shared" si="22"/>
        <v>PKOLOT</v>
      </c>
      <c r="G94" t="str">
        <f>""</f>
        <v/>
      </c>
      <c r="H94" s="1">
        <v>41455</v>
      </c>
      <c r="I94" t="str">
        <f>"PCD00604"</f>
        <v>PCD00604</v>
      </c>
      <c r="J94" t="str">
        <f>"195861"</f>
        <v>195861</v>
      </c>
      <c r="K94" t="str">
        <f t="shared" si="23"/>
        <v>AS89</v>
      </c>
      <c r="L94" t="s">
        <v>2150</v>
      </c>
      <c r="M94">
        <v>272.60000000000002</v>
      </c>
    </row>
    <row r="95" spans="1:13" x14ac:dyDescent="0.25">
      <c r="A95" t="str">
        <f t="shared" si="16"/>
        <v>E111</v>
      </c>
      <c r="B95">
        <v>1</v>
      </c>
      <c r="C95" t="str">
        <f t="shared" si="20"/>
        <v>43000</v>
      </c>
      <c r="D95" t="str">
        <f t="shared" si="21"/>
        <v>5740</v>
      </c>
      <c r="E95" t="str">
        <f t="shared" si="17"/>
        <v>850LOS</v>
      </c>
      <c r="F95" t="str">
        <f>""</f>
        <v/>
      </c>
      <c r="G95" t="str">
        <f>""</f>
        <v/>
      </c>
      <c r="H95" s="1">
        <v>41099</v>
      </c>
      <c r="I95" t="str">
        <f>"C0018761"</f>
        <v>C0018761</v>
      </c>
      <c r="J95" t="str">
        <f>""</f>
        <v/>
      </c>
      <c r="K95" t="str">
        <f>"ISSU"</f>
        <v>ISSU</v>
      </c>
      <c r="L95" t="s">
        <v>2149</v>
      </c>
      <c r="M95">
        <v>193.56</v>
      </c>
    </row>
    <row r="96" spans="1:13" x14ac:dyDescent="0.25">
      <c r="A96" t="str">
        <f t="shared" si="16"/>
        <v>E111</v>
      </c>
      <c r="B96">
        <v>1</v>
      </c>
      <c r="C96" t="str">
        <f t="shared" si="20"/>
        <v>43000</v>
      </c>
      <c r="D96" t="str">
        <f t="shared" si="21"/>
        <v>5740</v>
      </c>
      <c r="E96" t="str">
        <f t="shared" si="17"/>
        <v>850LOS</v>
      </c>
      <c r="F96" t="str">
        <f>""</f>
        <v/>
      </c>
      <c r="G96" t="str">
        <f>""</f>
        <v/>
      </c>
      <c r="H96" s="1">
        <v>41113</v>
      </c>
      <c r="I96" t="str">
        <f>"C0018792"</f>
        <v>C0018792</v>
      </c>
      <c r="J96" t="str">
        <f>""</f>
        <v/>
      </c>
      <c r="K96" t="str">
        <f>"ISSU"</f>
        <v>ISSU</v>
      </c>
      <c r="L96" t="s">
        <v>2148</v>
      </c>
      <c r="M96">
        <v>196.81</v>
      </c>
    </row>
    <row r="97" spans="1:13" x14ac:dyDescent="0.25">
      <c r="A97" t="str">
        <f t="shared" si="16"/>
        <v>E111</v>
      </c>
      <c r="B97">
        <v>1</v>
      </c>
      <c r="C97" t="str">
        <f t="shared" si="20"/>
        <v>43000</v>
      </c>
      <c r="D97" t="str">
        <f t="shared" si="21"/>
        <v>5740</v>
      </c>
      <c r="E97" t="str">
        <f t="shared" si="17"/>
        <v>850LOS</v>
      </c>
      <c r="F97" t="str">
        <f>""</f>
        <v/>
      </c>
      <c r="G97" t="str">
        <f>""</f>
        <v/>
      </c>
      <c r="H97" s="1">
        <v>41121</v>
      </c>
      <c r="I97" t="str">
        <f>"PCD00546"</f>
        <v>PCD00546</v>
      </c>
      <c r="J97" t="str">
        <f>"171896"</f>
        <v>171896</v>
      </c>
      <c r="K97" t="str">
        <f t="shared" ref="K97:K109" si="24">"AS89"</f>
        <v>AS89</v>
      </c>
      <c r="L97" t="s">
        <v>2147</v>
      </c>
      <c r="M97">
        <v>109.82</v>
      </c>
    </row>
    <row r="98" spans="1:13" x14ac:dyDescent="0.25">
      <c r="A98" t="str">
        <f t="shared" si="16"/>
        <v>E111</v>
      </c>
      <c r="B98">
        <v>1</v>
      </c>
      <c r="C98" t="str">
        <f t="shared" si="20"/>
        <v>43000</v>
      </c>
      <c r="D98" t="str">
        <f t="shared" si="21"/>
        <v>5740</v>
      </c>
      <c r="E98" t="str">
        <f t="shared" si="17"/>
        <v>850LOS</v>
      </c>
      <c r="F98" t="str">
        <f>""</f>
        <v/>
      </c>
      <c r="G98" t="str">
        <f>""</f>
        <v/>
      </c>
      <c r="H98" s="1">
        <v>41182</v>
      </c>
      <c r="I98" t="str">
        <f>"PCD00558"</f>
        <v>PCD00558</v>
      </c>
      <c r="J98" t="str">
        <f>"176523"</f>
        <v>176523</v>
      </c>
      <c r="K98" t="str">
        <f t="shared" si="24"/>
        <v>AS89</v>
      </c>
      <c r="L98" t="s">
        <v>2146</v>
      </c>
      <c r="M98">
        <v>167.38</v>
      </c>
    </row>
    <row r="99" spans="1:13" x14ac:dyDescent="0.25">
      <c r="A99" t="str">
        <f t="shared" si="16"/>
        <v>E111</v>
      </c>
      <c r="B99">
        <v>1</v>
      </c>
      <c r="C99" t="str">
        <f t="shared" si="20"/>
        <v>43000</v>
      </c>
      <c r="D99" t="str">
        <f t="shared" si="21"/>
        <v>5740</v>
      </c>
      <c r="E99" t="str">
        <f t="shared" si="17"/>
        <v>850LOS</v>
      </c>
      <c r="F99" t="str">
        <f>""</f>
        <v/>
      </c>
      <c r="G99" t="str">
        <f>""</f>
        <v/>
      </c>
      <c r="H99" s="1">
        <v>41182</v>
      </c>
      <c r="I99" t="str">
        <f>"PCD00558"</f>
        <v>PCD00558</v>
      </c>
      <c r="J99" t="str">
        <f>"176974"</f>
        <v>176974</v>
      </c>
      <c r="K99" t="str">
        <f t="shared" si="24"/>
        <v>AS89</v>
      </c>
      <c r="L99" t="s">
        <v>2145</v>
      </c>
      <c r="M99">
        <v>219.1</v>
      </c>
    </row>
    <row r="100" spans="1:13" x14ac:dyDescent="0.25">
      <c r="A100" t="str">
        <f t="shared" si="16"/>
        <v>E111</v>
      </c>
      <c r="B100">
        <v>1</v>
      </c>
      <c r="C100" t="str">
        <f t="shared" si="20"/>
        <v>43000</v>
      </c>
      <c r="D100" t="str">
        <f t="shared" si="21"/>
        <v>5740</v>
      </c>
      <c r="E100" t="str">
        <f t="shared" si="17"/>
        <v>850LOS</v>
      </c>
      <c r="F100" t="str">
        <f>""</f>
        <v/>
      </c>
      <c r="G100" t="str">
        <f>""</f>
        <v/>
      </c>
      <c r="H100" s="1">
        <v>41213</v>
      </c>
      <c r="I100" t="str">
        <f>"PCD00564"</f>
        <v>PCD00564</v>
      </c>
      <c r="J100" t="str">
        <f>"178199"</f>
        <v>178199</v>
      </c>
      <c r="K100" t="str">
        <f t="shared" si="24"/>
        <v>AS89</v>
      </c>
      <c r="L100" t="s">
        <v>2143</v>
      </c>
      <c r="M100">
        <v>468.31</v>
      </c>
    </row>
    <row r="101" spans="1:13" x14ac:dyDescent="0.25">
      <c r="A101" t="str">
        <f t="shared" ref="A101:A133" si="25">"E111"</f>
        <v>E111</v>
      </c>
      <c r="B101">
        <v>1</v>
      </c>
      <c r="C101" t="str">
        <f t="shared" si="20"/>
        <v>43000</v>
      </c>
      <c r="D101" t="str">
        <f t="shared" si="21"/>
        <v>5740</v>
      </c>
      <c r="E101" t="str">
        <f t="shared" si="17"/>
        <v>850LOS</v>
      </c>
      <c r="F101" t="str">
        <f>""</f>
        <v/>
      </c>
      <c r="G101" t="str">
        <f>""</f>
        <v/>
      </c>
      <c r="H101" s="1">
        <v>41213</v>
      </c>
      <c r="I101" t="str">
        <f>"PCD00564"</f>
        <v>PCD00564</v>
      </c>
      <c r="J101" t="str">
        <f>"179069"</f>
        <v>179069</v>
      </c>
      <c r="K101" t="str">
        <f t="shared" si="24"/>
        <v>AS89</v>
      </c>
      <c r="L101" t="s">
        <v>2142</v>
      </c>
      <c r="M101">
        <v>294.64</v>
      </c>
    </row>
    <row r="102" spans="1:13" x14ac:dyDescent="0.25">
      <c r="A102" t="str">
        <f t="shared" si="25"/>
        <v>E111</v>
      </c>
      <c r="B102">
        <v>1</v>
      </c>
      <c r="C102" t="str">
        <f t="shared" si="20"/>
        <v>43000</v>
      </c>
      <c r="D102" t="str">
        <f t="shared" si="21"/>
        <v>5740</v>
      </c>
      <c r="E102" t="str">
        <f t="shared" si="17"/>
        <v>850LOS</v>
      </c>
      <c r="F102" t="str">
        <f>""</f>
        <v/>
      </c>
      <c r="G102" t="str">
        <f>""</f>
        <v/>
      </c>
      <c r="H102" s="1">
        <v>41243</v>
      </c>
      <c r="I102" t="str">
        <f>"PCD00570"</f>
        <v>PCD00570</v>
      </c>
      <c r="J102" t="str">
        <f>"180517"</f>
        <v>180517</v>
      </c>
      <c r="K102" t="str">
        <f t="shared" si="24"/>
        <v>AS89</v>
      </c>
      <c r="L102" t="s">
        <v>2141</v>
      </c>
      <c r="M102">
        <v>164.88</v>
      </c>
    </row>
    <row r="103" spans="1:13" x14ac:dyDescent="0.25">
      <c r="A103" t="str">
        <f t="shared" si="25"/>
        <v>E111</v>
      </c>
      <c r="B103">
        <v>1</v>
      </c>
      <c r="C103" t="str">
        <f t="shared" si="20"/>
        <v>43000</v>
      </c>
      <c r="D103" t="str">
        <f t="shared" si="21"/>
        <v>5740</v>
      </c>
      <c r="E103" t="str">
        <f t="shared" si="17"/>
        <v>850LOS</v>
      </c>
      <c r="F103" t="str">
        <f>""</f>
        <v/>
      </c>
      <c r="G103" t="str">
        <f>""</f>
        <v/>
      </c>
      <c r="H103" s="1">
        <v>41243</v>
      </c>
      <c r="I103" t="str">
        <f>"PCD00570"</f>
        <v>PCD00570</v>
      </c>
      <c r="J103" t="str">
        <f>"180749"</f>
        <v>180749</v>
      </c>
      <c r="K103" t="str">
        <f t="shared" si="24"/>
        <v>AS89</v>
      </c>
      <c r="L103" t="s">
        <v>2140</v>
      </c>
      <c r="M103">
        <v>273.52999999999997</v>
      </c>
    </row>
    <row r="104" spans="1:13" x14ac:dyDescent="0.25">
      <c r="A104" t="str">
        <f t="shared" si="25"/>
        <v>E111</v>
      </c>
      <c r="B104">
        <v>1</v>
      </c>
      <c r="C104" t="str">
        <f t="shared" si="20"/>
        <v>43000</v>
      </c>
      <c r="D104" t="str">
        <f t="shared" si="21"/>
        <v>5740</v>
      </c>
      <c r="E104" t="str">
        <f t="shared" si="17"/>
        <v>850LOS</v>
      </c>
      <c r="F104" t="str">
        <f>""</f>
        <v/>
      </c>
      <c r="G104" t="str">
        <f>""</f>
        <v/>
      </c>
      <c r="H104" s="1">
        <v>41274</v>
      </c>
      <c r="I104" t="str">
        <f>"PCD00575"</f>
        <v>PCD00575</v>
      </c>
      <c r="J104" t="str">
        <f>"182146"</f>
        <v>182146</v>
      </c>
      <c r="K104" t="str">
        <f t="shared" si="24"/>
        <v>AS89</v>
      </c>
      <c r="L104" t="s">
        <v>2139</v>
      </c>
      <c r="M104">
        <v>171.3</v>
      </c>
    </row>
    <row r="105" spans="1:13" x14ac:dyDescent="0.25">
      <c r="A105" t="str">
        <f t="shared" si="25"/>
        <v>E111</v>
      </c>
      <c r="B105">
        <v>1</v>
      </c>
      <c r="C105" t="str">
        <f t="shared" si="20"/>
        <v>43000</v>
      </c>
      <c r="D105" t="str">
        <f t="shared" si="21"/>
        <v>5740</v>
      </c>
      <c r="E105" t="str">
        <f t="shared" si="17"/>
        <v>850LOS</v>
      </c>
      <c r="F105" t="str">
        <f>""</f>
        <v/>
      </c>
      <c r="G105" t="str">
        <f>""</f>
        <v/>
      </c>
      <c r="H105" s="1">
        <v>41274</v>
      </c>
      <c r="I105" t="str">
        <f>"PCD00575"</f>
        <v>PCD00575</v>
      </c>
      <c r="J105" t="str">
        <f>"182386"</f>
        <v>182386</v>
      </c>
      <c r="K105" t="str">
        <f t="shared" si="24"/>
        <v>AS89</v>
      </c>
      <c r="L105" t="s">
        <v>2138</v>
      </c>
      <c r="M105">
        <v>121.81</v>
      </c>
    </row>
    <row r="106" spans="1:13" x14ac:dyDescent="0.25">
      <c r="A106" t="str">
        <f t="shared" si="25"/>
        <v>E111</v>
      </c>
      <c r="B106">
        <v>1</v>
      </c>
      <c r="C106" t="str">
        <f t="shared" si="20"/>
        <v>43000</v>
      </c>
      <c r="D106" t="str">
        <f t="shared" si="21"/>
        <v>5740</v>
      </c>
      <c r="E106" t="str">
        <f t="shared" si="17"/>
        <v>850LOS</v>
      </c>
      <c r="F106" t="str">
        <f>""</f>
        <v/>
      </c>
      <c r="G106" t="str">
        <f>""</f>
        <v/>
      </c>
      <c r="H106" s="1">
        <v>41274</v>
      </c>
      <c r="I106" t="str">
        <f>"PCD00575"</f>
        <v>PCD00575</v>
      </c>
      <c r="J106" t="str">
        <f>"182546"</f>
        <v>182546</v>
      </c>
      <c r="K106" t="str">
        <f t="shared" si="24"/>
        <v>AS89</v>
      </c>
      <c r="L106" t="s">
        <v>2137</v>
      </c>
      <c r="M106">
        <v>412</v>
      </c>
    </row>
    <row r="107" spans="1:13" x14ac:dyDescent="0.25">
      <c r="A107" t="str">
        <f t="shared" si="25"/>
        <v>E111</v>
      </c>
      <c r="B107">
        <v>1</v>
      </c>
      <c r="C107" t="str">
        <f t="shared" si="20"/>
        <v>43000</v>
      </c>
      <c r="D107" t="str">
        <f t="shared" si="21"/>
        <v>5740</v>
      </c>
      <c r="E107" t="str">
        <f t="shared" ref="E107:E113" si="26">"850LOS"</f>
        <v>850LOS</v>
      </c>
      <c r="F107" t="str">
        <f>""</f>
        <v/>
      </c>
      <c r="G107" t="str">
        <f>""</f>
        <v/>
      </c>
      <c r="H107" s="1">
        <v>41305</v>
      </c>
      <c r="I107" t="str">
        <f>"PCD00580"</f>
        <v>PCD00580</v>
      </c>
      <c r="J107" t="str">
        <f>"184258"</f>
        <v>184258</v>
      </c>
      <c r="K107" t="str">
        <f t="shared" si="24"/>
        <v>AS89</v>
      </c>
      <c r="L107" t="s">
        <v>2136</v>
      </c>
      <c r="M107">
        <v>447.43</v>
      </c>
    </row>
    <row r="108" spans="1:13" x14ac:dyDescent="0.25">
      <c r="A108" t="str">
        <f t="shared" si="25"/>
        <v>E111</v>
      </c>
      <c r="B108">
        <v>1</v>
      </c>
      <c r="C108" t="str">
        <f t="shared" si="20"/>
        <v>43000</v>
      </c>
      <c r="D108" t="str">
        <f t="shared" si="21"/>
        <v>5740</v>
      </c>
      <c r="E108" t="str">
        <f t="shared" si="26"/>
        <v>850LOS</v>
      </c>
      <c r="F108" t="str">
        <f>""</f>
        <v/>
      </c>
      <c r="G108" t="str">
        <f>""</f>
        <v/>
      </c>
      <c r="H108" s="1">
        <v>41305</v>
      </c>
      <c r="I108" t="str">
        <f>"PCD00580"</f>
        <v>PCD00580</v>
      </c>
      <c r="J108" t="str">
        <f>"184902"</f>
        <v>184902</v>
      </c>
      <c r="K108" t="str">
        <f t="shared" si="24"/>
        <v>AS89</v>
      </c>
      <c r="L108" t="s">
        <v>2135</v>
      </c>
      <c r="M108">
        <v>580.32000000000005</v>
      </c>
    </row>
    <row r="109" spans="1:13" x14ac:dyDescent="0.25">
      <c r="A109" t="str">
        <f t="shared" si="25"/>
        <v>E111</v>
      </c>
      <c r="B109">
        <v>1</v>
      </c>
      <c r="C109" t="str">
        <f t="shared" si="20"/>
        <v>43000</v>
      </c>
      <c r="D109" t="str">
        <f t="shared" si="21"/>
        <v>5740</v>
      </c>
      <c r="E109" t="str">
        <f t="shared" si="26"/>
        <v>850LOS</v>
      </c>
      <c r="F109" t="str">
        <f>""</f>
        <v/>
      </c>
      <c r="G109" t="str">
        <f>""</f>
        <v/>
      </c>
      <c r="H109" s="1">
        <v>41364</v>
      </c>
      <c r="I109" t="str">
        <f>"PCD00588"</f>
        <v>PCD00588</v>
      </c>
      <c r="J109" t="str">
        <f>"188880"</f>
        <v>188880</v>
      </c>
      <c r="K109" t="str">
        <f t="shared" si="24"/>
        <v>AS89</v>
      </c>
      <c r="L109" t="s">
        <v>2134</v>
      </c>
      <c r="M109">
        <v>167.5</v>
      </c>
    </row>
    <row r="110" spans="1:13" x14ac:dyDescent="0.25">
      <c r="A110" t="str">
        <f t="shared" si="25"/>
        <v>E111</v>
      </c>
      <c r="B110">
        <v>1</v>
      </c>
      <c r="C110" t="str">
        <f t="shared" si="20"/>
        <v>43000</v>
      </c>
      <c r="D110" t="str">
        <f t="shared" si="21"/>
        <v>5740</v>
      </c>
      <c r="E110" t="str">
        <f t="shared" si="26"/>
        <v>850LOS</v>
      </c>
      <c r="F110" t="str">
        <f>""</f>
        <v/>
      </c>
      <c r="G110" t="str">
        <f>""</f>
        <v/>
      </c>
      <c r="H110" s="1">
        <v>41383</v>
      </c>
      <c r="I110" t="str">
        <f>"210967"</f>
        <v>210967</v>
      </c>
      <c r="J110" t="str">
        <f>""</f>
        <v/>
      </c>
      <c r="K110" t="str">
        <f>"INNI"</f>
        <v>INNI</v>
      </c>
      <c r="L110" t="s">
        <v>2133</v>
      </c>
      <c r="M110" s="2">
        <v>1205.75</v>
      </c>
    </row>
    <row r="111" spans="1:13" x14ac:dyDescent="0.25">
      <c r="A111" t="str">
        <f t="shared" si="25"/>
        <v>E111</v>
      </c>
      <c r="B111">
        <v>1</v>
      </c>
      <c r="C111" t="str">
        <f t="shared" si="20"/>
        <v>43000</v>
      </c>
      <c r="D111" t="str">
        <f t="shared" si="21"/>
        <v>5740</v>
      </c>
      <c r="E111" t="str">
        <f t="shared" si="26"/>
        <v>850LOS</v>
      </c>
      <c r="F111" t="str">
        <f>""</f>
        <v/>
      </c>
      <c r="G111" t="str">
        <f>""</f>
        <v/>
      </c>
      <c r="H111" s="1">
        <v>41425</v>
      </c>
      <c r="I111" t="str">
        <f>"PCD00599"</f>
        <v>PCD00599</v>
      </c>
      <c r="J111" t="str">
        <f>"193133"</f>
        <v>193133</v>
      </c>
      <c r="K111" t="str">
        <f>"AS89"</f>
        <v>AS89</v>
      </c>
      <c r="L111" t="s">
        <v>2132</v>
      </c>
      <c r="M111">
        <v>447.43</v>
      </c>
    </row>
    <row r="112" spans="1:13" x14ac:dyDescent="0.25">
      <c r="A112" t="str">
        <f t="shared" si="25"/>
        <v>E111</v>
      </c>
      <c r="B112">
        <v>1</v>
      </c>
      <c r="C112" t="str">
        <f t="shared" si="20"/>
        <v>43000</v>
      </c>
      <c r="D112" t="str">
        <f t="shared" si="21"/>
        <v>5740</v>
      </c>
      <c r="E112" t="str">
        <f t="shared" si="26"/>
        <v>850LOS</v>
      </c>
      <c r="F112" t="str">
        <f>""</f>
        <v/>
      </c>
      <c r="G112" t="str">
        <f>""</f>
        <v/>
      </c>
      <c r="H112" s="1">
        <v>41425</v>
      </c>
      <c r="I112" t="str">
        <f>"PCD00599"</f>
        <v>PCD00599</v>
      </c>
      <c r="J112" t="str">
        <f>"193522"</f>
        <v>193522</v>
      </c>
      <c r="K112" t="str">
        <f>"AS89"</f>
        <v>AS89</v>
      </c>
      <c r="L112" t="s">
        <v>2131</v>
      </c>
      <c r="M112">
        <v>477.59</v>
      </c>
    </row>
    <row r="113" spans="1:13" x14ac:dyDescent="0.25">
      <c r="A113" t="str">
        <f t="shared" si="25"/>
        <v>E111</v>
      </c>
      <c r="B113">
        <v>1</v>
      </c>
      <c r="C113" t="str">
        <f t="shared" si="20"/>
        <v>43000</v>
      </c>
      <c r="D113" t="str">
        <f t="shared" si="21"/>
        <v>5740</v>
      </c>
      <c r="E113" t="str">
        <f t="shared" si="26"/>
        <v>850LOS</v>
      </c>
      <c r="F113" t="str">
        <f>""</f>
        <v/>
      </c>
      <c r="G113" t="str">
        <f>""</f>
        <v/>
      </c>
      <c r="H113" s="1">
        <v>41432</v>
      </c>
      <c r="I113" t="str">
        <f>"C0020098"</f>
        <v>C0020098</v>
      </c>
      <c r="J113" t="str">
        <f>""</f>
        <v/>
      </c>
      <c r="K113" t="str">
        <f>"ISSU"</f>
        <v>ISSU</v>
      </c>
      <c r="L113" t="s">
        <v>2130</v>
      </c>
      <c r="M113">
        <v>286.45</v>
      </c>
    </row>
    <row r="114" spans="1:13" x14ac:dyDescent="0.25">
      <c r="A114" t="str">
        <f t="shared" si="25"/>
        <v>E111</v>
      </c>
      <c r="B114">
        <v>1</v>
      </c>
      <c r="C114" t="str">
        <f t="shared" si="20"/>
        <v>43000</v>
      </c>
      <c r="D114" t="str">
        <f t="shared" si="21"/>
        <v>5740</v>
      </c>
      <c r="E114" t="str">
        <f t="shared" ref="E114:E125" si="27">"850PKE"</f>
        <v>850PKE</v>
      </c>
      <c r="F114" t="str">
        <f>""</f>
        <v/>
      </c>
      <c r="G114" t="str">
        <f>""</f>
        <v/>
      </c>
      <c r="H114" s="1">
        <v>41121</v>
      </c>
      <c r="I114" t="str">
        <f>"PCD00546"</f>
        <v>PCD00546</v>
      </c>
      <c r="J114" t="str">
        <f>"173022"</f>
        <v>173022</v>
      </c>
      <c r="K114" t="str">
        <f t="shared" ref="K114:K123" si="28">"AS89"</f>
        <v>AS89</v>
      </c>
      <c r="L114" t="s">
        <v>2129</v>
      </c>
      <c r="M114">
        <v>934.52</v>
      </c>
    </row>
    <row r="115" spans="1:13" x14ac:dyDescent="0.25">
      <c r="A115" t="str">
        <f t="shared" si="25"/>
        <v>E111</v>
      </c>
      <c r="B115">
        <v>1</v>
      </c>
      <c r="C115" t="str">
        <f t="shared" si="20"/>
        <v>43000</v>
      </c>
      <c r="D115" t="str">
        <f t="shared" si="21"/>
        <v>5740</v>
      </c>
      <c r="E115" t="str">
        <f t="shared" si="27"/>
        <v>850PKE</v>
      </c>
      <c r="F115" t="str">
        <f>""</f>
        <v/>
      </c>
      <c r="G115" t="str">
        <f>""</f>
        <v/>
      </c>
      <c r="H115" s="1">
        <v>41121</v>
      </c>
      <c r="I115" t="str">
        <f>"PCD00546"</f>
        <v>PCD00546</v>
      </c>
      <c r="J115" t="str">
        <f>"173353"</f>
        <v>173353</v>
      </c>
      <c r="K115" t="str">
        <f t="shared" si="28"/>
        <v>AS89</v>
      </c>
      <c r="L115" t="s">
        <v>2128</v>
      </c>
      <c r="M115">
        <v>124.04</v>
      </c>
    </row>
    <row r="116" spans="1:13" x14ac:dyDescent="0.25">
      <c r="A116" t="str">
        <f t="shared" si="25"/>
        <v>E111</v>
      </c>
      <c r="B116">
        <v>1</v>
      </c>
      <c r="C116" t="str">
        <f t="shared" si="20"/>
        <v>43000</v>
      </c>
      <c r="D116" t="str">
        <f t="shared" si="21"/>
        <v>5740</v>
      </c>
      <c r="E116" t="str">
        <f t="shared" si="27"/>
        <v>850PKE</v>
      </c>
      <c r="F116" t="str">
        <f>""</f>
        <v/>
      </c>
      <c r="G116" t="str">
        <f>""</f>
        <v/>
      </c>
      <c r="H116" s="1">
        <v>41121</v>
      </c>
      <c r="I116" t="str">
        <f>"PCD00546"</f>
        <v>PCD00546</v>
      </c>
      <c r="J116" t="str">
        <f>"173353"</f>
        <v>173353</v>
      </c>
      <c r="K116" t="str">
        <f t="shared" si="28"/>
        <v>AS89</v>
      </c>
      <c r="L116" t="s">
        <v>2127</v>
      </c>
      <c r="M116" s="2">
        <v>1425.8</v>
      </c>
    </row>
    <row r="117" spans="1:13" x14ac:dyDescent="0.25">
      <c r="A117" t="str">
        <f t="shared" si="25"/>
        <v>E111</v>
      </c>
      <c r="B117">
        <v>1</v>
      </c>
      <c r="C117" t="str">
        <f t="shared" si="20"/>
        <v>43000</v>
      </c>
      <c r="D117" t="str">
        <f t="shared" si="21"/>
        <v>5740</v>
      </c>
      <c r="E117" t="str">
        <f t="shared" si="27"/>
        <v>850PKE</v>
      </c>
      <c r="F117" t="str">
        <f>""</f>
        <v/>
      </c>
      <c r="G117" t="str">
        <f>""</f>
        <v/>
      </c>
      <c r="H117" s="1">
        <v>41213</v>
      </c>
      <c r="I117" t="str">
        <f>"PCD00564"</f>
        <v>PCD00564</v>
      </c>
      <c r="J117" t="str">
        <f>"179155"</f>
        <v>179155</v>
      </c>
      <c r="K117" t="str">
        <f t="shared" si="28"/>
        <v>AS89</v>
      </c>
      <c r="L117" t="s">
        <v>2126</v>
      </c>
      <c r="M117">
        <v>303.95</v>
      </c>
    </row>
    <row r="118" spans="1:13" x14ac:dyDescent="0.25">
      <c r="A118" t="str">
        <f t="shared" si="25"/>
        <v>E111</v>
      </c>
      <c r="B118">
        <v>1</v>
      </c>
      <c r="C118" t="str">
        <f t="shared" si="20"/>
        <v>43000</v>
      </c>
      <c r="D118" t="str">
        <f t="shared" si="21"/>
        <v>5740</v>
      </c>
      <c r="E118" t="str">
        <f t="shared" si="27"/>
        <v>850PKE</v>
      </c>
      <c r="F118" t="str">
        <f>""</f>
        <v/>
      </c>
      <c r="G118" t="str">
        <f>""</f>
        <v/>
      </c>
      <c r="H118" s="1">
        <v>41274</v>
      </c>
      <c r="I118" t="str">
        <f>"PCD00575"</f>
        <v>PCD00575</v>
      </c>
      <c r="J118" t="str">
        <f>"182372"</f>
        <v>182372</v>
      </c>
      <c r="K118" t="str">
        <f t="shared" si="28"/>
        <v>AS89</v>
      </c>
      <c r="L118" t="s">
        <v>2125</v>
      </c>
      <c r="M118">
        <v>612.34</v>
      </c>
    </row>
    <row r="119" spans="1:13" x14ac:dyDescent="0.25">
      <c r="A119" t="str">
        <f t="shared" si="25"/>
        <v>E111</v>
      </c>
      <c r="B119">
        <v>1</v>
      </c>
      <c r="C119" t="str">
        <f t="shared" si="20"/>
        <v>43000</v>
      </c>
      <c r="D119" t="str">
        <f t="shared" si="21"/>
        <v>5740</v>
      </c>
      <c r="E119" t="str">
        <f t="shared" si="27"/>
        <v>850PKE</v>
      </c>
      <c r="F119" t="str">
        <f>""</f>
        <v/>
      </c>
      <c r="G119" t="str">
        <f>""</f>
        <v/>
      </c>
      <c r="H119" s="1">
        <v>41364</v>
      </c>
      <c r="I119" t="str">
        <f>"PCD00588"</f>
        <v>PCD00588</v>
      </c>
      <c r="J119" t="str">
        <f>"189221"</f>
        <v>189221</v>
      </c>
      <c r="K119" t="str">
        <f t="shared" si="28"/>
        <v>AS89</v>
      </c>
      <c r="L119" t="s">
        <v>2124</v>
      </c>
      <c r="M119">
        <v>478.18</v>
      </c>
    </row>
    <row r="120" spans="1:13" x14ac:dyDescent="0.25">
      <c r="A120" t="str">
        <f t="shared" si="25"/>
        <v>E111</v>
      </c>
      <c r="B120">
        <v>1</v>
      </c>
      <c r="C120" t="str">
        <f t="shared" si="20"/>
        <v>43000</v>
      </c>
      <c r="D120" t="str">
        <f t="shared" si="21"/>
        <v>5740</v>
      </c>
      <c r="E120" t="str">
        <f t="shared" si="27"/>
        <v>850PKE</v>
      </c>
      <c r="F120" t="str">
        <f>""</f>
        <v/>
      </c>
      <c r="G120" t="str">
        <f>""</f>
        <v/>
      </c>
      <c r="H120" s="1">
        <v>41425</v>
      </c>
      <c r="I120" t="str">
        <f>"PCD00599"</f>
        <v>PCD00599</v>
      </c>
      <c r="J120" t="str">
        <f>"192947"</f>
        <v>192947</v>
      </c>
      <c r="K120" t="str">
        <f t="shared" si="28"/>
        <v>AS89</v>
      </c>
      <c r="L120" t="s">
        <v>2123</v>
      </c>
      <c r="M120">
        <v>380.44</v>
      </c>
    </row>
    <row r="121" spans="1:13" x14ac:dyDescent="0.25">
      <c r="A121" t="str">
        <f t="shared" si="25"/>
        <v>E111</v>
      </c>
      <c r="B121">
        <v>1</v>
      </c>
      <c r="C121" t="str">
        <f t="shared" si="20"/>
        <v>43000</v>
      </c>
      <c r="D121" t="str">
        <f t="shared" si="21"/>
        <v>5740</v>
      </c>
      <c r="E121" t="str">
        <f t="shared" si="27"/>
        <v>850PKE</v>
      </c>
      <c r="F121" t="str">
        <f>""</f>
        <v/>
      </c>
      <c r="G121" t="str">
        <f>""</f>
        <v/>
      </c>
      <c r="H121" s="1">
        <v>41425</v>
      </c>
      <c r="I121" t="str">
        <f>"PCD00599"</f>
        <v>PCD00599</v>
      </c>
      <c r="J121" t="str">
        <f>"193420"</f>
        <v>193420</v>
      </c>
      <c r="K121" t="str">
        <f t="shared" si="28"/>
        <v>AS89</v>
      </c>
      <c r="L121" t="s">
        <v>2122</v>
      </c>
      <c r="M121">
        <v>146.1</v>
      </c>
    </row>
    <row r="122" spans="1:13" x14ac:dyDescent="0.25">
      <c r="A122" t="str">
        <f t="shared" si="25"/>
        <v>E111</v>
      </c>
      <c r="B122">
        <v>1</v>
      </c>
      <c r="C122" t="str">
        <f t="shared" si="20"/>
        <v>43000</v>
      </c>
      <c r="D122" t="str">
        <f t="shared" si="21"/>
        <v>5740</v>
      </c>
      <c r="E122" t="str">
        <f t="shared" si="27"/>
        <v>850PKE</v>
      </c>
      <c r="F122" t="str">
        <f>""</f>
        <v/>
      </c>
      <c r="G122" t="str">
        <f>""</f>
        <v/>
      </c>
      <c r="H122" s="1">
        <v>41425</v>
      </c>
      <c r="I122" t="str">
        <f>"PCD00599"</f>
        <v>PCD00599</v>
      </c>
      <c r="J122" t="str">
        <f>"193421"</f>
        <v>193421</v>
      </c>
      <c r="K122" t="str">
        <f t="shared" si="28"/>
        <v>AS89</v>
      </c>
      <c r="L122" t="s">
        <v>2122</v>
      </c>
      <c r="M122">
        <v>146.1</v>
      </c>
    </row>
    <row r="123" spans="1:13" x14ac:dyDescent="0.25">
      <c r="A123" t="str">
        <f t="shared" si="25"/>
        <v>E111</v>
      </c>
      <c r="B123">
        <v>1</v>
      </c>
      <c r="C123" t="str">
        <f t="shared" si="20"/>
        <v>43000</v>
      </c>
      <c r="D123" t="str">
        <f t="shared" si="21"/>
        <v>5740</v>
      </c>
      <c r="E123" t="str">
        <f t="shared" si="27"/>
        <v>850PKE</v>
      </c>
      <c r="F123" t="str">
        <f>""</f>
        <v/>
      </c>
      <c r="G123" t="str">
        <f>""</f>
        <v/>
      </c>
      <c r="H123" s="1">
        <v>41425</v>
      </c>
      <c r="I123" t="str">
        <f>"PCD00599"</f>
        <v>PCD00599</v>
      </c>
      <c r="J123" t="str">
        <f>"193422"</f>
        <v>193422</v>
      </c>
      <c r="K123" t="str">
        <f t="shared" si="28"/>
        <v>AS89</v>
      </c>
      <c r="L123" t="s">
        <v>2122</v>
      </c>
      <c r="M123">
        <v>146.1</v>
      </c>
    </row>
    <row r="124" spans="1:13" x14ac:dyDescent="0.25">
      <c r="A124" t="str">
        <f t="shared" si="25"/>
        <v>E111</v>
      </c>
      <c r="B124">
        <v>1</v>
      </c>
      <c r="C124" t="str">
        <f t="shared" si="20"/>
        <v>43000</v>
      </c>
      <c r="D124" t="str">
        <f t="shared" si="21"/>
        <v>5740</v>
      </c>
      <c r="E124" t="str">
        <f t="shared" si="27"/>
        <v>850PKE</v>
      </c>
      <c r="F124" t="str">
        <f>""</f>
        <v/>
      </c>
      <c r="G124" t="str">
        <f>""</f>
        <v/>
      </c>
      <c r="H124" s="1">
        <v>41446</v>
      </c>
      <c r="I124" t="str">
        <f>"J0004759"</f>
        <v>J0004759</v>
      </c>
      <c r="J124" t="str">
        <f>""</f>
        <v/>
      </c>
      <c r="K124" t="str">
        <f>"J096"</f>
        <v>J096</v>
      </c>
      <c r="L124" t="s">
        <v>2057</v>
      </c>
      <c r="M124" s="2">
        <v>1428.08</v>
      </c>
    </row>
    <row r="125" spans="1:13" x14ac:dyDescent="0.25">
      <c r="A125" t="str">
        <f t="shared" si="25"/>
        <v>E111</v>
      </c>
      <c r="B125">
        <v>1</v>
      </c>
      <c r="C125" t="str">
        <f t="shared" si="20"/>
        <v>43000</v>
      </c>
      <c r="D125" t="str">
        <f t="shared" si="21"/>
        <v>5740</v>
      </c>
      <c r="E125" t="str">
        <f t="shared" si="27"/>
        <v>850PKE</v>
      </c>
      <c r="F125" t="str">
        <f>""</f>
        <v/>
      </c>
      <c r="G125" t="str">
        <f>""</f>
        <v/>
      </c>
      <c r="H125" s="1">
        <v>41455</v>
      </c>
      <c r="I125" t="str">
        <f>"PCD00605"</f>
        <v>PCD00605</v>
      </c>
      <c r="J125" t="str">
        <f>"196228"</f>
        <v>196228</v>
      </c>
      <c r="K125" t="str">
        <f t="shared" ref="K125:K132" si="29">"AS89"</f>
        <v>AS89</v>
      </c>
      <c r="L125" t="s">
        <v>2121</v>
      </c>
      <c r="M125">
        <v>271.75</v>
      </c>
    </row>
    <row r="126" spans="1:13" x14ac:dyDescent="0.25">
      <c r="A126" t="str">
        <f t="shared" si="25"/>
        <v>E111</v>
      </c>
      <c r="B126">
        <v>1</v>
      </c>
      <c r="C126" t="str">
        <f t="shared" ref="C126:C133" si="30">"43003"</f>
        <v>43003</v>
      </c>
      <c r="D126" t="str">
        <f t="shared" si="21"/>
        <v>5740</v>
      </c>
      <c r="E126" t="str">
        <f t="shared" ref="E126:E133" si="31">"850LOS"</f>
        <v>850LOS</v>
      </c>
      <c r="F126" t="str">
        <f>""</f>
        <v/>
      </c>
      <c r="G126" t="str">
        <f>""</f>
        <v/>
      </c>
      <c r="H126" s="1">
        <v>41158</v>
      </c>
      <c r="I126" t="str">
        <f>"PCD00553"</f>
        <v>PCD00553</v>
      </c>
      <c r="J126" t="str">
        <f>"174795"</f>
        <v>174795</v>
      </c>
      <c r="K126" t="str">
        <f t="shared" si="29"/>
        <v>AS89</v>
      </c>
      <c r="L126" t="s">
        <v>2120</v>
      </c>
      <c r="M126">
        <v>488.52</v>
      </c>
    </row>
    <row r="127" spans="1:13" x14ac:dyDescent="0.25">
      <c r="A127" t="str">
        <f t="shared" si="25"/>
        <v>E111</v>
      </c>
      <c r="B127">
        <v>1</v>
      </c>
      <c r="C127" t="str">
        <f t="shared" si="30"/>
        <v>43003</v>
      </c>
      <c r="D127" t="str">
        <f t="shared" si="21"/>
        <v>5740</v>
      </c>
      <c r="E127" t="str">
        <f t="shared" si="31"/>
        <v>850LOS</v>
      </c>
      <c r="F127" t="str">
        <f>""</f>
        <v/>
      </c>
      <c r="G127" t="str">
        <f>""</f>
        <v/>
      </c>
      <c r="H127" s="1">
        <v>41364</v>
      </c>
      <c r="I127" t="str">
        <f>"PCD00588"</f>
        <v>PCD00588</v>
      </c>
      <c r="J127" t="str">
        <f>"188362"</f>
        <v>188362</v>
      </c>
      <c r="K127" t="str">
        <f t="shared" si="29"/>
        <v>AS89</v>
      </c>
      <c r="L127" t="s">
        <v>2119</v>
      </c>
      <c r="M127">
        <v>954.28</v>
      </c>
    </row>
    <row r="128" spans="1:13" x14ac:dyDescent="0.25">
      <c r="A128" t="str">
        <f t="shared" si="25"/>
        <v>E111</v>
      </c>
      <c r="B128">
        <v>1</v>
      </c>
      <c r="C128" t="str">
        <f t="shared" si="30"/>
        <v>43003</v>
      </c>
      <c r="D128" t="str">
        <f t="shared" si="21"/>
        <v>5740</v>
      </c>
      <c r="E128" t="str">
        <f t="shared" si="31"/>
        <v>850LOS</v>
      </c>
      <c r="F128" t="str">
        <f>""</f>
        <v/>
      </c>
      <c r="G128" t="str">
        <f>""</f>
        <v/>
      </c>
      <c r="H128" s="1">
        <v>41364</v>
      </c>
      <c r="I128" t="str">
        <f>"PCD00588"</f>
        <v>PCD00588</v>
      </c>
      <c r="J128" t="str">
        <f>"188363"</f>
        <v>188363</v>
      </c>
      <c r="K128" t="str">
        <f t="shared" si="29"/>
        <v>AS89</v>
      </c>
      <c r="L128" t="s">
        <v>2119</v>
      </c>
      <c r="M128">
        <v>114.95</v>
      </c>
    </row>
    <row r="129" spans="1:13" x14ac:dyDescent="0.25">
      <c r="A129" t="str">
        <f t="shared" si="25"/>
        <v>E111</v>
      </c>
      <c r="B129">
        <v>1</v>
      </c>
      <c r="C129" t="str">
        <f t="shared" si="30"/>
        <v>43003</v>
      </c>
      <c r="D129" t="str">
        <f t="shared" si="21"/>
        <v>5740</v>
      </c>
      <c r="E129" t="str">
        <f t="shared" si="31"/>
        <v>850LOS</v>
      </c>
      <c r="F129" t="str">
        <f>""</f>
        <v/>
      </c>
      <c r="G129" t="str">
        <f>""</f>
        <v/>
      </c>
      <c r="H129" s="1">
        <v>41364</v>
      </c>
      <c r="I129" t="str">
        <f>"PCD00588"</f>
        <v>PCD00588</v>
      </c>
      <c r="J129" t="str">
        <f>"189242"</f>
        <v>189242</v>
      </c>
      <c r="K129" t="str">
        <f t="shared" si="29"/>
        <v>AS89</v>
      </c>
      <c r="L129" t="s">
        <v>2118</v>
      </c>
      <c r="M129">
        <v>330.72</v>
      </c>
    </row>
    <row r="130" spans="1:13" x14ac:dyDescent="0.25">
      <c r="A130" t="str">
        <f t="shared" si="25"/>
        <v>E111</v>
      </c>
      <c r="B130">
        <v>1</v>
      </c>
      <c r="C130" t="str">
        <f t="shared" si="30"/>
        <v>43003</v>
      </c>
      <c r="D130" t="str">
        <f t="shared" si="21"/>
        <v>5740</v>
      </c>
      <c r="E130" t="str">
        <f t="shared" si="31"/>
        <v>850LOS</v>
      </c>
      <c r="F130" t="str">
        <f>""</f>
        <v/>
      </c>
      <c r="G130" t="str">
        <f>""</f>
        <v/>
      </c>
      <c r="H130" s="1">
        <v>41394</v>
      </c>
      <c r="I130" t="str">
        <f>"PCD00594"</f>
        <v>PCD00594</v>
      </c>
      <c r="J130" t="str">
        <f>"190357"</f>
        <v>190357</v>
      </c>
      <c r="K130" t="str">
        <f t="shared" si="29"/>
        <v>AS89</v>
      </c>
      <c r="L130" t="s">
        <v>2117</v>
      </c>
      <c r="M130">
        <v>433.56</v>
      </c>
    </row>
    <row r="131" spans="1:13" x14ac:dyDescent="0.25">
      <c r="A131" t="str">
        <f t="shared" si="25"/>
        <v>E111</v>
      </c>
      <c r="B131">
        <v>1</v>
      </c>
      <c r="C131" t="str">
        <f t="shared" si="30"/>
        <v>43003</v>
      </c>
      <c r="D131" t="str">
        <f t="shared" si="21"/>
        <v>5740</v>
      </c>
      <c r="E131" t="str">
        <f t="shared" si="31"/>
        <v>850LOS</v>
      </c>
      <c r="F131" t="str">
        <f>""</f>
        <v/>
      </c>
      <c r="G131" t="str">
        <f>""</f>
        <v/>
      </c>
      <c r="H131" s="1">
        <v>41394</v>
      </c>
      <c r="I131" t="str">
        <f>"PCD00594"</f>
        <v>PCD00594</v>
      </c>
      <c r="J131" t="str">
        <f>"190851"</f>
        <v>190851</v>
      </c>
      <c r="K131" t="str">
        <f t="shared" si="29"/>
        <v>AS89</v>
      </c>
      <c r="L131" t="s">
        <v>2116</v>
      </c>
      <c r="M131">
        <v>380.45</v>
      </c>
    </row>
    <row r="132" spans="1:13" x14ac:dyDescent="0.25">
      <c r="A132" t="str">
        <f t="shared" si="25"/>
        <v>E111</v>
      </c>
      <c r="B132">
        <v>1</v>
      </c>
      <c r="C132" t="str">
        <f t="shared" si="30"/>
        <v>43003</v>
      </c>
      <c r="D132" t="str">
        <f t="shared" si="21"/>
        <v>5740</v>
      </c>
      <c r="E132" t="str">
        <f t="shared" si="31"/>
        <v>850LOS</v>
      </c>
      <c r="F132" t="str">
        <f>""</f>
        <v/>
      </c>
      <c r="G132" t="str">
        <f>""</f>
        <v/>
      </c>
      <c r="H132" s="1">
        <v>41425</v>
      </c>
      <c r="I132" t="str">
        <f>"PCD00599"</f>
        <v>PCD00599</v>
      </c>
      <c r="J132" t="str">
        <f>"193861"</f>
        <v>193861</v>
      </c>
      <c r="K132" t="str">
        <f t="shared" si="29"/>
        <v>AS89</v>
      </c>
      <c r="L132" t="s">
        <v>2115</v>
      </c>
      <c r="M132" s="2">
        <v>1053.77</v>
      </c>
    </row>
    <row r="133" spans="1:13" x14ac:dyDescent="0.25">
      <c r="A133" t="str">
        <f t="shared" si="25"/>
        <v>E111</v>
      </c>
      <c r="B133">
        <v>1</v>
      </c>
      <c r="C133" t="str">
        <f t="shared" si="30"/>
        <v>43003</v>
      </c>
      <c r="D133" t="str">
        <f t="shared" si="21"/>
        <v>5740</v>
      </c>
      <c r="E133" t="str">
        <f t="shared" si="31"/>
        <v>850LOS</v>
      </c>
      <c r="F133" t="str">
        <f>""</f>
        <v/>
      </c>
      <c r="G133" t="str">
        <f>""</f>
        <v/>
      </c>
      <c r="H133" s="1">
        <v>41446</v>
      </c>
      <c r="I133" t="str">
        <f>"J0004748"</f>
        <v>J0004748</v>
      </c>
      <c r="J133" t="str">
        <f>""</f>
        <v/>
      </c>
      <c r="K133" t="str">
        <f>"J096"</f>
        <v>J096</v>
      </c>
      <c r="L133" t="s">
        <v>2114</v>
      </c>
      <c r="M133">
        <v>612.34</v>
      </c>
    </row>
    <row r="134" spans="1:13" x14ac:dyDescent="0.25">
      <c r="A134" t="str">
        <f>"E114"</f>
        <v>E114</v>
      </c>
      <c r="B134">
        <v>1</v>
      </c>
      <c r="C134" t="str">
        <f>"23275"</f>
        <v>23275</v>
      </c>
      <c r="D134" t="str">
        <f>"5741"</f>
        <v>5741</v>
      </c>
      <c r="E134" t="str">
        <f>"063STF"</f>
        <v>063STF</v>
      </c>
      <c r="F134" t="str">
        <f>""</f>
        <v/>
      </c>
      <c r="G134" t="str">
        <f>""</f>
        <v/>
      </c>
      <c r="H134" s="1">
        <v>41158</v>
      </c>
      <c r="I134" t="str">
        <f>"PCD00553"</f>
        <v>PCD00553</v>
      </c>
      <c r="J134" t="str">
        <f>"174209"</f>
        <v>174209</v>
      </c>
      <c r="K134" t="str">
        <f>"AS89"</f>
        <v>AS89</v>
      </c>
      <c r="L134" t="s">
        <v>2113</v>
      </c>
      <c r="M134">
        <v>111.42</v>
      </c>
    </row>
    <row r="135" spans="1:13" x14ac:dyDescent="0.25">
      <c r="A135" t="str">
        <f>"E120"</f>
        <v>E120</v>
      </c>
      <c r="B135">
        <v>1</v>
      </c>
      <c r="C135" t="str">
        <f t="shared" ref="C135:C142" si="32">"43000"</f>
        <v>43000</v>
      </c>
      <c r="D135" t="str">
        <f t="shared" ref="D135:D142" si="33">"5740"</f>
        <v>5740</v>
      </c>
      <c r="E135" t="str">
        <f t="shared" ref="E135:E142" si="34">"850LOS"</f>
        <v>850LOS</v>
      </c>
      <c r="F135" t="str">
        <f>""</f>
        <v/>
      </c>
      <c r="G135" t="str">
        <f>""</f>
        <v/>
      </c>
      <c r="H135" s="1">
        <v>41121</v>
      </c>
      <c r="I135" t="str">
        <f>"00145636"</f>
        <v>00145636</v>
      </c>
      <c r="J135" t="str">
        <f>"N138274B"</f>
        <v>N138274B</v>
      </c>
      <c r="K135" t="str">
        <f>"INEI"</f>
        <v>INEI</v>
      </c>
      <c r="L135" t="s">
        <v>1396</v>
      </c>
      <c r="M135" s="2">
        <v>8010.32</v>
      </c>
    </row>
    <row r="136" spans="1:13" x14ac:dyDescent="0.25">
      <c r="A136" t="str">
        <f>"E120"</f>
        <v>E120</v>
      </c>
      <c r="B136">
        <v>1</v>
      </c>
      <c r="C136" t="str">
        <f t="shared" si="32"/>
        <v>43000</v>
      </c>
      <c r="D136" t="str">
        <f t="shared" si="33"/>
        <v>5740</v>
      </c>
      <c r="E136" t="str">
        <f t="shared" si="34"/>
        <v>850LOS</v>
      </c>
      <c r="F136" t="str">
        <f>""</f>
        <v/>
      </c>
      <c r="G136" t="str">
        <f>""</f>
        <v/>
      </c>
      <c r="H136" s="1">
        <v>41163</v>
      </c>
      <c r="I136" t="str">
        <f>"00146161"</f>
        <v>00146161</v>
      </c>
      <c r="J136" t="str">
        <f>"N138274B"</f>
        <v>N138274B</v>
      </c>
      <c r="K136" t="str">
        <f>"INEI"</f>
        <v>INEI</v>
      </c>
      <c r="L136" t="s">
        <v>1396</v>
      </c>
      <c r="M136">
        <v>210</v>
      </c>
    </row>
    <row r="137" spans="1:13" x14ac:dyDescent="0.25">
      <c r="A137" t="str">
        <f>"E120"</f>
        <v>E120</v>
      </c>
      <c r="B137">
        <v>1</v>
      </c>
      <c r="C137" t="str">
        <f t="shared" si="32"/>
        <v>43000</v>
      </c>
      <c r="D137" t="str">
        <f t="shared" si="33"/>
        <v>5740</v>
      </c>
      <c r="E137" t="str">
        <f t="shared" si="34"/>
        <v>850LOS</v>
      </c>
      <c r="F137" t="str">
        <f>""</f>
        <v/>
      </c>
      <c r="G137" t="str">
        <f>""</f>
        <v/>
      </c>
      <c r="H137" s="1">
        <v>41401</v>
      </c>
      <c r="I137" t="str">
        <f>"00147187"</f>
        <v>00147187</v>
      </c>
      <c r="J137" t="str">
        <f>"N138274C"</f>
        <v>N138274C</v>
      </c>
      <c r="K137" t="str">
        <f>"INEI"</f>
        <v>INEI</v>
      </c>
      <c r="L137" t="s">
        <v>1396</v>
      </c>
      <c r="M137">
        <v>285.88</v>
      </c>
    </row>
    <row r="138" spans="1:13" x14ac:dyDescent="0.25">
      <c r="A138" t="str">
        <f>"E120"</f>
        <v>E120</v>
      </c>
      <c r="B138">
        <v>1</v>
      </c>
      <c r="C138" t="str">
        <f t="shared" si="32"/>
        <v>43000</v>
      </c>
      <c r="D138" t="str">
        <f t="shared" si="33"/>
        <v>5740</v>
      </c>
      <c r="E138" t="str">
        <f t="shared" si="34"/>
        <v>850LOS</v>
      </c>
      <c r="F138" t="str">
        <f>""</f>
        <v/>
      </c>
      <c r="G138" t="str">
        <f>""</f>
        <v/>
      </c>
      <c r="H138" s="1">
        <v>41401</v>
      </c>
      <c r="I138" t="str">
        <f>"00147207"</f>
        <v>00147207</v>
      </c>
      <c r="J138" t="str">
        <f>"N138274C"</f>
        <v>N138274C</v>
      </c>
      <c r="K138" t="str">
        <f>"INEI"</f>
        <v>INEI</v>
      </c>
      <c r="L138" t="s">
        <v>1396</v>
      </c>
      <c r="M138">
        <v>662.81</v>
      </c>
    </row>
    <row r="139" spans="1:13" x14ac:dyDescent="0.25">
      <c r="A139" t="str">
        <f>"E121"</f>
        <v>E121</v>
      </c>
      <c r="B139">
        <v>1</v>
      </c>
      <c r="C139" t="str">
        <f t="shared" si="32"/>
        <v>43000</v>
      </c>
      <c r="D139" t="str">
        <f t="shared" si="33"/>
        <v>5740</v>
      </c>
      <c r="E139" t="str">
        <f t="shared" si="34"/>
        <v>850LOS</v>
      </c>
      <c r="F139" t="str">
        <f>"PKOLOT"</f>
        <v>PKOLOT</v>
      </c>
      <c r="G139" t="str">
        <f>""</f>
        <v/>
      </c>
      <c r="H139" s="1">
        <v>41182</v>
      </c>
      <c r="I139" t="str">
        <f>"PCD00558"</f>
        <v>PCD00558</v>
      </c>
      <c r="J139" t="str">
        <f>"176443"</f>
        <v>176443</v>
      </c>
      <c r="K139" t="str">
        <f>"AS89"</f>
        <v>AS89</v>
      </c>
      <c r="L139" t="s">
        <v>2112</v>
      </c>
      <c r="M139">
        <v>130.44</v>
      </c>
    </row>
    <row r="140" spans="1:13" x14ac:dyDescent="0.25">
      <c r="A140" t="str">
        <f>"E121"</f>
        <v>E121</v>
      </c>
      <c r="B140">
        <v>1</v>
      </c>
      <c r="C140" t="str">
        <f t="shared" si="32"/>
        <v>43000</v>
      </c>
      <c r="D140" t="str">
        <f t="shared" si="33"/>
        <v>5740</v>
      </c>
      <c r="E140" t="str">
        <f t="shared" si="34"/>
        <v>850LOS</v>
      </c>
      <c r="F140" t="str">
        <f>""</f>
        <v/>
      </c>
      <c r="G140" t="str">
        <f>""</f>
        <v/>
      </c>
      <c r="H140" s="1">
        <v>41244</v>
      </c>
      <c r="I140" t="str">
        <f>"WCS69687"</f>
        <v>WCS69687</v>
      </c>
      <c r="J140" t="str">
        <f>"N113857D"</f>
        <v>N113857D</v>
      </c>
      <c r="K140" t="str">
        <f>"INEI"</f>
        <v>INEI</v>
      </c>
      <c r="L140" t="s">
        <v>1610</v>
      </c>
      <c r="M140" s="2">
        <v>1421.15</v>
      </c>
    </row>
    <row r="141" spans="1:13" x14ac:dyDescent="0.25">
      <c r="A141" t="str">
        <f>"E121"</f>
        <v>E121</v>
      </c>
      <c r="B141">
        <v>1</v>
      </c>
      <c r="C141" t="str">
        <f t="shared" si="32"/>
        <v>43000</v>
      </c>
      <c r="D141" t="str">
        <f t="shared" si="33"/>
        <v>5740</v>
      </c>
      <c r="E141" t="str">
        <f t="shared" si="34"/>
        <v>850LOS</v>
      </c>
      <c r="F141" t="str">
        <f>""</f>
        <v/>
      </c>
      <c r="G141" t="str">
        <f>""</f>
        <v/>
      </c>
      <c r="H141" s="1">
        <v>41274</v>
      </c>
      <c r="I141" t="str">
        <f>"PCD00575"</f>
        <v>PCD00575</v>
      </c>
      <c r="J141" t="str">
        <f>"182958"</f>
        <v>182958</v>
      </c>
      <c r="K141" t="str">
        <f>"AS89"</f>
        <v>AS89</v>
      </c>
      <c r="L141" t="s">
        <v>2111</v>
      </c>
      <c r="M141">
        <v>446</v>
      </c>
    </row>
    <row r="142" spans="1:13" x14ac:dyDescent="0.25">
      <c r="A142" t="str">
        <f>"E121"</f>
        <v>E121</v>
      </c>
      <c r="B142">
        <v>1</v>
      </c>
      <c r="C142" t="str">
        <f t="shared" si="32"/>
        <v>43000</v>
      </c>
      <c r="D142" t="str">
        <f t="shared" si="33"/>
        <v>5740</v>
      </c>
      <c r="E142" t="str">
        <f t="shared" si="34"/>
        <v>850LOS</v>
      </c>
      <c r="F142" t="str">
        <f>""</f>
        <v/>
      </c>
      <c r="G142" t="str">
        <f>""</f>
        <v/>
      </c>
      <c r="H142" s="1">
        <v>41425</v>
      </c>
      <c r="I142" t="str">
        <f>"PCD00599"</f>
        <v>PCD00599</v>
      </c>
      <c r="J142" t="str">
        <f>"193209"</f>
        <v>193209</v>
      </c>
      <c r="K142" t="str">
        <f>"AS89"</f>
        <v>AS89</v>
      </c>
      <c r="L142" t="s">
        <v>2110</v>
      </c>
      <c r="M142">
        <v>109</v>
      </c>
    </row>
    <row r="143" spans="1:13" x14ac:dyDescent="0.25">
      <c r="A143" t="str">
        <f t="shared" ref="A143:A152" si="35">"E130"</f>
        <v>E130</v>
      </c>
      <c r="B143">
        <v>1</v>
      </c>
      <c r="C143" t="str">
        <f t="shared" ref="C143:C150" si="36">"10200"</f>
        <v>10200</v>
      </c>
      <c r="D143" t="str">
        <f t="shared" ref="D143:D150" si="37">"5620"</f>
        <v>5620</v>
      </c>
      <c r="E143" t="str">
        <f t="shared" ref="E143:E150" si="38">"094OMS"</f>
        <v>094OMS</v>
      </c>
      <c r="F143" t="str">
        <f>""</f>
        <v/>
      </c>
      <c r="G143" t="str">
        <f>""</f>
        <v/>
      </c>
      <c r="H143" s="1">
        <v>41183</v>
      </c>
      <c r="I143" t="str">
        <f>"00048564"</f>
        <v>00048564</v>
      </c>
      <c r="J143" t="str">
        <f>"N171000T"</f>
        <v>N171000T</v>
      </c>
      <c r="K143" t="str">
        <f>"INEI"</f>
        <v>INEI</v>
      </c>
      <c r="L143" t="s">
        <v>78</v>
      </c>
      <c r="M143" s="2">
        <v>1065</v>
      </c>
    </row>
    <row r="144" spans="1:13" x14ac:dyDescent="0.25">
      <c r="A144" t="str">
        <f t="shared" si="35"/>
        <v>E130</v>
      </c>
      <c r="B144">
        <v>1</v>
      </c>
      <c r="C144" t="str">
        <f t="shared" si="36"/>
        <v>10200</v>
      </c>
      <c r="D144" t="str">
        <f t="shared" si="37"/>
        <v>5620</v>
      </c>
      <c r="E144" t="str">
        <f t="shared" si="38"/>
        <v>094OMS</v>
      </c>
      <c r="F144" t="str">
        <f>""</f>
        <v/>
      </c>
      <c r="G144" t="str">
        <f>""</f>
        <v/>
      </c>
      <c r="H144" s="1">
        <v>41282</v>
      </c>
      <c r="I144" t="str">
        <f>"00049378"</f>
        <v>00049378</v>
      </c>
      <c r="J144" t="str">
        <f>"N171000T"</f>
        <v>N171000T</v>
      </c>
      <c r="K144" t="str">
        <f>"INEI"</f>
        <v>INEI</v>
      </c>
      <c r="L144" t="s">
        <v>78</v>
      </c>
      <c r="M144" s="2">
        <v>1065</v>
      </c>
    </row>
    <row r="145" spans="1:13" x14ac:dyDescent="0.25">
      <c r="A145" t="str">
        <f t="shared" si="35"/>
        <v>E130</v>
      </c>
      <c r="B145">
        <v>1</v>
      </c>
      <c r="C145" t="str">
        <f t="shared" si="36"/>
        <v>10200</v>
      </c>
      <c r="D145" t="str">
        <f t="shared" si="37"/>
        <v>5620</v>
      </c>
      <c r="E145" t="str">
        <f t="shared" si="38"/>
        <v>094OMS</v>
      </c>
      <c r="F145" t="str">
        <f>""</f>
        <v/>
      </c>
      <c r="G145" t="str">
        <f>""</f>
        <v/>
      </c>
      <c r="H145" s="1">
        <v>41305</v>
      </c>
      <c r="I145" t="str">
        <f>"PCD00580"</f>
        <v>PCD00580</v>
      </c>
      <c r="J145" t="str">
        <f>"183652"</f>
        <v>183652</v>
      </c>
      <c r="K145" t="str">
        <f>"AS89"</f>
        <v>AS89</v>
      </c>
      <c r="L145" t="s">
        <v>2109</v>
      </c>
      <c r="M145">
        <v>122.87</v>
      </c>
    </row>
    <row r="146" spans="1:13" x14ac:dyDescent="0.25">
      <c r="A146" t="str">
        <f t="shared" si="35"/>
        <v>E130</v>
      </c>
      <c r="B146">
        <v>1</v>
      </c>
      <c r="C146" t="str">
        <f t="shared" si="36"/>
        <v>10200</v>
      </c>
      <c r="D146" t="str">
        <f t="shared" si="37"/>
        <v>5620</v>
      </c>
      <c r="E146" t="str">
        <f t="shared" si="38"/>
        <v>094OMS</v>
      </c>
      <c r="F146" t="str">
        <f>""</f>
        <v/>
      </c>
      <c r="G146" t="str">
        <f>""</f>
        <v/>
      </c>
      <c r="H146" s="1">
        <v>41305</v>
      </c>
      <c r="I146" t="str">
        <f>"PCD00580"</f>
        <v>PCD00580</v>
      </c>
      <c r="J146" t="str">
        <f>"184566"</f>
        <v>184566</v>
      </c>
      <c r="K146" t="str">
        <f>"AS89"</f>
        <v>AS89</v>
      </c>
      <c r="L146" t="s">
        <v>2108</v>
      </c>
      <c r="M146">
        <v>369.58</v>
      </c>
    </row>
    <row r="147" spans="1:13" x14ac:dyDescent="0.25">
      <c r="A147" t="str">
        <f t="shared" si="35"/>
        <v>E130</v>
      </c>
      <c r="B147">
        <v>1</v>
      </c>
      <c r="C147" t="str">
        <f t="shared" si="36"/>
        <v>10200</v>
      </c>
      <c r="D147" t="str">
        <f t="shared" si="37"/>
        <v>5620</v>
      </c>
      <c r="E147" t="str">
        <f t="shared" si="38"/>
        <v>094OMS</v>
      </c>
      <c r="F147" t="str">
        <f>""</f>
        <v/>
      </c>
      <c r="G147" t="str">
        <f>""</f>
        <v/>
      </c>
      <c r="H147" s="1">
        <v>41373</v>
      </c>
      <c r="I147" t="str">
        <f>"00050103"</f>
        <v>00050103</v>
      </c>
      <c r="J147" t="str">
        <f>"N171000T"</f>
        <v>N171000T</v>
      </c>
      <c r="K147" t="str">
        <f>"INEI"</f>
        <v>INEI</v>
      </c>
      <c r="L147" t="s">
        <v>78</v>
      </c>
      <c r="M147" s="2">
        <v>1065</v>
      </c>
    </row>
    <row r="148" spans="1:13" x14ac:dyDescent="0.25">
      <c r="A148" t="str">
        <f t="shared" si="35"/>
        <v>E130</v>
      </c>
      <c r="B148">
        <v>1</v>
      </c>
      <c r="C148" t="str">
        <f t="shared" si="36"/>
        <v>10200</v>
      </c>
      <c r="D148" t="str">
        <f t="shared" si="37"/>
        <v>5620</v>
      </c>
      <c r="E148" t="str">
        <f t="shared" si="38"/>
        <v>094OMS</v>
      </c>
      <c r="F148" t="str">
        <f>""</f>
        <v/>
      </c>
      <c r="G148" t="str">
        <f>""</f>
        <v/>
      </c>
      <c r="H148" s="1">
        <v>41436</v>
      </c>
      <c r="I148" t="str">
        <f>"13007974"</f>
        <v>13007974</v>
      </c>
      <c r="J148" t="str">
        <f>"N171000T"</f>
        <v>N171000T</v>
      </c>
      <c r="K148" t="str">
        <f>"INEI"</f>
        <v>INEI</v>
      </c>
      <c r="L148" t="s">
        <v>78</v>
      </c>
      <c r="M148" s="2">
        <v>1590</v>
      </c>
    </row>
    <row r="149" spans="1:13" x14ac:dyDescent="0.25">
      <c r="A149" t="str">
        <f t="shared" si="35"/>
        <v>E130</v>
      </c>
      <c r="B149">
        <v>1</v>
      </c>
      <c r="C149" t="str">
        <f t="shared" si="36"/>
        <v>10200</v>
      </c>
      <c r="D149" t="str">
        <f t="shared" si="37"/>
        <v>5620</v>
      </c>
      <c r="E149" t="str">
        <f t="shared" si="38"/>
        <v>094OMS</v>
      </c>
      <c r="F149" t="str">
        <f>""</f>
        <v/>
      </c>
      <c r="G149" t="str">
        <f>""</f>
        <v/>
      </c>
      <c r="H149" s="1">
        <v>41451</v>
      </c>
      <c r="I149" t="str">
        <f>"00050797"</f>
        <v>00050797</v>
      </c>
      <c r="J149" t="str">
        <f>"N171000T"</f>
        <v>N171000T</v>
      </c>
      <c r="K149" t="str">
        <f>"INEI"</f>
        <v>INEI</v>
      </c>
      <c r="L149" t="s">
        <v>78</v>
      </c>
      <c r="M149" s="2">
        <v>1065</v>
      </c>
    </row>
    <row r="150" spans="1:13" x14ac:dyDescent="0.25">
      <c r="A150" t="str">
        <f t="shared" si="35"/>
        <v>E130</v>
      </c>
      <c r="B150">
        <v>1</v>
      </c>
      <c r="C150" t="str">
        <f t="shared" si="36"/>
        <v>10200</v>
      </c>
      <c r="D150" t="str">
        <f t="shared" si="37"/>
        <v>5620</v>
      </c>
      <c r="E150" t="str">
        <f t="shared" si="38"/>
        <v>094OMS</v>
      </c>
      <c r="F150" t="str">
        <f>""</f>
        <v/>
      </c>
      <c r="G150" t="str">
        <f>""</f>
        <v/>
      </c>
      <c r="H150" s="1">
        <v>41451</v>
      </c>
      <c r="I150" t="str">
        <f>"13008853"</f>
        <v>13008853</v>
      </c>
      <c r="J150" t="str">
        <f>"N171000T"</f>
        <v>N171000T</v>
      </c>
      <c r="K150" t="str">
        <f>"INEI"</f>
        <v>INEI</v>
      </c>
      <c r="L150" t="s">
        <v>78</v>
      </c>
      <c r="M150">
        <v>110</v>
      </c>
    </row>
    <row r="151" spans="1:13" x14ac:dyDescent="0.25">
      <c r="A151" t="str">
        <f t="shared" si="35"/>
        <v>E130</v>
      </c>
      <c r="B151">
        <v>1</v>
      </c>
      <c r="C151" t="str">
        <f>"43000"</f>
        <v>43000</v>
      </c>
      <c r="D151" t="str">
        <f>"5740"</f>
        <v>5740</v>
      </c>
      <c r="E151" t="str">
        <f>"850LOS"</f>
        <v>850LOS</v>
      </c>
      <c r="F151" t="str">
        <f>""</f>
        <v/>
      </c>
      <c r="G151" t="str">
        <f>""</f>
        <v/>
      </c>
      <c r="H151" s="1">
        <v>41305</v>
      </c>
      <c r="I151" t="str">
        <f>"PCD00580"</f>
        <v>PCD00580</v>
      </c>
      <c r="J151" t="str">
        <f>"183486"</f>
        <v>183486</v>
      </c>
      <c r="K151" t="str">
        <f>"AS89"</f>
        <v>AS89</v>
      </c>
      <c r="L151" t="s">
        <v>2107</v>
      </c>
      <c r="M151">
        <v>191.05</v>
      </c>
    </row>
    <row r="152" spans="1:13" x14ac:dyDescent="0.25">
      <c r="A152" t="str">
        <f t="shared" si="35"/>
        <v>E130</v>
      </c>
      <c r="B152">
        <v>1</v>
      </c>
      <c r="C152" t="str">
        <f>"43000"</f>
        <v>43000</v>
      </c>
      <c r="D152" t="str">
        <f>"5740"</f>
        <v>5740</v>
      </c>
      <c r="E152" t="str">
        <f>"850LOS"</f>
        <v>850LOS</v>
      </c>
      <c r="F152" t="str">
        <f>""</f>
        <v/>
      </c>
      <c r="G152" t="str">
        <f>""</f>
        <v/>
      </c>
      <c r="H152" s="1">
        <v>41305</v>
      </c>
      <c r="I152" t="str">
        <f>"PCD00580"</f>
        <v>PCD00580</v>
      </c>
      <c r="J152" t="str">
        <f>"183651"</f>
        <v>183651</v>
      </c>
      <c r="K152" t="str">
        <f>"AS89"</f>
        <v>AS89</v>
      </c>
      <c r="L152" t="s">
        <v>2106</v>
      </c>
      <c r="M152">
        <v>677.75</v>
      </c>
    </row>
    <row r="153" spans="1:13" x14ac:dyDescent="0.25">
      <c r="A153" t="str">
        <f t="shared" ref="A153:A184" si="39">"E131"</f>
        <v>E131</v>
      </c>
      <c r="B153">
        <v>1</v>
      </c>
      <c r="C153" t="str">
        <f t="shared" ref="C153:C173" si="40">"10200"</f>
        <v>10200</v>
      </c>
      <c r="D153" t="str">
        <f t="shared" ref="D153:D173" si="41">"5620"</f>
        <v>5620</v>
      </c>
      <c r="E153" t="str">
        <f t="shared" ref="E153:E173" si="42">"094OMS"</f>
        <v>094OMS</v>
      </c>
      <c r="F153" t="str">
        <f>""</f>
        <v/>
      </c>
      <c r="G153" t="str">
        <f>""</f>
        <v/>
      </c>
      <c r="H153" s="1">
        <v>41103</v>
      </c>
      <c r="I153" t="str">
        <f>"ACG02185"</f>
        <v>ACG02185</v>
      </c>
      <c r="J153" t="str">
        <f>"94856552"</f>
        <v>94856552</v>
      </c>
      <c r="K153" t="str">
        <f>"AS89"</f>
        <v>AS89</v>
      </c>
      <c r="L153" t="s">
        <v>2011</v>
      </c>
      <c r="M153">
        <v>133.37</v>
      </c>
    </row>
    <row r="154" spans="1:13" x14ac:dyDescent="0.25">
      <c r="A154" t="str">
        <f t="shared" si="39"/>
        <v>E131</v>
      </c>
      <c r="B154">
        <v>1</v>
      </c>
      <c r="C154" t="str">
        <f t="shared" si="40"/>
        <v>10200</v>
      </c>
      <c r="D154" t="str">
        <f t="shared" si="41"/>
        <v>5620</v>
      </c>
      <c r="E154" t="str">
        <f t="shared" si="42"/>
        <v>094OMS</v>
      </c>
      <c r="F154" t="str">
        <f>""</f>
        <v/>
      </c>
      <c r="G154" t="str">
        <f>""</f>
        <v/>
      </c>
      <c r="H154" s="1">
        <v>41129</v>
      </c>
      <c r="I154" t="str">
        <f>"03728261"</f>
        <v>03728261</v>
      </c>
      <c r="J154" t="str">
        <f>"N138254C"</f>
        <v>N138254C</v>
      </c>
      <c r="K154" t="str">
        <f>"INEI"</f>
        <v>INEI</v>
      </c>
      <c r="L154" t="s">
        <v>1382</v>
      </c>
      <c r="M154">
        <v>122.19</v>
      </c>
    </row>
    <row r="155" spans="1:13" x14ac:dyDescent="0.25">
      <c r="A155" t="str">
        <f t="shared" si="39"/>
        <v>E131</v>
      </c>
      <c r="B155">
        <v>1</v>
      </c>
      <c r="C155" t="str">
        <f t="shared" si="40"/>
        <v>10200</v>
      </c>
      <c r="D155" t="str">
        <f t="shared" si="41"/>
        <v>5620</v>
      </c>
      <c r="E155" t="str">
        <f t="shared" si="42"/>
        <v>094OMS</v>
      </c>
      <c r="F155" t="str">
        <f>""</f>
        <v/>
      </c>
      <c r="G155" t="str">
        <f>""</f>
        <v/>
      </c>
      <c r="H155" s="1">
        <v>41134</v>
      </c>
      <c r="I155" t="str">
        <f>"TEL00616"</f>
        <v>TEL00616</v>
      </c>
      <c r="J155" t="str">
        <f>""</f>
        <v/>
      </c>
      <c r="K155" t="str">
        <f>"AS89"</f>
        <v>AS89</v>
      </c>
      <c r="L155" t="s">
        <v>2105</v>
      </c>
      <c r="M155">
        <v>103.09</v>
      </c>
    </row>
    <row r="156" spans="1:13" x14ac:dyDescent="0.25">
      <c r="A156" t="str">
        <f t="shared" si="39"/>
        <v>E131</v>
      </c>
      <c r="B156">
        <v>1</v>
      </c>
      <c r="C156" t="str">
        <f t="shared" si="40"/>
        <v>10200</v>
      </c>
      <c r="D156" t="str">
        <f t="shared" si="41"/>
        <v>5620</v>
      </c>
      <c r="E156" t="str">
        <f t="shared" si="42"/>
        <v>094OMS</v>
      </c>
      <c r="F156" t="str">
        <f>""</f>
        <v/>
      </c>
      <c r="G156" t="str">
        <f>""</f>
        <v/>
      </c>
      <c r="H156" s="1">
        <v>41156</v>
      </c>
      <c r="I156" t="str">
        <f>"12605362"</f>
        <v>12605362</v>
      </c>
      <c r="J156" t="str">
        <f>"N138254C"</f>
        <v>N138254C</v>
      </c>
      <c r="K156" t="str">
        <f>"INEI"</f>
        <v>INEI</v>
      </c>
      <c r="L156" t="s">
        <v>1382</v>
      </c>
      <c r="M156">
        <v>122.27</v>
      </c>
    </row>
    <row r="157" spans="1:13" x14ac:dyDescent="0.25">
      <c r="A157" t="str">
        <f t="shared" si="39"/>
        <v>E131</v>
      </c>
      <c r="B157">
        <v>1</v>
      </c>
      <c r="C157" t="str">
        <f t="shared" si="40"/>
        <v>10200</v>
      </c>
      <c r="D157" t="str">
        <f t="shared" si="41"/>
        <v>5620</v>
      </c>
      <c r="E157" t="str">
        <f t="shared" si="42"/>
        <v>094OMS</v>
      </c>
      <c r="F157" t="str">
        <f>""</f>
        <v/>
      </c>
      <c r="G157" t="str">
        <f>""</f>
        <v/>
      </c>
      <c r="H157" s="1">
        <v>41190</v>
      </c>
      <c r="I157" t="str">
        <f>"21453587"</f>
        <v>21453587</v>
      </c>
      <c r="J157" t="str">
        <f>"N138254C"</f>
        <v>N138254C</v>
      </c>
      <c r="K157" t="str">
        <f>"INEI"</f>
        <v>INEI</v>
      </c>
      <c r="L157" t="s">
        <v>1382</v>
      </c>
      <c r="M157">
        <v>122.21</v>
      </c>
    </row>
    <row r="158" spans="1:13" x14ac:dyDescent="0.25">
      <c r="A158" t="str">
        <f t="shared" si="39"/>
        <v>E131</v>
      </c>
      <c r="B158">
        <v>1</v>
      </c>
      <c r="C158" t="str">
        <f t="shared" si="40"/>
        <v>10200</v>
      </c>
      <c r="D158" t="str">
        <f t="shared" si="41"/>
        <v>5620</v>
      </c>
      <c r="E158" t="str">
        <f t="shared" si="42"/>
        <v>094OMS</v>
      </c>
      <c r="F158" t="str">
        <f>""</f>
        <v/>
      </c>
      <c r="G158" t="str">
        <f>""</f>
        <v/>
      </c>
      <c r="H158" s="1">
        <v>41220</v>
      </c>
      <c r="I158" t="str">
        <f>"30389467"</f>
        <v>30389467</v>
      </c>
      <c r="J158" t="str">
        <f>"N138254C"</f>
        <v>N138254C</v>
      </c>
      <c r="K158" t="str">
        <f>"INEI"</f>
        <v>INEI</v>
      </c>
      <c r="L158" t="s">
        <v>1382</v>
      </c>
      <c r="M158">
        <v>122.66</v>
      </c>
    </row>
    <row r="159" spans="1:13" x14ac:dyDescent="0.25">
      <c r="A159" t="str">
        <f t="shared" si="39"/>
        <v>E131</v>
      </c>
      <c r="B159">
        <v>1</v>
      </c>
      <c r="C159" t="str">
        <f t="shared" si="40"/>
        <v>10200</v>
      </c>
      <c r="D159" t="str">
        <f t="shared" si="41"/>
        <v>5620</v>
      </c>
      <c r="E159" t="str">
        <f t="shared" si="42"/>
        <v>094OMS</v>
      </c>
      <c r="F159" t="str">
        <f>""</f>
        <v/>
      </c>
      <c r="G159" t="str">
        <f>""</f>
        <v/>
      </c>
      <c r="H159" s="1">
        <v>41222</v>
      </c>
      <c r="I159" t="str">
        <f>"TEL00619"</f>
        <v>TEL00619</v>
      </c>
      <c r="J159" t="str">
        <f>""</f>
        <v/>
      </c>
      <c r="K159" t="str">
        <f>"AS89"</f>
        <v>AS89</v>
      </c>
      <c r="L159" t="s">
        <v>2102</v>
      </c>
      <c r="M159">
        <v>118.68</v>
      </c>
    </row>
    <row r="160" spans="1:13" x14ac:dyDescent="0.25">
      <c r="A160" t="str">
        <f t="shared" si="39"/>
        <v>E131</v>
      </c>
      <c r="B160">
        <v>1</v>
      </c>
      <c r="C160" t="str">
        <f t="shared" si="40"/>
        <v>10200</v>
      </c>
      <c r="D160" t="str">
        <f t="shared" si="41"/>
        <v>5620</v>
      </c>
      <c r="E160" t="str">
        <f t="shared" si="42"/>
        <v>094OMS</v>
      </c>
      <c r="F160" t="str">
        <f>""</f>
        <v/>
      </c>
      <c r="G160" t="str">
        <f>""</f>
        <v/>
      </c>
      <c r="H160" s="1">
        <v>41253</v>
      </c>
      <c r="I160" t="str">
        <f>"39353334"</f>
        <v>39353334</v>
      </c>
      <c r="J160" t="str">
        <f>"N138254C"</f>
        <v>N138254C</v>
      </c>
      <c r="K160" t="str">
        <f>"INEI"</f>
        <v>INEI</v>
      </c>
      <c r="L160" t="s">
        <v>1382</v>
      </c>
      <c r="M160">
        <v>122.68</v>
      </c>
    </row>
    <row r="161" spans="1:13" x14ac:dyDescent="0.25">
      <c r="A161" t="str">
        <f t="shared" si="39"/>
        <v>E131</v>
      </c>
      <c r="B161">
        <v>1</v>
      </c>
      <c r="C161" t="str">
        <f t="shared" si="40"/>
        <v>10200</v>
      </c>
      <c r="D161" t="str">
        <f t="shared" si="41"/>
        <v>5620</v>
      </c>
      <c r="E161" t="str">
        <f t="shared" si="42"/>
        <v>094OMS</v>
      </c>
      <c r="F161" t="str">
        <f>""</f>
        <v/>
      </c>
      <c r="G161" t="str">
        <f>""</f>
        <v/>
      </c>
      <c r="H161" s="1">
        <v>41282</v>
      </c>
      <c r="I161" t="str">
        <f>"48336616"</f>
        <v>48336616</v>
      </c>
      <c r="J161" t="str">
        <f>"N138254C"</f>
        <v>N138254C</v>
      </c>
      <c r="K161" t="str">
        <f>"INEI"</f>
        <v>INEI</v>
      </c>
      <c r="L161" t="s">
        <v>1382</v>
      </c>
      <c r="M161">
        <v>115.46</v>
      </c>
    </row>
    <row r="162" spans="1:13" x14ac:dyDescent="0.25">
      <c r="A162" t="str">
        <f t="shared" si="39"/>
        <v>E131</v>
      </c>
      <c r="B162">
        <v>1</v>
      </c>
      <c r="C162" t="str">
        <f t="shared" si="40"/>
        <v>10200</v>
      </c>
      <c r="D162" t="str">
        <f t="shared" si="41"/>
        <v>5620</v>
      </c>
      <c r="E162" t="str">
        <f t="shared" si="42"/>
        <v>094OMS</v>
      </c>
      <c r="F162" t="str">
        <f>""</f>
        <v/>
      </c>
      <c r="G162" t="str">
        <f>""</f>
        <v/>
      </c>
      <c r="H162" s="1">
        <v>41290</v>
      </c>
      <c r="I162" t="str">
        <f>"TEL00621"</f>
        <v>TEL00621</v>
      </c>
      <c r="J162" t="str">
        <f>""</f>
        <v/>
      </c>
      <c r="K162" t="str">
        <f>"AS89"</f>
        <v>AS89</v>
      </c>
      <c r="L162" t="s">
        <v>2100</v>
      </c>
      <c r="M162">
        <v>106.63</v>
      </c>
    </row>
    <row r="163" spans="1:13" x14ac:dyDescent="0.25">
      <c r="A163" t="str">
        <f t="shared" si="39"/>
        <v>E131</v>
      </c>
      <c r="B163">
        <v>1</v>
      </c>
      <c r="C163" t="str">
        <f t="shared" si="40"/>
        <v>10200</v>
      </c>
      <c r="D163" t="str">
        <f t="shared" si="41"/>
        <v>5620</v>
      </c>
      <c r="E163" t="str">
        <f t="shared" si="42"/>
        <v>094OMS</v>
      </c>
      <c r="F163" t="str">
        <f>""</f>
        <v/>
      </c>
      <c r="G163" t="str">
        <f>""</f>
        <v/>
      </c>
      <c r="H163" s="1">
        <v>41309</v>
      </c>
      <c r="I163" t="str">
        <f>"57319956"</f>
        <v>57319956</v>
      </c>
      <c r="J163" t="str">
        <f>"N138254C"</f>
        <v>N138254C</v>
      </c>
      <c r="K163" t="str">
        <f>"INEI"</f>
        <v>INEI</v>
      </c>
      <c r="L163" t="s">
        <v>1382</v>
      </c>
      <c r="M163">
        <v>115.32</v>
      </c>
    </row>
    <row r="164" spans="1:13" x14ac:dyDescent="0.25">
      <c r="A164" t="str">
        <f t="shared" si="39"/>
        <v>E131</v>
      </c>
      <c r="B164">
        <v>1</v>
      </c>
      <c r="C164" t="str">
        <f t="shared" si="40"/>
        <v>10200</v>
      </c>
      <c r="D164" t="str">
        <f t="shared" si="41"/>
        <v>5620</v>
      </c>
      <c r="E164" t="str">
        <f t="shared" si="42"/>
        <v>094OMS</v>
      </c>
      <c r="F164" t="str">
        <f>""</f>
        <v/>
      </c>
      <c r="G164" t="str">
        <f>""</f>
        <v/>
      </c>
      <c r="H164" s="1">
        <v>41316</v>
      </c>
      <c r="I164" t="str">
        <f>"TEL00622"</f>
        <v>TEL00622</v>
      </c>
      <c r="J164" t="str">
        <f>""</f>
        <v/>
      </c>
      <c r="K164" t="str">
        <f>"AS89"</f>
        <v>AS89</v>
      </c>
      <c r="L164" t="s">
        <v>2099</v>
      </c>
      <c r="M164">
        <v>148.72999999999999</v>
      </c>
    </row>
    <row r="165" spans="1:13" x14ac:dyDescent="0.25">
      <c r="A165" t="str">
        <f t="shared" si="39"/>
        <v>E131</v>
      </c>
      <c r="B165">
        <v>1</v>
      </c>
      <c r="C165" t="str">
        <f t="shared" si="40"/>
        <v>10200</v>
      </c>
      <c r="D165" t="str">
        <f t="shared" si="41"/>
        <v>5620</v>
      </c>
      <c r="E165" t="str">
        <f t="shared" si="42"/>
        <v>094OMS</v>
      </c>
      <c r="F165" t="str">
        <f>""</f>
        <v/>
      </c>
      <c r="G165" t="str">
        <f>""</f>
        <v/>
      </c>
      <c r="H165" s="1">
        <v>41340</v>
      </c>
      <c r="I165" t="str">
        <f>"66250150"</f>
        <v>66250150</v>
      </c>
      <c r="J165" t="str">
        <f>"N138254C"</f>
        <v>N138254C</v>
      </c>
      <c r="K165" t="str">
        <f>"INEI"</f>
        <v>INEI</v>
      </c>
      <c r="L165" t="s">
        <v>1382</v>
      </c>
      <c r="M165">
        <v>115.32</v>
      </c>
    </row>
    <row r="166" spans="1:13" x14ac:dyDescent="0.25">
      <c r="A166" t="str">
        <f t="shared" si="39"/>
        <v>E131</v>
      </c>
      <c r="B166">
        <v>1</v>
      </c>
      <c r="C166" t="str">
        <f t="shared" si="40"/>
        <v>10200</v>
      </c>
      <c r="D166" t="str">
        <f t="shared" si="41"/>
        <v>5620</v>
      </c>
      <c r="E166" t="str">
        <f t="shared" si="42"/>
        <v>094OMS</v>
      </c>
      <c r="F166" t="str">
        <f>""</f>
        <v/>
      </c>
      <c r="G166" t="str">
        <f>""</f>
        <v/>
      </c>
      <c r="H166" s="1">
        <v>41341</v>
      </c>
      <c r="I166" t="str">
        <f>"TEL00623"</f>
        <v>TEL00623</v>
      </c>
      <c r="J166" t="str">
        <f>""</f>
        <v/>
      </c>
      <c r="K166" t="str">
        <f>"AS89"</f>
        <v>AS89</v>
      </c>
      <c r="L166" t="s">
        <v>2098</v>
      </c>
      <c r="M166">
        <v>132.94</v>
      </c>
    </row>
    <row r="167" spans="1:13" x14ac:dyDescent="0.25">
      <c r="A167" t="str">
        <f t="shared" si="39"/>
        <v>E131</v>
      </c>
      <c r="B167">
        <v>1</v>
      </c>
      <c r="C167" t="str">
        <f t="shared" si="40"/>
        <v>10200</v>
      </c>
      <c r="D167" t="str">
        <f t="shared" si="41"/>
        <v>5620</v>
      </c>
      <c r="E167" t="str">
        <f t="shared" si="42"/>
        <v>094OMS</v>
      </c>
      <c r="F167" t="str">
        <f>""</f>
        <v/>
      </c>
      <c r="G167" t="str">
        <f>""</f>
        <v/>
      </c>
      <c r="H167" s="1">
        <v>41369</v>
      </c>
      <c r="I167" t="str">
        <f>"01881279"</f>
        <v>01881279</v>
      </c>
      <c r="J167" t="str">
        <f>"N138254C"</f>
        <v>N138254C</v>
      </c>
      <c r="K167" t="str">
        <f>"INEI"</f>
        <v>INEI</v>
      </c>
      <c r="L167" t="s">
        <v>1382</v>
      </c>
      <c r="M167">
        <v>115.38</v>
      </c>
    </row>
    <row r="168" spans="1:13" x14ac:dyDescent="0.25">
      <c r="A168" t="str">
        <f t="shared" si="39"/>
        <v>E131</v>
      </c>
      <c r="B168">
        <v>1</v>
      </c>
      <c r="C168" t="str">
        <f t="shared" si="40"/>
        <v>10200</v>
      </c>
      <c r="D168" t="str">
        <f t="shared" si="41"/>
        <v>5620</v>
      </c>
      <c r="E168" t="str">
        <f t="shared" si="42"/>
        <v>094OMS</v>
      </c>
      <c r="F168" t="str">
        <f>""</f>
        <v/>
      </c>
      <c r="G168" t="str">
        <f>""</f>
        <v/>
      </c>
      <c r="H168" s="1">
        <v>41381</v>
      </c>
      <c r="I168" t="str">
        <f>"TEL00624"</f>
        <v>TEL00624</v>
      </c>
      <c r="J168" t="str">
        <f>""</f>
        <v/>
      </c>
      <c r="K168" t="str">
        <f>"AS89"</f>
        <v>AS89</v>
      </c>
      <c r="L168" t="s">
        <v>2097</v>
      </c>
      <c r="M168">
        <v>101.91</v>
      </c>
    </row>
    <row r="169" spans="1:13" x14ac:dyDescent="0.25">
      <c r="A169" t="str">
        <f t="shared" si="39"/>
        <v>E131</v>
      </c>
      <c r="B169">
        <v>1</v>
      </c>
      <c r="C169" t="str">
        <f t="shared" si="40"/>
        <v>10200</v>
      </c>
      <c r="D169" t="str">
        <f t="shared" si="41"/>
        <v>5620</v>
      </c>
      <c r="E169" t="str">
        <f t="shared" si="42"/>
        <v>094OMS</v>
      </c>
      <c r="F169" t="str">
        <f>""</f>
        <v/>
      </c>
      <c r="G169" t="str">
        <f>""</f>
        <v/>
      </c>
      <c r="H169" s="1">
        <v>41400</v>
      </c>
      <c r="I169" t="str">
        <f>"03540569"</f>
        <v>03540569</v>
      </c>
      <c r="J169" t="str">
        <f>"N138254C"</f>
        <v>N138254C</v>
      </c>
      <c r="K169" t="str">
        <f>"INEI"</f>
        <v>INEI</v>
      </c>
      <c r="L169" t="s">
        <v>1382</v>
      </c>
      <c r="M169">
        <v>115.24</v>
      </c>
    </row>
    <row r="170" spans="1:13" x14ac:dyDescent="0.25">
      <c r="A170" t="str">
        <f t="shared" si="39"/>
        <v>E131</v>
      </c>
      <c r="B170">
        <v>1</v>
      </c>
      <c r="C170" t="str">
        <f t="shared" si="40"/>
        <v>10200</v>
      </c>
      <c r="D170" t="str">
        <f t="shared" si="41"/>
        <v>5620</v>
      </c>
      <c r="E170" t="str">
        <f t="shared" si="42"/>
        <v>094OMS</v>
      </c>
      <c r="F170" t="str">
        <f>""</f>
        <v/>
      </c>
      <c r="G170" t="str">
        <f>""</f>
        <v/>
      </c>
      <c r="H170" s="1">
        <v>41431</v>
      </c>
      <c r="I170" t="str">
        <f>"05205071"</f>
        <v>05205071</v>
      </c>
      <c r="J170" t="str">
        <f>"N138254C"</f>
        <v>N138254C</v>
      </c>
      <c r="K170" t="str">
        <f>"INEI"</f>
        <v>INEI</v>
      </c>
      <c r="L170" t="s">
        <v>1382</v>
      </c>
      <c r="M170">
        <v>115.14</v>
      </c>
    </row>
    <row r="171" spans="1:13" x14ac:dyDescent="0.25">
      <c r="A171" t="str">
        <f t="shared" si="39"/>
        <v>E131</v>
      </c>
      <c r="B171">
        <v>1</v>
      </c>
      <c r="C171" t="str">
        <f t="shared" si="40"/>
        <v>10200</v>
      </c>
      <c r="D171" t="str">
        <f t="shared" si="41"/>
        <v>5620</v>
      </c>
      <c r="E171" t="str">
        <f t="shared" si="42"/>
        <v>094OMS</v>
      </c>
      <c r="F171" t="str">
        <f>""</f>
        <v/>
      </c>
      <c r="G171" t="str">
        <f>""</f>
        <v/>
      </c>
      <c r="H171" s="1">
        <v>41437</v>
      </c>
      <c r="I171" t="str">
        <f>"TEL00626"</f>
        <v>TEL00626</v>
      </c>
      <c r="J171" t="str">
        <f>""</f>
        <v/>
      </c>
      <c r="K171" t="str">
        <f>"AS89"</f>
        <v>AS89</v>
      </c>
      <c r="L171" t="s">
        <v>2096</v>
      </c>
      <c r="M171">
        <v>248.73</v>
      </c>
    </row>
    <row r="172" spans="1:13" x14ac:dyDescent="0.25">
      <c r="A172" t="str">
        <f t="shared" si="39"/>
        <v>E131</v>
      </c>
      <c r="B172">
        <v>1</v>
      </c>
      <c r="C172" t="str">
        <f t="shared" si="40"/>
        <v>10200</v>
      </c>
      <c r="D172" t="str">
        <f t="shared" si="41"/>
        <v>5620</v>
      </c>
      <c r="E172" t="str">
        <f t="shared" si="42"/>
        <v>094OMS</v>
      </c>
      <c r="F172" t="str">
        <f>""</f>
        <v/>
      </c>
      <c r="G172" t="str">
        <f>""</f>
        <v/>
      </c>
      <c r="H172" s="1">
        <v>41455</v>
      </c>
      <c r="I172" t="str">
        <f>"06873355"</f>
        <v>06873355</v>
      </c>
      <c r="J172" t="str">
        <f>"N138254C"</f>
        <v>N138254C</v>
      </c>
      <c r="K172" t="str">
        <f>"INEI"</f>
        <v>INEI</v>
      </c>
      <c r="L172" t="s">
        <v>1382</v>
      </c>
      <c r="M172">
        <v>115.14</v>
      </c>
    </row>
    <row r="173" spans="1:13" x14ac:dyDescent="0.25">
      <c r="A173" t="str">
        <f t="shared" si="39"/>
        <v>E131</v>
      </c>
      <c r="B173">
        <v>1</v>
      </c>
      <c r="C173" t="str">
        <f t="shared" si="40"/>
        <v>10200</v>
      </c>
      <c r="D173" t="str">
        <f t="shared" si="41"/>
        <v>5620</v>
      </c>
      <c r="E173" t="str">
        <f t="shared" si="42"/>
        <v>094OMS</v>
      </c>
      <c r="F173" t="str">
        <f>""</f>
        <v/>
      </c>
      <c r="G173" t="str">
        <f>""</f>
        <v/>
      </c>
      <c r="H173" s="1">
        <v>41455</v>
      </c>
      <c r="I173" t="str">
        <f>"TEL00627"</f>
        <v>TEL00627</v>
      </c>
      <c r="J173" t="str">
        <f>""</f>
        <v/>
      </c>
      <c r="K173" t="str">
        <f t="shared" ref="K173:K210" si="43">"AS89"</f>
        <v>AS89</v>
      </c>
      <c r="L173" t="s">
        <v>2095</v>
      </c>
      <c r="M173">
        <v>103.84</v>
      </c>
    </row>
    <row r="174" spans="1:13" x14ac:dyDescent="0.25">
      <c r="A174" t="str">
        <f t="shared" si="39"/>
        <v>E131</v>
      </c>
      <c r="B174">
        <v>1</v>
      </c>
      <c r="C174" t="str">
        <f t="shared" ref="C174:C185" si="44">"23275"</f>
        <v>23275</v>
      </c>
      <c r="D174" t="str">
        <f t="shared" ref="D174:D185" si="45">"5741"</f>
        <v>5741</v>
      </c>
      <c r="E174" t="str">
        <f t="shared" ref="E174:E185" si="46">"063STF"</f>
        <v>063STF</v>
      </c>
      <c r="F174" t="str">
        <f>""</f>
        <v/>
      </c>
      <c r="G174" t="str">
        <f>""</f>
        <v/>
      </c>
      <c r="H174" s="1">
        <v>41134</v>
      </c>
      <c r="I174" t="str">
        <f>"TEL00616"</f>
        <v>TEL00616</v>
      </c>
      <c r="J174" t="str">
        <f>""</f>
        <v/>
      </c>
      <c r="K174" t="str">
        <f t="shared" si="43"/>
        <v>AS89</v>
      </c>
      <c r="L174" t="s">
        <v>2105</v>
      </c>
      <c r="M174">
        <v>139.47</v>
      </c>
    </row>
    <row r="175" spans="1:13" x14ac:dyDescent="0.25">
      <c r="A175" t="str">
        <f t="shared" si="39"/>
        <v>E131</v>
      </c>
      <c r="B175">
        <v>1</v>
      </c>
      <c r="C175" t="str">
        <f t="shared" si="44"/>
        <v>23275</v>
      </c>
      <c r="D175" t="str">
        <f t="shared" si="45"/>
        <v>5741</v>
      </c>
      <c r="E175" t="str">
        <f t="shared" si="46"/>
        <v>063STF</v>
      </c>
      <c r="F175" t="str">
        <f>""</f>
        <v/>
      </c>
      <c r="G175" t="str">
        <f>""</f>
        <v/>
      </c>
      <c r="H175" s="1">
        <v>41165</v>
      </c>
      <c r="I175" t="str">
        <f>"TEL00617"</f>
        <v>TEL00617</v>
      </c>
      <c r="J175" t="str">
        <f>""</f>
        <v/>
      </c>
      <c r="K175" t="str">
        <f t="shared" si="43"/>
        <v>AS89</v>
      </c>
      <c r="L175" t="s">
        <v>2104</v>
      </c>
      <c r="M175">
        <v>142.18</v>
      </c>
    </row>
    <row r="176" spans="1:13" x14ac:dyDescent="0.25">
      <c r="A176" t="str">
        <f t="shared" si="39"/>
        <v>E131</v>
      </c>
      <c r="B176">
        <v>1</v>
      </c>
      <c r="C176" t="str">
        <f t="shared" si="44"/>
        <v>23275</v>
      </c>
      <c r="D176" t="str">
        <f t="shared" si="45"/>
        <v>5741</v>
      </c>
      <c r="E176" t="str">
        <f t="shared" si="46"/>
        <v>063STF</v>
      </c>
      <c r="F176" t="str">
        <f>""</f>
        <v/>
      </c>
      <c r="G176" t="str">
        <f>""</f>
        <v/>
      </c>
      <c r="H176" s="1">
        <v>41186</v>
      </c>
      <c r="I176" t="str">
        <f>"TEL00618"</f>
        <v>TEL00618</v>
      </c>
      <c r="J176" t="str">
        <f>""</f>
        <v/>
      </c>
      <c r="K176" t="str">
        <f t="shared" si="43"/>
        <v>AS89</v>
      </c>
      <c r="L176" t="s">
        <v>2103</v>
      </c>
      <c r="M176">
        <v>139.51</v>
      </c>
    </row>
    <row r="177" spans="1:13" x14ac:dyDescent="0.25">
      <c r="A177" t="str">
        <f t="shared" si="39"/>
        <v>E131</v>
      </c>
      <c r="B177">
        <v>1</v>
      </c>
      <c r="C177" t="str">
        <f t="shared" si="44"/>
        <v>23275</v>
      </c>
      <c r="D177" t="str">
        <f t="shared" si="45"/>
        <v>5741</v>
      </c>
      <c r="E177" t="str">
        <f t="shared" si="46"/>
        <v>063STF</v>
      </c>
      <c r="F177" t="str">
        <f>""</f>
        <v/>
      </c>
      <c r="G177" t="str">
        <f>""</f>
        <v/>
      </c>
      <c r="H177" s="1">
        <v>41222</v>
      </c>
      <c r="I177" t="str">
        <f>"TEL00619"</f>
        <v>TEL00619</v>
      </c>
      <c r="J177" t="str">
        <f>""</f>
        <v/>
      </c>
      <c r="K177" t="str">
        <f t="shared" si="43"/>
        <v>AS89</v>
      </c>
      <c r="L177" t="s">
        <v>2102</v>
      </c>
      <c r="M177">
        <v>142.75</v>
      </c>
    </row>
    <row r="178" spans="1:13" x14ac:dyDescent="0.25">
      <c r="A178" t="str">
        <f t="shared" si="39"/>
        <v>E131</v>
      </c>
      <c r="B178">
        <v>1</v>
      </c>
      <c r="C178" t="str">
        <f t="shared" si="44"/>
        <v>23275</v>
      </c>
      <c r="D178" t="str">
        <f t="shared" si="45"/>
        <v>5741</v>
      </c>
      <c r="E178" t="str">
        <f t="shared" si="46"/>
        <v>063STF</v>
      </c>
      <c r="F178" t="str">
        <f>""</f>
        <v/>
      </c>
      <c r="G178" t="str">
        <f>""</f>
        <v/>
      </c>
      <c r="H178" s="1">
        <v>41250</v>
      </c>
      <c r="I178" t="str">
        <f>"TEL00620"</f>
        <v>TEL00620</v>
      </c>
      <c r="J178" t="str">
        <f>""</f>
        <v/>
      </c>
      <c r="K178" t="str">
        <f t="shared" si="43"/>
        <v>AS89</v>
      </c>
      <c r="L178" t="s">
        <v>2101</v>
      </c>
      <c r="M178">
        <v>138.94</v>
      </c>
    </row>
    <row r="179" spans="1:13" x14ac:dyDescent="0.25">
      <c r="A179" t="str">
        <f t="shared" si="39"/>
        <v>E131</v>
      </c>
      <c r="B179">
        <v>1</v>
      </c>
      <c r="C179" t="str">
        <f t="shared" si="44"/>
        <v>23275</v>
      </c>
      <c r="D179" t="str">
        <f t="shared" si="45"/>
        <v>5741</v>
      </c>
      <c r="E179" t="str">
        <f t="shared" si="46"/>
        <v>063STF</v>
      </c>
      <c r="F179" t="str">
        <f>""</f>
        <v/>
      </c>
      <c r="G179" t="str">
        <f>""</f>
        <v/>
      </c>
      <c r="H179" s="1">
        <v>41290</v>
      </c>
      <c r="I179" t="str">
        <f>"TEL00621"</f>
        <v>TEL00621</v>
      </c>
      <c r="J179" t="str">
        <f>""</f>
        <v/>
      </c>
      <c r="K179" t="str">
        <f t="shared" si="43"/>
        <v>AS89</v>
      </c>
      <c r="L179" t="s">
        <v>2100</v>
      </c>
      <c r="M179">
        <v>138.80000000000001</v>
      </c>
    </row>
    <row r="180" spans="1:13" x14ac:dyDescent="0.25">
      <c r="A180" t="str">
        <f t="shared" si="39"/>
        <v>E131</v>
      </c>
      <c r="B180">
        <v>1</v>
      </c>
      <c r="C180" t="str">
        <f t="shared" si="44"/>
        <v>23275</v>
      </c>
      <c r="D180" t="str">
        <f t="shared" si="45"/>
        <v>5741</v>
      </c>
      <c r="E180" t="str">
        <f t="shared" si="46"/>
        <v>063STF</v>
      </c>
      <c r="F180" t="str">
        <f>""</f>
        <v/>
      </c>
      <c r="G180" t="str">
        <f>""</f>
        <v/>
      </c>
      <c r="H180" s="1">
        <v>41316</v>
      </c>
      <c r="I180" t="str">
        <f>"TEL00622"</f>
        <v>TEL00622</v>
      </c>
      <c r="J180" t="str">
        <f>""</f>
        <v/>
      </c>
      <c r="K180" t="str">
        <f t="shared" si="43"/>
        <v>AS89</v>
      </c>
      <c r="L180" t="s">
        <v>2099</v>
      </c>
      <c r="M180">
        <v>145.63999999999999</v>
      </c>
    </row>
    <row r="181" spans="1:13" x14ac:dyDescent="0.25">
      <c r="A181" t="str">
        <f t="shared" si="39"/>
        <v>E131</v>
      </c>
      <c r="B181">
        <v>1</v>
      </c>
      <c r="C181" t="str">
        <f t="shared" si="44"/>
        <v>23275</v>
      </c>
      <c r="D181" t="str">
        <f t="shared" si="45"/>
        <v>5741</v>
      </c>
      <c r="E181" t="str">
        <f t="shared" si="46"/>
        <v>063STF</v>
      </c>
      <c r="F181" t="str">
        <f>""</f>
        <v/>
      </c>
      <c r="G181" t="str">
        <f>""</f>
        <v/>
      </c>
      <c r="H181" s="1">
        <v>41341</v>
      </c>
      <c r="I181" t="str">
        <f>"TEL00623"</f>
        <v>TEL00623</v>
      </c>
      <c r="J181" t="str">
        <f>""</f>
        <v/>
      </c>
      <c r="K181" t="str">
        <f t="shared" si="43"/>
        <v>AS89</v>
      </c>
      <c r="L181" t="s">
        <v>2098</v>
      </c>
      <c r="M181">
        <v>139.11000000000001</v>
      </c>
    </row>
    <row r="182" spans="1:13" x14ac:dyDescent="0.25">
      <c r="A182" t="str">
        <f t="shared" si="39"/>
        <v>E131</v>
      </c>
      <c r="B182">
        <v>1</v>
      </c>
      <c r="C182" t="str">
        <f t="shared" si="44"/>
        <v>23275</v>
      </c>
      <c r="D182" t="str">
        <f t="shared" si="45"/>
        <v>5741</v>
      </c>
      <c r="E182" t="str">
        <f t="shared" si="46"/>
        <v>063STF</v>
      </c>
      <c r="F182" t="str">
        <f>""</f>
        <v/>
      </c>
      <c r="G182" t="str">
        <f>""</f>
        <v/>
      </c>
      <c r="H182" s="1">
        <v>41381</v>
      </c>
      <c r="I182" t="str">
        <f>"TEL00624"</f>
        <v>TEL00624</v>
      </c>
      <c r="J182" t="str">
        <f>""</f>
        <v/>
      </c>
      <c r="K182" t="str">
        <f t="shared" si="43"/>
        <v>AS89</v>
      </c>
      <c r="L182" t="s">
        <v>2097</v>
      </c>
      <c r="M182">
        <v>138.80000000000001</v>
      </c>
    </row>
    <row r="183" spans="1:13" x14ac:dyDescent="0.25">
      <c r="A183" t="str">
        <f t="shared" si="39"/>
        <v>E131</v>
      </c>
      <c r="B183">
        <v>1</v>
      </c>
      <c r="C183" t="str">
        <f t="shared" si="44"/>
        <v>23275</v>
      </c>
      <c r="D183" t="str">
        <f t="shared" si="45"/>
        <v>5741</v>
      </c>
      <c r="E183" t="str">
        <f t="shared" si="46"/>
        <v>063STF</v>
      </c>
      <c r="F183" t="str">
        <f>""</f>
        <v/>
      </c>
      <c r="G183" t="str">
        <f>""</f>
        <v/>
      </c>
      <c r="H183" s="1">
        <v>41400</v>
      </c>
      <c r="I183" t="str">
        <f>"TEL00625"</f>
        <v>TEL00625</v>
      </c>
      <c r="J183" t="str">
        <f>""</f>
        <v/>
      </c>
      <c r="K183" t="str">
        <f t="shared" si="43"/>
        <v>AS89</v>
      </c>
      <c r="L183" t="s">
        <v>2064</v>
      </c>
      <c r="M183">
        <v>142.34</v>
      </c>
    </row>
    <row r="184" spans="1:13" x14ac:dyDescent="0.25">
      <c r="A184" t="str">
        <f t="shared" si="39"/>
        <v>E131</v>
      </c>
      <c r="B184">
        <v>1</v>
      </c>
      <c r="C184" t="str">
        <f t="shared" si="44"/>
        <v>23275</v>
      </c>
      <c r="D184" t="str">
        <f t="shared" si="45"/>
        <v>5741</v>
      </c>
      <c r="E184" t="str">
        <f t="shared" si="46"/>
        <v>063STF</v>
      </c>
      <c r="F184" t="str">
        <f>""</f>
        <v/>
      </c>
      <c r="G184" t="str">
        <f>""</f>
        <v/>
      </c>
      <c r="H184" s="1">
        <v>41437</v>
      </c>
      <c r="I184" t="str">
        <f>"TEL00626"</f>
        <v>TEL00626</v>
      </c>
      <c r="J184" t="str">
        <f>""</f>
        <v/>
      </c>
      <c r="K184" t="str">
        <f t="shared" si="43"/>
        <v>AS89</v>
      </c>
      <c r="L184" t="s">
        <v>2096</v>
      </c>
      <c r="M184">
        <v>144.13</v>
      </c>
    </row>
    <row r="185" spans="1:13" x14ac:dyDescent="0.25">
      <c r="A185" t="str">
        <f t="shared" ref="A185:A216" si="47">"E131"</f>
        <v>E131</v>
      </c>
      <c r="B185">
        <v>1</v>
      </c>
      <c r="C185" t="str">
        <f t="shared" si="44"/>
        <v>23275</v>
      </c>
      <c r="D185" t="str">
        <f t="shared" si="45"/>
        <v>5741</v>
      </c>
      <c r="E185" t="str">
        <f t="shared" si="46"/>
        <v>063STF</v>
      </c>
      <c r="F185" t="str">
        <f>""</f>
        <v/>
      </c>
      <c r="G185" t="str">
        <f>""</f>
        <v/>
      </c>
      <c r="H185" s="1">
        <v>41455</v>
      </c>
      <c r="I185" t="str">
        <f>"TEL00627"</f>
        <v>TEL00627</v>
      </c>
      <c r="J185" t="str">
        <f>""</f>
        <v/>
      </c>
      <c r="K185" t="str">
        <f t="shared" si="43"/>
        <v>AS89</v>
      </c>
      <c r="L185" t="s">
        <v>2095</v>
      </c>
      <c r="M185">
        <v>144.69</v>
      </c>
    </row>
    <row r="186" spans="1:13" x14ac:dyDescent="0.25">
      <c r="A186" t="str">
        <f t="shared" si="47"/>
        <v>E131</v>
      </c>
      <c r="B186">
        <v>1</v>
      </c>
      <c r="C186" t="str">
        <f t="shared" ref="C186:C197" si="48">"32040"</f>
        <v>32040</v>
      </c>
      <c r="D186" t="str">
        <f t="shared" ref="D186:D197" si="49">"5610"</f>
        <v>5610</v>
      </c>
      <c r="E186" t="str">
        <f t="shared" ref="E186:E209" si="50">"850LOS"</f>
        <v>850LOS</v>
      </c>
      <c r="F186" t="str">
        <f>""</f>
        <v/>
      </c>
      <c r="G186" t="str">
        <f>""</f>
        <v/>
      </c>
      <c r="H186" s="1">
        <v>41134</v>
      </c>
      <c r="I186" t="str">
        <f>"TEL00616"</f>
        <v>TEL00616</v>
      </c>
      <c r="J186" t="str">
        <f>""</f>
        <v/>
      </c>
      <c r="K186" t="str">
        <f t="shared" si="43"/>
        <v>AS89</v>
      </c>
      <c r="L186" t="s">
        <v>2105</v>
      </c>
      <c r="M186">
        <v>187.26</v>
      </c>
    </row>
    <row r="187" spans="1:13" x14ac:dyDescent="0.25">
      <c r="A187" t="str">
        <f t="shared" si="47"/>
        <v>E131</v>
      </c>
      <c r="B187">
        <v>1</v>
      </c>
      <c r="C187" t="str">
        <f t="shared" si="48"/>
        <v>32040</v>
      </c>
      <c r="D187" t="str">
        <f t="shared" si="49"/>
        <v>5610</v>
      </c>
      <c r="E187" t="str">
        <f t="shared" si="50"/>
        <v>850LOS</v>
      </c>
      <c r="F187" t="str">
        <f>""</f>
        <v/>
      </c>
      <c r="G187" t="str">
        <f>""</f>
        <v/>
      </c>
      <c r="H187" s="1">
        <v>41165</v>
      </c>
      <c r="I187" t="str">
        <f>"TEL00617"</f>
        <v>TEL00617</v>
      </c>
      <c r="J187" t="str">
        <f>""</f>
        <v/>
      </c>
      <c r="K187" t="str">
        <f t="shared" si="43"/>
        <v>AS89</v>
      </c>
      <c r="L187" t="s">
        <v>2104</v>
      </c>
      <c r="M187">
        <v>187.17</v>
      </c>
    </row>
    <row r="188" spans="1:13" x14ac:dyDescent="0.25">
      <c r="A188" t="str">
        <f t="shared" si="47"/>
        <v>E131</v>
      </c>
      <c r="B188">
        <v>1</v>
      </c>
      <c r="C188" t="str">
        <f t="shared" si="48"/>
        <v>32040</v>
      </c>
      <c r="D188" t="str">
        <f t="shared" si="49"/>
        <v>5610</v>
      </c>
      <c r="E188" t="str">
        <f t="shared" si="50"/>
        <v>850LOS</v>
      </c>
      <c r="F188" t="str">
        <f>""</f>
        <v/>
      </c>
      <c r="G188" t="str">
        <f>""</f>
        <v/>
      </c>
      <c r="H188" s="1">
        <v>41186</v>
      </c>
      <c r="I188" t="str">
        <f>"TEL00618"</f>
        <v>TEL00618</v>
      </c>
      <c r="J188" t="str">
        <f>""</f>
        <v/>
      </c>
      <c r="K188" t="str">
        <f t="shared" si="43"/>
        <v>AS89</v>
      </c>
      <c r="L188" t="s">
        <v>2103</v>
      </c>
      <c r="M188">
        <v>183.9</v>
      </c>
    </row>
    <row r="189" spans="1:13" x14ac:dyDescent="0.25">
      <c r="A189" t="str">
        <f t="shared" si="47"/>
        <v>E131</v>
      </c>
      <c r="B189">
        <v>1</v>
      </c>
      <c r="C189" t="str">
        <f t="shared" si="48"/>
        <v>32040</v>
      </c>
      <c r="D189" t="str">
        <f t="shared" si="49"/>
        <v>5610</v>
      </c>
      <c r="E189" t="str">
        <f t="shared" si="50"/>
        <v>850LOS</v>
      </c>
      <c r="F189" t="str">
        <f>""</f>
        <v/>
      </c>
      <c r="G189" t="str">
        <f>""</f>
        <v/>
      </c>
      <c r="H189" s="1">
        <v>41222</v>
      </c>
      <c r="I189" t="str">
        <f>"TEL00619"</f>
        <v>TEL00619</v>
      </c>
      <c r="J189" t="str">
        <f>""</f>
        <v/>
      </c>
      <c r="K189" t="str">
        <f t="shared" si="43"/>
        <v>AS89</v>
      </c>
      <c r="L189" t="s">
        <v>2102</v>
      </c>
      <c r="M189">
        <v>183</v>
      </c>
    </row>
    <row r="190" spans="1:13" x14ac:dyDescent="0.25">
      <c r="A190" t="str">
        <f t="shared" si="47"/>
        <v>E131</v>
      </c>
      <c r="B190">
        <v>1</v>
      </c>
      <c r="C190" t="str">
        <f t="shared" si="48"/>
        <v>32040</v>
      </c>
      <c r="D190" t="str">
        <f t="shared" si="49"/>
        <v>5610</v>
      </c>
      <c r="E190" t="str">
        <f t="shared" si="50"/>
        <v>850LOS</v>
      </c>
      <c r="F190" t="str">
        <f>""</f>
        <v/>
      </c>
      <c r="G190" t="str">
        <f>""</f>
        <v/>
      </c>
      <c r="H190" s="1">
        <v>41250</v>
      </c>
      <c r="I190" t="str">
        <f>"TEL00620"</f>
        <v>TEL00620</v>
      </c>
      <c r="J190" t="str">
        <f>""</f>
        <v/>
      </c>
      <c r="K190" t="str">
        <f t="shared" si="43"/>
        <v>AS89</v>
      </c>
      <c r="L190" t="s">
        <v>2101</v>
      </c>
      <c r="M190">
        <v>185.2</v>
      </c>
    </row>
    <row r="191" spans="1:13" x14ac:dyDescent="0.25">
      <c r="A191" t="str">
        <f t="shared" si="47"/>
        <v>E131</v>
      </c>
      <c r="B191">
        <v>1</v>
      </c>
      <c r="C191" t="str">
        <f t="shared" si="48"/>
        <v>32040</v>
      </c>
      <c r="D191" t="str">
        <f t="shared" si="49"/>
        <v>5610</v>
      </c>
      <c r="E191" t="str">
        <f t="shared" si="50"/>
        <v>850LOS</v>
      </c>
      <c r="F191" t="str">
        <f>""</f>
        <v/>
      </c>
      <c r="G191" t="str">
        <f>""</f>
        <v/>
      </c>
      <c r="H191" s="1">
        <v>41290</v>
      </c>
      <c r="I191" t="str">
        <f>"TEL00621"</f>
        <v>TEL00621</v>
      </c>
      <c r="J191" t="str">
        <f>""</f>
        <v/>
      </c>
      <c r="K191" t="str">
        <f t="shared" si="43"/>
        <v>AS89</v>
      </c>
      <c r="L191" t="s">
        <v>2100</v>
      </c>
      <c r="M191">
        <v>183</v>
      </c>
    </row>
    <row r="192" spans="1:13" x14ac:dyDescent="0.25">
      <c r="A192" t="str">
        <f t="shared" si="47"/>
        <v>E131</v>
      </c>
      <c r="B192">
        <v>1</v>
      </c>
      <c r="C192" t="str">
        <f t="shared" si="48"/>
        <v>32040</v>
      </c>
      <c r="D192" t="str">
        <f t="shared" si="49"/>
        <v>5610</v>
      </c>
      <c r="E192" t="str">
        <f t="shared" si="50"/>
        <v>850LOS</v>
      </c>
      <c r="F192" t="str">
        <f>""</f>
        <v/>
      </c>
      <c r="G192" t="str">
        <f>""</f>
        <v/>
      </c>
      <c r="H192" s="1">
        <v>41316</v>
      </c>
      <c r="I192" t="str">
        <f>"TEL00622"</f>
        <v>TEL00622</v>
      </c>
      <c r="J192" t="str">
        <f>""</f>
        <v/>
      </c>
      <c r="K192" t="str">
        <f t="shared" si="43"/>
        <v>AS89</v>
      </c>
      <c r="L192" t="s">
        <v>2099</v>
      </c>
      <c r="M192">
        <v>185.44</v>
      </c>
    </row>
    <row r="193" spans="1:13" x14ac:dyDescent="0.25">
      <c r="A193" t="str">
        <f t="shared" si="47"/>
        <v>E131</v>
      </c>
      <c r="B193">
        <v>1</v>
      </c>
      <c r="C193" t="str">
        <f t="shared" si="48"/>
        <v>32040</v>
      </c>
      <c r="D193" t="str">
        <f t="shared" si="49"/>
        <v>5610</v>
      </c>
      <c r="E193" t="str">
        <f t="shared" si="50"/>
        <v>850LOS</v>
      </c>
      <c r="F193" t="str">
        <f>""</f>
        <v/>
      </c>
      <c r="G193" t="str">
        <f>""</f>
        <v/>
      </c>
      <c r="H193" s="1">
        <v>41341</v>
      </c>
      <c r="I193" t="str">
        <f>"TEL00623"</f>
        <v>TEL00623</v>
      </c>
      <c r="J193" t="str">
        <f>""</f>
        <v/>
      </c>
      <c r="K193" t="str">
        <f t="shared" si="43"/>
        <v>AS89</v>
      </c>
      <c r="L193" t="s">
        <v>2098</v>
      </c>
      <c r="M193">
        <v>183.98</v>
      </c>
    </row>
    <row r="194" spans="1:13" x14ac:dyDescent="0.25">
      <c r="A194" t="str">
        <f t="shared" si="47"/>
        <v>E131</v>
      </c>
      <c r="B194">
        <v>1</v>
      </c>
      <c r="C194" t="str">
        <f t="shared" si="48"/>
        <v>32040</v>
      </c>
      <c r="D194" t="str">
        <f t="shared" si="49"/>
        <v>5610</v>
      </c>
      <c r="E194" t="str">
        <f t="shared" si="50"/>
        <v>850LOS</v>
      </c>
      <c r="F194" t="str">
        <f>""</f>
        <v/>
      </c>
      <c r="G194" t="str">
        <f>""</f>
        <v/>
      </c>
      <c r="H194" s="1">
        <v>41381</v>
      </c>
      <c r="I194" t="str">
        <f>"TEL00624"</f>
        <v>TEL00624</v>
      </c>
      <c r="J194" t="str">
        <f>""</f>
        <v/>
      </c>
      <c r="K194" t="str">
        <f t="shared" si="43"/>
        <v>AS89</v>
      </c>
      <c r="L194" t="s">
        <v>2097</v>
      </c>
      <c r="M194">
        <v>184.69</v>
      </c>
    </row>
    <row r="195" spans="1:13" x14ac:dyDescent="0.25">
      <c r="A195" t="str">
        <f t="shared" si="47"/>
        <v>E131</v>
      </c>
      <c r="B195">
        <v>1</v>
      </c>
      <c r="C195" t="str">
        <f t="shared" si="48"/>
        <v>32040</v>
      </c>
      <c r="D195" t="str">
        <f t="shared" si="49"/>
        <v>5610</v>
      </c>
      <c r="E195" t="str">
        <f t="shared" si="50"/>
        <v>850LOS</v>
      </c>
      <c r="F195" t="str">
        <f>""</f>
        <v/>
      </c>
      <c r="G195" t="str">
        <f>""</f>
        <v/>
      </c>
      <c r="H195" s="1">
        <v>41400</v>
      </c>
      <c r="I195" t="str">
        <f>"TEL00625"</f>
        <v>TEL00625</v>
      </c>
      <c r="J195" t="str">
        <f>""</f>
        <v/>
      </c>
      <c r="K195" t="str">
        <f t="shared" si="43"/>
        <v>AS89</v>
      </c>
      <c r="L195" t="s">
        <v>2064</v>
      </c>
      <c r="M195">
        <v>183.45</v>
      </c>
    </row>
    <row r="196" spans="1:13" x14ac:dyDescent="0.25">
      <c r="A196" t="str">
        <f t="shared" si="47"/>
        <v>E131</v>
      </c>
      <c r="B196">
        <v>1</v>
      </c>
      <c r="C196" t="str">
        <f t="shared" si="48"/>
        <v>32040</v>
      </c>
      <c r="D196" t="str">
        <f t="shared" si="49"/>
        <v>5610</v>
      </c>
      <c r="E196" t="str">
        <f t="shared" si="50"/>
        <v>850LOS</v>
      </c>
      <c r="F196" t="str">
        <f>""</f>
        <v/>
      </c>
      <c r="G196" t="str">
        <f>""</f>
        <v/>
      </c>
      <c r="H196" s="1">
        <v>41437</v>
      </c>
      <c r="I196" t="str">
        <f>"TEL00626"</f>
        <v>TEL00626</v>
      </c>
      <c r="J196" t="str">
        <f>""</f>
        <v/>
      </c>
      <c r="K196" t="str">
        <f t="shared" si="43"/>
        <v>AS89</v>
      </c>
      <c r="L196" t="s">
        <v>2096</v>
      </c>
      <c r="M196">
        <v>238.74</v>
      </c>
    </row>
    <row r="197" spans="1:13" x14ac:dyDescent="0.25">
      <c r="A197" t="str">
        <f t="shared" si="47"/>
        <v>E131</v>
      </c>
      <c r="B197">
        <v>1</v>
      </c>
      <c r="C197" t="str">
        <f t="shared" si="48"/>
        <v>32040</v>
      </c>
      <c r="D197" t="str">
        <f t="shared" si="49"/>
        <v>5610</v>
      </c>
      <c r="E197" t="str">
        <f t="shared" si="50"/>
        <v>850LOS</v>
      </c>
      <c r="F197" t="str">
        <f>""</f>
        <v/>
      </c>
      <c r="G197" t="str">
        <f>""</f>
        <v/>
      </c>
      <c r="H197" s="1">
        <v>41455</v>
      </c>
      <c r="I197" t="str">
        <f>"TEL00627"</f>
        <v>TEL00627</v>
      </c>
      <c r="J197" t="str">
        <f>""</f>
        <v/>
      </c>
      <c r="K197" t="str">
        <f t="shared" si="43"/>
        <v>AS89</v>
      </c>
      <c r="L197" t="s">
        <v>2095</v>
      </c>
      <c r="M197">
        <v>185.3</v>
      </c>
    </row>
    <row r="198" spans="1:13" x14ac:dyDescent="0.25">
      <c r="A198" t="str">
        <f t="shared" si="47"/>
        <v>E131</v>
      </c>
      <c r="B198">
        <v>1</v>
      </c>
      <c r="C198" t="str">
        <f t="shared" ref="C198:C212" si="51">"43000"</f>
        <v>43000</v>
      </c>
      <c r="D198" t="str">
        <f t="shared" ref="D198:D212" si="52">"5740"</f>
        <v>5740</v>
      </c>
      <c r="E198" t="str">
        <f t="shared" si="50"/>
        <v>850LOS</v>
      </c>
      <c r="F198" t="str">
        <f>""</f>
        <v/>
      </c>
      <c r="G198" t="str">
        <f>""</f>
        <v/>
      </c>
      <c r="H198" s="1">
        <v>41134</v>
      </c>
      <c r="I198" t="str">
        <f>"TEL00616"</f>
        <v>TEL00616</v>
      </c>
      <c r="J198" t="str">
        <f>""</f>
        <v/>
      </c>
      <c r="K198" t="str">
        <f t="shared" si="43"/>
        <v>AS89</v>
      </c>
      <c r="L198" t="s">
        <v>2105</v>
      </c>
      <c r="M198">
        <v>529.99</v>
      </c>
    </row>
    <row r="199" spans="1:13" x14ac:dyDescent="0.25">
      <c r="A199" t="str">
        <f t="shared" si="47"/>
        <v>E131</v>
      </c>
      <c r="B199">
        <v>1</v>
      </c>
      <c r="C199" t="str">
        <f t="shared" si="51"/>
        <v>43000</v>
      </c>
      <c r="D199" t="str">
        <f t="shared" si="52"/>
        <v>5740</v>
      </c>
      <c r="E199" t="str">
        <f t="shared" si="50"/>
        <v>850LOS</v>
      </c>
      <c r="F199" t="str">
        <f>""</f>
        <v/>
      </c>
      <c r="G199" t="str">
        <f>""</f>
        <v/>
      </c>
      <c r="H199" s="1">
        <v>41165</v>
      </c>
      <c r="I199" t="str">
        <f>"TEL00617"</f>
        <v>TEL00617</v>
      </c>
      <c r="J199" t="str">
        <f>""</f>
        <v/>
      </c>
      <c r="K199" t="str">
        <f t="shared" si="43"/>
        <v>AS89</v>
      </c>
      <c r="L199" t="s">
        <v>2104</v>
      </c>
      <c r="M199">
        <v>552.02</v>
      </c>
    </row>
    <row r="200" spans="1:13" x14ac:dyDescent="0.25">
      <c r="A200" t="str">
        <f t="shared" si="47"/>
        <v>E131</v>
      </c>
      <c r="B200">
        <v>1</v>
      </c>
      <c r="C200" t="str">
        <f t="shared" si="51"/>
        <v>43000</v>
      </c>
      <c r="D200" t="str">
        <f t="shared" si="52"/>
        <v>5740</v>
      </c>
      <c r="E200" t="str">
        <f t="shared" si="50"/>
        <v>850LOS</v>
      </c>
      <c r="F200" t="str">
        <f>""</f>
        <v/>
      </c>
      <c r="G200" t="str">
        <f>""</f>
        <v/>
      </c>
      <c r="H200" s="1">
        <v>41186</v>
      </c>
      <c r="I200" t="str">
        <f>"TEL00618"</f>
        <v>TEL00618</v>
      </c>
      <c r="J200" t="str">
        <f>""</f>
        <v/>
      </c>
      <c r="K200" t="str">
        <f t="shared" si="43"/>
        <v>AS89</v>
      </c>
      <c r="L200" t="s">
        <v>2103</v>
      </c>
      <c r="M200">
        <v>540.6</v>
      </c>
    </row>
    <row r="201" spans="1:13" x14ac:dyDescent="0.25">
      <c r="A201" t="str">
        <f t="shared" si="47"/>
        <v>E131</v>
      </c>
      <c r="B201">
        <v>1</v>
      </c>
      <c r="C201" t="str">
        <f t="shared" si="51"/>
        <v>43000</v>
      </c>
      <c r="D201" t="str">
        <f t="shared" si="52"/>
        <v>5740</v>
      </c>
      <c r="E201" t="str">
        <f t="shared" si="50"/>
        <v>850LOS</v>
      </c>
      <c r="F201" t="str">
        <f>""</f>
        <v/>
      </c>
      <c r="G201" t="str">
        <f>""</f>
        <v/>
      </c>
      <c r="H201" s="1">
        <v>41222</v>
      </c>
      <c r="I201" t="str">
        <f>"TEL00619"</f>
        <v>TEL00619</v>
      </c>
      <c r="J201" t="str">
        <f>""</f>
        <v/>
      </c>
      <c r="K201" t="str">
        <f t="shared" si="43"/>
        <v>AS89</v>
      </c>
      <c r="L201" t="s">
        <v>2102</v>
      </c>
      <c r="M201">
        <v>544.83000000000004</v>
      </c>
    </row>
    <row r="202" spans="1:13" x14ac:dyDescent="0.25">
      <c r="A202" t="str">
        <f t="shared" si="47"/>
        <v>E131</v>
      </c>
      <c r="B202">
        <v>1</v>
      </c>
      <c r="C202" t="str">
        <f t="shared" si="51"/>
        <v>43000</v>
      </c>
      <c r="D202" t="str">
        <f t="shared" si="52"/>
        <v>5740</v>
      </c>
      <c r="E202" t="str">
        <f t="shared" si="50"/>
        <v>850LOS</v>
      </c>
      <c r="F202" t="str">
        <f>""</f>
        <v/>
      </c>
      <c r="G202" t="str">
        <f>""</f>
        <v/>
      </c>
      <c r="H202" s="1">
        <v>41250</v>
      </c>
      <c r="I202" t="str">
        <f>"TEL00620"</f>
        <v>TEL00620</v>
      </c>
      <c r="J202" t="str">
        <f>""</f>
        <v/>
      </c>
      <c r="K202" t="str">
        <f t="shared" si="43"/>
        <v>AS89</v>
      </c>
      <c r="L202" t="s">
        <v>2101</v>
      </c>
      <c r="M202">
        <v>555.41999999999996</v>
      </c>
    </row>
    <row r="203" spans="1:13" x14ac:dyDescent="0.25">
      <c r="A203" t="str">
        <f t="shared" si="47"/>
        <v>E131</v>
      </c>
      <c r="B203">
        <v>1</v>
      </c>
      <c r="C203" t="str">
        <f t="shared" si="51"/>
        <v>43000</v>
      </c>
      <c r="D203" t="str">
        <f t="shared" si="52"/>
        <v>5740</v>
      </c>
      <c r="E203" t="str">
        <f t="shared" si="50"/>
        <v>850LOS</v>
      </c>
      <c r="F203" t="str">
        <f>""</f>
        <v/>
      </c>
      <c r="G203" t="str">
        <f>""</f>
        <v/>
      </c>
      <c r="H203" s="1">
        <v>41290</v>
      </c>
      <c r="I203" t="str">
        <f>"TEL00621"</f>
        <v>TEL00621</v>
      </c>
      <c r="J203" t="str">
        <f>""</f>
        <v/>
      </c>
      <c r="K203" t="str">
        <f t="shared" si="43"/>
        <v>AS89</v>
      </c>
      <c r="L203" t="s">
        <v>2100</v>
      </c>
      <c r="M203">
        <v>572.77</v>
      </c>
    </row>
    <row r="204" spans="1:13" x14ac:dyDescent="0.25">
      <c r="A204" t="str">
        <f t="shared" si="47"/>
        <v>E131</v>
      </c>
      <c r="B204">
        <v>1</v>
      </c>
      <c r="C204" t="str">
        <f t="shared" si="51"/>
        <v>43000</v>
      </c>
      <c r="D204" t="str">
        <f t="shared" si="52"/>
        <v>5740</v>
      </c>
      <c r="E204" t="str">
        <f t="shared" si="50"/>
        <v>850LOS</v>
      </c>
      <c r="F204" t="str">
        <f>""</f>
        <v/>
      </c>
      <c r="G204" t="str">
        <f>""</f>
        <v/>
      </c>
      <c r="H204" s="1">
        <v>41316</v>
      </c>
      <c r="I204" t="str">
        <f>"TEL00622"</f>
        <v>TEL00622</v>
      </c>
      <c r="J204" t="str">
        <f>""</f>
        <v/>
      </c>
      <c r="K204" t="str">
        <f t="shared" si="43"/>
        <v>AS89</v>
      </c>
      <c r="L204" t="s">
        <v>2099</v>
      </c>
      <c r="M204">
        <v>552.02</v>
      </c>
    </row>
    <row r="205" spans="1:13" x14ac:dyDescent="0.25">
      <c r="A205" t="str">
        <f t="shared" si="47"/>
        <v>E131</v>
      </c>
      <c r="B205">
        <v>1</v>
      </c>
      <c r="C205" t="str">
        <f t="shared" si="51"/>
        <v>43000</v>
      </c>
      <c r="D205" t="str">
        <f t="shared" si="52"/>
        <v>5740</v>
      </c>
      <c r="E205" t="str">
        <f t="shared" si="50"/>
        <v>850LOS</v>
      </c>
      <c r="F205" t="str">
        <f>""</f>
        <v/>
      </c>
      <c r="G205" t="str">
        <f>""</f>
        <v/>
      </c>
      <c r="H205" s="1">
        <v>41341</v>
      </c>
      <c r="I205" t="str">
        <f>"TEL00623"</f>
        <v>TEL00623</v>
      </c>
      <c r="J205" t="str">
        <f>""</f>
        <v/>
      </c>
      <c r="K205" t="str">
        <f t="shared" si="43"/>
        <v>AS89</v>
      </c>
      <c r="L205" t="s">
        <v>2098</v>
      </c>
      <c r="M205">
        <v>540.84</v>
      </c>
    </row>
    <row r="206" spans="1:13" x14ac:dyDescent="0.25">
      <c r="A206" t="str">
        <f t="shared" si="47"/>
        <v>E131</v>
      </c>
      <c r="B206">
        <v>1</v>
      </c>
      <c r="C206" t="str">
        <f t="shared" si="51"/>
        <v>43000</v>
      </c>
      <c r="D206" t="str">
        <f t="shared" si="52"/>
        <v>5740</v>
      </c>
      <c r="E206" t="str">
        <f t="shared" si="50"/>
        <v>850LOS</v>
      </c>
      <c r="F206" t="str">
        <f>""</f>
        <v/>
      </c>
      <c r="G206" t="str">
        <f>""</f>
        <v/>
      </c>
      <c r="H206" s="1">
        <v>41381</v>
      </c>
      <c r="I206" t="str">
        <f>"TEL00624"</f>
        <v>TEL00624</v>
      </c>
      <c r="J206" t="str">
        <f>""</f>
        <v/>
      </c>
      <c r="K206" t="str">
        <f t="shared" si="43"/>
        <v>AS89</v>
      </c>
      <c r="L206" t="s">
        <v>2097</v>
      </c>
      <c r="M206">
        <v>556.86</v>
      </c>
    </row>
    <row r="207" spans="1:13" x14ac:dyDescent="0.25">
      <c r="A207" t="str">
        <f t="shared" si="47"/>
        <v>E131</v>
      </c>
      <c r="B207">
        <v>1</v>
      </c>
      <c r="C207" t="str">
        <f t="shared" si="51"/>
        <v>43000</v>
      </c>
      <c r="D207" t="str">
        <f t="shared" si="52"/>
        <v>5740</v>
      </c>
      <c r="E207" t="str">
        <f t="shared" si="50"/>
        <v>850LOS</v>
      </c>
      <c r="F207" t="str">
        <f>""</f>
        <v/>
      </c>
      <c r="G207" t="str">
        <f>""</f>
        <v/>
      </c>
      <c r="H207" s="1">
        <v>41400</v>
      </c>
      <c r="I207" t="str">
        <f>"TEL00625"</f>
        <v>TEL00625</v>
      </c>
      <c r="J207" t="str">
        <f>""</f>
        <v/>
      </c>
      <c r="K207" t="str">
        <f t="shared" si="43"/>
        <v>AS89</v>
      </c>
      <c r="L207" t="s">
        <v>2064</v>
      </c>
      <c r="M207">
        <v>549.14</v>
      </c>
    </row>
    <row r="208" spans="1:13" x14ac:dyDescent="0.25">
      <c r="A208" t="str">
        <f t="shared" si="47"/>
        <v>E131</v>
      </c>
      <c r="B208">
        <v>1</v>
      </c>
      <c r="C208" t="str">
        <f t="shared" si="51"/>
        <v>43000</v>
      </c>
      <c r="D208" t="str">
        <f t="shared" si="52"/>
        <v>5740</v>
      </c>
      <c r="E208" t="str">
        <f t="shared" si="50"/>
        <v>850LOS</v>
      </c>
      <c r="F208" t="str">
        <f>""</f>
        <v/>
      </c>
      <c r="G208" t="str">
        <f>""</f>
        <v/>
      </c>
      <c r="H208" s="1">
        <v>41437</v>
      </c>
      <c r="I208" t="str">
        <f>"TEL00626"</f>
        <v>TEL00626</v>
      </c>
      <c r="J208" t="str">
        <f>""</f>
        <v/>
      </c>
      <c r="K208" t="str">
        <f t="shared" si="43"/>
        <v>AS89</v>
      </c>
      <c r="L208" t="s">
        <v>2096</v>
      </c>
      <c r="M208">
        <v>537.44000000000005</v>
      </c>
    </row>
    <row r="209" spans="1:13" x14ac:dyDescent="0.25">
      <c r="A209" t="str">
        <f t="shared" si="47"/>
        <v>E131</v>
      </c>
      <c r="B209">
        <v>1</v>
      </c>
      <c r="C209" t="str">
        <f t="shared" si="51"/>
        <v>43000</v>
      </c>
      <c r="D209" t="str">
        <f t="shared" si="52"/>
        <v>5740</v>
      </c>
      <c r="E209" t="str">
        <f t="shared" si="50"/>
        <v>850LOS</v>
      </c>
      <c r="F209" t="str">
        <f>""</f>
        <v/>
      </c>
      <c r="G209" t="str">
        <f>""</f>
        <v/>
      </c>
      <c r="H209" s="1">
        <v>41455</v>
      </c>
      <c r="I209" t="str">
        <f>"TEL00627"</f>
        <v>TEL00627</v>
      </c>
      <c r="J209" t="str">
        <f>""</f>
        <v/>
      </c>
      <c r="K209" t="str">
        <f t="shared" si="43"/>
        <v>AS89</v>
      </c>
      <c r="L209" t="s">
        <v>2095</v>
      </c>
      <c r="M209">
        <v>539.13</v>
      </c>
    </row>
    <row r="210" spans="1:13" x14ac:dyDescent="0.25">
      <c r="A210" t="str">
        <f t="shared" si="47"/>
        <v>E131</v>
      </c>
      <c r="B210">
        <v>1</v>
      </c>
      <c r="C210" t="str">
        <f t="shared" si="51"/>
        <v>43000</v>
      </c>
      <c r="D210" t="str">
        <f t="shared" si="52"/>
        <v>5740</v>
      </c>
      <c r="E210" t="str">
        <f>"850PKE"</f>
        <v>850PKE</v>
      </c>
      <c r="F210" t="str">
        <f>""</f>
        <v/>
      </c>
      <c r="G210" t="str">
        <f>""</f>
        <v/>
      </c>
      <c r="H210" s="1">
        <v>41186</v>
      </c>
      <c r="I210" t="str">
        <f>"TEL00618"</f>
        <v>TEL00618</v>
      </c>
      <c r="J210" t="str">
        <f>""</f>
        <v/>
      </c>
      <c r="K210" t="str">
        <f t="shared" si="43"/>
        <v>AS89</v>
      </c>
      <c r="L210" t="s">
        <v>2103</v>
      </c>
      <c r="M210">
        <v>106.93</v>
      </c>
    </row>
    <row r="211" spans="1:13" x14ac:dyDescent="0.25">
      <c r="A211" t="str">
        <f t="shared" si="47"/>
        <v>E131</v>
      </c>
      <c r="B211">
        <v>1</v>
      </c>
      <c r="C211" t="str">
        <f t="shared" si="51"/>
        <v>43000</v>
      </c>
      <c r="D211" t="str">
        <f t="shared" si="52"/>
        <v>5740</v>
      </c>
      <c r="E211" t="str">
        <f>"850PKE"</f>
        <v>850PKE</v>
      </c>
      <c r="F211" t="str">
        <f>""</f>
        <v/>
      </c>
      <c r="G211" t="str">
        <f>""</f>
        <v/>
      </c>
      <c r="H211" s="1">
        <v>41455</v>
      </c>
      <c r="I211" t="str">
        <f>"07117411"</f>
        <v>07117411</v>
      </c>
      <c r="J211" t="str">
        <f>"N210974"</f>
        <v>N210974</v>
      </c>
      <c r="K211" t="str">
        <f>"INEI"</f>
        <v>INEI</v>
      </c>
      <c r="L211" t="s">
        <v>1382</v>
      </c>
      <c r="M211">
        <v>560.75</v>
      </c>
    </row>
    <row r="212" spans="1:13" x14ac:dyDescent="0.25">
      <c r="A212" t="str">
        <f t="shared" si="47"/>
        <v>E131</v>
      </c>
      <c r="B212">
        <v>1</v>
      </c>
      <c r="C212" t="str">
        <f t="shared" si="51"/>
        <v>43000</v>
      </c>
      <c r="D212" t="str">
        <f t="shared" si="52"/>
        <v>5740</v>
      </c>
      <c r="E212" t="str">
        <f>"850PKE"</f>
        <v>850PKE</v>
      </c>
      <c r="F212" t="str">
        <f>""</f>
        <v/>
      </c>
      <c r="G212" t="str">
        <f>""</f>
        <v/>
      </c>
      <c r="H212" s="1">
        <v>41455</v>
      </c>
      <c r="I212" t="str">
        <f>"TEL00627"</f>
        <v>TEL00627</v>
      </c>
      <c r="J212" t="str">
        <f>""</f>
        <v/>
      </c>
      <c r="K212" t="str">
        <f t="shared" ref="K212:K224" si="53">"AS89"</f>
        <v>AS89</v>
      </c>
      <c r="L212" t="s">
        <v>2095</v>
      </c>
      <c r="M212">
        <v>101.08</v>
      </c>
    </row>
    <row r="213" spans="1:13" x14ac:dyDescent="0.25">
      <c r="A213" t="str">
        <f t="shared" si="47"/>
        <v>E131</v>
      </c>
      <c r="B213">
        <v>1</v>
      </c>
      <c r="C213" t="str">
        <f t="shared" ref="C213:C224" si="54">"43001"</f>
        <v>43001</v>
      </c>
      <c r="D213" t="str">
        <f t="shared" ref="D213:D224" si="55">"5741"</f>
        <v>5741</v>
      </c>
      <c r="E213" t="str">
        <f t="shared" ref="E213:E224" si="56">"850LOS"</f>
        <v>850LOS</v>
      </c>
      <c r="F213" t="str">
        <f>""</f>
        <v/>
      </c>
      <c r="G213" t="str">
        <f>""</f>
        <v/>
      </c>
      <c r="H213" s="1">
        <v>41134</v>
      </c>
      <c r="I213" t="str">
        <f>"TEL00616"</f>
        <v>TEL00616</v>
      </c>
      <c r="J213" t="str">
        <f>""</f>
        <v/>
      </c>
      <c r="K213" t="str">
        <f t="shared" si="53"/>
        <v>AS89</v>
      </c>
      <c r="L213" t="s">
        <v>2105</v>
      </c>
      <c r="M213">
        <v>129.26</v>
      </c>
    </row>
    <row r="214" spans="1:13" x14ac:dyDescent="0.25">
      <c r="A214" t="str">
        <f t="shared" si="47"/>
        <v>E131</v>
      </c>
      <c r="B214">
        <v>1</v>
      </c>
      <c r="C214" t="str">
        <f t="shared" si="54"/>
        <v>43001</v>
      </c>
      <c r="D214" t="str">
        <f t="shared" si="55"/>
        <v>5741</v>
      </c>
      <c r="E214" t="str">
        <f t="shared" si="56"/>
        <v>850LOS</v>
      </c>
      <c r="F214" t="str">
        <f>""</f>
        <v/>
      </c>
      <c r="G214" t="str">
        <f>""</f>
        <v/>
      </c>
      <c r="H214" s="1">
        <v>41165</v>
      </c>
      <c r="I214" t="str">
        <f>"TEL00617"</f>
        <v>TEL00617</v>
      </c>
      <c r="J214" t="str">
        <f>""</f>
        <v/>
      </c>
      <c r="K214" t="str">
        <f t="shared" si="53"/>
        <v>AS89</v>
      </c>
      <c r="L214" t="s">
        <v>2104</v>
      </c>
      <c r="M214">
        <v>124.29</v>
      </c>
    </row>
    <row r="215" spans="1:13" x14ac:dyDescent="0.25">
      <c r="A215" t="str">
        <f t="shared" si="47"/>
        <v>E131</v>
      </c>
      <c r="B215">
        <v>1</v>
      </c>
      <c r="C215" t="str">
        <f t="shared" si="54"/>
        <v>43001</v>
      </c>
      <c r="D215" t="str">
        <f t="shared" si="55"/>
        <v>5741</v>
      </c>
      <c r="E215" t="str">
        <f t="shared" si="56"/>
        <v>850LOS</v>
      </c>
      <c r="F215" t="str">
        <f>""</f>
        <v/>
      </c>
      <c r="G215" t="str">
        <f>""</f>
        <v/>
      </c>
      <c r="H215" s="1">
        <v>41186</v>
      </c>
      <c r="I215" t="str">
        <f>"TEL00618"</f>
        <v>TEL00618</v>
      </c>
      <c r="J215" t="str">
        <f>""</f>
        <v/>
      </c>
      <c r="K215" t="str">
        <f t="shared" si="53"/>
        <v>AS89</v>
      </c>
      <c r="L215" t="s">
        <v>2103</v>
      </c>
      <c r="M215">
        <v>122.24</v>
      </c>
    </row>
    <row r="216" spans="1:13" x14ac:dyDescent="0.25">
      <c r="A216" t="str">
        <f t="shared" si="47"/>
        <v>E131</v>
      </c>
      <c r="B216">
        <v>1</v>
      </c>
      <c r="C216" t="str">
        <f t="shared" si="54"/>
        <v>43001</v>
      </c>
      <c r="D216" t="str">
        <f t="shared" si="55"/>
        <v>5741</v>
      </c>
      <c r="E216" t="str">
        <f t="shared" si="56"/>
        <v>850LOS</v>
      </c>
      <c r="F216" t="str">
        <f>""</f>
        <v/>
      </c>
      <c r="G216" t="str">
        <f>""</f>
        <v/>
      </c>
      <c r="H216" s="1">
        <v>41222</v>
      </c>
      <c r="I216" t="str">
        <f>"TEL00619"</f>
        <v>TEL00619</v>
      </c>
      <c r="J216" t="str">
        <f>""</f>
        <v/>
      </c>
      <c r="K216" t="str">
        <f t="shared" si="53"/>
        <v>AS89</v>
      </c>
      <c r="L216" t="s">
        <v>2102</v>
      </c>
      <c r="M216">
        <v>122.1</v>
      </c>
    </row>
    <row r="217" spans="1:13" x14ac:dyDescent="0.25">
      <c r="A217" t="str">
        <f t="shared" ref="A217:A224" si="57">"E131"</f>
        <v>E131</v>
      </c>
      <c r="B217">
        <v>1</v>
      </c>
      <c r="C217" t="str">
        <f t="shared" si="54"/>
        <v>43001</v>
      </c>
      <c r="D217" t="str">
        <f t="shared" si="55"/>
        <v>5741</v>
      </c>
      <c r="E217" t="str">
        <f t="shared" si="56"/>
        <v>850LOS</v>
      </c>
      <c r="F217" t="str">
        <f>""</f>
        <v/>
      </c>
      <c r="G217" t="str">
        <f>""</f>
        <v/>
      </c>
      <c r="H217" s="1">
        <v>41250</v>
      </c>
      <c r="I217" t="str">
        <f>"TEL00620"</f>
        <v>TEL00620</v>
      </c>
      <c r="J217" t="str">
        <f>""</f>
        <v/>
      </c>
      <c r="K217" t="str">
        <f t="shared" si="53"/>
        <v>AS89</v>
      </c>
      <c r="L217" t="s">
        <v>2101</v>
      </c>
      <c r="M217">
        <v>122.31</v>
      </c>
    </row>
    <row r="218" spans="1:13" x14ac:dyDescent="0.25">
      <c r="A218" t="str">
        <f t="shared" si="57"/>
        <v>E131</v>
      </c>
      <c r="B218">
        <v>1</v>
      </c>
      <c r="C218" t="str">
        <f t="shared" si="54"/>
        <v>43001</v>
      </c>
      <c r="D218" t="str">
        <f t="shared" si="55"/>
        <v>5741</v>
      </c>
      <c r="E218" t="str">
        <f t="shared" si="56"/>
        <v>850LOS</v>
      </c>
      <c r="F218" t="str">
        <f>""</f>
        <v/>
      </c>
      <c r="G218" t="str">
        <f>""</f>
        <v/>
      </c>
      <c r="H218" s="1">
        <v>41290</v>
      </c>
      <c r="I218" t="str">
        <f>"TEL00621"</f>
        <v>TEL00621</v>
      </c>
      <c r="J218" t="str">
        <f>""</f>
        <v/>
      </c>
      <c r="K218" t="str">
        <f t="shared" si="53"/>
        <v>AS89</v>
      </c>
      <c r="L218" t="s">
        <v>2100</v>
      </c>
      <c r="M218">
        <v>122.1</v>
      </c>
    </row>
    <row r="219" spans="1:13" x14ac:dyDescent="0.25">
      <c r="A219" t="str">
        <f t="shared" si="57"/>
        <v>E131</v>
      </c>
      <c r="B219">
        <v>1</v>
      </c>
      <c r="C219" t="str">
        <f t="shared" si="54"/>
        <v>43001</v>
      </c>
      <c r="D219" t="str">
        <f t="shared" si="55"/>
        <v>5741</v>
      </c>
      <c r="E219" t="str">
        <f t="shared" si="56"/>
        <v>850LOS</v>
      </c>
      <c r="F219" t="str">
        <f>""</f>
        <v/>
      </c>
      <c r="G219" t="str">
        <f>""</f>
        <v/>
      </c>
      <c r="H219" s="1">
        <v>41316</v>
      </c>
      <c r="I219" t="str">
        <f>"TEL00622"</f>
        <v>TEL00622</v>
      </c>
      <c r="J219" t="str">
        <f>""</f>
        <v/>
      </c>
      <c r="K219" t="str">
        <f t="shared" si="53"/>
        <v>AS89</v>
      </c>
      <c r="L219" t="s">
        <v>2099</v>
      </c>
      <c r="M219">
        <v>122.1</v>
      </c>
    </row>
    <row r="220" spans="1:13" x14ac:dyDescent="0.25">
      <c r="A220" t="str">
        <f t="shared" si="57"/>
        <v>E131</v>
      </c>
      <c r="B220">
        <v>1</v>
      </c>
      <c r="C220" t="str">
        <f t="shared" si="54"/>
        <v>43001</v>
      </c>
      <c r="D220" t="str">
        <f t="shared" si="55"/>
        <v>5741</v>
      </c>
      <c r="E220" t="str">
        <f t="shared" si="56"/>
        <v>850LOS</v>
      </c>
      <c r="F220" t="str">
        <f>""</f>
        <v/>
      </c>
      <c r="G220" t="str">
        <f>""</f>
        <v/>
      </c>
      <c r="H220" s="1">
        <v>41341</v>
      </c>
      <c r="I220" t="str">
        <f>"TEL00623"</f>
        <v>TEL00623</v>
      </c>
      <c r="J220" t="str">
        <f>""</f>
        <v/>
      </c>
      <c r="K220" t="str">
        <f t="shared" si="53"/>
        <v>AS89</v>
      </c>
      <c r="L220" t="s">
        <v>2098</v>
      </c>
      <c r="M220">
        <v>122.1</v>
      </c>
    </row>
    <row r="221" spans="1:13" x14ac:dyDescent="0.25">
      <c r="A221" t="str">
        <f t="shared" si="57"/>
        <v>E131</v>
      </c>
      <c r="B221">
        <v>1</v>
      </c>
      <c r="C221" t="str">
        <f t="shared" si="54"/>
        <v>43001</v>
      </c>
      <c r="D221" t="str">
        <f t="shared" si="55"/>
        <v>5741</v>
      </c>
      <c r="E221" t="str">
        <f t="shared" si="56"/>
        <v>850LOS</v>
      </c>
      <c r="F221" t="str">
        <f>""</f>
        <v/>
      </c>
      <c r="G221" t="str">
        <f>""</f>
        <v/>
      </c>
      <c r="H221" s="1">
        <v>41381</v>
      </c>
      <c r="I221" t="str">
        <f>"TEL00624"</f>
        <v>TEL00624</v>
      </c>
      <c r="J221" t="str">
        <f>""</f>
        <v/>
      </c>
      <c r="K221" t="str">
        <f t="shared" si="53"/>
        <v>AS89</v>
      </c>
      <c r="L221" t="s">
        <v>2097</v>
      </c>
      <c r="M221">
        <v>122.1</v>
      </c>
    </row>
    <row r="222" spans="1:13" x14ac:dyDescent="0.25">
      <c r="A222" t="str">
        <f t="shared" si="57"/>
        <v>E131</v>
      </c>
      <c r="B222">
        <v>1</v>
      </c>
      <c r="C222" t="str">
        <f t="shared" si="54"/>
        <v>43001</v>
      </c>
      <c r="D222" t="str">
        <f t="shared" si="55"/>
        <v>5741</v>
      </c>
      <c r="E222" t="str">
        <f t="shared" si="56"/>
        <v>850LOS</v>
      </c>
      <c r="F222" t="str">
        <f>""</f>
        <v/>
      </c>
      <c r="G222" t="str">
        <f>""</f>
        <v/>
      </c>
      <c r="H222" s="1">
        <v>41400</v>
      </c>
      <c r="I222" t="str">
        <f>"TEL00625"</f>
        <v>TEL00625</v>
      </c>
      <c r="J222" t="str">
        <f>""</f>
        <v/>
      </c>
      <c r="K222" t="str">
        <f t="shared" si="53"/>
        <v>AS89</v>
      </c>
      <c r="L222" t="s">
        <v>2064</v>
      </c>
      <c r="M222">
        <v>122.86</v>
      </c>
    </row>
    <row r="223" spans="1:13" x14ac:dyDescent="0.25">
      <c r="A223" t="str">
        <f t="shared" si="57"/>
        <v>E131</v>
      </c>
      <c r="B223">
        <v>1</v>
      </c>
      <c r="C223" t="str">
        <f t="shared" si="54"/>
        <v>43001</v>
      </c>
      <c r="D223" t="str">
        <f t="shared" si="55"/>
        <v>5741</v>
      </c>
      <c r="E223" t="str">
        <f t="shared" si="56"/>
        <v>850LOS</v>
      </c>
      <c r="F223" t="str">
        <f>""</f>
        <v/>
      </c>
      <c r="G223" t="str">
        <f>""</f>
        <v/>
      </c>
      <c r="H223" s="1">
        <v>41437</v>
      </c>
      <c r="I223" t="str">
        <f>"TEL00626"</f>
        <v>TEL00626</v>
      </c>
      <c r="J223" t="str">
        <f>""</f>
        <v/>
      </c>
      <c r="K223" t="str">
        <f t="shared" si="53"/>
        <v>AS89</v>
      </c>
      <c r="L223" t="s">
        <v>2096</v>
      </c>
      <c r="M223">
        <v>122.87</v>
      </c>
    </row>
    <row r="224" spans="1:13" x14ac:dyDescent="0.25">
      <c r="A224" t="str">
        <f t="shared" si="57"/>
        <v>E131</v>
      </c>
      <c r="B224">
        <v>1</v>
      </c>
      <c r="C224" t="str">
        <f t="shared" si="54"/>
        <v>43001</v>
      </c>
      <c r="D224" t="str">
        <f t="shared" si="55"/>
        <v>5741</v>
      </c>
      <c r="E224" t="str">
        <f t="shared" si="56"/>
        <v>850LOS</v>
      </c>
      <c r="F224" t="str">
        <f>""</f>
        <v/>
      </c>
      <c r="G224" t="str">
        <f>""</f>
        <v/>
      </c>
      <c r="H224" s="1">
        <v>41455</v>
      </c>
      <c r="I224" t="str">
        <f>"TEL00627"</f>
        <v>TEL00627</v>
      </c>
      <c r="J224" t="str">
        <f>""</f>
        <v/>
      </c>
      <c r="K224" t="str">
        <f t="shared" si="53"/>
        <v>AS89</v>
      </c>
      <c r="L224" t="s">
        <v>2095</v>
      </c>
      <c r="M224">
        <v>122.1</v>
      </c>
    </row>
    <row r="225" spans="1:13" x14ac:dyDescent="0.25">
      <c r="A225" t="str">
        <f t="shared" ref="A225:A248" si="58">"E133"</f>
        <v>E133</v>
      </c>
      <c r="B225">
        <v>1</v>
      </c>
      <c r="C225" t="str">
        <f t="shared" ref="C225:C236" si="59">"10200"</f>
        <v>10200</v>
      </c>
      <c r="D225" t="str">
        <f t="shared" ref="D225:D236" si="60">"5620"</f>
        <v>5620</v>
      </c>
      <c r="E225" t="str">
        <f t="shared" ref="E225:E236" si="61">"094OMS"</f>
        <v>094OMS</v>
      </c>
      <c r="F225" t="str">
        <f>""</f>
        <v/>
      </c>
      <c r="G225" t="str">
        <f>""</f>
        <v/>
      </c>
      <c r="H225" s="1">
        <v>41129</v>
      </c>
      <c r="I225" t="str">
        <f>"03728267"</f>
        <v>03728267</v>
      </c>
      <c r="J225" t="str">
        <f t="shared" ref="J225:J236" si="62">"N138299C"</f>
        <v>N138299C</v>
      </c>
      <c r="K225" t="str">
        <f t="shared" ref="K225:K248" si="63">"INEI"</f>
        <v>INEI</v>
      </c>
      <c r="L225" t="s">
        <v>1382</v>
      </c>
      <c r="M225">
        <v>200.05</v>
      </c>
    </row>
    <row r="226" spans="1:13" x14ac:dyDescent="0.25">
      <c r="A226" t="str">
        <f t="shared" si="58"/>
        <v>E133</v>
      </c>
      <c r="B226">
        <v>1</v>
      </c>
      <c r="C226" t="str">
        <f t="shared" si="59"/>
        <v>10200</v>
      </c>
      <c r="D226" t="str">
        <f t="shared" si="60"/>
        <v>5620</v>
      </c>
      <c r="E226" t="str">
        <f t="shared" si="61"/>
        <v>094OMS</v>
      </c>
      <c r="F226" t="str">
        <f>""</f>
        <v/>
      </c>
      <c r="G226" t="str">
        <f>""</f>
        <v/>
      </c>
      <c r="H226" s="1">
        <v>41156</v>
      </c>
      <c r="I226" t="str">
        <f>"12605368"</f>
        <v>12605368</v>
      </c>
      <c r="J226" t="str">
        <f t="shared" si="62"/>
        <v>N138299C</v>
      </c>
      <c r="K226" t="str">
        <f t="shared" si="63"/>
        <v>INEI</v>
      </c>
      <c r="L226" t="s">
        <v>1382</v>
      </c>
      <c r="M226">
        <v>200.05</v>
      </c>
    </row>
    <row r="227" spans="1:13" x14ac:dyDescent="0.25">
      <c r="A227" t="str">
        <f t="shared" si="58"/>
        <v>E133</v>
      </c>
      <c r="B227">
        <v>1</v>
      </c>
      <c r="C227" t="str">
        <f t="shared" si="59"/>
        <v>10200</v>
      </c>
      <c r="D227" t="str">
        <f t="shared" si="60"/>
        <v>5620</v>
      </c>
      <c r="E227" t="str">
        <f t="shared" si="61"/>
        <v>094OMS</v>
      </c>
      <c r="F227" t="str">
        <f>""</f>
        <v/>
      </c>
      <c r="G227" t="str">
        <f>""</f>
        <v/>
      </c>
      <c r="H227" s="1">
        <v>41190</v>
      </c>
      <c r="I227" t="str">
        <f>"21453593"</f>
        <v>21453593</v>
      </c>
      <c r="J227" t="str">
        <f t="shared" si="62"/>
        <v>N138299C</v>
      </c>
      <c r="K227" t="str">
        <f t="shared" si="63"/>
        <v>INEI</v>
      </c>
      <c r="L227" t="s">
        <v>1382</v>
      </c>
      <c r="M227">
        <v>200.19</v>
      </c>
    </row>
    <row r="228" spans="1:13" x14ac:dyDescent="0.25">
      <c r="A228" t="str">
        <f t="shared" si="58"/>
        <v>E133</v>
      </c>
      <c r="B228">
        <v>1</v>
      </c>
      <c r="C228" t="str">
        <f t="shared" si="59"/>
        <v>10200</v>
      </c>
      <c r="D228" t="str">
        <f t="shared" si="60"/>
        <v>5620</v>
      </c>
      <c r="E228" t="str">
        <f t="shared" si="61"/>
        <v>094OMS</v>
      </c>
      <c r="F228" t="str">
        <f>""</f>
        <v/>
      </c>
      <c r="G228" t="str">
        <f>""</f>
        <v/>
      </c>
      <c r="H228" s="1">
        <v>41220</v>
      </c>
      <c r="I228" t="str">
        <f>"30389473"</f>
        <v>30389473</v>
      </c>
      <c r="J228" t="str">
        <f t="shared" si="62"/>
        <v>N138299C</v>
      </c>
      <c r="K228" t="str">
        <f t="shared" si="63"/>
        <v>INEI</v>
      </c>
      <c r="L228" t="s">
        <v>1382</v>
      </c>
      <c r="M228">
        <v>200.05</v>
      </c>
    </row>
    <row r="229" spans="1:13" x14ac:dyDescent="0.25">
      <c r="A229" t="str">
        <f t="shared" si="58"/>
        <v>E133</v>
      </c>
      <c r="B229">
        <v>1</v>
      </c>
      <c r="C229" t="str">
        <f t="shared" si="59"/>
        <v>10200</v>
      </c>
      <c r="D229" t="str">
        <f t="shared" si="60"/>
        <v>5620</v>
      </c>
      <c r="E229" t="str">
        <f t="shared" si="61"/>
        <v>094OMS</v>
      </c>
      <c r="F229" t="str">
        <f>""</f>
        <v/>
      </c>
      <c r="G229" t="str">
        <f>""</f>
        <v/>
      </c>
      <c r="H229" s="1">
        <v>41255</v>
      </c>
      <c r="I229" t="str">
        <f>"39353340"</f>
        <v>39353340</v>
      </c>
      <c r="J229" t="str">
        <f t="shared" si="62"/>
        <v>N138299C</v>
      </c>
      <c r="K229" t="str">
        <f t="shared" si="63"/>
        <v>INEI</v>
      </c>
      <c r="L229" t="s">
        <v>1382</v>
      </c>
      <c r="M229">
        <v>200.19</v>
      </c>
    </row>
    <row r="230" spans="1:13" x14ac:dyDescent="0.25">
      <c r="A230" t="str">
        <f t="shared" si="58"/>
        <v>E133</v>
      </c>
      <c r="B230">
        <v>1</v>
      </c>
      <c r="C230" t="str">
        <f t="shared" si="59"/>
        <v>10200</v>
      </c>
      <c r="D230" t="str">
        <f t="shared" si="60"/>
        <v>5620</v>
      </c>
      <c r="E230" t="str">
        <f t="shared" si="61"/>
        <v>094OMS</v>
      </c>
      <c r="F230" t="str">
        <f>""</f>
        <v/>
      </c>
      <c r="G230" t="str">
        <f>""</f>
        <v/>
      </c>
      <c r="H230" s="1">
        <v>41282</v>
      </c>
      <c r="I230" t="str">
        <f>"48336622"</f>
        <v>48336622</v>
      </c>
      <c r="J230" t="str">
        <f t="shared" si="62"/>
        <v>N138299C</v>
      </c>
      <c r="K230" t="str">
        <f t="shared" si="63"/>
        <v>INEI</v>
      </c>
      <c r="L230" t="s">
        <v>1382</v>
      </c>
      <c r="M230">
        <v>200.07</v>
      </c>
    </row>
    <row r="231" spans="1:13" x14ac:dyDescent="0.25">
      <c r="A231" t="str">
        <f t="shared" si="58"/>
        <v>E133</v>
      </c>
      <c r="B231">
        <v>1</v>
      </c>
      <c r="C231" t="str">
        <f t="shared" si="59"/>
        <v>10200</v>
      </c>
      <c r="D231" t="str">
        <f t="shared" si="60"/>
        <v>5620</v>
      </c>
      <c r="E231" t="str">
        <f t="shared" si="61"/>
        <v>094OMS</v>
      </c>
      <c r="F231" t="str">
        <f>""</f>
        <v/>
      </c>
      <c r="G231" t="str">
        <f>""</f>
        <v/>
      </c>
      <c r="H231" s="1">
        <v>41309</v>
      </c>
      <c r="I231" t="str">
        <f>"57319962"</f>
        <v>57319962</v>
      </c>
      <c r="J231" t="str">
        <f t="shared" si="62"/>
        <v>N138299C</v>
      </c>
      <c r="K231" t="str">
        <f t="shared" si="63"/>
        <v>INEI</v>
      </c>
      <c r="L231" t="s">
        <v>1382</v>
      </c>
      <c r="M231">
        <v>200.07</v>
      </c>
    </row>
    <row r="232" spans="1:13" x14ac:dyDescent="0.25">
      <c r="A232" t="str">
        <f t="shared" si="58"/>
        <v>E133</v>
      </c>
      <c r="B232">
        <v>1</v>
      </c>
      <c r="C232" t="str">
        <f t="shared" si="59"/>
        <v>10200</v>
      </c>
      <c r="D232" t="str">
        <f t="shared" si="60"/>
        <v>5620</v>
      </c>
      <c r="E232" t="str">
        <f t="shared" si="61"/>
        <v>094OMS</v>
      </c>
      <c r="F232" t="str">
        <f>""</f>
        <v/>
      </c>
      <c r="G232" t="str">
        <f>""</f>
        <v/>
      </c>
      <c r="H232" s="1">
        <v>41340</v>
      </c>
      <c r="I232" t="str">
        <f>"66250156"</f>
        <v>66250156</v>
      </c>
      <c r="J232" t="str">
        <f t="shared" si="62"/>
        <v>N138299C</v>
      </c>
      <c r="K232" t="str">
        <f t="shared" si="63"/>
        <v>INEI</v>
      </c>
      <c r="L232" t="s">
        <v>1382</v>
      </c>
      <c r="M232">
        <v>212.68</v>
      </c>
    </row>
    <row r="233" spans="1:13" x14ac:dyDescent="0.25">
      <c r="A233" t="str">
        <f t="shared" si="58"/>
        <v>E133</v>
      </c>
      <c r="B233">
        <v>1</v>
      </c>
      <c r="C233" t="str">
        <f t="shared" si="59"/>
        <v>10200</v>
      </c>
      <c r="D233" t="str">
        <f t="shared" si="60"/>
        <v>5620</v>
      </c>
      <c r="E233" t="str">
        <f t="shared" si="61"/>
        <v>094OMS</v>
      </c>
      <c r="F233" t="str">
        <f>""</f>
        <v/>
      </c>
      <c r="G233" t="str">
        <f>""</f>
        <v/>
      </c>
      <c r="H233" s="1">
        <v>41369</v>
      </c>
      <c r="I233" t="str">
        <f>"01881285"</f>
        <v>01881285</v>
      </c>
      <c r="J233" t="str">
        <f t="shared" si="62"/>
        <v>N138299C</v>
      </c>
      <c r="K233" t="str">
        <f t="shared" si="63"/>
        <v>INEI</v>
      </c>
      <c r="L233" t="s">
        <v>1382</v>
      </c>
      <c r="M233">
        <v>200.09</v>
      </c>
    </row>
    <row r="234" spans="1:13" x14ac:dyDescent="0.25">
      <c r="A234" t="str">
        <f t="shared" si="58"/>
        <v>E133</v>
      </c>
      <c r="B234">
        <v>1</v>
      </c>
      <c r="C234" t="str">
        <f t="shared" si="59"/>
        <v>10200</v>
      </c>
      <c r="D234" t="str">
        <f t="shared" si="60"/>
        <v>5620</v>
      </c>
      <c r="E234" t="str">
        <f t="shared" si="61"/>
        <v>094OMS</v>
      </c>
      <c r="F234" t="str">
        <f>""</f>
        <v/>
      </c>
      <c r="G234" t="str">
        <f>""</f>
        <v/>
      </c>
      <c r="H234" s="1">
        <v>41400</v>
      </c>
      <c r="I234" t="str">
        <f>"03540575"</f>
        <v>03540575</v>
      </c>
      <c r="J234" t="str">
        <f t="shared" si="62"/>
        <v>N138299C</v>
      </c>
      <c r="K234" t="str">
        <f t="shared" si="63"/>
        <v>INEI</v>
      </c>
      <c r="L234" t="s">
        <v>1382</v>
      </c>
      <c r="M234">
        <v>201.48</v>
      </c>
    </row>
    <row r="235" spans="1:13" x14ac:dyDescent="0.25">
      <c r="A235" t="str">
        <f t="shared" si="58"/>
        <v>E133</v>
      </c>
      <c r="B235">
        <v>1</v>
      </c>
      <c r="C235" t="str">
        <f t="shared" si="59"/>
        <v>10200</v>
      </c>
      <c r="D235" t="str">
        <f t="shared" si="60"/>
        <v>5620</v>
      </c>
      <c r="E235" t="str">
        <f t="shared" si="61"/>
        <v>094OMS</v>
      </c>
      <c r="F235" t="str">
        <f>""</f>
        <v/>
      </c>
      <c r="G235" t="str">
        <f>""</f>
        <v/>
      </c>
      <c r="H235" s="1">
        <v>41431</v>
      </c>
      <c r="I235" t="str">
        <f>"05205077"</f>
        <v>05205077</v>
      </c>
      <c r="J235" t="str">
        <f t="shared" si="62"/>
        <v>N138299C</v>
      </c>
      <c r="K235" t="str">
        <f t="shared" si="63"/>
        <v>INEI</v>
      </c>
      <c r="L235" t="s">
        <v>1382</v>
      </c>
      <c r="M235">
        <v>200.05</v>
      </c>
    </row>
    <row r="236" spans="1:13" x14ac:dyDescent="0.25">
      <c r="A236" t="str">
        <f t="shared" si="58"/>
        <v>E133</v>
      </c>
      <c r="B236">
        <v>1</v>
      </c>
      <c r="C236" t="str">
        <f t="shared" si="59"/>
        <v>10200</v>
      </c>
      <c r="D236" t="str">
        <f t="shared" si="60"/>
        <v>5620</v>
      </c>
      <c r="E236" t="str">
        <f t="shared" si="61"/>
        <v>094OMS</v>
      </c>
      <c r="F236" t="str">
        <f>""</f>
        <v/>
      </c>
      <c r="G236" t="str">
        <f>""</f>
        <v/>
      </c>
      <c r="H236" s="1">
        <v>41455</v>
      </c>
      <c r="I236" t="str">
        <f>"06873361"</f>
        <v>06873361</v>
      </c>
      <c r="J236" t="str">
        <f t="shared" si="62"/>
        <v>N138299C</v>
      </c>
      <c r="K236" t="str">
        <f t="shared" si="63"/>
        <v>INEI</v>
      </c>
      <c r="L236" t="s">
        <v>1382</v>
      </c>
      <c r="M236">
        <v>200.05</v>
      </c>
    </row>
    <row r="237" spans="1:13" x14ac:dyDescent="0.25">
      <c r="A237" t="str">
        <f t="shared" si="58"/>
        <v>E133</v>
      </c>
      <c r="B237">
        <v>1</v>
      </c>
      <c r="C237" t="str">
        <f t="shared" ref="C237:C248" si="64">"43003"</f>
        <v>43003</v>
      </c>
      <c r="D237" t="str">
        <f t="shared" ref="D237:D248" si="65">"5740"</f>
        <v>5740</v>
      </c>
      <c r="E237" t="str">
        <f t="shared" ref="E237:E248" si="66">"850LOS"</f>
        <v>850LOS</v>
      </c>
      <c r="F237" t="str">
        <f>""</f>
        <v/>
      </c>
      <c r="G237" t="str">
        <f>""</f>
        <v/>
      </c>
      <c r="H237" s="1">
        <v>41127</v>
      </c>
      <c r="I237" t="str">
        <f>"I0104134"</f>
        <v>I0104134</v>
      </c>
      <c r="J237" t="str">
        <f t="shared" ref="J237:J248" si="67">"N138259C"</f>
        <v>N138259C</v>
      </c>
      <c r="K237" t="str">
        <f t="shared" si="63"/>
        <v>INEI</v>
      </c>
      <c r="L237" t="s">
        <v>1381</v>
      </c>
      <c r="M237">
        <v>483.25</v>
      </c>
    </row>
    <row r="238" spans="1:13" x14ac:dyDescent="0.25">
      <c r="A238" t="str">
        <f t="shared" si="58"/>
        <v>E133</v>
      </c>
      <c r="B238">
        <v>1</v>
      </c>
      <c r="C238" t="str">
        <f t="shared" si="64"/>
        <v>43003</v>
      </c>
      <c r="D238" t="str">
        <f t="shared" si="65"/>
        <v>5740</v>
      </c>
      <c r="E238" t="str">
        <f t="shared" si="66"/>
        <v>850LOS</v>
      </c>
      <c r="F238" t="str">
        <f>""</f>
        <v/>
      </c>
      <c r="G238" t="str">
        <f>""</f>
        <v/>
      </c>
      <c r="H238" s="1">
        <v>41158</v>
      </c>
      <c r="I238" t="str">
        <f>"I0104348"</f>
        <v>I0104348</v>
      </c>
      <c r="J238" t="str">
        <f t="shared" si="67"/>
        <v>N138259C</v>
      </c>
      <c r="K238" t="str">
        <f t="shared" si="63"/>
        <v>INEI</v>
      </c>
      <c r="L238" t="s">
        <v>1381</v>
      </c>
      <c r="M238">
        <v>482.79</v>
      </c>
    </row>
    <row r="239" spans="1:13" x14ac:dyDescent="0.25">
      <c r="A239" t="str">
        <f t="shared" si="58"/>
        <v>E133</v>
      </c>
      <c r="B239">
        <v>1</v>
      </c>
      <c r="C239" t="str">
        <f t="shared" si="64"/>
        <v>43003</v>
      </c>
      <c r="D239" t="str">
        <f t="shared" si="65"/>
        <v>5740</v>
      </c>
      <c r="E239" t="str">
        <f t="shared" si="66"/>
        <v>850LOS</v>
      </c>
      <c r="F239" t="str">
        <f>""</f>
        <v/>
      </c>
      <c r="G239" t="str">
        <f>""</f>
        <v/>
      </c>
      <c r="H239" s="1">
        <v>41190</v>
      </c>
      <c r="I239" t="str">
        <f>"I0104507"</f>
        <v>I0104507</v>
      </c>
      <c r="J239" t="str">
        <f t="shared" si="67"/>
        <v>N138259C</v>
      </c>
      <c r="K239" t="str">
        <f t="shared" si="63"/>
        <v>INEI</v>
      </c>
      <c r="L239" t="s">
        <v>1381</v>
      </c>
      <c r="M239">
        <v>482.57</v>
      </c>
    </row>
    <row r="240" spans="1:13" x14ac:dyDescent="0.25">
      <c r="A240" t="str">
        <f t="shared" si="58"/>
        <v>E133</v>
      </c>
      <c r="B240">
        <v>1</v>
      </c>
      <c r="C240" t="str">
        <f t="shared" si="64"/>
        <v>43003</v>
      </c>
      <c r="D240" t="str">
        <f t="shared" si="65"/>
        <v>5740</v>
      </c>
      <c r="E240" t="str">
        <f t="shared" si="66"/>
        <v>850LOS</v>
      </c>
      <c r="F240" t="str">
        <f>""</f>
        <v/>
      </c>
      <c r="G240" t="str">
        <f>""</f>
        <v/>
      </c>
      <c r="H240" s="1">
        <v>41220</v>
      </c>
      <c r="I240" t="str">
        <f>"I0104728"</f>
        <v>I0104728</v>
      </c>
      <c r="J240" t="str">
        <f t="shared" si="67"/>
        <v>N138259C</v>
      </c>
      <c r="K240" t="str">
        <f t="shared" si="63"/>
        <v>INEI</v>
      </c>
      <c r="L240" t="s">
        <v>1381</v>
      </c>
      <c r="M240">
        <v>477.29</v>
      </c>
    </row>
    <row r="241" spans="1:13" x14ac:dyDescent="0.25">
      <c r="A241" t="str">
        <f t="shared" si="58"/>
        <v>E133</v>
      </c>
      <c r="B241">
        <v>1</v>
      </c>
      <c r="C241" t="str">
        <f t="shared" si="64"/>
        <v>43003</v>
      </c>
      <c r="D241" t="str">
        <f t="shared" si="65"/>
        <v>5740</v>
      </c>
      <c r="E241" t="str">
        <f t="shared" si="66"/>
        <v>850LOS</v>
      </c>
      <c r="F241" t="str">
        <f>""</f>
        <v/>
      </c>
      <c r="G241" t="str">
        <f>""</f>
        <v/>
      </c>
      <c r="H241" s="1">
        <v>41254</v>
      </c>
      <c r="I241" t="str">
        <f>"I0104894"</f>
        <v>I0104894</v>
      </c>
      <c r="J241" t="str">
        <f t="shared" si="67"/>
        <v>N138259C</v>
      </c>
      <c r="K241" t="str">
        <f t="shared" si="63"/>
        <v>INEI</v>
      </c>
      <c r="L241" t="s">
        <v>1381</v>
      </c>
      <c r="M241">
        <v>477.51</v>
      </c>
    </row>
    <row r="242" spans="1:13" x14ac:dyDescent="0.25">
      <c r="A242" t="str">
        <f t="shared" si="58"/>
        <v>E133</v>
      </c>
      <c r="B242">
        <v>1</v>
      </c>
      <c r="C242" t="str">
        <f t="shared" si="64"/>
        <v>43003</v>
      </c>
      <c r="D242" t="str">
        <f t="shared" si="65"/>
        <v>5740</v>
      </c>
      <c r="E242" t="str">
        <f t="shared" si="66"/>
        <v>850LOS</v>
      </c>
      <c r="F242" t="str">
        <f>""</f>
        <v/>
      </c>
      <c r="G242" t="str">
        <f>""</f>
        <v/>
      </c>
      <c r="H242" s="1">
        <v>41282</v>
      </c>
      <c r="I242" t="str">
        <f>"I0105110"</f>
        <v>I0105110</v>
      </c>
      <c r="J242" t="str">
        <f t="shared" si="67"/>
        <v>N138259C</v>
      </c>
      <c r="K242" t="str">
        <f t="shared" si="63"/>
        <v>INEI</v>
      </c>
      <c r="L242" t="s">
        <v>1381</v>
      </c>
      <c r="M242">
        <v>477.29</v>
      </c>
    </row>
    <row r="243" spans="1:13" x14ac:dyDescent="0.25">
      <c r="A243" t="str">
        <f t="shared" si="58"/>
        <v>E133</v>
      </c>
      <c r="B243">
        <v>1</v>
      </c>
      <c r="C243" t="str">
        <f t="shared" si="64"/>
        <v>43003</v>
      </c>
      <c r="D243" t="str">
        <f t="shared" si="65"/>
        <v>5740</v>
      </c>
      <c r="E243" t="str">
        <f t="shared" si="66"/>
        <v>850LOS</v>
      </c>
      <c r="F243" t="str">
        <f>""</f>
        <v/>
      </c>
      <c r="G243" t="str">
        <f>""</f>
        <v/>
      </c>
      <c r="H243" s="1">
        <v>41312</v>
      </c>
      <c r="I243" t="str">
        <f>"I0105298"</f>
        <v>I0105298</v>
      </c>
      <c r="J243" t="str">
        <f t="shared" si="67"/>
        <v>N138259C</v>
      </c>
      <c r="K243" t="str">
        <f t="shared" si="63"/>
        <v>INEI</v>
      </c>
      <c r="L243" t="s">
        <v>1381</v>
      </c>
      <c r="M243">
        <v>478.56</v>
      </c>
    </row>
    <row r="244" spans="1:13" x14ac:dyDescent="0.25">
      <c r="A244" t="str">
        <f t="shared" si="58"/>
        <v>E133</v>
      </c>
      <c r="B244">
        <v>1</v>
      </c>
      <c r="C244" t="str">
        <f t="shared" si="64"/>
        <v>43003</v>
      </c>
      <c r="D244" t="str">
        <f t="shared" si="65"/>
        <v>5740</v>
      </c>
      <c r="E244" t="str">
        <f t="shared" si="66"/>
        <v>850LOS</v>
      </c>
      <c r="F244" t="str">
        <f>""</f>
        <v/>
      </c>
      <c r="G244" t="str">
        <f>""</f>
        <v/>
      </c>
      <c r="H244" s="1">
        <v>41337</v>
      </c>
      <c r="I244" t="str">
        <f>"I0105480"</f>
        <v>I0105480</v>
      </c>
      <c r="J244" t="str">
        <f t="shared" si="67"/>
        <v>N138259C</v>
      </c>
      <c r="K244" t="str">
        <f t="shared" si="63"/>
        <v>INEI</v>
      </c>
      <c r="L244" t="s">
        <v>1381</v>
      </c>
      <c r="M244">
        <v>477.62</v>
      </c>
    </row>
    <row r="245" spans="1:13" x14ac:dyDescent="0.25">
      <c r="A245" t="str">
        <f t="shared" si="58"/>
        <v>E133</v>
      </c>
      <c r="B245">
        <v>1</v>
      </c>
      <c r="C245" t="str">
        <f t="shared" si="64"/>
        <v>43003</v>
      </c>
      <c r="D245" t="str">
        <f t="shared" si="65"/>
        <v>5740</v>
      </c>
      <c r="E245" t="str">
        <f t="shared" si="66"/>
        <v>850LOS</v>
      </c>
      <c r="F245" t="str">
        <f>""</f>
        <v/>
      </c>
      <c r="G245" t="str">
        <f>""</f>
        <v/>
      </c>
      <c r="H245" s="1">
        <v>41372</v>
      </c>
      <c r="I245" t="str">
        <f>"I0105712"</f>
        <v>I0105712</v>
      </c>
      <c r="J245" t="str">
        <f t="shared" si="67"/>
        <v>N138259C</v>
      </c>
      <c r="K245" t="str">
        <f t="shared" si="63"/>
        <v>INEI</v>
      </c>
      <c r="L245" t="s">
        <v>1381</v>
      </c>
      <c r="M245">
        <v>478.28</v>
      </c>
    </row>
    <row r="246" spans="1:13" x14ac:dyDescent="0.25">
      <c r="A246" t="str">
        <f t="shared" si="58"/>
        <v>E133</v>
      </c>
      <c r="B246">
        <v>1</v>
      </c>
      <c r="C246" t="str">
        <f t="shared" si="64"/>
        <v>43003</v>
      </c>
      <c r="D246" t="str">
        <f t="shared" si="65"/>
        <v>5740</v>
      </c>
      <c r="E246" t="str">
        <f t="shared" si="66"/>
        <v>850LOS</v>
      </c>
      <c r="F246" t="str">
        <f>""</f>
        <v/>
      </c>
      <c r="G246" t="str">
        <f>""</f>
        <v/>
      </c>
      <c r="H246" s="1">
        <v>41400</v>
      </c>
      <c r="I246" t="str">
        <f>"I0105976"</f>
        <v>I0105976</v>
      </c>
      <c r="J246" t="str">
        <f t="shared" si="67"/>
        <v>N138259C</v>
      </c>
      <c r="K246" t="str">
        <f t="shared" si="63"/>
        <v>INEI</v>
      </c>
      <c r="L246" t="s">
        <v>1381</v>
      </c>
      <c r="M246">
        <v>476.52</v>
      </c>
    </row>
    <row r="247" spans="1:13" x14ac:dyDescent="0.25">
      <c r="A247" t="str">
        <f t="shared" si="58"/>
        <v>E133</v>
      </c>
      <c r="B247">
        <v>1</v>
      </c>
      <c r="C247" t="str">
        <f t="shared" si="64"/>
        <v>43003</v>
      </c>
      <c r="D247" t="str">
        <f t="shared" si="65"/>
        <v>5740</v>
      </c>
      <c r="E247" t="str">
        <f t="shared" si="66"/>
        <v>850LOS</v>
      </c>
      <c r="F247" t="str">
        <f>""</f>
        <v/>
      </c>
      <c r="G247" t="str">
        <f>""</f>
        <v/>
      </c>
      <c r="H247" s="1">
        <v>41431</v>
      </c>
      <c r="I247" t="str">
        <f>"I0106181"</f>
        <v>I0106181</v>
      </c>
      <c r="J247" t="str">
        <f t="shared" si="67"/>
        <v>N138259C</v>
      </c>
      <c r="K247" t="str">
        <f t="shared" si="63"/>
        <v>INEI</v>
      </c>
      <c r="L247" t="s">
        <v>1381</v>
      </c>
      <c r="M247">
        <v>476.74</v>
      </c>
    </row>
    <row r="248" spans="1:13" x14ac:dyDescent="0.25">
      <c r="A248" t="str">
        <f t="shared" si="58"/>
        <v>E133</v>
      </c>
      <c r="B248">
        <v>1</v>
      </c>
      <c r="C248" t="str">
        <f t="shared" si="64"/>
        <v>43003</v>
      </c>
      <c r="D248" t="str">
        <f t="shared" si="65"/>
        <v>5740</v>
      </c>
      <c r="E248" t="str">
        <f t="shared" si="66"/>
        <v>850LOS</v>
      </c>
      <c r="F248" t="str">
        <f>""</f>
        <v/>
      </c>
      <c r="G248" t="str">
        <f>""</f>
        <v/>
      </c>
      <c r="H248" s="1">
        <v>41455</v>
      </c>
      <c r="I248" t="str">
        <f>"I0106422"</f>
        <v>I0106422</v>
      </c>
      <c r="J248" t="str">
        <f t="shared" si="67"/>
        <v>N138259C</v>
      </c>
      <c r="K248" t="str">
        <f t="shared" si="63"/>
        <v>INEI</v>
      </c>
      <c r="L248" t="s">
        <v>1381</v>
      </c>
      <c r="M248">
        <v>476.52</v>
      </c>
    </row>
    <row r="249" spans="1:13" x14ac:dyDescent="0.25">
      <c r="A249" t="str">
        <f>"E150"</f>
        <v>E150</v>
      </c>
      <c r="B249">
        <v>1</v>
      </c>
      <c r="C249" t="str">
        <f>"10200"</f>
        <v>10200</v>
      </c>
      <c r="D249" t="str">
        <f>"5620"</f>
        <v>5620</v>
      </c>
      <c r="E249" t="str">
        <f>"094OMS"</f>
        <v>094OMS</v>
      </c>
      <c r="F249" t="str">
        <f>""</f>
        <v/>
      </c>
      <c r="G249" t="str">
        <f>""</f>
        <v/>
      </c>
      <c r="H249" s="1">
        <v>41305</v>
      </c>
      <c r="I249" t="str">
        <f>"MPG00422"</f>
        <v>MPG00422</v>
      </c>
      <c r="J249" t="str">
        <f>"0"</f>
        <v>0</v>
      </c>
      <c r="K249" t="str">
        <f>"AS89"</f>
        <v>AS89</v>
      </c>
      <c r="L249" t="s">
        <v>2093</v>
      </c>
      <c r="M249" s="2">
        <v>49200</v>
      </c>
    </row>
    <row r="250" spans="1:13" x14ac:dyDescent="0.25">
      <c r="A250" t="str">
        <f>"E150"</f>
        <v>E150</v>
      </c>
      <c r="B250">
        <v>1</v>
      </c>
      <c r="C250" t="str">
        <f>"10200"</f>
        <v>10200</v>
      </c>
      <c r="D250" t="str">
        <f>"5620"</f>
        <v>5620</v>
      </c>
      <c r="E250" t="str">
        <f>"094OMS"</f>
        <v>094OMS</v>
      </c>
      <c r="F250" t="str">
        <f>""</f>
        <v/>
      </c>
      <c r="G250" t="str">
        <f>""</f>
        <v/>
      </c>
      <c r="H250" s="1">
        <v>41344</v>
      </c>
      <c r="I250" t="str">
        <f>"210957"</f>
        <v>210957</v>
      </c>
      <c r="J250" t="str">
        <f>""</f>
        <v/>
      </c>
      <c r="K250" t="str">
        <f>"INNI"</f>
        <v>INNI</v>
      </c>
      <c r="L250" t="s">
        <v>179</v>
      </c>
      <c r="M250" s="2">
        <v>5042.5</v>
      </c>
    </row>
    <row r="251" spans="1:13" x14ac:dyDescent="0.25">
      <c r="A251" t="str">
        <f>"E150"</f>
        <v>E150</v>
      </c>
      <c r="B251">
        <v>1</v>
      </c>
      <c r="C251" t="str">
        <f>"32040"</f>
        <v>32040</v>
      </c>
      <c r="D251" t="str">
        <f>"5610"</f>
        <v>5610</v>
      </c>
      <c r="E251" t="str">
        <f>"850LOS"</f>
        <v>850LOS</v>
      </c>
      <c r="F251" t="str">
        <f>""</f>
        <v/>
      </c>
      <c r="G251" t="str">
        <f>""</f>
        <v/>
      </c>
      <c r="H251" s="1">
        <v>41455</v>
      </c>
      <c r="I251" t="str">
        <f>"MPG00427"</f>
        <v>MPG00427</v>
      </c>
      <c r="J251" t="str">
        <f>"0"</f>
        <v>0</v>
      </c>
      <c r="K251" t="str">
        <f>"AS89"</f>
        <v>AS89</v>
      </c>
      <c r="L251" t="s">
        <v>2092</v>
      </c>
      <c r="M251" s="2">
        <v>5500</v>
      </c>
    </row>
    <row r="252" spans="1:13" x14ac:dyDescent="0.25">
      <c r="A252" t="str">
        <f>"E157"</f>
        <v>E157</v>
      </c>
      <c r="B252">
        <v>1</v>
      </c>
      <c r="C252" t="str">
        <f>"10200"</f>
        <v>10200</v>
      </c>
      <c r="D252" t="str">
        <f>"5620"</f>
        <v>5620</v>
      </c>
      <c r="E252" t="str">
        <f>"094OMS"</f>
        <v>094OMS</v>
      </c>
      <c r="F252" t="str">
        <f>""</f>
        <v/>
      </c>
      <c r="G252" t="str">
        <f>""</f>
        <v/>
      </c>
      <c r="H252" s="1">
        <v>41122</v>
      </c>
      <c r="I252" t="str">
        <f>"1200724"</f>
        <v>1200724</v>
      </c>
      <c r="J252" t="str">
        <f>"N076270H"</f>
        <v>N076270H</v>
      </c>
      <c r="K252" t="str">
        <f>"INEI"</f>
        <v>INEI</v>
      </c>
      <c r="L252" t="s">
        <v>226</v>
      </c>
      <c r="M252" s="2">
        <v>4755.63</v>
      </c>
    </row>
    <row r="253" spans="1:13" x14ac:dyDescent="0.25">
      <c r="A253" t="str">
        <f>"E157"</f>
        <v>E157</v>
      </c>
      <c r="B253">
        <v>1</v>
      </c>
      <c r="C253" t="str">
        <f>"31040"</f>
        <v>31040</v>
      </c>
      <c r="D253" t="str">
        <f>"5620"</f>
        <v>5620</v>
      </c>
      <c r="E253" t="str">
        <f>"094OMS"</f>
        <v>094OMS</v>
      </c>
      <c r="F253" t="str">
        <f>""</f>
        <v/>
      </c>
      <c r="G253" t="str">
        <f>""</f>
        <v/>
      </c>
      <c r="H253" s="1">
        <v>41275</v>
      </c>
      <c r="I253" t="str">
        <f>"J0003158"</f>
        <v>J0003158</v>
      </c>
      <c r="J253" t="str">
        <f>""</f>
        <v/>
      </c>
      <c r="K253" t="str">
        <f>"J096"</f>
        <v>J096</v>
      </c>
      <c r="L253" t="s">
        <v>2091</v>
      </c>
      <c r="M253">
        <v>250</v>
      </c>
    </row>
    <row r="254" spans="1:13" x14ac:dyDescent="0.25">
      <c r="A254" t="str">
        <f>"E157"</f>
        <v>E157</v>
      </c>
      <c r="B254">
        <v>1</v>
      </c>
      <c r="C254" t="str">
        <f>"43000"</f>
        <v>43000</v>
      </c>
      <c r="D254" t="str">
        <f>"5740"</f>
        <v>5740</v>
      </c>
      <c r="E254" t="str">
        <f>"850LOS"</f>
        <v>850LOS</v>
      </c>
      <c r="F254" t="str">
        <f>""</f>
        <v/>
      </c>
      <c r="G254" t="str">
        <f>""</f>
        <v/>
      </c>
      <c r="H254" s="1">
        <v>41275</v>
      </c>
      <c r="I254" t="str">
        <f>"J0003158"</f>
        <v>J0003158</v>
      </c>
      <c r="J254" t="str">
        <f>""</f>
        <v/>
      </c>
      <c r="K254" t="str">
        <f>"J096"</f>
        <v>J096</v>
      </c>
      <c r="L254" t="s">
        <v>2091</v>
      </c>
      <c r="M254">
        <v>250</v>
      </c>
    </row>
    <row r="255" spans="1:13" x14ac:dyDescent="0.25">
      <c r="A255" t="str">
        <f t="shared" ref="A255:A301" si="68">"E160"</f>
        <v>E160</v>
      </c>
      <c r="B255">
        <v>1</v>
      </c>
      <c r="C255" t="str">
        <f t="shared" ref="C255:C278" si="69">"10200"</f>
        <v>10200</v>
      </c>
      <c r="D255" t="str">
        <f t="shared" ref="D255:D277" si="70">"5620"</f>
        <v>5620</v>
      </c>
      <c r="E255" t="str">
        <f t="shared" ref="E255:E277" si="71">"094OMS"</f>
        <v>094OMS</v>
      </c>
      <c r="F255" t="str">
        <f>""</f>
        <v/>
      </c>
      <c r="G255" t="str">
        <f>""</f>
        <v/>
      </c>
      <c r="H255" s="1">
        <v>41091</v>
      </c>
      <c r="I255" t="str">
        <f>"PHY00585"</f>
        <v>PHY00585</v>
      </c>
      <c r="J255" t="str">
        <f>"W0002217"</f>
        <v>W0002217</v>
      </c>
      <c r="K255" t="str">
        <f t="shared" ref="K255:K279" si="72">"AS89"</f>
        <v>AS89</v>
      </c>
      <c r="L255" t="s">
        <v>2081</v>
      </c>
      <c r="M255">
        <v>450.06</v>
      </c>
    </row>
    <row r="256" spans="1:13" x14ac:dyDescent="0.25">
      <c r="A256" t="str">
        <f t="shared" si="68"/>
        <v>E160</v>
      </c>
      <c r="B256">
        <v>1</v>
      </c>
      <c r="C256" t="str">
        <f t="shared" si="69"/>
        <v>10200</v>
      </c>
      <c r="D256" t="str">
        <f t="shared" si="70"/>
        <v>5620</v>
      </c>
      <c r="E256" t="str">
        <f t="shared" si="71"/>
        <v>094OMS</v>
      </c>
      <c r="F256" t="str">
        <f>""</f>
        <v/>
      </c>
      <c r="G256" t="str">
        <f>""</f>
        <v/>
      </c>
      <c r="H256" s="1">
        <v>41091</v>
      </c>
      <c r="I256" t="str">
        <f>"PHY00585"</f>
        <v>PHY00585</v>
      </c>
      <c r="J256" t="str">
        <f>"W0091577"</f>
        <v>W0091577</v>
      </c>
      <c r="K256" t="str">
        <f t="shared" si="72"/>
        <v>AS89</v>
      </c>
      <c r="L256" t="s">
        <v>2090</v>
      </c>
      <c r="M256">
        <v>726.05</v>
      </c>
    </row>
    <row r="257" spans="1:13" x14ac:dyDescent="0.25">
      <c r="A257" t="str">
        <f t="shared" si="68"/>
        <v>E160</v>
      </c>
      <c r="B257">
        <v>1</v>
      </c>
      <c r="C257" t="str">
        <f t="shared" si="69"/>
        <v>10200</v>
      </c>
      <c r="D257" t="str">
        <f t="shared" si="70"/>
        <v>5620</v>
      </c>
      <c r="E257" t="str">
        <f t="shared" si="71"/>
        <v>094OMS</v>
      </c>
      <c r="F257" t="str">
        <f>""</f>
        <v/>
      </c>
      <c r="G257" t="str">
        <f>""</f>
        <v/>
      </c>
      <c r="H257" s="1">
        <v>41153</v>
      </c>
      <c r="I257" t="str">
        <f>"PHY00588"</f>
        <v>PHY00588</v>
      </c>
      <c r="J257" t="str">
        <f>"W0099564"</f>
        <v>W0099564</v>
      </c>
      <c r="K257" t="str">
        <f t="shared" si="72"/>
        <v>AS89</v>
      </c>
      <c r="L257" t="s">
        <v>2089</v>
      </c>
      <c r="M257">
        <v>460.11</v>
      </c>
    </row>
    <row r="258" spans="1:13" x14ac:dyDescent="0.25">
      <c r="A258" t="str">
        <f t="shared" si="68"/>
        <v>E160</v>
      </c>
      <c r="B258">
        <v>1</v>
      </c>
      <c r="C258" t="str">
        <f t="shared" si="69"/>
        <v>10200</v>
      </c>
      <c r="D258" t="str">
        <f t="shared" si="70"/>
        <v>5620</v>
      </c>
      <c r="E258" t="str">
        <f t="shared" si="71"/>
        <v>094OMS</v>
      </c>
      <c r="F258" t="str">
        <f>""</f>
        <v/>
      </c>
      <c r="G258" t="str">
        <f>""</f>
        <v/>
      </c>
      <c r="H258" s="1">
        <v>41153</v>
      </c>
      <c r="I258" t="str">
        <f>"PHY00588"</f>
        <v>PHY00588</v>
      </c>
      <c r="J258" t="str">
        <f>"W0100531"</f>
        <v>W0100531</v>
      </c>
      <c r="K258" t="str">
        <f t="shared" si="72"/>
        <v>AS89</v>
      </c>
      <c r="L258" t="s">
        <v>2088</v>
      </c>
      <c r="M258">
        <v>247.12</v>
      </c>
    </row>
    <row r="259" spans="1:13" x14ac:dyDescent="0.25">
      <c r="A259" t="str">
        <f t="shared" si="68"/>
        <v>E160</v>
      </c>
      <c r="B259">
        <v>1</v>
      </c>
      <c r="C259" t="str">
        <f t="shared" si="69"/>
        <v>10200</v>
      </c>
      <c r="D259" t="str">
        <f t="shared" si="70"/>
        <v>5620</v>
      </c>
      <c r="E259" t="str">
        <f t="shared" si="71"/>
        <v>094OMS</v>
      </c>
      <c r="F259" t="str">
        <f>""</f>
        <v/>
      </c>
      <c r="G259" t="str">
        <f>""</f>
        <v/>
      </c>
      <c r="H259" s="1">
        <v>41244</v>
      </c>
      <c r="I259" t="str">
        <f t="shared" ref="I259:I265" si="73">"PHY00594"</f>
        <v>PHY00594</v>
      </c>
      <c r="J259" t="str">
        <f>"W0036764"</f>
        <v>W0036764</v>
      </c>
      <c r="K259" t="str">
        <f t="shared" si="72"/>
        <v>AS89</v>
      </c>
      <c r="L259" t="s">
        <v>1095</v>
      </c>
      <c r="M259">
        <v>335.28</v>
      </c>
    </row>
    <row r="260" spans="1:13" x14ac:dyDescent="0.25">
      <c r="A260" t="str">
        <f t="shared" si="68"/>
        <v>E160</v>
      </c>
      <c r="B260">
        <v>1</v>
      </c>
      <c r="C260" t="str">
        <f t="shared" si="69"/>
        <v>10200</v>
      </c>
      <c r="D260" t="str">
        <f t="shared" si="70"/>
        <v>5620</v>
      </c>
      <c r="E260" t="str">
        <f t="shared" si="71"/>
        <v>094OMS</v>
      </c>
      <c r="F260" t="str">
        <f>""</f>
        <v/>
      </c>
      <c r="G260" t="str">
        <f>""</f>
        <v/>
      </c>
      <c r="H260" s="1">
        <v>41244</v>
      </c>
      <c r="I260" t="str">
        <f t="shared" si="73"/>
        <v>PHY00594</v>
      </c>
      <c r="J260" t="str">
        <f>"W0092568"</f>
        <v>W0092568</v>
      </c>
      <c r="K260" t="str">
        <f t="shared" si="72"/>
        <v>AS89</v>
      </c>
      <c r="L260" t="s">
        <v>2087</v>
      </c>
      <c r="M260" s="2">
        <v>1456.27</v>
      </c>
    </row>
    <row r="261" spans="1:13" x14ac:dyDescent="0.25">
      <c r="A261" t="str">
        <f t="shared" si="68"/>
        <v>E160</v>
      </c>
      <c r="B261">
        <v>1</v>
      </c>
      <c r="C261" t="str">
        <f t="shared" si="69"/>
        <v>10200</v>
      </c>
      <c r="D261" t="str">
        <f t="shared" si="70"/>
        <v>5620</v>
      </c>
      <c r="E261" t="str">
        <f t="shared" si="71"/>
        <v>094OMS</v>
      </c>
      <c r="F261" t="str">
        <f>""</f>
        <v/>
      </c>
      <c r="G261" t="str">
        <f>""</f>
        <v/>
      </c>
      <c r="H261" s="1">
        <v>41244</v>
      </c>
      <c r="I261" t="str">
        <f t="shared" si="73"/>
        <v>PHY00594</v>
      </c>
      <c r="J261" t="str">
        <f>"W0104291"</f>
        <v>W0104291</v>
      </c>
      <c r="K261" t="str">
        <f t="shared" si="72"/>
        <v>AS89</v>
      </c>
      <c r="L261" t="s">
        <v>712</v>
      </c>
      <c r="M261" s="2">
        <v>1451.87</v>
      </c>
    </row>
    <row r="262" spans="1:13" x14ac:dyDescent="0.25">
      <c r="A262" t="str">
        <f t="shared" si="68"/>
        <v>E160</v>
      </c>
      <c r="B262">
        <v>1</v>
      </c>
      <c r="C262" t="str">
        <f t="shared" si="69"/>
        <v>10200</v>
      </c>
      <c r="D262" t="str">
        <f t="shared" si="70"/>
        <v>5620</v>
      </c>
      <c r="E262" t="str">
        <f t="shared" si="71"/>
        <v>094OMS</v>
      </c>
      <c r="F262" t="str">
        <f>""</f>
        <v/>
      </c>
      <c r="G262" t="str">
        <f>""</f>
        <v/>
      </c>
      <c r="H262" s="1">
        <v>41244</v>
      </c>
      <c r="I262" t="str">
        <f t="shared" si="73"/>
        <v>PHY00594</v>
      </c>
      <c r="J262" t="str">
        <f>"W0104292"</f>
        <v>W0104292</v>
      </c>
      <c r="K262" t="str">
        <f t="shared" si="72"/>
        <v>AS89</v>
      </c>
      <c r="L262" t="s">
        <v>714</v>
      </c>
      <c r="M262">
        <v>339.79</v>
      </c>
    </row>
    <row r="263" spans="1:13" x14ac:dyDescent="0.25">
      <c r="A263" t="str">
        <f t="shared" si="68"/>
        <v>E160</v>
      </c>
      <c r="B263">
        <v>1</v>
      </c>
      <c r="C263" t="str">
        <f t="shared" si="69"/>
        <v>10200</v>
      </c>
      <c r="D263" t="str">
        <f t="shared" si="70"/>
        <v>5620</v>
      </c>
      <c r="E263" t="str">
        <f t="shared" si="71"/>
        <v>094OMS</v>
      </c>
      <c r="F263" t="str">
        <f>""</f>
        <v/>
      </c>
      <c r="G263" t="str">
        <f>""</f>
        <v/>
      </c>
      <c r="H263" s="1">
        <v>41244</v>
      </c>
      <c r="I263" t="str">
        <f t="shared" si="73"/>
        <v>PHY00594</v>
      </c>
      <c r="J263" t="str">
        <f>"W0104294"</f>
        <v>W0104294</v>
      </c>
      <c r="K263" t="str">
        <f t="shared" si="72"/>
        <v>AS89</v>
      </c>
      <c r="L263" t="s">
        <v>2084</v>
      </c>
      <c r="M263">
        <v>339.79</v>
      </c>
    </row>
    <row r="264" spans="1:13" x14ac:dyDescent="0.25">
      <c r="A264" t="str">
        <f t="shared" si="68"/>
        <v>E160</v>
      </c>
      <c r="B264">
        <v>1</v>
      </c>
      <c r="C264" t="str">
        <f t="shared" si="69"/>
        <v>10200</v>
      </c>
      <c r="D264" t="str">
        <f t="shared" si="70"/>
        <v>5620</v>
      </c>
      <c r="E264" t="str">
        <f t="shared" si="71"/>
        <v>094OMS</v>
      </c>
      <c r="F264" t="str">
        <f>""</f>
        <v/>
      </c>
      <c r="G264" t="str">
        <f>""</f>
        <v/>
      </c>
      <c r="H264" s="1">
        <v>41244</v>
      </c>
      <c r="I264" t="str">
        <f t="shared" si="73"/>
        <v>PHY00594</v>
      </c>
      <c r="J264" t="str">
        <f>"W0104297"</f>
        <v>W0104297</v>
      </c>
      <c r="K264" t="str">
        <f t="shared" si="72"/>
        <v>AS89</v>
      </c>
      <c r="L264" t="s">
        <v>715</v>
      </c>
      <c r="M264">
        <v>555.53</v>
      </c>
    </row>
    <row r="265" spans="1:13" x14ac:dyDescent="0.25">
      <c r="A265" t="str">
        <f t="shared" si="68"/>
        <v>E160</v>
      </c>
      <c r="B265">
        <v>1</v>
      </c>
      <c r="C265" t="str">
        <f t="shared" si="69"/>
        <v>10200</v>
      </c>
      <c r="D265" t="str">
        <f t="shared" si="70"/>
        <v>5620</v>
      </c>
      <c r="E265" t="str">
        <f t="shared" si="71"/>
        <v>094OMS</v>
      </c>
      <c r="F265" t="str">
        <f>""</f>
        <v/>
      </c>
      <c r="G265" t="str">
        <f>""</f>
        <v/>
      </c>
      <c r="H265" s="1">
        <v>41244</v>
      </c>
      <c r="I265" t="str">
        <f t="shared" si="73"/>
        <v>PHY00594</v>
      </c>
      <c r="J265" t="str">
        <f>"W0104714"</f>
        <v>W0104714</v>
      </c>
      <c r="K265" t="str">
        <f t="shared" si="72"/>
        <v>AS89</v>
      </c>
      <c r="L265" t="s">
        <v>2086</v>
      </c>
      <c r="M265">
        <v>185.31</v>
      </c>
    </row>
    <row r="266" spans="1:13" x14ac:dyDescent="0.25">
      <c r="A266" t="str">
        <f t="shared" si="68"/>
        <v>E160</v>
      </c>
      <c r="B266">
        <v>1</v>
      </c>
      <c r="C266" t="str">
        <f t="shared" si="69"/>
        <v>10200</v>
      </c>
      <c r="D266" t="str">
        <f t="shared" si="70"/>
        <v>5620</v>
      </c>
      <c r="E266" t="str">
        <f t="shared" si="71"/>
        <v>094OMS</v>
      </c>
      <c r="F266" t="str">
        <f>""</f>
        <v/>
      </c>
      <c r="G266" t="str">
        <f>""</f>
        <v/>
      </c>
      <c r="H266" s="1">
        <v>41275</v>
      </c>
      <c r="I266" t="str">
        <f t="shared" ref="I266:I272" si="74">"PHY00596"</f>
        <v>PHY00596</v>
      </c>
      <c r="J266" t="str">
        <f>"W0002485"</f>
        <v>W0002485</v>
      </c>
      <c r="K266" t="str">
        <f t="shared" si="72"/>
        <v>AS89</v>
      </c>
      <c r="L266" t="s">
        <v>1830</v>
      </c>
      <c r="M266">
        <v>195.42</v>
      </c>
    </row>
    <row r="267" spans="1:13" x14ac:dyDescent="0.25">
      <c r="A267" t="str">
        <f t="shared" si="68"/>
        <v>E160</v>
      </c>
      <c r="B267">
        <v>1</v>
      </c>
      <c r="C267" t="str">
        <f t="shared" si="69"/>
        <v>10200</v>
      </c>
      <c r="D267" t="str">
        <f t="shared" si="70"/>
        <v>5620</v>
      </c>
      <c r="E267" t="str">
        <f t="shared" si="71"/>
        <v>094OMS</v>
      </c>
      <c r="F267" t="str">
        <f>""</f>
        <v/>
      </c>
      <c r="G267" t="str">
        <f>""</f>
        <v/>
      </c>
      <c r="H267" s="1">
        <v>41275</v>
      </c>
      <c r="I267" t="str">
        <f t="shared" si="74"/>
        <v>PHY00596</v>
      </c>
      <c r="J267" t="str">
        <f>"W0036764"</f>
        <v>W0036764</v>
      </c>
      <c r="K267" t="str">
        <f t="shared" si="72"/>
        <v>AS89</v>
      </c>
      <c r="L267" t="s">
        <v>1095</v>
      </c>
      <c r="M267">
        <v>380.82</v>
      </c>
    </row>
    <row r="268" spans="1:13" x14ac:dyDescent="0.25">
      <c r="A268" t="str">
        <f t="shared" si="68"/>
        <v>E160</v>
      </c>
      <c r="B268">
        <v>1</v>
      </c>
      <c r="C268" t="str">
        <f t="shared" si="69"/>
        <v>10200</v>
      </c>
      <c r="D268" t="str">
        <f t="shared" si="70"/>
        <v>5620</v>
      </c>
      <c r="E268" t="str">
        <f t="shared" si="71"/>
        <v>094OMS</v>
      </c>
      <c r="F268" t="str">
        <f>""</f>
        <v/>
      </c>
      <c r="G268" t="str">
        <f>""</f>
        <v/>
      </c>
      <c r="H268" s="1">
        <v>41275</v>
      </c>
      <c r="I268" t="str">
        <f t="shared" si="74"/>
        <v>PHY00596</v>
      </c>
      <c r="J268" t="str">
        <f>"W0104291"</f>
        <v>W0104291</v>
      </c>
      <c r="K268" t="str">
        <f t="shared" si="72"/>
        <v>AS89</v>
      </c>
      <c r="L268" t="s">
        <v>712</v>
      </c>
      <c r="M268" s="2">
        <v>3358.38</v>
      </c>
    </row>
    <row r="269" spans="1:13" x14ac:dyDescent="0.25">
      <c r="A269" t="str">
        <f t="shared" si="68"/>
        <v>E160</v>
      </c>
      <c r="B269">
        <v>1</v>
      </c>
      <c r="C269" t="str">
        <f t="shared" si="69"/>
        <v>10200</v>
      </c>
      <c r="D269" t="str">
        <f t="shared" si="70"/>
        <v>5620</v>
      </c>
      <c r="E269" t="str">
        <f t="shared" si="71"/>
        <v>094OMS</v>
      </c>
      <c r="F269" t="str">
        <f>""</f>
        <v/>
      </c>
      <c r="G269" t="str">
        <f>""</f>
        <v/>
      </c>
      <c r="H269" s="1">
        <v>41275</v>
      </c>
      <c r="I269" t="str">
        <f t="shared" si="74"/>
        <v>PHY00596</v>
      </c>
      <c r="J269" t="str">
        <f>"W0104292"</f>
        <v>W0104292</v>
      </c>
      <c r="K269" t="str">
        <f t="shared" si="72"/>
        <v>AS89</v>
      </c>
      <c r="L269" t="s">
        <v>714</v>
      </c>
      <c r="M269" s="2">
        <v>1513.8</v>
      </c>
    </row>
    <row r="270" spans="1:13" x14ac:dyDescent="0.25">
      <c r="A270" t="str">
        <f t="shared" si="68"/>
        <v>E160</v>
      </c>
      <c r="B270">
        <v>1</v>
      </c>
      <c r="C270" t="str">
        <f t="shared" si="69"/>
        <v>10200</v>
      </c>
      <c r="D270" t="str">
        <f t="shared" si="70"/>
        <v>5620</v>
      </c>
      <c r="E270" t="str">
        <f t="shared" si="71"/>
        <v>094OMS</v>
      </c>
      <c r="F270" t="str">
        <f>""</f>
        <v/>
      </c>
      <c r="G270" t="str">
        <f>""</f>
        <v/>
      </c>
      <c r="H270" s="1">
        <v>41275</v>
      </c>
      <c r="I270" t="str">
        <f t="shared" si="74"/>
        <v>PHY00596</v>
      </c>
      <c r="J270" t="str">
        <f>"W0104294"</f>
        <v>W0104294</v>
      </c>
      <c r="K270" t="str">
        <f t="shared" si="72"/>
        <v>AS89</v>
      </c>
      <c r="L270" t="s">
        <v>2084</v>
      </c>
      <c r="M270">
        <v>123.54</v>
      </c>
    </row>
    <row r="271" spans="1:13" x14ac:dyDescent="0.25">
      <c r="A271" t="str">
        <f t="shared" si="68"/>
        <v>E160</v>
      </c>
      <c r="B271">
        <v>1</v>
      </c>
      <c r="C271" t="str">
        <f t="shared" si="69"/>
        <v>10200</v>
      </c>
      <c r="D271" t="str">
        <f t="shared" si="70"/>
        <v>5620</v>
      </c>
      <c r="E271" t="str">
        <f t="shared" si="71"/>
        <v>094OMS</v>
      </c>
      <c r="F271" t="str">
        <f>""</f>
        <v/>
      </c>
      <c r="G271" t="str">
        <f>""</f>
        <v/>
      </c>
      <c r="H271" s="1">
        <v>41275</v>
      </c>
      <c r="I271" t="str">
        <f t="shared" si="74"/>
        <v>PHY00596</v>
      </c>
      <c r="J271" t="str">
        <f>"W0104295"</f>
        <v>W0104295</v>
      </c>
      <c r="K271" t="str">
        <f t="shared" si="72"/>
        <v>AS89</v>
      </c>
      <c r="L271" t="s">
        <v>710</v>
      </c>
      <c r="M271">
        <v>545.32000000000005</v>
      </c>
    </row>
    <row r="272" spans="1:13" x14ac:dyDescent="0.25">
      <c r="A272" t="str">
        <f t="shared" si="68"/>
        <v>E160</v>
      </c>
      <c r="B272">
        <v>1</v>
      </c>
      <c r="C272" t="str">
        <f t="shared" si="69"/>
        <v>10200</v>
      </c>
      <c r="D272" t="str">
        <f t="shared" si="70"/>
        <v>5620</v>
      </c>
      <c r="E272" t="str">
        <f t="shared" si="71"/>
        <v>094OMS</v>
      </c>
      <c r="F272" t="str">
        <f>""</f>
        <v/>
      </c>
      <c r="G272" t="str">
        <f>""</f>
        <v/>
      </c>
      <c r="H272" s="1">
        <v>41275</v>
      </c>
      <c r="I272" t="str">
        <f t="shared" si="74"/>
        <v>PHY00596</v>
      </c>
      <c r="J272" t="str">
        <f>"W0105945"</f>
        <v>W0105945</v>
      </c>
      <c r="K272" t="str">
        <f t="shared" si="72"/>
        <v>AS89</v>
      </c>
      <c r="L272" t="s">
        <v>2085</v>
      </c>
      <c r="M272">
        <v>255.24</v>
      </c>
    </row>
    <row r="273" spans="1:13" x14ac:dyDescent="0.25">
      <c r="A273" t="str">
        <f t="shared" si="68"/>
        <v>E160</v>
      </c>
      <c r="B273">
        <v>1</v>
      </c>
      <c r="C273" t="str">
        <f t="shared" si="69"/>
        <v>10200</v>
      </c>
      <c r="D273" t="str">
        <f t="shared" si="70"/>
        <v>5620</v>
      </c>
      <c r="E273" t="str">
        <f t="shared" si="71"/>
        <v>094OMS</v>
      </c>
      <c r="F273" t="str">
        <f>""</f>
        <v/>
      </c>
      <c r="G273" t="str">
        <f>""</f>
        <v/>
      </c>
      <c r="H273" s="1">
        <v>41334</v>
      </c>
      <c r="I273" t="str">
        <f>"PHY00600"</f>
        <v>PHY00600</v>
      </c>
      <c r="J273" t="str">
        <f>"W0107483"</f>
        <v>W0107483</v>
      </c>
      <c r="K273" t="str">
        <f t="shared" si="72"/>
        <v>AS89</v>
      </c>
      <c r="L273" t="s">
        <v>2083</v>
      </c>
      <c r="M273">
        <v>273.75</v>
      </c>
    </row>
    <row r="274" spans="1:13" x14ac:dyDescent="0.25">
      <c r="A274" t="str">
        <f t="shared" si="68"/>
        <v>E160</v>
      </c>
      <c r="B274">
        <v>1</v>
      </c>
      <c r="C274" t="str">
        <f t="shared" si="69"/>
        <v>10200</v>
      </c>
      <c r="D274" t="str">
        <f t="shared" si="70"/>
        <v>5620</v>
      </c>
      <c r="E274" t="str">
        <f t="shared" si="71"/>
        <v>094OMS</v>
      </c>
      <c r="F274" t="str">
        <f>""</f>
        <v/>
      </c>
      <c r="G274" t="str">
        <f>""</f>
        <v/>
      </c>
      <c r="H274" s="1">
        <v>41365</v>
      </c>
      <c r="I274" t="str">
        <f>"PHY00602"</f>
        <v>PHY00602</v>
      </c>
      <c r="J274" t="str">
        <f>"W0002217"</f>
        <v>W0002217</v>
      </c>
      <c r="K274" t="str">
        <f t="shared" si="72"/>
        <v>AS89</v>
      </c>
      <c r="L274" t="s">
        <v>2081</v>
      </c>
      <c r="M274">
        <v>195.41</v>
      </c>
    </row>
    <row r="275" spans="1:13" x14ac:dyDescent="0.25">
      <c r="A275" t="str">
        <f t="shared" si="68"/>
        <v>E160</v>
      </c>
      <c r="B275">
        <v>1</v>
      </c>
      <c r="C275" t="str">
        <f t="shared" si="69"/>
        <v>10200</v>
      </c>
      <c r="D275" t="str">
        <f t="shared" si="70"/>
        <v>5620</v>
      </c>
      <c r="E275" t="str">
        <f t="shared" si="71"/>
        <v>094OMS</v>
      </c>
      <c r="F275" t="str">
        <f>""</f>
        <v/>
      </c>
      <c r="G275" t="str">
        <f>""</f>
        <v/>
      </c>
      <c r="H275" s="1">
        <v>41395</v>
      </c>
      <c r="I275" t="str">
        <f>"PHY00605"</f>
        <v>PHY00605</v>
      </c>
      <c r="J275" t="str">
        <f>"W0036764"</f>
        <v>W0036764</v>
      </c>
      <c r="K275" t="str">
        <f t="shared" si="72"/>
        <v>AS89</v>
      </c>
      <c r="L275" t="s">
        <v>1095</v>
      </c>
      <c r="M275">
        <v>216.22</v>
      </c>
    </row>
    <row r="276" spans="1:13" x14ac:dyDescent="0.25">
      <c r="A276" t="str">
        <f t="shared" si="68"/>
        <v>E160</v>
      </c>
      <c r="B276">
        <v>1</v>
      </c>
      <c r="C276" t="str">
        <f t="shared" si="69"/>
        <v>10200</v>
      </c>
      <c r="D276" t="str">
        <f t="shared" si="70"/>
        <v>5620</v>
      </c>
      <c r="E276" t="str">
        <f t="shared" si="71"/>
        <v>094OMS</v>
      </c>
      <c r="F276" t="str">
        <f>""</f>
        <v/>
      </c>
      <c r="G276" t="str">
        <f>""</f>
        <v/>
      </c>
      <c r="H276" s="1">
        <v>41395</v>
      </c>
      <c r="I276" t="str">
        <f>"PHY00605"</f>
        <v>PHY00605</v>
      </c>
      <c r="J276" t="str">
        <f>"W0112715"</f>
        <v>W0112715</v>
      </c>
      <c r="K276" t="str">
        <f t="shared" si="72"/>
        <v>AS89</v>
      </c>
      <c r="L276" t="s">
        <v>2082</v>
      </c>
      <c r="M276">
        <v>247.14</v>
      </c>
    </row>
    <row r="277" spans="1:13" x14ac:dyDescent="0.25">
      <c r="A277" t="str">
        <f t="shared" si="68"/>
        <v>E160</v>
      </c>
      <c r="B277">
        <v>1</v>
      </c>
      <c r="C277" t="str">
        <f t="shared" si="69"/>
        <v>10200</v>
      </c>
      <c r="D277" t="str">
        <f t="shared" si="70"/>
        <v>5620</v>
      </c>
      <c r="E277" t="str">
        <f t="shared" si="71"/>
        <v>094OMS</v>
      </c>
      <c r="F277" t="str">
        <f>""</f>
        <v/>
      </c>
      <c r="G277" t="str">
        <f>""</f>
        <v/>
      </c>
      <c r="H277" s="1">
        <v>41426</v>
      </c>
      <c r="I277" t="str">
        <f>"PHY00607"</f>
        <v>PHY00607</v>
      </c>
      <c r="J277" t="str">
        <f>"W0113328"</f>
        <v>W0113328</v>
      </c>
      <c r="K277" t="str">
        <f t="shared" si="72"/>
        <v>AS89</v>
      </c>
      <c r="L277" t="s">
        <v>2080</v>
      </c>
      <c r="M277">
        <v>129.28</v>
      </c>
    </row>
    <row r="278" spans="1:13" x14ac:dyDescent="0.25">
      <c r="A278" t="str">
        <f t="shared" si="68"/>
        <v>E160</v>
      </c>
      <c r="B278">
        <v>1</v>
      </c>
      <c r="C278" t="str">
        <f t="shared" si="69"/>
        <v>10200</v>
      </c>
      <c r="D278" t="str">
        <f>"5740"</f>
        <v>5740</v>
      </c>
      <c r="E278" t="str">
        <f>"850LOS"</f>
        <v>850LOS</v>
      </c>
      <c r="F278" t="str">
        <f>"PKOLOT"</f>
        <v>PKOLOT</v>
      </c>
      <c r="G278" t="str">
        <f>"CS"</f>
        <v>CS</v>
      </c>
      <c r="H278" s="1">
        <v>41244</v>
      </c>
      <c r="I278" t="str">
        <f>"PHY00594"</f>
        <v>PHY00594</v>
      </c>
      <c r="J278" t="str">
        <f>"W0104549"</f>
        <v>W0104549</v>
      </c>
      <c r="K278" t="str">
        <f t="shared" si="72"/>
        <v>AS89</v>
      </c>
      <c r="L278" t="s">
        <v>2079</v>
      </c>
      <c r="M278" s="2">
        <v>2446.64</v>
      </c>
    </row>
    <row r="279" spans="1:13" x14ac:dyDescent="0.25">
      <c r="A279" t="str">
        <f t="shared" si="68"/>
        <v>E160</v>
      </c>
      <c r="B279">
        <v>1</v>
      </c>
      <c r="C279" t="str">
        <f>"31040"</f>
        <v>31040</v>
      </c>
      <c r="D279" t="str">
        <f>"5620"</f>
        <v>5620</v>
      </c>
      <c r="E279" t="str">
        <f>"094OMS"</f>
        <v>094OMS</v>
      </c>
      <c r="F279" t="str">
        <f>""</f>
        <v/>
      </c>
      <c r="G279" t="str">
        <f>""</f>
        <v/>
      </c>
      <c r="H279" s="1">
        <v>41365</v>
      </c>
      <c r="I279" t="str">
        <f>"PHY00602"</f>
        <v>PHY00602</v>
      </c>
      <c r="J279" t="str">
        <f>"W0110318"</f>
        <v>W0110318</v>
      </c>
      <c r="K279" t="str">
        <f t="shared" si="72"/>
        <v>AS89</v>
      </c>
      <c r="L279" t="s">
        <v>2078</v>
      </c>
      <c r="M279">
        <v>209.12</v>
      </c>
    </row>
    <row r="280" spans="1:13" x14ac:dyDescent="0.25">
      <c r="A280" t="str">
        <f t="shared" si="68"/>
        <v>E160</v>
      </c>
      <c r="B280">
        <v>1</v>
      </c>
      <c r="C280" t="str">
        <f t="shared" ref="C280:C299" si="75">"43000"</f>
        <v>43000</v>
      </c>
      <c r="D280" t="str">
        <f t="shared" ref="D280:D307" si="76">"5740"</f>
        <v>5740</v>
      </c>
      <c r="E280" t="str">
        <f t="shared" ref="E280:E294" si="77">"850LOS"</f>
        <v>850LOS</v>
      </c>
      <c r="F280" t="str">
        <f>"PKOLOT"</f>
        <v>PKOLOT</v>
      </c>
      <c r="G280" t="str">
        <f>""</f>
        <v/>
      </c>
      <c r="H280" s="1">
        <v>41382</v>
      </c>
      <c r="I280" t="str">
        <f>"196042A"</f>
        <v>196042A</v>
      </c>
      <c r="J280" t="str">
        <f>""</f>
        <v/>
      </c>
      <c r="K280" t="str">
        <f>"INNI"</f>
        <v>INNI</v>
      </c>
      <c r="L280" t="s">
        <v>94</v>
      </c>
      <c r="M280" s="2">
        <v>1864.2</v>
      </c>
    </row>
    <row r="281" spans="1:13" x14ac:dyDescent="0.25">
      <c r="A281" t="str">
        <f t="shared" si="68"/>
        <v>E160</v>
      </c>
      <c r="B281">
        <v>1</v>
      </c>
      <c r="C281" t="str">
        <f t="shared" si="75"/>
        <v>43000</v>
      </c>
      <c r="D281" t="str">
        <f t="shared" si="76"/>
        <v>5740</v>
      </c>
      <c r="E281" t="str">
        <f t="shared" si="77"/>
        <v>850LOS</v>
      </c>
      <c r="F281" t="str">
        <f>"PKOLOT"</f>
        <v>PKOLOT</v>
      </c>
      <c r="G281" t="str">
        <f>""</f>
        <v/>
      </c>
      <c r="H281" s="1">
        <v>41446</v>
      </c>
      <c r="I281" t="str">
        <f>"J0004769"</f>
        <v>J0004769</v>
      </c>
      <c r="J281" t="str">
        <f>""</f>
        <v/>
      </c>
      <c r="K281" t="str">
        <f>"J096"</f>
        <v>J096</v>
      </c>
      <c r="L281" t="s">
        <v>2077</v>
      </c>
      <c r="M281" s="2">
        <v>2446.64</v>
      </c>
    </row>
    <row r="282" spans="1:13" x14ac:dyDescent="0.25">
      <c r="A282" t="str">
        <f t="shared" si="68"/>
        <v>E160</v>
      </c>
      <c r="B282">
        <v>1</v>
      </c>
      <c r="C282" t="str">
        <f t="shared" si="75"/>
        <v>43000</v>
      </c>
      <c r="D282" t="str">
        <f t="shared" si="76"/>
        <v>5740</v>
      </c>
      <c r="E282" t="str">
        <f t="shared" si="77"/>
        <v>850LOS</v>
      </c>
      <c r="F282" t="str">
        <f>""</f>
        <v/>
      </c>
      <c r="G282" t="str">
        <f>""</f>
        <v/>
      </c>
      <c r="H282" s="1">
        <v>41091</v>
      </c>
      <c r="I282" t="str">
        <f>"PHY00585"</f>
        <v>PHY00585</v>
      </c>
      <c r="J282" t="str">
        <f>"W0095229"</f>
        <v>W0095229</v>
      </c>
      <c r="K282" t="str">
        <f t="shared" ref="K282:K299" si="78">"AS89"</f>
        <v>AS89</v>
      </c>
      <c r="L282" t="s">
        <v>2076</v>
      </c>
      <c r="M282">
        <v>706.28</v>
      </c>
    </row>
    <row r="283" spans="1:13" x14ac:dyDescent="0.25">
      <c r="A283" t="str">
        <f t="shared" si="68"/>
        <v>E160</v>
      </c>
      <c r="B283">
        <v>1</v>
      </c>
      <c r="C283" t="str">
        <f t="shared" si="75"/>
        <v>43000</v>
      </c>
      <c r="D283" t="str">
        <f t="shared" si="76"/>
        <v>5740</v>
      </c>
      <c r="E283" t="str">
        <f t="shared" si="77"/>
        <v>850LOS</v>
      </c>
      <c r="F283" t="str">
        <f>""</f>
        <v/>
      </c>
      <c r="G283" t="str">
        <f>""</f>
        <v/>
      </c>
      <c r="H283" s="1">
        <v>41122</v>
      </c>
      <c r="I283" t="str">
        <f>"PHY00586"</f>
        <v>PHY00586</v>
      </c>
      <c r="J283" t="str">
        <f>"W0098761"</f>
        <v>W0098761</v>
      </c>
      <c r="K283" t="str">
        <f t="shared" si="78"/>
        <v>AS89</v>
      </c>
      <c r="L283" t="s">
        <v>2075</v>
      </c>
      <c r="M283">
        <v>124.19</v>
      </c>
    </row>
    <row r="284" spans="1:13" x14ac:dyDescent="0.25">
      <c r="A284" t="str">
        <f t="shared" si="68"/>
        <v>E160</v>
      </c>
      <c r="B284">
        <v>1</v>
      </c>
      <c r="C284" t="str">
        <f t="shared" si="75"/>
        <v>43000</v>
      </c>
      <c r="D284" t="str">
        <f t="shared" si="76"/>
        <v>5740</v>
      </c>
      <c r="E284" t="str">
        <f t="shared" si="77"/>
        <v>850LOS</v>
      </c>
      <c r="F284" t="str">
        <f>""</f>
        <v/>
      </c>
      <c r="G284" t="str">
        <f>""</f>
        <v/>
      </c>
      <c r="H284" s="1">
        <v>41122</v>
      </c>
      <c r="I284" t="str">
        <f>"PHY00586"</f>
        <v>PHY00586</v>
      </c>
      <c r="J284" t="str">
        <f>"W0098763"</f>
        <v>W0098763</v>
      </c>
      <c r="K284" t="str">
        <f t="shared" si="78"/>
        <v>AS89</v>
      </c>
      <c r="L284" t="s">
        <v>715</v>
      </c>
      <c r="M284">
        <v>163</v>
      </c>
    </row>
    <row r="285" spans="1:13" x14ac:dyDescent="0.25">
      <c r="A285" t="str">
        <f t="shared" si="68"/>
        <v>E160</v>
      </c>
      <c r="B285">
        <v>1</v>
      </c>
      <c r="C285" t="str">
        <f t="shared" si="75"/>
        <v>43000</v>
      </c>
      <c r="D285" t="str">
        <f t="shared" si="76"/>
        <v>5740</v>
      </c>
      <c r="E285" t="str">
        <f t="shared" si="77"/>
        <v>850LOS</v>
      </c>
      <c r="F285" t="str">
        <f>""</f>
        <v/>
      </c>
      <c r="G285" t="str">
        <f>""</f>
        <v/>
      </c>
      <c r="H285" s="1">
        <v>41153</v>
      </c>
      <c r="I285" t="str">
        <f>"PHY00588"</f>
        <v>PHY00588</v>
      </c>
      <c r="J285" t="str">
        <f>"W0098761"</f>
        <v>W0098761</v>
      </c>
      <c r="K285" t="str">
        <f t="shared" si="78"/>
        <v>AS89</v>
      </c>
      <c r="L285" t="s">
        <v>2075</v>
      </c>
      <c r="M285" s="2">
        <v>1933.65</v>
      </c>
    </row>
    <row r="286" spans="1:13" x14ac:dyDescent="0.25">
      <c r="A286" t="str">
        <f t="shared" si="68"/>
        <v>E160</v>
      </c>
      <c r="B286">
        <v>1</v>
      </c>
      <c r="C286" t="str">
        <f t="shared" si="75"/>
        <v>43000</v>
      </c>
      <c r="D286" t="str">
        <f t="shared" si="76"/>
        <v>5740</v>
      </c>
      <c r="E286" t="str">
        <f t="shared" si="77"/>
        <v>850LOS</v>
      </c>
      <c r="F286" t="str">
        <f>""</f>
        <v/>
      </c>
      <c r="G286" t="str">
        <f>""</f>
        <v/>
      </c>
      <c r="H286" s="1">
        <v>41153</v>
      </c>
      <c r="I286" t="str">
        <f>"PHY00588"</f>
        <v>PHY00588</v>
      </c>
      <c r="J286" t="str">
        <f>"W0098824"</f>
        <v>W0098824</v>
      </c>
      <c r="K286" t="str">
        <f t="shared" si="78"/>
        <v>AS89</v>
      </c>
      <c r="L286" t="s">
        <v>2074</v>
      </c>
      <c r="M286" s="2">
        <v>1619.15</v>
      </c>
    </row>
    <row r="287" spans="1:13" x14ac:dyDescent="0.25">
      <c r="A287" t="str">
        <f t="shared" si="68"/>
        <v>E160</v>
      </c>
      <c r="B287">
        <v>1</v>
      </c>
      <c r="C287" t="str">
        <f t="shared" si="75"/>
        <v>43000</v>
      </c>
      <c r="D287" t="str">
        <f t="shared" si="76"/>
        <v>5740</v>
      </c>
      <c r="E287" t="str">
        <f t="shared" si="77"/>
        <v>850LOS</v>
      </c>
      <c r="F287" t="str">
        <f>""</f>
        <v/>
      </c>
      <c r="G287" t="str">
        <f>""</f>
        <v/>
      </c>
      <c r="H287" s="1">
        <v>41153</v>
      </c>
      <c r="I287" t="str">
        <f>"PHY00588"</f>
        <v>PHY00588</v>
      </c>
      <c r="J287" t="str">
        <f>"W0100572"</f>
        <v>W0100572</v>
      </c>
      <c r="K287" t="str">
        <f t="shared" si="78"/>
        <v>AS89</v>
      </c>
      <c r="L287" t="s">
        <v>2073</v>
      </c>
      <c r="M287">
        <v>721.61</v>
      </c>
    </row>
    <row r="288" spans="1:13" x14ac:dyDescent="0.25">
      <c r="A288" t="str">
        <f t="shared" si="68"/>
        <v>E160</v>
      </c>
      <c r="B288">
        <v>1</v>
      </c>
      <c r="C288" t="str">
        <f t="shared" si="75"/>
        <v>43000</v>
      </c>
      <c r="D288" t="str">
        <f t="shared" si="76"/>
        <v>5740</v>
      </c>
      <c r="E288" t="str">
        <f t="shared" si="77"/>
        <v>850LOS</v>
      </c>
      <c r="F288" t="str">
        <f>""</f>
        <v/>
      </c>
      <c r="G288" t="str">
        <f>""</f>
        <v/>
      </c>
      <c r="H288" s="1">
        <v>41153</v>
      </c>
      <c r="I288" t="str">
        <f>"PHY00588"</f>
        <v>PHY00588</v>
      </c>
      <c r="J288" t="str">
        <f>"W0100573"</f>
        <v>W0100573</v>
      </c>
      <c r="K288" t="str">
        <f t="shared" si="78"/>
        <v>AS89</v>
      </c>
      <c r="L288" t="s">
        <v>710</v>
      </c>
      <c r="M288" s="2">
        <v>1812.4</v>
      </c>
    </row>
    <row r="289" spans="1:13" x14ac:dyDescent="0.25">
      <c r="A289" t="str">
        <f t="shared" si="68"/>
        <v>E160</v>
      </c>
      <c r="B289">
        <v>1</v>
      </c>
      <c r="C289" t="str">
        <f t="shared" si="75"/>
        <v>43000</v>
      </c>
      <c r="D289" t="str">
        <f t="shared" si="76"/>
        <v>5740</v>
      </c>
      <c r="E289" t="str">
        <f t="shared" si="77"/>
        <v>850LOS</v>
      </c>
      <c r="F289" t="str">
        <f>""</f>
        <v/>
      </c>
      <c r="G289" t="str">
        <f>""</f>
        <v/>
      </c>
      <c r="H289" s="1">
        <v>41153</v>
      </c>
      <c r="I289" t="str">
        <f>"PHY00588"</f>
        <v>PHY00588</v>
      </c>
      <c r="J289" t="str">
        <f>"W0100574"</f>
        <v>W0100574</v>
      </c>
      <c r="K289" t="str">
        <f t="shared" si="78"/>
        <v>AS89</v>
      </c>
      <c r="L289" t="s">
        <v>715</v>
      </c>
      <c r="M289">
        <v>330.65</v>
      </c>
    </row>
    <row r="290" spans="1:13" x14ac:dyDescent="0.25">
      <c r="A290" t="str">
        <f t="shared" si="68"/>
        <v>E160</v>
      </c>
      <c r="B290">
        <v>1</v>
      </c>
      <c r="C290" t="str">
        <f t="shared" si="75"/>
        <v>43000</v>
      </c>
      <c r="D290" t="str">
        <f t="shared" si="76"/>
        <v>5740</v>
      </c>
      <c r="E290" t="str">
        <f t="shared" si="77"/>
        <v>850LOS</v>
      </c>
      <c r="F290" t="str">
        <f>""</f>
        <v/>
      </c>
      <c r="G290" t="str">
        <f>""</f>
        <v/>
      </c>
      <c r="H290" s="1">
        <v>41244</v>
      </c>
      <c r="I290" t="str">
        <f>"PHY00594"</f>
        <v>PHY00594</v>
      </c>
      <c r="J290" t="str">
        <f>"W0104563"</f>
        <v>W0104563</v>
      </c>
      <c r="K290" t="str">
        <f t="shared" si="78"/>
        <v>AS89</v>
      </c>
      <c r="L290" t="s">
        <v>2072</v>
      </c>
      <c r="M290">
        <v>389.83</v>
      </c>
    </row>
    <row r="291" spans="1:13" x14ac:dyDescent="0.25">
      <c r="A291" t="str">
        <f t="shared" si="68"/>
        <v>E160</v>
      </c>
      <c r="B291">
        <v>1</v>
      </c>
      <c r="C291" t="str">
        <f t="shared" si="75"/>
        <v>43000</v>
      </c>
      <c r="D291" t="str">
        <f t="shared" si="76"/>
        <v>5740</v>
      </c>
      <c r="E291" t="str">
        <f t="shared" si="77"/>
        <v>850LOS</v>
      </c>
      <c r="F291" t="str">
        <f>""</f>
        <v/>
      </c>
      <c r="G291" t="str">
        <f>""</f>
        <v/>
      </c>
      <c r="H291" s="1">
        <v>41275</v>
      </c>
      <c r="I291" t="str">
        <f>"PHY00596"</f>
        <v>PHY00596</v>
      </c>
      <c r="J291" t="str">
        <f>"W0104326"</f>
        <v>W0104326</v>
      </c>
      <c r="K291" t="str">
        <f t="shared" si="78"/>
        <v>AS89</v>
      </c>
      <c r="L291" t="s">
        <v>2071</v>
      </c>
      <c r="M291">
        <v>849.68</v>
      </c>
    </row>
    <row r="292" spans="1:13" x14ac:dyDescent="0.25">
      <c r="A292" t="str">
        <f t="shared" si="68"/>
        <v>E160</v>
      </c>
      <c r="B292">
        <v>1</v>
      </c>
      <c r="C292" t="str">
        <f t="shared" si="75"/>
        <v>43000</v>
      </c>
      <c r="D292" t="str">
        <f t="shared" si="76"/>
        <v>5740</v>
      </c>
      <c r="E292" t="str">
        <f t="shared" si="77"/>
        <v>850LOS</v>
      </c>
      <c r="F292" t="str">
        <f>""</f>
        <v/>
      </c>
      <c r="G292" t="str">
        <f>""</f>
        <v/>
      </c>
      <c r="H292" s="1">
        <v>41334</v>
      </c>
      <c r="I292" t="str">
        <f>"PHY00600"</f>
        <v>PHY00600</v>
      </c>
      <c r="J292" t="str">
        <f>"W0107197"</f>
        <v>W0107197</v>
      </c>
      <c r="K292" t="str">
        <f t="shared" si="78"/>
        <v>AS89</v>
      </c>
      <c r="L292" t="s">
        <v>2070</v>
      </c>
      <c r="M292">
        <v>561.35</v>
      </c>
    </row>
    <row r="293" spans="1:13" x14ac:dyDescent="0.25">
      <c r="A293" t="str">
        <f t="shared" si="68"/>
        <v>E160</v>
      </c>
      <c r="B293">
        <v>1</v>
      </c>
      <c r="C293" t="str">
        <f t="shared" si="75"/>
        <v>43000</v>
      </c>
      <c r="D293" t="str">
        <f t="shared" si="76"/>
        <v>5740</v>
      </c>
      <c r="E293" t="str">
        <f t="shared" si="77"/>
        <v>850LOS</v>
      </c>
      <c r="F293" t="str">
        <f>""</f>
        <v/>
      </c>
      <c r="G293" t="str">
        <f>""</f>
        <v/>
      </c>
      <c r="H293" s="1">
        <v>41365</v>
      </c>
      <c r="I293" t="str">
        <f>"PHY00602"</f>
        <v>PHY00602</v>
      </c>
      <c r="J293" t="str">
        <f>"W0110317"</f>
        <v>W0110317</v>
      </c>
      <c r="K293" t="str">
        <f t="shared" si="78"/>
        <v>AS89</v>
      </c>
      <c r="L293" t="s">
        <v>2069</v>
      </c>
      <c r="M293">
        <v>800.87</v>
      </c>
    </row>
    <row r="294" spans="1:13" x14ac:dyDescent="0.25">
      <c r="A294" t="str">
        <f t="shared" si="68"/>
        <v>E160</v>
      </c>
      <c r="B294">
        <v>1</v>
      </c>
      <c r="C294" t="str">
        <f t="shared" si="75"/>
        <v>43000</v>
      </c>
      <c r="D294" t="str">
        <f t="shared" si="76"/>
        <v>5740</v>
      </c>
      <c r="E294" t="str">
        <f t="shared" si="77"/>
        <v>850LOS</v>
      </c>
      <c r="F294" t="str">
        <f>""</f>
        <v/>
      </c>
      <c r="G294" t="str">
        <f>""</f>
        <v/>
      </c>
      <c r="H294" s="1">
        <v>41395</v>
      </c>
      <c r="I294" t="str">
        <f>"PHY00605"</f>
        <v>PHY00605</v>
      </c>
      <c r="J294" t="str">
        <f>"W0111741"</f>
        <v>W0111741</v>
      </c>
      <c r="K294" t="str">
        <f t="shared" si="78"/>
        <v>AS89</v>
      </c>
      <c r="L294" t="s">
        <v>1822</v>
      </c>
      <c r="M294">
        <v>257.79000000000002</v>
      </c>
    </row>
    <row r="295" spans="1:13" x14ac:dyDescent="0.25">
      <c r="A295" t="str">
        <f t="shared" si="68"/>
        <v>E160</v>
      </c>
      <c r="B295">
        <v>1</v>
      </c>
      <c r="C295" t="str">
        <f t="shared" si="75"/>
        <v>43000</v>
      </c>
      <c r="D295" t="str">
        <f t="shared" si="76"/>
        <v>5740</v>
      </c>
      <c r="E295" t="str">
        <f>"850PKE"</f>
        <v>850PKE</v>
      </c>
      <c r="F295" t="str">
        <f>""</f>
        <v/>
      </c>
      <c r="G295" t="str">
        <f>""</f>
        <v/>
      </c>
      <c r="H295" s="1">
        <v>41091</v>
      </c>
      <c r="I295" t="str">
        <f>"PHY00585"</f>
        <v>PHY00585</v>
      </c>
      <c r="J295" t="str">
        <f>"W0095223"</f>
        <v>W0095223</v>
      </c>
      <c r="K295" t="str">
        <f t="shared" si="78"/>
        <v>AS89</v>
      </c>
      <c r="L295" t="s">
        <v>2068</v>
      </c>
      <c r="M295">
        <v>126.26</v>
      </c>
    </row>
    <row r="296" spans="1:13" x14ac:dyDescent="0.25">
      <c r="A296" t="str">
        <f t="shared" si="68"/>
        <v>E160</v>
      </c>
      <c r="B296">
        <v>1</v>
      </c>
      <c r="C296" t="str">
        <f t="shared" si="75"/>
        <v>43000</v>
      </c>
      <c r="D296" t="str">
        <f t="shared" si="76"/>
        <v>5740</v>
      </c>
      <c r="E296" t="str">
        <f>"850PKE"</f>
        <v>850PKE</v>
      </c>
      <c r="F296" t="str">
        <f>""</f>
        <v/>
      </c>
      <c r="G296" t="str">
        <f>""</f>
        <v/>
      </c>
      <c r="H296" s="1">
        <v>41244</v>
      </c>
      <c r="I296" t="str">
        <f>"PHY00594"</f>
        <v>PHY00594</v>
      </c>
      <c r="J296" t="str">
        <f>"W0103000"</f>
        <v>W0103000</v>
      </c>
      <c r="K296" t="str">
        <f t="shared" si="78"/>
        <v>AS89</v>
      </c>
      <c r="L296" t="s">
        <v>1816</v>
      </c>
      <c r="M296">
        <v>216.22</v>
      </c>
    </row>
    <row r="297" spans="1:13" x14ac:dyDescent="0.25">
      <c r="A297" t="str">
        <f t="shared" si="68"/>
        <v>E160</v>
      </c>
      <c r="B297">
        <v>1</v>
      </c>
      <c r="C297" t="str">
        <f t="shared" si="75"/>
        <v>43000</v>
      </c>
      <c r="D297" t="str">
        <f t="shared" si="76"/>
        <v>5740</v>
      </c>
      <c r="E297" t="str">
        <f>"850PKE"</f>
        <v>850PKE</v>
      </c>
      <c r="F297" t="str">
        <f>""</f>
        <v/>
      </c>
      <c r="G297" t="str">
        <f>""</f>
        <v/>
      </c>
      <c r="H297" s="1">
        <v>41274</v>
      </c>
      <c r="I297" t="str">
        <f>"PCD00575"</f>
        <v>PCD00575</v>
      </c>
      <c r="J297" t="str">
        <f>"182164"</f>
        <v>182164</v>
      </c>
      <c r="K297" t="str">
        <f t="shared" si="78"/>
        <v>AS89</v>
      </c>
      <c r="L297" t="s">
        <v>2067</v>
      </c>
      <c r="M297">
        <v>265.23</v>
      </c>
    </row>
    <row r="298" spans="1:13" x14ac:dyDescent="0.25">
      <c r="A298" t="str">
        <f t="shared" si="68"/>
        <v>E160</v>
      </c>
      <c r="B298">
        <v>1</v>
      </c>
      <c r="C298" t="str">
        <f t="shared" si="75"/>
        <v>43000</v>
      </c>
      <c r="D298" t="str">
        <f t="shared" si="76"/>
        <v>5740</v>
      </c>
      <c r="E298" t="str">
        <f>"850PKE"</f>
        <v>850PKE</v>
      </c>
      <c r="F298" t="str">
        <f>""</f>
        <v/>
      </c>
      <c r="G298" t="str">
        <f>""</f>
        <v/>
      </c>
      <c r="H298" s="1">
        <v>41306</v>
      </c>
      <c r="I298" t="str">
        <f>"PHY00598"</f>
        <v>PHY00598</v>
      </c>
      <c r="J298" t="str">
        <f>"W0107466"</f>
        <v>W0107466</v>
      </c>
      <c r="K298" t="str">
        <f t="shared" si="78"/>
        <v>AS89</v>
      </c>
      <c r="L298" t="s">
        <v>2066</v>
      </c>
      <c r="M298">
        <v>370.1</v>
      </c>
    </row>
    <row r="299" spans="1:13" x14ac:dyDescent="0.25">
      <c r="A299" t="str">
        <f t="shared" si="68"/>
        <v>E160</v>
      </c>
      <c r="B299">
        <v>1</v>
      </c>
      <c r="C299" t="str">
        <f t="shared" si="75"/>
        <v>43000</v>
      </c>
      <c r="D299" t="str">
        <f t="shared" si="76"/>
        <v>5740</v>
      </c>
      <c r="E299" t="str">
        <f>"850PKE"</f>
        <v>850PKE</v>
      </c>
      <c r="F299" t="str">
        <f>""</f>
        <v/>
      </c>
      <c r="G299" t="str">
        <f>""</f>
        <v/>
      </c>
      <c r="H299" s="1">
        <v>41426</v>
      </c>
      <c r="I299" t="str">
        <f>"PHY00607"</f>
        <v>PHY00607</v>
      </c>
      <c r="J299" t="str">
        <f>"W0110531"</f>
        <v>W0110531</v>
      </c>
      <c r="K299" t="str">
        <f t="shared" si="78"/>
        <v>AS89</v>
      </c>
      <c r="L299" t="s">
        <v>2065</v>
      </c>
      <c r="M299">
        <v>259.85000000000002</v>
      </c>
    </row>
    <row r="300" spans="1:13" x14ac:dyDescent="0.25">
      <c r="A300" t="str">
        <f t="shared" si="68"/>
        <v>E160</v>
      </c>
      <c r="B300">
        <v>1</v>
      </c>
      <c r="C300" t="str">
        <f>"54551"</f>
        <v>54551</v>
      </c>
      <c r="D300" t="str">
        <f t="shared" si="76"/>
        <v>5740</v>
      </c>
      <c r="E300" t="str">
        <f>"111ZAA"</f>
        <v>111ZAA</v>
      </c>
      <c r="F300" t="str">
        <f>""</f>
        <v/>
      </c>
      <c r="G300" t="str">
        <f>""</f>
        <v/>
      </c>
      <c r="H300" s="1">
        <v>41430</v>
      </c>
      <c r="I300" t="str">
        <f>"J0004511"</f>
        <v>J0004511</v>
      </c>
      <c r="J300" t="str">
        <f>"PR001796"</f>
        <v>PR001796</v>
      </c>
      <c r="K300" t="str">
        <f>"J096"</f>
        <v>J096</v>
      </c>
      <c r="L300" t="s">
        <v>1918</v>
      </c>
      <c r="M300" s="2">
        <v>55462.61</v>
      </c>
    </row>
    <row r="301" spans="1:13" x14ac:dyDescent="0.25">
      <c r="A301" t="str">
        <f t="shared" si="68"/>
        <v>E160</v>
      </c>
      <c r="B301">
        <v>1</v>
      </c>
      <c r="C301" t="str">
        <f>"54551"</f>
        <v>54551</v>
      </c>
      <c r="D301" t="str">
        <f t="shared" si="76"/>
        <v>5740</v>
      </c>
      <c r="E301" t="str">
        <f>"111ZAA"</f>
        <v>111ZAA</v>
      </c>
      <c r="F301" t="str">
        <f>""</f>
        <v/>
      </c>
      <c r="G301" t="str">
        <f>""</f>
        <v/>
      </c>
      <c r="H301" s="1">
        <v>41430</v>
      </c>
      <c r="I301" t="str">
        <f>"J0004511"</f>
        <v>J0004511</v>
      </c>
      <c r="J301" t="str">
        <f>"PR001797"</f>
        <v>PR001797</v>
      </c>
      <c r="K301" t="str">
        <f>"J096"</f>
        <v>J096</v>
      </c>
      <c r="L301" t="s">
        <v>1918</v>
      </c>
      <c r="M301" s="2">
        <v>56706.080000000002</v>
      </c>
    </row>
    <row r="302" spans="1:13" x14ac:dyDescent="0.25">
      <c r="A302" t="str">
        <f>"E162"</f>
        <v>E162</v>
      </c>
      <c r="B302">
        <v>1</v>
      </c>
      <c r="C302" t="str">
        <f>"43000"</f>
        <v>43000</v>
      </c>
      <c r="D302" t="str">
        <f t="shared" si="76"/>
        <v>5740</v>
      </c>
      <c r="E302" t="str">
        <f t="shared" ref="E302:E307" si="79">"850LOS"</f>
        <v>850LOS</v>
      </c>
      <c r="F302" t="str">
        <f>""</f>
        <v/>
      </c>
      <c r="G302" t="str">
        <f>""</f>
        <v/>
      </c>
      <c r="H302" s="1">
        <v>41162</v>
      </c>
      <c r="I302" t="str">
        <f>"J0002613"</f>
        <v>J0002613</v>
      </c>
      <c r="J302" t="str">
        <f>""</f>
        <v/>
      </c>
      <c r="K302" t="str">
        <f>"J096"</f>
        <v>J096</v>
      </c>
      <c r="L302" t="s">
        <v>1352</v>
      </c>
      <c r="M302">
        <v>900</v>
      </c>
    </row>
    <row r="303" spans="1:13" x14ac:dyDescent="0.25">
      <c r="A303" t="str">
        <f>"E162"</f>
        <v>E162</v>
      </c>
      <c r="B303">
        <v>1</v>
      </c>
      <c r="C303" t="str">
        <f>"43000"</f>
        <v>43000</v>
      </c>
      <c r="D303" t="str">
        <f t="shared" si="76"/>
        <v>5740</v>
      </c>
      <c r="E303" t="str">
        <f t="shared" si="79"/>
        <v>850LOS</v>
      </c>
      <c r="F303" t="str">
        <f>""</f>
        <v/>
      </c>
      <c r="G303" t="str">
        <f>""</f>
        <v/>
      </c>
      <c r="H303" s="1">
        <v>41334</v>
      </c>
      <c r="I303" t="str">
        <f>"J0003527"</f>
        <v>J0003527</v>
      </c>
      <c r="J303" t="str">
        <f>""</f>
        <v/>
      </c>
      <c r="K303" t="str">
        <f>"J096"</f>
        <v>J096</v>
      </c>
      <c r="L303" t="s">
        <v>1352</v>
      </c>
      <c r="M303">
        <v>900</v>
      </c>
    </row>
    <row r="304" spans="1:13" x14ac:dyDescent="0.25">
      <c r="A304" t="str">
        <f>"E162"</f>
        <v>E162</v>
      </c>
      <c r="B304">
        <v>1</v>
      </c>
      <c r="C304" t="str">
        <f>"43000"</f>
        <v>43000</v>
      </c>
      <c r="D304" t="str">
        <f t="shared" si="76"/>
        <v>5740</v>
      </c>
      <c r="E304" t="str">
        <f t="shared" si="79"/>
        <v>850LOS</v>
      </c>
      <c r="F304" t="str">
        <f>""</f>
        <v/>
      </c>
      <c r="G304" t="str">
        <f>""</f>
        <v/>
      </c>
      <c r="H304" s="1">
        <v>41380</v>
      </c>
      <c r="I304" t="str">
        <f>"ADM00001"</f>
        <v>ADM00001</v>
      </c>
      <c r="J304" t="str">
        <f>""</f>
        <v/>
      </c>
      <c r="K304" t="str">
        <f>"AS89"</f>
        <v>AS89</v>
      </c>
      <c r="L304" t="s">
        <v>1352</v>
      </c>
      <c r="M304">
        <v>900</v>
      </c>
    </row>
    <row r="305" spans="1:13" x14ac:dyDescent="0.25">
      <c r="A305" t="str">
        <f>"E162"</f>
        <v>E162</v>
      </c>
      <c r="B305">
        <v>1</v>
      </c>
      <c r="C305" t="str">
        <f>"43000"</f>
        <v>43000</v>
      </c>
      <c r="D305" t="str">
        <f t="shared" si="76"/>
        <v>5740</v>
      </c>
      <c r="E305" t="str">
        <f t="shared" si="79"/>
        <v>850LOS</v>
      </c>
      <c r="F305" t="str">
        <f>""</f>
        <v/>
      </c>
      <c r="G305" t="str">
        <f>""</f>
        <v/>
      </c>
      <c r="H305" s="1">
        <v>41429</v>
      </c>
      <c r="I305" t="str">
        <f>"ADM00002"</f>
        <v>ADM00002</v>
      </c>
      <c r="J305" t="str">
        <f>""</f>
        <v/>
      </c>
      <c r="K305" t="str">
        <f>"AS89"</f>
        <v>AS89</v>
      </c>
      <c r="L305" t="s">
        <v>1352</v>
      </c>
      <c r="M305">
        <v>900</v>
      </c>
    </row>
    <row r="306" spans="1:13" x14ac:dyDescent="0.25">
      <c r="A306" t="str">
        <f>"E163"</f>
        <v>E163</v>
      </c>
      <c r="B306">
        <v>1</v>
      </c>
      <c r="C306" t="str">
        <f>"43003"</f>
        <v>43003</v>
      </c>
      <c r="D306" t="str">
        <f t="shared" si="76"/>
        <v>5740</v>
      </c>
      <c r="E306" t="str">
        <f t="shared" si="79"/>
        <v>850LOS</v>
      </c>
      <c r="F306" t="str">
        <f>""</f>
        <v/>
      </c>
      <c r="G306" t="str">
        <f>""</f>
        <v/>
      </c>
      <c r="H306" s="1">
        <v>41455</v>
      </c>
      <c r="I306" t="str">
        <f>"PCD00604"</f>
        <v>PCD00604</v>
      </c>
      <c r="J306" t="str">
        <f>"196053"</f>
        <v>196053</v>
      </c>
      <c r="K306" t="str">
        <f>"AS89"</f>
        <v>AS89</v>
      </c>
      <c r="L306" t="s">
        <v>2063</v>
      </c>
      <c r="M306">
        <v>341.51</v>
      </c>
    </row>
    <row r="307" spans="1:13" x14ac:dyDescent="0.25">
      <c r="A307" t="str">
        <f>"E163"</f>
        <v>E163</v>
      </c>
      <c r="B307">
        <v>1</v>
      </c>
      <c r="C307" t="str">
        <f>"43003"</f>
        <v>43003</v>
      </c>
      <c r="D307" t="str">
        <f t="shared" si="76"/>
        <v>5740</v>
      </c>
      <c r="E307" t="str">
        <f t="shared" si="79"/>
        <v>850LOS</v>
      </c>
      <c r="F307" t="str">
        <f>""</f>
        <v/>
      </c>
      <c r="G307" t="str">
        <f>""</f>
        <v/>
      </c>
      <c r="H307" s="1">
        <v>41455</v>
      </c>
      <c r="I307" t="str">
        <f>"PCD00604"</f>
        <v>PCD00604</v>
      </c>
      <c r="J307" t="str">
        <f>"196054"</f>
        <v>196054</v>
      </c>
      <c r="K307" t="str">
        <f>"AS89"</f>
        <v>AS89</v>
      </c>
      <c r="L307" t="s">
        <v>2063</v>
      </c>
      <c r="M307">
        <v>672.57</v>
      </c>
    </row>
    <row r="308" spans="1:13" x14ac:dyDescent="0.25">
      <c r="A308" t="str">
        <f t="shared" ref="A308:A314" si="80">"E164"</f>
        <v>E164</v>
      </c>
      <c r="B308">
        <v>1</v>
      </c>
      <c r="C308" t="str">
        <f t="shared" ref="C308:C313" si="81">"10200"</f>
        <v>10200</v>
      </c>
      <c r="D308" t="str">
        <f t="shared" ref="D308:D313" si="82">"5620"</f>
        <v>5620</v>
      </c>
      <c r="E308" t="str">
        <f t="shared" ref="E308:E313" si="83">"094OMS"</f>
        <v>094OMS</v>
      </c>
      <c r="F308" t="str">
        <f>""</f>
        <v/>
      </c>
      <c r="G308" t="str">
        <f>""</f>
        <v/>
      </c>
      <c r="H308" s="1">
        <v>41213</v>
      </c>
      <c r="I308" t="str">
        <f>"LKS00204"</f>
        <v>LKS00204</v>
      </c>
      <c r="J308" t="str">
        <f t="shared" ref="J308:J313" si="84">"L30034"</f>
        <v>L30034</v>
      </c>
      <c r="K308" t="str">
        <f t="shared" ref="K308:K313" si="85">"LKW1"</f>
        <v>LKW1</v>
      </c>
      <c r="L308" t="s">
        <v>133</v>
      </c>
      <c r="M308">
        <v>219.54</v>
      </c>
    </row>
    <row r="309" spans="1:13" x14ac:dyDescent="0.25">
      <c r="A309" t="str">
        <f t="shared" si="80"/>
        <v>E164</v>
      </c>
      <c r="B309">
        <v>1</v>
      </c>
      <c r="C309" t="str">
        <f t="shared" si="81"/>
        <v>10200</v>
      </c>
      <c r="D309" t="str">
        <f t="shared" si="82"/>
        <v>5620</v>
      </c>
      <c r="E309" t="str">
        <f t="shared" si="83"/>
        <v>094OMS</v>
      </c>
      <c r="F309" t="str">
        <f>""</f>
        <v/>
      </c>
      <c r="G309" t="str">
        <f>""</f>
        <v/>
      </c>
      <c r="H309" s="1">
        <v>41243</v>
      </c>
      <c r="I309" t="str">
        <f>"LKS00205"</f>
        <v>LKS00205</v>
      </c>
      <c r="J309" t="str">
        <f t="shared" si="84"/>
        <v>L30034</v>
      </c>
      <c r="K309" t="str">
        <f t="shared" si="85"/>
        <v>LKW1</v>
      </c>
      <c r="L309" t="s">
        <v>133</v>
      </c>
      <c r="M309">
        <v>136.72999999999999</v>
      </c>
    </row>
    <row r="310" spans="1:13" x14ac:dyDescent="0.25">
      <c r="A310" t="str">
        <f t="shared" si="80"/>
        <v>E164</v>
      </c>
      <c r="B310">
        <v>1</v>
      </c>
      <c r="C310" t="str">
        <f t="shared" si="81"/>
        <v>10200</v>
      </c>
      <c r="D310" t="str">
        <f t="shared" si="82"/>
        <v>5620</v>
      </c>
      <c r="E310" t="str">
        <f t="shared" si="83"/>
        <v>094OMS</v>
      </c>
      <c r="F310" t="str">
        <f>""</f>
        <v/>
      </c>
      <c r="G310" t="str">
        <f>""</f>
        <v/>
      </c>
      <c r="H310" s="1">
        <v>41271</v>
      </c>
      <c r="I310" t="str">
        <f>"LKS00206"</f>
        <v>LKS00206</v>
      </c>
      <c r="J310" t="str">
        <f t="shared" si="84"/>
        <v>L30034</v>
      </c>
      <c r="K310" t="str">
        <f t="shared" si="85"/>
        <v>LKW1</v>
      </c>
      <c r="L310" t="s">
        <v>133</v>
      </c>
      <c r="M310">
        <v>140.69</v>
      </c>
    </row>
    <row r="311" spans="1:13" x14ac:dyDescent="0.25">
      <c r="A311" t="str">
        <f t="shared" si="80"/>
        <v>E164</v>
      </c>
      <c r="B311">
        <v>1</v>
      </c>
      <c r="C311" t="str">
        <f t="shared" si="81"/>
        <v>10200</v>
      </c>
      <c r="D311" t="str">
        <f t="shared" si="82"/>
        <v>5620</v>
      </c>
      <c r="E311" t="str">
        <f t="shared" si="83"/>
        <v>094OMS</v>
      </c>
      <c r="F311" t="str">
        <f>""</f>
        <v/>
      </c>
      <c r="G311" t="str">
        <f>""</f>
        <v/>
      </c>
      <c r="H311" s="1">
        <v>41305</v>
      </c>
      <c r="I311" t="str">
        <f>"LKS00207"</f>
        <v>LKS00207</v>
      </c>
      <c r="J311" t="str">
        <f t="shared" si="84"/>
        <v>L30034</v>
      </c>
      <c r="K311" t="str">
        <f t="shared" si="85"/>
        <v>LKW1</v>
      </c>
      <c r="L311" t="s">
        <v>133</v>
      </c>
      <c r="M311">
        <v>106.89</v>
      </c>
    </row>
    <row r="312" spans="1:13" x14ac:dyDescent="0.25">
      <c r="A312" t="str">
        <f t="shared" si="80"/>
        <v>E164</v>
      </c>
      <c r="B312">
        <v>1</v>
      </c>
      <c r="C312" t="str">
        <f t="shared" si="81"/>
        <v>10200</v>
      </c>
      <c r="D312" t="str">
        <f t="shared" si="82"/>
        <v>5620</v>
      </c>
      <c r="E312" t="str">
        <f t="shared" si="83"/>
        <v>094OMS</v>
      </c>
      <c r="F312" t="str">
        <f>""</f>
        <v/>
      </c>
      <c r="G312" t="str">
        <f>""</f>
        <v/>
      </c>
      <c r="H312" s="1">
        <v>41424</v>
      </c>
      <c r="I312" t="str">
        <f>"LKS00211"</f>
        <v>LKS00211</v>
      </c>
      <c r="J312" t="str">
        <f t="shared" si="84"/>
        <v>L30034</v>
      </c>
      <c r="K312" t="str">
        <f t="shared" si="85"/>
        <v>LKW1</v>
      </c>
      <c r="L312" t="s">
        <v>133</v>
      </c>
      <c r="M312">
        <v>227.16</v>
      </c>
    </row>
    <row r="313" spans="1:13" x14ac:dyDescent="0.25">
      <c r="A313" t="str">
        <f t="shared" si="80"/>
        <v>E164</v>
      </c>
      <c r="B313">
        <v>1</v>
      </c>
      <c r="C313" t="str">
        <f t="shared" si="81"/>
        <v>10200</v>
      </c>
      <c r="D313" t="str">
        <f t="shared" si="82"/>
        <v>5620</v>
      </c>
      <c r="E313" t="str">
        <f t="shared" si="83"/>
        <v>094OMS</v>
      </c>
      <c r="F313" t="str">
        <f>""</f>
        <v/>
      </c>
      <c r="G313" t="str">
        <f>""</f>
        <v/>
      </c>
      <c r="H313" s="1">
        <v>41452</v>
      </c>
      <c r="I313" t="str">
        <f>"LKS00212"</f>
        <v>LKS00212</v>
      </c>
      <c r="J313" t="str">
        <f t="shared" si="84"/>
        <v>L30034</v>
      </c>
      <c r="K313" t="str">
        <f t="shared" si="85"/>
        <v>LKW1</v>
      </c>
      <c r="L313" t="s">
        <v>133</v>
      </c>
      <c r="M313">
        <v>570.07000000000005</v>
      </c>
    </row>
    <row r="314" spans="1:13" x14ac:dyDescent="0.25">
      <c r="A314" t="str">
        <f t="shared" si="80"/>
        <v>E164</v>
      </c>
      <c r="B314">
        <v>1</v>
      </c>
      <c r="C314" t="str">
        <f>"32040"</f>
        <v>32040</v>
      </c>
      <c r="D314" t="str">
        <f>"5610"</f>
        <v>5610</v>
      </c>
      <c r="E314" t="str">
        <f>"850LOS"</f>
        <v>850LOS</v>
      </c>
      <c r="F314" t="str">
        <f>""</f>
        <v/>
      </c>
      <c r="G314" t="str">
        <f>""</f>
        <v/>
      </c>
      <c r="H314" s="1">
        <v>41403</v>
      </c>
      <c r="I314" t="str">
        <f>"J0004291"</f>
        <v>J0004291</v>
      </c>
      <c r="J314" t="str">
        <f>""</f>
        <v/>
      </c>
      <c r="K314" t="str">
        <f>"J089"</f>
        <v>J089</v>
      </c>
      <c r="L314" t="s">
        <v>2062</v>
      </c>
      <c r="M314">
        <v>433.35</v>
      </c>
    </row>
    <row r="315" spans="1:13" x14ac:dyDescent="0.25">
      <c r="A315" t="str">
        <f>"E166"</f>
        <v>E166</v>
      </c>
      <c r="B315">
        <v>1</v>
      </c>
      <c r="C315" t="str">
        <f>"43000"</f>
        <v>43000</v>
      </c>
      <c r="D315" t="str">
        <f>"5740"</f>
        <v>5740</v>
      </c>
      <c r="E315" t="str">
        <f>"850LOS"</f>
        <v>850LOS</v>
      </c>
      <c r="F315" t="str">
        <f>"PKOLOT"</f>
        <v>PKOLOT</v>
      </c>
      <c r="G315" t="str">
        <f>""</f>
        <v/>
      </c>
      <c r="H315" s="1">
        <v>41270</v>
      </c>
      <c r="I315" t="str">
        <f>"134324A"</f>
        <v>134324A</v>
      </c>
      <c r="J315" t="str">
        <f>"N076383G"</f>
        <v>N076383G</v>
      </c>
      <c r="K315" t="str">
        <f>"INEI"</f>
        <v>INEI</v>
      </c>
      <c r="L315" t="s">
        <v>140</v>
      </c>
      <c r="M315" s="2">
        <v>1202.22</v>
      </c>
    </row>
    <row r="316" spans="1:13" x14ac:dyDescent="0.25">
      <c r="A316" t="str">
        <f>"E166"</f>
        <v>E166</v>
      </c>
      <c r="B316">
        <v>1</v>
      </c>
      <c r="C316" t="str">
        <f>"43000"</f>
        <v>43000</v>
      </c>
      <c r="D316" t="str">
        <f>"5740"</f>
        <v>5740</v>
      </c>
      <c r="E316" t="str">
        <f>"850LOS"</f>
        <v>850LOS</v>
      </c>
      <c r="F316" t="str">
        <f>"PKOLOT"</f>
        <v>PKOLOT</v>
      </c>
      <c r="G316" t="str">
        <f>""</f>
        <v/>
      </c>
      <c r="H316" s="1">
        <v>41316</v>
      </c>
      <c r="I316" t="str">
        <f>"136153A"</f>
        <v>136153A</v>
      </c>
      <c r="J316" t="str">
        <f>"N076383G"</f>
        <v>N076383G</v>
      </c>
      <c r="K316" t="str">
        <f>"INEI"</f>
        <v>INEI</v>
      </c>
      <c r="L316" t="s">
        <v>140</v>
      </c>
      <c r="M316">
        <v>524.41999999999996</v>
      </c>
    </row>
    <row r="317" spans="1:13" x14ac:dyDescent="0.25">
      <c r="A317" t="str">
        <f>"E166"</f>
        <v>E166</v>
      </c>
      <c r="B317">
        <v>1</v>
      </c>
      <c r="C317" t="str">
        <f>"43000"</f>
        <v>43000</v>
      </c>
      <c r="D317" t="str">
        <f>"5740"</f>
        <v>5740</v>
      </c>
      <c r="E317" t="str">
        <f>"850LOS"</f>
        <v>850LOS</v>
      </c>
      <c r="F317" t="str">
        <f>"PKOLOT"</f>
        <v>PKOLOT</v>
      </c>
      <c r="G317" t="str">
        <f>""</f>
        <v/>
      </c>
      <c r="H317" s="1">
        <v>41417</v>
      </c>
      <c r="I317" t="str">
        <f>"138208A"</f>
        <v>138208A</v>
      </c>
      <c r="J317" t="str">
        <f>"N076383G"</f>
        <v>N076383G</v>
      </c>
      <c r="K317" t="str">
        <f>"INEI"</f>
        <v>INEI</v>
      </c>
      <c r="L317" t="s">
        <v>140</v>
      </c>
      <c r="M317" s="2">
        <v>1455.3</v>
      </c>
    </row>
    <row r="318" spans="1:13" x14ac:dyDescent="0.25">
      <c r="A318" t="str">
        <f>"E170"</f>
        <v>E170</v>
      </c>
      <c r="B318">
        <v>1</v>
      </c>
      <c r="C318" t="str">
        <f>"10200"</f>
        <v>10200</v>
      </c>
      <c r="D318" t="str">
        <f>"5620"</f>
        <v>5620</v>
      </c>
      <c r="E318" t="str">
        <f>"094OMS"</f>
        <v>094OMS</v>
      </c>
      <c r="F318" t="str">
        <f>""</f>
        <v/>
      </c>
      <c r="G318" t="str">
        <f>""</f>
        <v/>
      </c>
      <c r="H318" s="1">
        <v>41403</v>
      </c>
      <c r="I318" t="str">
        <f>"210972A"</f>
        <v>210972A</v>
      </c>
      <c r="J318" t="str">
        <f>""</f>
        <v/>
      </c>
      <c r="K318" t="str">
        <f>"INNI"</f>
        <v>INNI</v>
      </c>
      <c r="L318" t="s">
        <v>1342</v>
      </c>
      <c r="M318">
        <v>808.68</v>
      </c>
    </row>
    <row r="319" spans="1:13" x14ac:dyDescent="0.25">
      <c r="A319" t="str">
        <f>"E170"</f>
        <v>E170</v>
      </c>
      <c r="B319">
        <v>1</v>
      </c>
      <c r="C319" t="str">
        <f>"23275"</f>
        <v>23275</v>
      </c>
      <c r="D319" t="str">
        <f>"5741"</f>
        <v>5741</v>
      </c>
      <c r="E319" t="str">
        <f>"063STF"</f>
        <v>063STF</v>
      </c>
      <c r="F319" t="str">
        <f>""</f>
        <v/>
      </c>
      <c r="G319" t="str">
        <f>""</f>
        <v/>
      </c>
      <c r="H319" s="1">
        <v>41213</v>
      </c>
      <c r="I319" t="str">
        <f>"PCD00564"</f>
        <v>PCD00564</v>
      </c>
      <c r="J319" t="str">
        <f>"177470"</f>
        <v>177470</v>
      </c>
      <c r="K319" t="str">
        <f>"AS89"</f>
        <v>AS89</v>
      </c>
      <c r="L319" t="s">
        <v>2061</v>
      </c>
      <c r="M319">
        <v>141.31</v>
      </c>
    </row>
    <row r="320" spans="1:13" x14ac:dyDescent="0.25">
      <c r="A320" t="str">
        <f>"E170"</f>
        <v>E170</v>
      </c>
      <c r="B320">
        <v>1</v>
      </c>
      <c r="C320" t="str">
        <f>"23275"</f>
        <v>23275</v>
      </c>
      <c r="D320" t="str">
        <f>"5741"</f>
        <v>5741</v>
      </c>
      <c r="E320" t="str">
        <f>"063STF"</f>
        <v>063STF</v>
      </c>
      <c r="F320" t="str">
        <f>""</f>
        <v/>
      </c>
      <c r="G320" t="str">
        <f>""</f>
        <v/>
      </c>
      <c r="H320" s="1">
        <v>41425</v>
      </c>
      <c r="I320" t="str">
        <f>"PCD00600"</f>
        <v>PCD00600</v>
      </c>
      <c r="J320" t="str">
        <f>"194011"</f>
        <v>194011</v>
      </c>
      <c r="K320" t="str">
        <f>"AS89"</f>
        <v>AS89</v>
      </c>
      <c r="L320" t="s">
        <v>2060</v>
      </c>
      <c r="M320">
        <v>168.49</v>
      </c>
    </row>
    <row r="321" spans="1:13" x14ac:dyDescent="0.25">
      <c r="A321" t="str">
        <f>"E170"</f>
        <v>E170</v>
      </c>
      <c r="B321">
        <v>1</v>
      </c>
      <c r="C321" t="str">
        <f t="shared" ref="C321:C326" si="86">"43000"</f>
        <v>43000</v>
      </c>
      <c r="D321" t="str">
        <f t="shared" ref="D321:D326" si="87">"5740"</f>
        <v>5740</v>
      </c>
      <c r="E321" t="str">
        <f>"850PKE"</f>
        <v>850PKE</v>
      </c>
      <c r="F321" t="str">
        <f>""</f>
        <v/>
      </c>
      <c r="G321" t="str">
        <f>""</f>
        <v/>
      </c>
      <c r="H321" s="1">
        <v>41305</v>
      </c>
      <c r="I321" t="str">
        <f>"PCD00580"</f>
        <v>PCD00580</v>
      </c>
      <c r="J321" t="str">
        <f>"183874"</f>
        <v>183874</v>
      </c>
      <c r="K321" t="str">
        <f>"AS89"</f>
        <v>AS89</v>
      </c>
      <c r="L321" t="s">
        <v>2059</v>
      </c>
      <c r="M321">
        <v>124.24</v>
      </c>
    </row>
    <row r="322" spans="1:13" x14ac:dyDescent="0.25">
      <c r="A322" t="str">
        <f>"E170"</f>
        <v>E170</v>
      </c>
      <c r="B322">
        <v>1</v>
      </c>
      <c r="C322" t="str">
        <f t="shared" si="86"/>
        <v>43000</v>
      </c>
      <c r="D322" t="str">
        <f t="shared" si="87"/>
        <v>5740</v>
      </c>
      <c r="E322" t="str">
        <f>"850PKE"</f>
        <v>850PKE</v>
      </c>
      <c r="F322" t="str">
        <f>""</f>
        <v/>
      </c>
      <c r="G322" t="str">
        <f>""</f>
        <v/>
      </c>
      <c r="H322" s="1">
        <v>41305</v>
      </c>
      <c r="I322" t="str">
        <f>"PCD00580"</f>
        <v>PCD00580</v>
      </c>
      <c r="J322" t="str">
        <f>"183874"</f>
        <v>183874</v>
      </c>
      <c r="K322" t="str">
        <f>"AS89"</f>
        <v>AS89</v>
      </c>
      <c r="L322" t="s">
        <v>2058</v>
      </c>
      <c r="M322" s="2">
        <v>1428.08</v>
      </c>
    </row>
    <row r="323" spans="1:13" x14ac:dyDescent="0.25">
      <c r="A323" t="str">
        <f>"E171"</f>
        <v>E171</v>
      </c>
      <c r="B323">
        <v>1</v>
      </c>
      <c r="C323" t="str">
        <f t="shared" si="86"/>
        <v>43000</v>
      </c>
      <c r="D323" t="str">
        <f t="shared" si="87"/>
        <v>5740</v>
      </c>
      <c r="E323" t="str">
        <f>"850LOS"</f>
        <v>850LOS</v>
      </c>
      <c r="F323" t="str">
        <f>""</f>
        <v/>
      </c>
      <c r="G323" t="str">
        <f>""</f>
        <v/>
      </c>
      <c r="H323" s="1">
        <v>41182</v>
      </c>
      <c r="I323" t="str">
        <f>"PRT00339"</f>
        <v>PRT00339</v>
      </c>
      <c r="J323" t="str">
        <f>"701609"</f>
        <v>701609</v>
      </c>
      <c r="K323" t="str">
        <f>"PR01"</f>
        <v>PR01</v>
      </c>
      <c r="L323" t="s">
        <v>2056</v>
      </c>
      <c r="M323" s="2">
        <v>2355.9</v>
      </c>
    </row>
    <row r="324" spans="1:13" x14ac:dyDescent="0.25">
      <c r="A324" t="str">
        <f>"E171"</f>
        <v>E171</v>
      </c>
      <c r="B324">
        <v>1</v>
      </c>
      <c r="C324" t="str">
        <f t="shared" si="86"/>
        <v>43000</v>
      </c>
      <c r="D324" t="str">
        <f t="shared" si="87"/>
        <v>5740</v>
      </c>
      <c r="E324" t="str">
        <f>"850PKE"</f>
        <v>850PKE</v>
      </c>
      <c r="F324" t="str">
        <f>""</f>
        <v/>
      </c>
      <c r="G324" t="str">
        <f>""</f>
        <v/>
      </c>
      <c r="H324" s="1">
        <v>41121</v>
      </c>
      <c r="I324" t="str">
        <f>"PRT00336"</f>
        <v>PRT00336</v>
      </c>
      <c r="J324" t="str">
        <f>"684860"</f>
        <v>684860</v>
      </c>
      <c r="K324" t="str">
        <f>"PR01"</f>
        <v>PR01</v>
      </c>
      <c r="L324" t="s">
        <v>2055</v>
      </c>
      <c r="M324">
        <v>417.16</v>
      </c>
    </row>
    <row r="325" spans="1:13" x14ac:dyDescent="0.25">
      <c r="A325" t="str">
        <f>"E171"</f>
        <v>E171</v>
      </c>
      <c r="B325">
        <v>1</v>
      </c>
      <c r="C325" t="str">
        <f t="shared" si="86"/>
        <v>43000</v>
      </c>
      <c r="D325" t="str">
        <f t="shared" si="87"/>
        <v>5740</v>
      </c>
      <c r="E325" t="str">
        <f>"850PKE"</f>
        <v>850PKE</v>
      </c>
      <c r="F325" t="str">
        <f>""</f>
        <v/>
      </c>
      <c r="G325" t="str">
        <f>""</f>
        <v/>
      </c>
      <c r="H325" s="1">
        <v>41305</v>
      </c>
      <c r="I325" t="str">
        <f>"COP00270"</f>
        <v>COP00270</v>
      </c>
      <c r="J325" t="str">
        <f t="shared" ref="J325:J337" si="88">"JOB ORDR"</f>
        <v>JOB ORDR</v>
      </c>
      <c r="K325" t="str">
        <f t="shared" ref="K325:K348" si="89">"AS89"</f>
        <v>AS89</v>
      </c>
      <c r="L325" t="s">
        <v>2050</v>
      </c>
      <c r="M325">
        <v>206.28</v>
      </c>
    </row>
    <row r="326" spans="1:13" x14ac:dyDescent="0.25">
      <c r="A326" t="str">
        <f>"E171"</f>
        <v>E171</v>
      </c>
      <c r="B326">
        <v>1</v>
      </c>
      <c r="C326" t="str">
        <f t="shared" si="86"/>
        <v>43000</v>
      </c>
      <c r="D326" t="str">
        <f t="shared" si="87"/>
        <v>5740</v>
      </c>
      <c r="E326" t="str">
        <f>"850PKE"</f>
        <v>850PKE</v>
      </c>
      <c r="F326" t="str">
        <f>""</f>
        <v/>
      </c>
      <c r="G326" t="str">
        <f>""</f>
        <v/>
      </c>
      <c r="H326" s="1">
        <v>41390</v>
      </c>
      <c r="I326" t="str">
        <f>"COP00273"</f>
        <v>COP00273</v>
      </c>
      <c r="J326" t="str">
        <f t="shared" si="88"/>
        <v>JOB ORDR</v>
      </c>
      <c r="K326" t="str">
        <f t="shared" si="89"/>
        <v>AS89</v>
      </c>
      <c r="L326" t="s">
        <v>2047</v>
      </c>
      <c r="M326">
        <v>308.81</v>
      </c>
    </row>
    <row r="327" spans="1:13" x14ac:dyDescent="0.25">
      <c r="A327" t="str">
        <f t="shared" ref="A327:A337" si="90">"E172"</f>
        <v>E172</v>
      </c>
      <c r="B327">
        <v>1</v>
      </c>
      <c r="C327" t="str">
        <f>"10200"</f>
        <v>10200</v>
      </c>
      <c r="D327" t="str">
        <f>"5620"</f>
        <v>5620</v>
      </c>
      <c r="E327" t="str">
        <f>"094OMS"</f>
        <v>094OMS</v>
      </c>
      <c r="F327" t="str">
        <f>""</f>
        <v/>
      </c>
      <c r="G327" t="str">
        <f>""</f>
        <v/>
      </c>
      <c r="H327" s="1">
        <v>41213</v>
      </c>
      <c r="I327" t="str">
        <f>"COP00267"</f>
        <v>COP00267</v>
      </c>
      <c r="J327" t="str">
        <f t="shared" si="88"/>
        <v>JOB ORDR</v>
      </c>
      <c r="K327" t="str">
        <f t="shared" si="89"/>
        <v>AS89</v>
      </c>
      <c r="L327" t="s">
        <v>2054</v>
      </c>
      <c r="M327">
        <v>200.45</v>
      </c>
    </row>
    <row r="328" spans="1:13" x14ac:dyDescent="0.25">
      <c r="A328" t="str">
        <f t="shared" si="90"/>
        <v>E172</v>
      </c>
      <c r="B328">
        <v>1</v>
      </c>
      <c r="C328" t="str">
        <f>"10200"</f>
        <v>10200</v>
      </c>
      <c r="D328" t="str">
        <f>"5620"</f>
        <v>5620</v>
      </c>
      <c r="E328" t="str">
        <f>"094OMS"</f>
        <v>094OMS</v>
      </c>
      <c r="F328" t="str">
        <f>""</f>
        <v/>
      </c>
      <c r="G328" t="str">
        <f>""</f>
        <v/>
      </c>
      <c r="H328" s="1">
        <v>41305</v>
      </c>
      <c r="I328" t="str">
        <f>"COP00270"</f>
        <v>COP00270</v>
      </c>
      <c r="J328" t="str">
        <f t="shared" si="88"/>
        <v>JOB ORDR</v>
      </c>
      <c r="K328" t="str">
        <f t="shared" si="89"/>
        <v>AS89</v>
      </c>
      <c r="L328" t="s">
        <v>2050</v>
      </c>
      <c r="M328">
        <v>316.49</v>
      </c>
    </row>
    <row r="329" spans="1:13" x14ac:dyDescent="0.25">
      <c r="A329" t="str">
        <f t="shared" si="90"/>
        <v>E172</v>
      </c>
      <c r="B329">
        <v>1</v>
      </c>
      <c r="C329" t="str">
        <f>"23275"</f>
        <v>23275</v>
      </c>
      <c r="D329" t="str">
        <f>"5741"</f>
        <v>5741</v>
      </c>
      <c r="E329" t="str">
        <f>"063STF"</f>
        <v>063STF</v>
      </c>
      <c r="F329" t="str">
        <f>""</f>
        <v/>
      </c>
      <c r="G329" t="str">
        <f>""</f>
        <v/>
      </c>
      <c r="H329" s="1">
        <v>41180</v>
      </c>
      <c r="I329" t="str">
        <f>"COP00266"</f>
        <v>COP00266</v>
      </c>
      <c r="J329" t="str">
        <f t="shared" si="88"/>
        <v>JOB ORDR</v>
      </c>
      <c r="K329" t="str">
        <f t="shared" si="89"/>
        <v>AS89</v>
      </c>
      <c r="L329" t="s">
        <v>2052</v>
      </c>
      <c r="M329">
        <v>290.10000000000002</v>
      </c>
    </row>
    <row r="330" spans="1:13" x14ac:dyDescent="0.25">
      <c r="A330" t="str">
        <f t="shared" si="90"/>
        <v>E172</v>
      </c>
      <c r="B330">
        <v>1</v>
      </c>
      <c r="C330" t="str">
        <f t="shared" ref="C330:C336" si="91">"43000"</f>
        <v>43000</v>
      </c>
      <c r="D330" t="str">
        <f t="shared" ref="D330:D337" si="92">"5740"</f>
        <v>5740</v>
      </c>
      <c r="E330" t="str">
        <f t="shared" ref="E330:E336" si="93">"850LOS"</f>
        <v>850LOS</v>
      </c>
      <c r="F330" t="str">
        <f>""</f>
        <v/>
      </c>
      <c r="G330" t="str">
        <f>""</f>
        <v/>
      </c>
      <c r="H330" s="1">
        <v>41117</v>
      </c>
      <c r="I330" t="str">
        <f>"COP00264"</f>
        <v>COP00264</v>
      </c>
      <c r="J330" t="str">
        <f t="shared" si="88"/>
        <v>JOB ORDR</v>
      </c>
      <c r="K330" t="str">
        <f t="shared" si="89"/>
        <v>AS89</v>
      </c>
      <c r="L330" t="s">
        <v>2053</v>
      </c>
      <c r="M330">
        <v>327.02</v>
      </c>
    </row>
    <row r="331" spans="1:13" x14ac:dyDescent="0.25">
      <c r="A331" t="str">
        <f t="shared" si="90"/>
        <v>E172</v>
      </c>
      <c r="B331">
        <v>1</v>
      </c>
      <c r="C331" t="str">
        <f t="shared" si="91"/>
        <v>43000</v>
      </c>
      <c r="D331" t="str">
        <f t="shared" si="92"/>
        <v>5740</v>
      </c>
      <c r="E331" t="str">
        <f t="shared" si="93"/>
        <v>850LOS</v>
      </c>
      <c r="F331" t="str">
        <f>""</f>
        <v/>
      </c>
      <c r="G331" t="str">
        <f>""</f>
        <v/>
      </c>
      <c r="H331" s="1">
        <v>41180</v>
      </c>
      <c r="I331" t="str">
        <f>"COP00266"</f>
        <v>COP00266</v>
      </c>
      <c r="J331" t="str">
        <f t="shared" si="88"/>
        <v>JOB ORDR</v>
      </c>
      <c r="K331" t="str">
        <f t="shared" si="89"/>
        <v>AS89</v>
      </c>
      <c r="L331" t="s">
        <v>2052</v>
      </c>
      <c r="M331" s="2">
        <v>1804.41</v>
      </c>
    </row>
    <row r="332" spans="1:13" x14ac:dyDescent="0.25">
      <c r="A332" t="str">
        <f t="shared" si="90"/>
        <v>E172</v>
      </c>
      <c r="B332">
        <v>1</v>
      </c>
      <c r="C332" t="str">
        <f t="shared" si="91"/>
        <v>43000</v>
      </c>
      <c r="D332" t="str">
        <f t="shared" si="92"/>
        <v>5740</v>
      </c>
      <c r="E332" t="str">
        <f t="shared" si="93"/>
        <v>850LOS</v>
      </c>
      <c r="F332" t="str">
        <f>""</f>
        <v/>
      </c>
      <c r="G332" t="str">
        <f>""</f>
        <v/>
      </c>
      <c r="H332" s="1">
        <v>41243</v>
      </c>
      <c r="I332" t="str">
        <f>"COP00268"</f>
        <v>COP00268</v>
      </c>
      <c r="J332" t="str">
        <f t="shared" si="88"/>
        <v>JOB ORDR</v>
      </c>
      <c r="K332" t="str">
        <f t="shared" si="89"/>
        <v>AS89</v>
      </c>
      <c r="L332" t="s">
        <v>2051</v>
      </c>
      <c r="M332">
        <v>413.56</v>
      </c>
    </row>
    <row r="333" spans="1:13" x14ac:dyDescent="0.25">
      <c r="A333" t="str">
        <f t="shared" si="90"/>
        <v>E172</v>
      </c>
      <c r="B333">
        <v>1</v>
      </c>
      <c r="C333" t="str">
        <f t="shared" si="91"/>
        <v>43000</v>
      </c>
      <c r="D333" t="str">
        <f t="shared" si="92"/>
        <v>5740</v>
      </c>
      <c r="E333" t="str">
        <f t="shared" si="93"/>
        <v>850LOS</v>
      </c>
      <c r="F333" t="str">
        <f>""</f>
        <v/>
      </c>
      <c r="G333" t="str">
        <f>""</f>
        <v/>
      </c>
      <c r="H333" s="1">
        <v>41264</v>
      </c>
      <c r="I333" t="str">
        <f>"COP00269"</f>
        <v>COP00269</v>
      </c>
      <c r="J333" t="str">
        <f t="shared" si="88"/>
        <v>JOB ORDR</v>
      </c>
      <c r="K333" t="str">
        <f t="shared" si="89"/>
        <v>AS89</v>
      </c>
      <c r="L333" t="s">
        <v>2045</v>
      </c>
      <c r="M333">
        <v>663.15</v>
      </c>
    </row>
    <row r="334" spans="1:13" x14ac:dyDescent="0.25">
      <c r="A334" t="str">
        <f t="shared" si="90"/>
        <v>E172</v>
      </c>
      <c r="B334">
        <v>1</v>
      </c>
      <c r="C334" t="str">
        <f t="shared" si="91"/>
        <v>43000</v>
      </c>
      <c r="D334" t="str">
        <f t="shared" si="92"/>
        <v>5740</v>
      </c>
      <c r="E334" t="str">
        <f t="shared" si="93"/>
        <v>850LOS</v>
      </c>
      <c r="F334" t="str">
        <f>""</f>
        <v/>
      </c>
      <c r="G334" t="str">
        <f>""</f>
        <v/>
      </c>
      <c r="H334" s="1">
        <v>41333</v>
      </c>
      <c r="I334" t="str">
        <f>"COP00271"</f>
        <v>COP00271</v>
      </c>
      <c r="J334" t="str">
        <f t="shared" si="88"/>
        <v>JOB ORDR</v>
      </c>
      <c r="K334" t="str">
        <f t="shared" si="89"/>
        <v>AS89</v>
      </c>
      <c r="L334" t="s">
        <v>2049</v>
      </c>
      <c r="M334">
        <v>125.01</v>
      </c>
    </row>
    <row r="335" spans="1:13" x14ac:dyDescent="0.25">
      <c r="A335" t="str">
        <f t="shared" si="90"/>
        <v>E172</v>
      </c>
      <c r="B335">
        <v>1</v>
      </c>
      <c r="C335" t="str">
        <f t="shared" si="91"/>
        <v>43000</v>
      </c>
      <c r="D335" t="str">
        <f t="shared" si="92"/>
        <v>5740</v>
      </c>
      <c r="E335" t="str">
        <f t="shared" si="93"/>
        <v>850LOS</v>
      </c>
      <c r="F335" t="str">
        <f>""</f>
        <v/>
      </c>
      <c r="G335" t="str">
        <f>""</f>
        <v/>
      </c>
      <c r="H335" s="1">
        <v>41361</v>
      </c>
      <c r="I335" t="str">
        <f>"COP00272"</f>
        <v>COP00272</v>
      </c>
      <c r="J335" t="str">
        <f t="shared" si="88"/>
        <v>JOB ORDR</v>
      </c>
      <c r="K335" t="str">
        <f t="shared" si="89"/>
        <v>AS89</v>
      </c>
      <c r="L335" t="s">
        <v>2048</v>
      </c>
      <c r="M335">
        <v>306.3</v>
      </c>
    </row>
    <row r="336" spans="1:13" x14ac:dyDescent="0.25">
      <c r="A336" t="str">
        <f t="shared" si="90"/>
        <v>E172</v>
      </c>
      <c r="B336">
        <v>1</v>
      </c>
      <c r="C336" t="str">
        <f t="shared" si="91"/>
        <v>43000</v>
      </c>
      <c r="D336" t="str">
        <f t="shared" si="92"/>
        <v>5740</v>
      </c>
      <c r="E336" t="str">
        <f t="shared" si="93"/>
        <v>850LOS</v>
      </c>
      <c r="F336" t="str">
        <f>""</f>
        <v/>
      </c>
      <c r="G336" t="str">
        <f>""</f>
        <v/>
      </c>
      <c r="H336" s="1">
        <v>41425</v>
      </c>
      <c r="I336" t="str">
        <f>"COP00274"</f>
        <v>COP00274</v>
      </c>
      <c r="J336" t="str">
        <f t="shared" si="88"/>
        <v>JOB ORDR</v>
      </c>
      <c r="K336" t="str">
        <f t="shared" si="89"/>
        <v>AS89</v>
      </c>
      <c r="L336" t="s">
        <v>2046</v>
      </c>
      <c r="M336" s="2">
        <v>1861.22</v>
      </c>
    </row>
    <row r="337" spans="1:13" x14ac:dyDescent="0.25">
      <c r="A337" t="str">
        <f t="shared" si="90"/>
        <v>E172</v>
      </c>
      <c r="B337">
        <v>1</v>
      </c>
      <c r="C337" t="str">
        <f>"43007"</f>
        <v>43007</v>
      </c>
      <c r="D337" t="str">
        <f t="shared" si="92"/>
        <v>5740</v>
      </c>
      <c r="E337" t="str">
        <f>"850GAR"</f>
        <v>850GAR</v>
      </c>
      <c r="F337" t="str">
        <f>""</f>
        <v/>
      </c>
      <c r="G337" t="str">
        <f>""</f>
        <v/>
      </c>
      <c r="H337" s="1">
        <v>41264</v>
      </c>
      <c r="I337" t="str">
        <f>"COP00269"</f>
        <v>COP00269</v>
      </c>
      <c r="J337" t="str">
        <f t="shared" si="88"/>
        <v>JOB ORDR</v>
      </c>
      <c r="K337" t="str">
        <f t="shared" si="89"/>
        <v>AS89</v>
      </c>
      <c r="L337" t="s">
        <v>2045</v>
      </c>
      <c r="M337">
        <v>218.06</v>
      </c>
    </row>
    <row r="338" spans="1:13" x14ac:dyDescent="0.25">
      <c r="A338" t="str">
        <f t="shared" ref="A338:A348" si="94">"E173"</f>
        <v>E173</v>
      </c>
      <c r="B338">
        <v>1</v>
      </c>
      <c r="C338" t="str">
        <f>"10200"</f>
        <v>10200</v>
      </c>
      <c r="D338" t="str">
        <f>"5620"</f>
        <v>5620</v>
      </c>
      <c r="E338" t="str">
        <f>"094OMS"</f>
        <v>094OMS</v>
      </c>
      <c r="F338" t="str">
        <f>""</f>
        <v/>
      </c>
      <c r="G338" t="str">
        <f>""</f>
        <v/>
      </c>
      <c r="H338" s="1">
        <v>41152</v>
      </c>
      <c r="I338" t="str">
        <f>"MLT00040"</f>
        <v>MLT00040</v>
      </c>
      <c r="J338" t="str">
        <f>""</f>
        <v/>
      </c>
      <c r="K338" t="str">
        <f t="shared" si="89"/>
        <v>AS89</v>
      </c>
      <c r="L338" t="s">
        <v>1790</v>
      </c>
      <c r="M338">
        <v>116.4</v>
      </c>
    </row>
    <row r="339" spans="1:13" x14ac:dyDescent="0.25">
      <c r="A339" t="str">
        <f t="shared" si="94"/>
        <v>E173</v>
      </c>
      <c r="B339">
        <v>1</v>
      </c>
      <c r="C339" t="str">
        <f>"10200"</f>
        <v>10200</v>
      </c>
      <c r="D339" t="str">
        <f>"5620"</f>
        <v>5620</v>
      </c>
      <c r="E339" t="str">
        <f>"094OMS"</f>
        <v>094OMS</v>
      </c>
      <c r="F339" t="str">
        <f>""</f>
        <v/>
      </c>
      <c r="G339" t="str">
        <f>""</f>
        <v/>
      </c>
      <c r="H339" s="1">
        <v>41182</v>
      </c>
      <c r="I339" t="str">
        <f>"CSS00144"</f>
        <v>CSS00144</v>
      </c>
      <c r="J339" t="str">
        <f>"AUDITRON"</f>
        <v>AUDITRON</v>
      </c>
      <c r="K339" t="str">
        <f t="shared" si="89"/>
        <v>AS89</v>
      </c>
      <c r="L339" t="s">
        <v>2039</v>
      </c>
      <c r="M339">
        <v>104.14</v>
      </c>
    </row>
    <row r="340" spans="1:13" x14ac:dyDescent="0.25">
      <c r="A340" t="str">
        <f t="shared" si="94"/>
        <v>E173</v>
      </c>
      <c r="B340">
        <v>1</v>
      </c>
      <c r="C340" t="str">
        <f>"10200"</f>
        <v>10200</v>
      </c>
      <c r="D340" t="str">
        <f>"5620"</f>
        <v>5620</v>
      </c>
      <c r="E340" t="str">
        <f>"094OMS"</f>
        <v>094OMS</v>
      </c>
      <c r="F340" t="str">
        <f>""</f>
        <v/>
      </c>
      <c r="G340" t="str">
        <f>""</f>
        <v/>
      </c>
      <c r="H340" s="1">
        <v>41243</v>
      </c>
      <c r="I340" t="str">
        <f>"MLT00045"</f>
        <v>MLT00045</v>
      </c>
      <c r="J340" t="str">
        <f>""</f>
        <v/>
      </c>
      <c r="K340" t="str">
        <f t="shared" si="89"/>
        <v>AS89</v>
      </c>
      <c r="L340" t="s">
        <v>2044</v>
      </c>
      <c r="M340">
        <v>103.35</v>
      </c>
    </row>
    <row r="341" spans="1:13" x14ac:dyDescent="0.25">
      <c r="A341" t="str">
        <f t="shared" si="94"/>
        <v>E173</v>
      </c>
      <c r="B341">
        <v>1</v>
      </c>
      <c r="C341" t="str">
        <f>"10200"</f>
        <v>10200</v>
      </c>
      <c r="D341" t="str">
        <f>"5620"</f>
        <v>5620</v>
      </c>
      <c r="E341" t="str">
        <f>"094OMS"</f>
        <v>094OMS</v>
      </c>
      <c r="F341" t="str">
        <f>""</f>
        <v/>
      </c>
      <c r="G341" t="str">
        <f>""</f>
        <v/>
      </c>
      <c r="H341" s="1">
        <v>41305</v>
      </c>
      <c r="I341" t="str">
        <f>"MLT00048"</f>
        <v>MLT00048</v>
      </c>
      <c r="J341" t="str">
        <f>""</f>
        <v/>
      </c>
      <c r="K341" t="str">
        <f t="shared" si="89"/>
        <v>AS89</v>
      </c>
      <c r="L341" t="s">
        <v>2043</v>
      </c>
      <c r="M341">
        <v>103.8</v>
      </c>
    </row>
    <row r="342" spans="1:13" x14ac:dyDescent="0.25">
      <c r="A342" t="str">
        <f t="shared" si="94"/>
        <v>E173</v>
      </c>
      <c r="B342">
        <v>1</v>
      </c>
      <c r="C342" t="str">
        <f>"10200"</f>
        <v>10200</v>
      </c>
      <c r="D342" t="str">
        <f>"5620"</f>
        <v>5620</v>
      </c>
      <c r="E342" t="str">
        <f>"094OMS"</f>
        <v>094OMS</v>
      </c>
      <c r="F342" t="str">
        <f>""</f>
        <v/>
      </c>
      <c r="G342" t="str">
        <f>""</f>
        <v/>
      </c>
      <c r="H342" s="1">
        <v>41393</v>
      </c>
      <c r="I342" t="str">
        <f>"MLT00053"</f>
        <v>MLT00053</v>
      </c>
      <c r="J342" t="str">
        <f>""</f>
        <v/>
      </c>
      <c r="K342" t="str">
        <f t="shared" si="89"/>
        <v>AS89</v>
      </c>
      <c r="L342" t="s">
        <v>2042</v>
      </c>
      <c r="M342">
        <v>100.95</v>
      </c>
    </row>
    <row r="343" spans="1:13" x14ac:dyDescent="0.25">
      <c r="A343" t="str">
        <f t="shared" si="94"/>
        <v>E173</v>
      </c>
      <c r="B343">
        <v>1</v>
      </c>
      <c r="C343" t="str">
        <f t="shared" ref="C343:C348" si="95">"43000"</f>
        <v>43000</v>
      </c>
      <c r="D343" t="str">
        <f t="shared" ref="D343:D348" si="96">"5740"</f>
        <v>5740</v>
      </c>
      <c r="E343" t="str">
        <f t="shared" ref="E343:E348" si="97">"850LOS"</f>
        <v>850LOS</v>
      </c>
      <c r="F343" t="str">
        <f>""</f>
        <v/>
      </c>
      <c r="G343" t="str">
        <f>""</f>
        <v/>
      </c>
      <c r="H343" s="1">
        <v>41121</v>
      </c>
      <c r="I343" t="str">
        <f>"CSS00142"</f>
        <v>CSS00142</v>
      </c>
      <c r="J343" t="str">
        <f>"AUDITRON"</f>
        <v>AUDITRON</v>
      </c>
      <c r="K343" t="str">
        <f t="shared" si="89"/>
        <v>AS89</v>
      </c>
      <c r="L343" t="s">
        <v>2041</v>
      </c>
      <c r="M343">
        <v>103.04</v>
      </c>
    </row>
    <row r="344" spans="1:13" x14ac:dyDescent="0.25">
      <c r="A344" t="str">
        <f t="shared" si="94"/>
        <v>E173</v>
      </c>
      <c r="B344">
        <v>1</v>
      </c>
      <c r="C344" t="str">
        <f t="shared" si="95"/>
        <v>43000</v>
      </c>
      <c r="D344" t="str">
        <f t="shared" si="96"/>
        <v>5740</v>
      </c>
      <c r="E344" t="str">
        <f t="shared" si="97"/>
        <v>850LOS</v>
      </c>
      <c r="F344" t="str">
        <f>""</f>
        <v/>
      </c>
      <c r="G344" t="str">
        <f>""</f>
        <v/>
      </c>
      <c r="H344" s="1">
        <v>41152</v>
      </c>
      <c r="I344" t="str">
        <f>"CSS00143"</f>
        <v>CSS00143</v>
      </c>
      <c r="J344" t="str">
        <f>"AUDITRON"</f>
        <v>AUDITRON</v>
      </c>
      <c r="K344" t="str">
        <f t="shared" si="89"/>
        <v>AS89</v>
      </c>
      <c r="L344" t="s">
        <v>2040</v>
      </c>
      <c r="M344">
        <v>111.4</v>
      </c>
    </row>
    <row r="345" spans="1:13" x14ac:dyDescent="0.25">
      <c r="A345" t="str">
        <f t="shared" si="94"/>
        <v>E173</v>
      </c>
      <c r="B345">
        <v>1</v>
      </c>
      <c r="C345" t="str">
        <f t="shared" si="95"/>
        <v>43000</v>
      </c>
      <c r="D345" t="str">
        <f t="shared" si="96"/>
        <v>5740</v>
      </c>
      <c r="E345" t="str">
        <f t="shared" si="97"/>
        <v>850LOS</v>
      </c>
      <c r="F345" t="str">
        <f>""</f>
        <v/>
      </c>
      <c r="G345" t="str">
        <f>""</f>
        <v/>
      </c>
      <c r="H345" s="1">
        <v>41182</v>
      </c>
      <c r="I345" t="str">
        <f>"CSS00144"</f>
        <v>CSS00144</v>
      </c>
      <c r="J345" t="str">
        <f>"AUDITRON"</f>
        <v>AUDITRON</v>
      </c>
      <c r="K345" t="str">
        <f t="shared" si="89"/>
        <v>AS89</v>
      </c>
      <c r="L345" t="s">
        <v>2039</v>
      </c>
      <c r="M345">
        <v>116.08</v>
      </c>
    </row>
    <row r="346" spans="1:13" x14ac:dyDescent="0.25">
      <c r="A346" t="str">
        <f t="shared" si="94"/>
        <v>E173</v>
      </c>
      <c r="B346">
        <v>1</v>
      </c>
      <c r="C346" t="str">
        <f t="shared" si="95"/>
        <v>43000</v>
      </c>
      <c r="D346" t="str">
        <f t="shared" si="96"/>
        <v>5740</v>
      </c>
      <c r="E346" t="str">
        <f t="shared" si="97"/>
        <v>850LOS</v>
      </c>
      <c r="F346" t="str">
        <f>""</f>
        <v/>
      </c>
      <c r="G346" t="str">
        <f>""</f>
        <v/>
      </c>
      <c r="H346" s="1">
        <v>41362</v>
      </c>
      <c r="I346" t="str">
        <f>"MLT00052"</f>
        <v>MLT00052</v>
      </c>
      <c r="J346" t="str">
        <f>""</f>
        <v/>
      </c>
      <c r="K346" t="str">
        <f t="shared" si="89"/>
        <v>AS89</v>
      </c>
      <c r="L346" t="s">
        <v>2038</v>
      </c>
      <c r="M346">
        <v>104.96</v>
      </c>
    </row>
    <row r="347" spans="1:13" x14ac:dyDescent="0.25">
      <c r="A347" t="str">
        <f t="shared" si="94"/>
        <v>E173</v>
      </c>
      <c r="B347">
        <v>1</v>
      </c>
      <c r="C347" t="str">
        <f t="shared" si="95"/>
        <v>43000</v>
      </c>
      <c r="D347" t="str">
        <f t="shared" si="96"/>
        <v>5740</v>
      </c>
      <c r="E347" t="str">
        <f t="shared" si="97"/>
        <v>850LOS</v>
      </c>
      <c r="F347" t="str">
        <f>""</f>
        <v/>
      </c>
      <c r="G347" t="str">
        <f>""</f>
        <v/>
      </c>
      <c r="H347" s="1">
        <v>41362</v>
      </c>
      <c r="I347" t="str">
        <f>"MLT00052"</f>
        <v>MLT00052</v>
      </c>
      <c r="J347" t="str">
        <f>""</f>
        <v/>
      </c>
      <c r="K347" t="str">
        <f t="shared" si="89"/>
        <v>AS89</v>
      </c>
      <c r="L347" t="s">
        <v>2037</v>
      </c>
      <c r="M347">
        <v>119.85</v>
      </c>
    </row>
    <row r="348" spans="1:13" x14ac:dyDescent="0.25">
      <c r="A348" t="str">
        <f t="shared" si="94"/>
        <v>E173</v>
      </c>
      <c r="B348">
        <v>1</v>
      </c>
      <c r="C348" t="str">
        <f t="shared" si="95"/>
        <v>43000</v>
      </c>
      <c r="D348" t="str">
        <f t="shared" si="96"/>
        <v>5740</v>
      </c>
      <c r="E348" t="str">
        <f t="shared" si="97"/>
        <v>850LOS</v>
      </c>
      <c r="F348" t="str">
        <f>""</f>
        <v/>
      </c>
      <c r="G348" t="str">
        <f>""</f>
        <v/>
      </c>
      <c r="H348" s="1">
        <v>41393</v>
      </c>
      <c r="I348" t="str">
        <f>"MLT00053"</f>
        <v>MLT00053</v>
      </c>
      <c r="J348" t="str">
        <f>""</f>
        <v/>
      </c>
      <c r="K348" t="str">
        <f t="shared" si="89"/>
        <v>AS89</v>
      </c>
      <c r="L348" t="s">
        <v>2036</v>
      </c>
      <c r="M348">
        <v>106.8</v>
      </c>
    </row>
    <row r="349" spans="1:13" x14ac:dyDescent="0.25">
      <c r="A349" t="str">
        <f>"E190"</f>
        <v>E190</v>
      </c>
      <c r="B349">
        <v>1</v>
      </c>
      <c r="C349" t="str">
        <f t="shared" ref="C349:C363" si="98">"10200"</f>
        <v>10200</v>
      </c>
      <c r="D349" t="str">
        <f t="shared" ref="D349:D363" si="99">"5620"</f>
        <v>5620</v>
      </c>
      <c r="E349" t="str">
        <f t="shared" ref="E349:E363" si="100">"094OMS"</f>
        <v>094OMS</v>
      </c>
      <c r="F349" t="str">
        <f>""</f>
        <v/>
      </c>
      <c r="G349" t="str">
        <f>""</f>
        <v/>
      </c>
      <c r="H349" s="1">
        <v>41101</v>
      </c>
      <c r="I349" t="str">
        <f>"ACG02181"</f>
        <v>ACG02181</v>
      </c>
      <c r="J349" t="str">
        <f>"196035"</f>
        <v>196035</v>
      </c>
      <c r="K349" t="str">
        <f>"AS96"</f>
        <v>AS96</v>
      </c>
      <c r="L349" t="s">
        <v>2033</v>
      </c>
      <c r="M349">
        <v>475</v>
      </c>
    </row>
    <row r="350" spans="1:13" x14ac:dyDescent="0.25">
      <c r="A350" t="str">
        <f>"E190"</f>
        <v>E190</v>
      </c>
      <c r="B350">
        <v>1</v>
      </c>
      <c r="C350" t="str">
        <f t="shared" si="98"/>
        <v>10200</v>
      </c>
      <c r="D350" t="str">
        <f t="shared" si="99"/>
        <v>5620</v>
      </c>
      <c r="E350" t="str">
        <f t="shared" si="100"/>
        <v>094OMS</v>
      </c>
      <c r="F350" t="str">
        <f>""</f>
        <v/>
      </c>
      <c r="G350" t="str">
        <f>""</f>
        <v/>
      </c>
      <c r="H350" s="1">
        <v>41425</v>
      </c>
      <c r="I350" t="str">
        <f>"PCD00599"</f>
        <v>PCD00599</v>
      </c>
      <c r="J350" t="str">
        <f>"192743"</f>
        <v>192743</v>
      </c>
      <c r="K350" t="str">
        <f>"AS89"</f>
        <v>AS89</v>
      </c>
      <c r="L350" t="s">
        <v>2032</v>
      </c>
      <c r="M350">
        <v>179.36</v>
      </c>
    </row>
    <row r="351" spans="1:13" x14ac:dyDescent="0.25">
      <c r="A351" t="str">
        <f>"E190"</f>
        <v>E190</v>
      </c>
      <c r="B351">
        <v>1</v>
      </c>
      <c r="C351" t="str">
        <f t="shared" si="98"/>
        <v>10200</v>
      </c>
      <c r="D351" t="str">
        <f t="shared" si="99"/>
        <v>5620</v>
      </c>
      <c r="E351" t="str">
        <f t="shared" si="100"/>
        <v>094OMS</v>
      </c>
      <c r="F351" t="str">
        <f>""</f>
        <v/>
      </c>
      <c r="G351" t="str">
        <f>""</f>
        <v/>
      </c>
      <c r="H351" s="1">
        <v>41455</v>
      </c>
      <c r="I351" t="str">
        <f>"PCD00605"</f>
        <v>PCD00605</v>
      </c>
      <c r="J351" t="str">
        <f>"195058"</f>
        <v>195058</v>
      </c>
      <c r="K351" t="str">
        <f>"AS89"</f>
        <v>AS89</v>
      </c>
      <c r="L351" t="s">
        <v>2031</v>
      </c>
      <c r="M351">
        <v>198</v>
      </c>
    </row>
    <row r="352" spans="1:13" x14ac:dyDescent="0.25">
      <c r="A352" t="str">
        <f t="shared" ref="A352:A367" si="101">"E191"</f>
        <v>E191</v>
      </c>
      <c r="B352">
        <v>1</v>
      </c>
      <c r="C352" t="str">
        <f t="shared" si="98"/>
        <v>10200</v>
      </c>
      <c r="D352" t="str">
        <f t="shared" si="99"/>
        <v>5620</v>
      </c>
      <c r="E352" t="str">
        <f t="shared" si="100"/>
        <v>094OMS</v>
      </c>
      <c r="F352" t="str">
        <f>""</f>
        <v/>
      </c>
      <c r="G352" t="str">
        <f>""</f>
        <v/>
      </c>
      <c r="H352" s="1">
        <v>41121</v>
      </c>
      <c r="I352" t="str">
        <f>"PCD00546"</f>
        <v>PCD00546</v>
      </c>
      <c r="J352" t="str">
        <f>"172701"</f>
        <v>172701</v>
      </c>
      <c r="K352" t="str">
        <f>"AS89"</f>
        <v>AS89</v>
      </c>
      <c r="L352" t="s">
        <v>2030</v>
      </c>
      <c r="M352">
        <v>129</v>
      </c>
    </row>
    <row r="353" spans="1:13" x14ac:dyDescent="0.25">
      <c r="A353" t="str">
        <f t="shared" si="101"/>
        <v>E191</v>
      </c>
      <c r="B353">
        <v>1</v>
      </c>
      <c r="C353" t="str">
        <f t="shared" si="98"/>
        <v>10200</v>
      </c>
      <c r="D353" t="str">
        <f t="shared" si="99"/>
        <v>5620</v>
      </c>
      <c r="E353" t="str">
        <f t="shared" si="100"/>
        <v>094OMS</v>
      </c>
      <c r="F353" t="str">
        <f>""</f>
        <v/>
      </c>
      <c r="G353" t="str">
        <f>""</f>
        <v/>
      </c>
      <c r="H353" s="1">
        <v>41158</v>
      </c>
      <c r="I353" t="str">
        <f>"PCD00553"</f>
        <v>PCD00553</v>
      </c>
      <c r="J353" t="str">
        <f>"175257"</f>
        <v>175257</v>
      </c>
      <c r="K353" t="str">
        <f>"AS89"</f>
        <v>AS89</v>
      </c>
      <c r="L353" t="s">
        <v>2029</v>
      </c>
      <c r="M353">
        <v>350</v>
      </c>
    </row>
    <row r="354" spans="1:13" x14ac:dyDescent="0.25">
      <c r="A354" t="str">
        <f t="shared" si="101"/>
        <v>E191</v>
      </c>
      <c r="B354">
        <v>1</v>
      </c>
      <c r="C354" t="str">
        <f t="shared" si="98"/>
        <v>10200</v>
      </c>
      <c r="D354" t="str">
        <f t="shared" si="99"/>
        <v>5620</v>
      </c>
      <c r="E354" t="str">
        <f t="shared" si="100"/>
        <v>094OMS</v>
      </c>
      <c r="F354" t="str">
        <f>""</f>
        <v/>
      </c>
      <c r="G354" t="str">
        <f>""</f>
        <v/>
      </c>
      <c r="H354" s="1">
        <v>41182</v>
      </c>
      <c r="I354" t="str">
        <f>"PCD00558"</f>
        <v>PCD00558</v>
      </c>
      <c r="J354" t="str">
        <f>"176035"</f>
        <v>176035</v>
      </c>
      <c r="K354" t="str">
        <f>"AS89"</f>
        <v>AS89</v>
      </c>
      <c r="L354" t="s">
        <v>2028</v>
      </c>
      <c r="M354">
        <v>109</v>
      </c>
    </row>
    <row r="355" spans="1:13" x14ac:dyDescent="0.25">
      <c r="A355" t="str">
        <f t="shared" si="101"/>
        <v>E191</v>
      </c>
      <c r="B355">
        <v>1</v>
      </c>
      <c r="C355" t="str">
        <f t="shared" si="98"/>
        <v>10200</v>
      </c>
      <c r="D355" t="str">
        <f t="shared" si="99"/>
        <v>5620</v>
      </c>
      <c r="E355" t="str">
        <f t="shared" si="100"/>
        <v>094OMS</v>
      </c>
      <c r="F355" t="str">
        <f>""</f>
        <v/>
      </c>
      <c r="G355" t="str">
        <f>""</f>
        <v/>
      </c>
      <c r="H355" s="1">
        <v>41193</v>
      </c>
      <c r="I355" t="str">
        <f>"188730"</f>
        <v>188730</v>
      </c>
      <c r="J355" t="str">
        <f>""</f>
        <v/>
      </c>
      <c r="K355" t="str">
        <f>"INNI"</f>
        <v>INNI</v>
      </c>
      <c r="L355" t="s">
        <v>181</v>
      </c>
      <c r="M355" s="2">
        <v>3331</v>
      </c>
    </row>
    <row r="356" spans="1:13" x14ac:dyDescent="0.25">
      <c r="A356" t="str">
        <f t="shared" si="101"/>
        <v>E191</v>
      </c>
      <c r="B356">
        <v>1</v>
      </c>
      <c r="C356" t="str">
        <f t="shared" si="98"/>
        <v>10200</v>
      </c>
      <c r="D356" t="str">
        <f t="shared" si="99"/>
        <v>5620</v>
      </c>
      <c r="E356" t="str">
        <f t="shared" si="100"/>
        <v>094OMS</v>
      </c>
      <c r="F356" t="str">
        <f>""</f>
        <v/>
      </c>
      <c r="G356" t="str">
        <f>""</f>
        <v/>
      </c>
      <c r="H356" s="1">
        <v>41344</v>
      </c>
      <c r="I356" t="str">
        <f>"210961"</f>
        <v>210961</v>
      </c>
      <c r="J356" t="str">
        <f>""</f>
        <v/>
      </c>
      <c r="K356" t="str">
        <f>"INNI"</f>
        <v>INNI</v>
      </c>
      <c r="L356" t="s">
        <v>181</v>
      </c>
      <c r="M356">
        <v>600</v>
      </c>
    </row>
    <row r="357" spans="1:13" x14ac:dyDescent="0.25">
      <c r="A357" t="str">
        <f t="shared" si="101"/>
        <v>E191</v>
      </c>
      <c r="B357">
        <v>1</v>
      </c>
      <c r="C357" t="str">
        <f t="shared" si="98"/>
        <v>10200</v>
      </c>
      <c r="D357" t="str">
        <f t="shared" si="99"/>
        <v>5620</v>
      </c>
      <c r="E357" t="str">
        <f t="shared" si="100"/>
        <v>094OMS</v>
      </c>
      <c r="F357" t="str">
        <f>""</f>
        <v/>
      </c>
      <c r="G357" t="str">
        <f>""</f>
        <v/>
      </c>
      <c r="H357" s="1">
        <v>41364</v>
      </c>
      <c r="I357" t="str">
        <f>"PCD00588"</f>
        <v>PCD00588</v>
      </c>
      <c r="J357" t="str">
        <f>"189142"</f>
        <v>189142</v>
      </c>
      <c r="K357" t="str">
        <f t="shared" ref="K357:K373" si="102">"AS89"</f>
        <v>AS89</v>
      </c>
      <c r="L357" t="s">
        <v>2027</v>
      </c>
      <c r="M357">
        <v>129</v>
      </c>
    </row>
    <row r="358" spans="1:13" x14ac:dyDescent="0.25">
      <c r="A358" t="str">
        <f t="shared" si="101"/>
        <v>E191</v>
      </c>
      <c r="B358">
        <v>1</v>
      </c>
      <c r="C358" t="str">
        <f t="shared" si="98"/>
        <v>10200</v>
      </c>
      <c r="D358" t="str">
        <f t="shared" si="99"/>
        <v>5620</v>
      </c>
      <c r="E358" t="str">
        <f t="shared" si="100"/>
        <v>094OMS</v>
      </c>
      <c r="F358" t="str">
        <f>""</f>
        <v/>
      </c>
      <c r="G358" t="str">
        <f>""</f>
        <v/>
      </c>
      <c r="H358" s="1">
        <v>41425</v>
      </c>
      <c r="I358" t="str">
        <f>"PCD00599"</f>
        <v>PCD00599</v>
      </c>
      <c r="J358" t="str">
        <f>"193493"</f>
        <v>193493</v>
      </c>
      <c r="K358" t="str">
        <f t="shared" si="102"/>
        <v>AS89</v>
      </c>
      <c r="L358" t="s">
        <v>2026</v>
      </c>
      <c r="M358">
        <v>449</v>
      </c>
    </row>
    <row r="359" spans="1:13" x14ac:dyDescent="0.25">
      <c r="A359" t="str">
        <f t="shared" si="101"/>
        <v>E191</v>
      </c>
      <c r="B359">
        <v>1</v>
      </c>
      <c r="C359" t="str">
        <f t="shared" si="98"/>
        <v>10200</v>
      </c>
      <c r="D359" t="str">
        <f t="shared" si="99"/>
        <v>5620</v>
      </c>
      <c r="E359" t="str">
        <f t="shared" si="100"/>
        <v>094OMS</v>
      </c>
      <c r="F359" t="str">
        <f>""</f>
        <v/>
      </c>
      <c r="G359" t="str">
        <f>""</f>
        <v/>
      </c>
      <c r="H359" s="1">
        <v>41439</v>
      </c>
      <c r="I359" t="str">
        <f>"PCD00602"</f>
        <v>PCD00602</v>
      </c>
      <c r="J359" t="str">
        <f>"194738"</f>
        <v>194738</v>
      </c>
      <c r="K359" t="str">
        <f t="shared" si="102"/>
        <v>AS89</v>
      </c>
      <c r="L359" t="s">
        <v>2019</v>
      </c>
      <c r="M359">
        <v>300</v>
      </c>
    </row>
    <row r="360" spans="1:13" x14ac:dyDescent="0.25">
      <c r="A360" t="str">
        <f t="shared" si="101"/>
        <v>E191</v>
      </c>
      <c r="B360">
        <v>1</v>
      </c>
      <c r="C360" t="str">
        <f t="shared" si="98"/>
        <v>10200</v>
      </c>
      <c r="D360" t="str">
        <f t="shared" si="99"/>
        <v>5620</v>
      </c>
      <c r="E360" t="str">
        <f t="shared" si="100"/>
        <v>094OMS</v>
      </c>
      <c r="F360" t="str">
        <f>""</f>
        <v/>
      </c>
      <c r="G360" t="str">
        <f>""</f>
        <v/>
      </c>
      <c r="H360" s="1">
        <v>41455</v>
      </c>
      <c r="I360" t="str">
        <f>"PCD00604"</f>
        <v>PCD00604</v>
      </c>
      <c r="J360" t="str">
        <f>"196046"</f>
        <v>196046</v>
      </c>
      <c r="K360" t="str">
        <f t="shared" si="102"/>
        <v>AS89</v>
      </c>
      <c r="L360" t="s">
        <v>2025</v>
      </c>
      <c r="M360">
        <v>195</v>
      </c>
    </row>
    <row r="361" spans="1:13" x14ac:dyDescent="0.25">
      <c r="A361" t="str">
        <f t="shared" si="101"/>
        <v>E191</v>
      </c>
      <c r="B361">
        <v>1</v>
      </c>
      <c r="C361" t="str">
        <f t="shared" si="98"/>
        <v>10200</v>
      </c>
      <c r="D361" t="str">
        <f t="shared" si="99"/>
        <v>5620</v>
      </c>
      <c r="E361" t="str">
        <f t="shared" si="100"/>
        <v>094OMS</v>
      </c>
      <c r="F361" t="str">
        <f>""</f>
        <v/>
      </c>
      <c r="G361" t="str">
        <f>""</f>
        <v/>
      </c>
      <c r="H361" s="1">
        <v>41455</v>
      </c>
      <c r="I361" t="str">
        <f>"PCD00604"</f>
        <v>PCD00604</v>
      </c>
      <c r="J361" t="str">
        <f>"196047"</f>
        <v>196047</v>
      </c>
      <c r="K361" t="str">
        <f t="shared" si="102"/>
        <v>AS89</v>
      </c>
      <c r="L361" t="s">
        <v>2025</v>
      </c>
      <c r="M361">
        <v>195</v>
      </c>
    </row>
    <row r="362" spans="1:13" x14ac:dyDescent="0.25">
      <c r="A362" t="str">
        <f t="shared" si="101"/>
        <v>E191</v>
      </c>
      <c r="B362">
        <v>1</v>
      </c>
      <c r="C362" t="str">
        <f t="shared" si="98"/>
        <v>10200</v>
      </c>
      <c r="D362" t="str">
        <f t="shared" si="99"/>
        <v>5620</v>
      </c>
      <c r="E362" t="str">
        <f t="shared" si="100"/>
        <v>094OMS</v>
      </c>
      <c r="F362" t="str">
        <f>""</f>
        <v/>
      </c>
      <c r="G362" t="str">
        <f>""</f>
        <v/>
      </c>
      <c r="H362" s="1">
        <v>41455</v>
      </c>
      <c r="I362" t="str">
        <f>"PCD00604"</f>
        <v>PCD00604</v>
      </c>
      <c r="J362" t="str">
        <f>"196048"</f>
        <v>196048</v>
      </c>
      <c r="K362" t="str">
        <f t="shared" si="102"/>
        <v>AS89</v>
      </c>
      <c r="L362" t="s">
        <v>2025</v>
      </c>
      <c r="M362">
        <v>195</v>
      </c>
    </row>
    <row r="363" spans="1:13" x14ac:dyDescent="0.25">
      <c r="A363" t="str">
        <f t="shared" si="101"/>
        <v>E191</v>
      </c>
      <c r="B363">
        <v>1</v>
      </c>
      <c r="C363" t="str">
        <f t="shared" si="98"/>
        <v>10200</v>
      </c>
      <c r="D363" t="str">
        <f t="shared" si="99"/>
        <v>5620</v>
      </c>
      <c r="E363" t="str">
        <f t="shared" si="100"/>
        <v>094OMS</v>
      </c>
      <c r="F363" t="str">
        <f>""</f>
        <v/>
      </c>
      <c r="G363" t="str">
        <f>""</f>
        <v/>
      </c>
      <c r="H363" s="1">
        <v>41455</v>
      </c>
      <c r="I363" t="str">
        <f>"PCD00605"</f>
        <v>PCD00605</v>
      </c>
      <c r="J363" t="str">
        <f>"195951"</f>
        <v>195951</v>
      </c>
      <c r="K363" t="str">
        <f t="shared" si="102"/>
        <v>AS89</v>
      </c>
      <c r="L363" t="s">
        <v>2021</v>
      </c>
      <c r="M363">
        <v>975</v>
      </c>
    </row>
    <row r="364" spans="1:13" x14ac:dyDescent="0.25">
      <c r="A364" t="str">
        <f t="shared" si="101"/>
        <v>E191</v>
      </c>
      <c r="B364">
        <v>1</v>
      </c>
      <c r="C364" t="str">
        <f>"43000"</f>
        <v>43000</v>
      </c>
      <c r="D364" t="str">
        <f>"5740"</f>
        <v>5740</v>
      </c>
      <c r="E364" t="str">
        <f>"850LOS"</f>
        <v>850LOS</v>
      </c>
      <c r="F364" t="str">
        <f>"PKOLOT"</f>
        <v>PKOLOT</v>
      </c>
      <c r="G364" t="str">
        <f>""</f>
        <v/>
      </c>
      <c r="H364" s="1">
        <v>41158</v>
      </c>
      <c r="I364" t="str">
        <f>"PCD00553"</f>
        <v>PCD00553</v>
      </c>
      <c r="J364" t="str">
        <f>"175288"</f>
        <v>175288</v>
      </c>
      <c r="K364" t="str">
        <f t="shared" si="102"/>
        <v>AS89</v>
      </c>
      <c r="L364" t="s">
        <v>2024</v>
      </c>
      <c r="M364">
        <v>100</v>
      </c>
    </row>
    <row r="365" spans="1:13" x14ac:dyDescent="0.25">
      <c r="A365" t="str">
        <f t="shared" si="101"/>
        <v>E191</v>
      </c>
      <c r="B365">
        <v>1</v>
      </c>
      <c r="C365" t="str">
        <f>"43000"</f>
        <v>43000</v>
      </c>
      <c r="D365" t="str">
        <f>"5740"</f>
        <v>5740</v>
      </c>
      <c r="E365" t="str">
        <f>"850LOS"</f>
        <v>850LOS</v>
      </c>
      <c r="F365" t="str">
        <f>""</f>
        <v/>
      </c>
      <c r="G365" t="str">
        <f>""</f>
        <v/>
      </c>
      <c r="H365" s="1">
        <v>41305</v>
      </c>
      <c r="I365" t="str">
        <f>"PCD00580"</f>
        <v>PCD00580</v>
      </c>
      <c r="J365" t="str">
        <f>"183630"</f>
        <v>183630</v>
      </c>
      <c r="K365" t="str">
        <f t="shared" si="102"/>
        <v>AS89</v>
      </c>
      <c r="L365" t="s">
        <v>2023</v>
      </c>
      <c r="M365" s="2">
        <v>1590</v>
      </c>
    </row>
    <row r="366" spans="1:13" x14ac:dyDescent="0.25">
      <c r="A366" t="str">
        <f t="shared" si="101"/>
        <v>E191</v>
      </c>
      <c r="B366">
        <v>1</v>
      </c>
      <c r="C366" t="str">
        <f>"43000"</f>
        <v>43000</v>
      </c>
      <c r="D366" t="str">
        <f>"5740"</f>
        <v>5740</v>
      </c>
      <c r="E366" t="str">
        <f>"850LOS"</f>
        <v>850LOS</v>
      </c>
      <c r="F366" t="str">
        <f>""</f>
        <v/>
      </c>
      <c r="G366" t="str">
        <f>""</f>
        <v/>
      </c>
      <c r="H366" s="1">
        <v>41364</v>
      </c>
      <c r="I366" t="str">
        <f>"PCD00588"</f>
        <v>PCD00588</v>
      </c>
      <c r="J366" t="str">
        <f>"188135"</f>
        <v>188135</v>
      </c>
      <c r="K366" t="str">
        <f t="shared" si="102"/>
        <v>AS89</v>
      </c>
      <c r="L366" t="s">
        <v>2022</v>
      </c>
      <c r="M366">
        <v>395</v>
      </c>
    </row>
    <row r="367" spans="1:13" x14ac:dyDescent="0.25">
      <c r="A367" t="str">
        <f t="shared" si="101"/>
        <v>E191</v>
      </c>
      <c r="B367">
        <v>1</v>
      </c>
      <c r="C367" t="str">
        <f>"43000"</f>
        <v>43000</v>
      </c>
      <c r="D367" t="str">
        <f>"5740"</f>
        <v>5740</v>
      </c>
      <c r="E367" t="str">
        <f>"850LOS"</f>
        <v>850LOS</v>
      </c>
      <c r="F367" t="str">
        <f>""</f>
        <v/>
      </c>
      <c r="G367" t="str">
        <f>""</f>
        <v/>
      </c>
      <c r="H367" s="1">
        <v>41455</v>
      </c>
      <c r="I367" t="str">
        <f>"PCD00605"</f>
        <v>PCD00605</v>
      </c>
      <c r="J367" t="str">
        <f>"195951"</f>
        <v>195951</v>
      </c>
      <c r="K367" t="str">
        <f t="shared" si="102"/>
        <v>AS89</v>
      </c>
      <c r="L367" t="s">
        <v>2021</v>
      </c>
      <c r="M367">
        <v>475</v>
      </c>
    </row>
    <row r="368" spans="1:13" x14ac:dyDescent="0.25">
      <c r="A368" t="str">
        <f>"E192"</f>
        <v>E192</v>
      </c>
      <c r="B368">
        <v>1</v>
      </c>
      <c r="C368" t="str">
        <f>"10200"</f>
        <v>10200</v>
      </c>
      <c r="D368" t="str">
        <f>"5620"</f>
        <v>5620</v>
      </c>
      <c r="E368" t="str">
        <f>"094OMS"</f>
        <v>094OMS</v>
      </c>
      <c r="F368" t="str">
        <f>""</f>
        <v/>
      </c>
      <c r="G368" t="str">
        <f>""</f>
        <v/>
      </c>
      <c r="H368" s="1">
        <v>41213</v>
      </c>
      <c r="I368" t="str">
        <f>"PCD00564"</f>
        <v>PCD00564</v>
      </c>
      <c r="J368" t="str">
        <f>"177970"</f>
        <v>177970</v>
      </c>
      <c r="K368" t="str">
        <f t="shared" si="102"/>
        <v>AS89</v>
      </c>
      <c r="L368" t="s">
        <v>2020</v>
      </c>
      <c r="M368">
        <v>100</v>
      </c>
    </row>
    <row r="369" spans="1:13" x14ac:dyDescent="0.25">
      <c r="A369" t="str">
        <f>"E192"</f>
        <v>E192</v>
      </c>
      <c r="B369">
        <v>1</v>
      </c>
      <c r="C369" t="str">
        <f>"10200"</f>
        <v>10200</v>
      </c>
      <c r="D369" t="str">
        <f>"5620"</f>
        <v>5620</v>
      </c>
      <c r="E369" t="str">
        <f>"094OMS"</f>
        <v>094OMS</v>
      </c>
      <c r="F369" t="str">
        <f>""</f>
        <v/>
      </c>
      <c r="G369" t="str">
        <f>""</f>
        <v/>
      </c>
      <c r="H369" s="1">
        <v>41439</v>
      </c>
      <c r="I369" t="str">
        <f>"PCD00602"</f>
        <v>PCD00602</v>
      </c>
      <c r="J369" t="str">
        <f>"194739"</f>
        <v>194739</v>
      </c>
      <c r="K369" t="str">
        <f t="shared" si="102"/>
        <v>AS89</v>
      </c>
      <c r="L369" t="s">
        <v>2019</v>
      </c>
      <c r="M369">
        <v>180</v>
      </c>
    </row>
    <row r="370" spans="1:13" x14ac:dyDescent="0.25">
      <c r="A370" t="str">
        <f>"E193"</f>
        <v>E193</v>
      </c>
      <c r="B370">
        <v>1</v>
      </c>
      <c r="C370" t="str">
        <f>"10200"</f>
        <v>10200</v>
      </c>
      <c r="D370" t="str">
        <f>"5620"</f>
        <v>5620</v>
      </c>
      <c r="E370" t="str">
        <f>"094OMS"</f>
        <v>094OMS</v>
      </c>
      <c r="F370" t="str">
        <f>""</f>
        <v/>
      </c>
      <c r="G370" t="str">
        <f>""</f>
        <v/>
      </c>
      <c r="H370" s="1">
        <v>41274</v>
      </c>
      <c r="I370" t="str">
        <f>"PCD00575"</f>
        <v>PCD00575</v>
      </c>
      <c r="J370" t="str">
        <f>"182376"</f>
        <v>182376</v>
      </c>
      <c r="K370" t="str">
        <f t="shared" si="102"/>
        <v>AS89</v>
      </c>
      <c r="L370" t="s">
        <v>2018</v>
      </c>
      <c r="M370">
        <v>300</v>
      </c>
    </row>
    <row r="371" spans="1:13" x14ac:dyDescent="0.25">
      <c r="A371" t="str">
        <f>"E193"</f>
        <v>E193</v>
      </c>
      <c r="B371">
        <v>1</v>
      </c>
      <c r="C371" t="str">
        <f>"43000"</f>
        <v>43000</v>
      </c>
      <c r="D371" t="str">
        <f>"5740"</f>
        <v>5740</v>
      </c>
      <c r="E371" t="str">
        <f>"850LOS"</f>
        <v>850LOS</v>
      </c>
      <c r="F371" t="str">
        <f>""</f>
        <v/>
      </c>
      <c r="G371" t="str">
        <f>""</f>
        <v/>
      </c>
      <c r="H371" s="1">
        <v>41121</v>
      </c>
      <c r="I371" t="str">
        <f>"PCD00546"</f>
        <v>PCD00546</v>
      </c>
      <c r="J371" t="str">
        <f>"171732"</f>
        <v>171732</v>
      </c>
      <c r="K371" t="str">
        <f t="shared" si="102"/>
        <v>AS89</v>
      </c>
      <c r="L371" t="s">
        <v>2017</v>
      </c>
      <c r="M371">
        <v>295</v>
      </c>
    </row>
    <row r="372" spans="1:13" x14ac:dyDescent="0.25">
      <c r="A372" t="str">
        <f>"E194"</f>
        <v>E194</v>
      </c>
      <c r="B372">
        <v>1</v>
      </c>
      <c r="C372" t="str">
        <f t="shared" ref="C372:C382" si="103">"10200"</f>
        <v>10200</v>
      </c>
      <c r="D372" t="str">
        <f t="shared" ref="D372:D382" si="104">"5620"</f>
        <v>5620</v>
      </c>
      <c r="E372" t="str">
        <f t="shared" ref="E372:E382" si="105">"094OMS"</f>
        <v>094OMS</v>
      </c>
      <c r="F372" t="str">
        <f>""</f>
        <v/>
      </c>
      <c r="G372" t="str">
        <f>""</f>
        <v/>
      </c>
      <c r="H372" s="1">
        <v>41182</v>
      </c>
      <c r="I372" t="str">
        <f>"PCD00558"</f>
        <v>PCD00558</v>
      </c>
      <c r="J372" t="str">
        <f>"175503"</f>
        <v>175503</v>
      </c>
      <c r="K372" t="str">
        <f t="shared" si="102"/>
        <v>AS89</v>
      </c>
      <c r="L372" t="s">
        <v>2016</v>
      </c>
      <c r="M372">
        <v>133.5</v>
      </c>
    </row>
    <row r="373" spans="1:13" x14ac:dyDescent="0.25">
      <c r="A373" t="str">
        <f>"E194"</f>
        <v>E194</v>
      </c>
      <c r="B373">
        <v>1</v>
      </c>
      <c r="C373" t="str">
        <f t="shared" si="103"/>
        <v>10200</v>
      </c>
      <c r="D373" t="str">
        <f t="shared" si="104"/>
        <v>5620</v>
      </c>
      <c r="E373" t="str">
        <f t="shared" si="105"/>
        <v>094OMS</v>
      </c>
      <c r="F373" t="str">
        <f>""</f>
        <v/>
      </c>
      <c r="G373" t="str">
        <f>""</f>
        <v/>
      </c>
      <c r="H373" s="1">
        <v>41213</v>
      </c>
      <c r="I373" t="str">
        <f>"PCD00564"</f>
        <v>PCD00564</v>
      </c>
      <c r="J373" t="str">
        <f>"177929"</f>
        <v>177929</v>
      </c>
      <c r="K373" t="str">
        <f t="shared" si="102"/>
        <v>AS89</v>
      </c>
      <c r="L373" t="s">
        <v>2015</v>
      </c>
      <c r="M373">
        <v>165</v>
      </c>
    </row>
    <row r="374" spans="1:13" x14ac:dyDescent="0.25">
      <c r="A374" t="str">
        <f t="shared" ref="A374:A386" si="106">"E210"</f>
        <v>E210</v>
      </c>
      <c r="B374">
        <v>1</v>
      </c>
      <c r="C374" t="str">
        <f t="shared" si="103"/>
        <v>10200</v>
      </c>
      <c r="D374" t="str">
        <f t="shared" si="104"/>
        <v>5620</v>
      </c>
      <c r="E374" t="str">
        <f t="shared" si="105"/>
        <v>094OMS</v>
      </c>
      <c r="F374" t="str">
        <f>""</f>
        <v/>
      </c>
      <c r="G374" t="str">
        <f>""</f>
        <v/>
      </c>
      <c r="H374" s="1">
        <v>41124</v>
      </c>
      <c r="I374" t="str">
        <f>"155382"</f>
        <v>155382</v>
      </c>
      <c r="J374" t="str">
        <f>"F188741"</f>
        <v>F188741</v>
      </c>
      <c r="K374" t="str">
        <f t="shared" ref="K374:K381" si="107">"INEI"</f>
        <v>INEI</v>
      </c>
      <c r="L374" t="s">
        <v>1208</v>
      </c>
      <c r="M374">
        <v>173.92</v>
      </c>
    </row>
    <row r="375" spans="1:13" x14ac:dyDescent="0.25">
      <c r="A375" t="str">
        <f t="shared" si="106"/>
        <v>E210</v>
      </c>
      <c r="B375">
        <v>1</v>
      </c>
      <c r="C375" t="str">
        <f t="shared" si="103"/>
        <v>10200</v>
      </c>
      <c r="D375" t="str">
        <f t="shared" si="104"/>
        <v>5620</v>
      </c>
      <c r="E375" t="str">
        <f t="shared" si="105"/>
        <v>094OMS</v>
      </c>
      <c r="F375" t="str">
        <f>""</f>
        <v/>
      </c>
      <c r="G375" t="str">
        <f>""</f>
        <v/>
      </c>
      <c r="H375" s="1">
        <v>41124</v>
      </c>
      <c r="I375" t="str">
        <f>"155180A"</f>
        <v>155180A</v>
      </c>
      <c r="J375" t="str">
        <f>"F188741"</f>
        <v>F188741</v>
      </c>
      <c r="K375" t="str">
        <f t="shared" si="107"/>
        <v>INEI</v>
      </c>
      <c r="L375" t="s">
        <v>1208</v>
      </c>
      <c r="M375" s="2">
        <v>1033.74</v>
      </c>
    </row>
    <row r="376" spans="1:13" x14ac:dyDescent="0.25">
      <c r="A376" t="str">
        <f t="shared" si="106"/>
        <v>E210</v>
      </c>
      <c r="B376">
        <v>1</v>
      </c>
      <c r="C376" t="str">
        <f t="shared" si="103"/>
        <v>10200</v>
      </c>
      <c r="D376" t="str">
        <f t="shared" si="104"/>
        <v>5620</v>
      </c>
      <c r="E376" t="str">
        <f t="shared" si="105"/>
        <v>094OMS</v>
      </c>
      <c r="F376" t="str">
        <f>""</f>
        <v/>
      </c>
      <c r="G376" t="str">
        <f>""</f>
        <v/>
      </c>
      <c r="H376" s="1">
        <v>41344</v>
      </c>
      <c r="I376" t="str">
        <f>"1827D"</f>
        <v>1827D</v>
      </c>
      <c r="J376" t="str">
        <f>"F210359"</f>
        <v>F210359</v>
      </c>
      <c r="K376" t="str">
        <f t="shared" si="107"/>
        <v>INEI</v>
      </c>
      <c r="L376" t="s">
        <v>2014</v>
      </c>
      <c r="M376" s="2">
        <v>2005</v>
      </c>
    </row>
    <row r="377" spans="1:13" x14ac:dyDescent="0.25">
      <c r="A377" t="str">
        <f t="shared" si="106"/>
        <v>E210</v>
      </c>
      <c r="B377">
        <v>1</v>
      </c>
      <c r="C377" t="str">
        <f t="shared" si="103"/>
        <v>10200</v>
      </c>
      <c r="D377" t="str">
        <f t="shared" si="104"/>
        <v>5620</v>
      </c>
      <c r="E377" t="str">
        <f t="shared" si="105"/>
        <v>094OMS</v>
      </c>
      <c r="F377" t="str">
        <f>""</f>
        <v/>
      </c>
      <c r="G377" t="str">
        <f>""</f>
        <v/>
      </c>
      <c r="H377" s="1">
        <v>41360</v>
      </c>
      <c r="I377" t="str">
        <f>"327330"</f>
        <v>327330</v>
      </c>
      <c r="J377" t="str">
        <f>"F196039"</f>
        <v>F196039</v>
      </c>
      <c r="K377" t="str">
        <f t="shared" si="107"/>
        <v>INEI</v>
      </c>
      <c r="L377" t="s">
        <v>1208</v>
      </c>
      <c r="M377" s="2">
        <v>1250.05</v>
      </c>
    </row>
    <row r="378" spans="1:13" x14ac:dyDescent="0.25">
      <c r="A378" t="str">
        <f t="shared" si="106"/>
        <v>E210</v>
      </c>
      <c r="B378">
        <v>1</v>
      </c>
      <c r="C378" t="str">
        <f t="shared" si="103"/>
        <v>10200</v>
      </c>
      <c r="D378" t="str">
        <f t="shared" si="104"/>
        <v>5620</v>
      </c>
      <c r="E378" t="str">
        <f t="shared" si="105"/>
        <v>094OMS</v>
      </c>
      <c r="F378" t="str">
        <f>""</f>
        <v/>
      </c>
      <c r="G378" t="str">
        <f>""</f>
        <v/>
      </c>
      <c r="H378" s="1">
        <v>41365</v>
      </c>
      <c r="I378" t="str">
        <f>"1834E"</f>
        <v>1834E</v>
      </c>
      <c r="J378" t="str">
        <f>"F210359"</f>
        <v>F210359</v>
      </c>
      <c r="K378" t="str">
        <f t="shared" si="107"/>
        <v>INEI</v>
      </c>
      <c r="L378" t="s">
        <v>2014</v>
      </c>
      <c r="M378" s="2">
        <v>1760</v>
      </c>
    </row>
    <row r="379" spans="1:13" x14ac:dyDescent="0.25">
      <c r="A379" t="str">
        <f t="shared" si="106"/>
        <v>E210</v>
      </c>
      <c r="B379">
        <v>1</v>
      </c>
      <c r="C379" t="str">
        <f t="shared" si="103"/>
        <v>10200</v>
      </c>
      <c r="D379" t="str">
        <f t="shared" si="104"/>
        <v>5620</v>
      </c>
      <c r="E379" t="str">
        <f t="shared" si="105"/>
        <v>094OMS</v>
      </c>
      <c r="F379" t="str">
        <f>""</f>
        <v/>
      </c>
      <c r="G379" t="str">
        <f>""</f>
        <v/>
      </c>
      <c r="H379" s="1">
        <v>41383</v>
      </c>
      <c r="I379" t="str">
        <f>"1815E"</f>
        <v>1815E</v>
      </c>
      <c r="J379" t="str">
        <f>"F210359"</f>
        <v>F210359</v>
      </c>
      <c r="K379" t="str">
        <f t="shared" si="107"/>
        <v>INEI</v>
      </c>
      <c r="L379" t="s">
        <v>2014</v>
      </c>
      <c r="M379" s="2">
        <v>5395</v>
      </c>
    </row>
    <row r="380" spans="1:13" x14ac:dyDescent="0.25">
      <c r="A380" t="str">
        <f t="shared" si="106"/>
        <v>E210</v>
      </c>
      <c r="B380">
        <v>1</v>
      </c>
      <c r="C380" t="str">
        <f t="shared" si="103"/>
        <v>10200</v>
      </c>
      <c r="D380" t="str">
        <f t="shared" si="104"/>
        <v>5620</v>
      </c>
      <c r="E380" t="str">
        <f t="shared" si="105"/>
        <v>094OMS</v>
      </c>
      <c r="F380" t="str">
        <f>""</f>
        <v/>
      </c>
      <c r="G380" t="str">
        <f>""</f>
        <v/>
      </c>
      <c r="H380" s="1">
        <v>41383</v>
      </c>
      <c r="I380" t="str">
        <f>"1815E"</f>
        <v>1815E</v>
      </c>
      <c r="J380" t="str">
        <f>"F210359"</f>
        <v>F210359</v>
      </c>
      <c r="K380" t="str">
        <f t="shared" si="107"/>
        <v>INEI</v>
      </c>
      <c r="L380" t="s">
        <v>2014</v>
      </c>
      <c r="M380" s="2">
        <v>5395</v>
      </c>
    </row>
    <row r="381" spans="1:13" x14ac:dyDescent="0.25">
      <c r="A381" t="str">
        <f t="shared" si="106"/>
        <v>E210</v>
      </c>
      <c r="B381">
        <v>1</v>
      </c>
      <c r="C381" t="str">
        <f t="shared" si="103"/>
        <v>10200</v>
      </c>
      <c r="D381" t="str">
        <f t="shared" si="104"/>
        <v>5620</v>
      </c>
      <c r="E381" t="str">
        <f t="shared" si="105"/>
        <v>094OMS</v>
      </c>
      <c r="F381" t="str">
        <f>""</f>
        <v/>
      </c>
      <c r="G381" t="str">
        <f>""</f>
        <v/>
      </c>
      <c r="H381" s="1">
        <v>41383</v>
      </c>
      <c r="I381" t="str">
        <f>"1820F"</f>
        <v>1820F</v>
      </c>
      <c r="J381" t="str">
        <f>"F210359"</f>
        <v>F210359</v>
      </c>
      <c r="K381" t="str">
        <f t="shared" si="107"/>
        <v>INEI</v>
      </c>
      <c r="L381" t="s">
        <v>2014</v>
      </c>
      <c r="M381">
        <v>322.77</v>
      </c>
    </row>
    <row r="382" spans="1:13" x14ac:dyDescent="0.25">
      <c r="A382" t="str">
        <f t="shared" si="106"/>
        <v>E210</v>
      </c>
      <c r="B382">
        <v>1</v>
      </c>
      <c r="C382" t="str">
        <f t="shared" si="103"/>
        <v>10200</v>
      </c>
      <c r="D382" t="str">
        <f t="shared" si="104"/>
        <v>5620</v>
      </c>
      <c r="E382" t="str">
        <f t="shared" si="105"/>
        <v>094OMS</v>
      </c>
      <c r="F382" t="str">
        <f>""</f>
        <v/>
      </c>
      <c r="G382" t="str">
        <f>""</f>
        <v/>
      </c>
      <c r="H382" s="1">
        <v>41403</v>
      </c>
      <c r="I382" t="str">
        <f>"210969"</f>
        <v>210969</v>
      </c>
      <c r="J382" t="str">
        <f>""</f>
        <v/>
      </c>
      <c r="K382" t="str">
        <f>"INNI"</f>
        <v>INNI</v>
      </c>
      <c r="L382" t="s">
        <v>92</v>
      </c>
      <c r="M382">
        <v>383.54</v>
      </c>
    </row>
    <row r="383" spans="1:13" x14ac:dyDescent="0.25">
      <c r="A383" t="str">
        <f t="shared" si="106"/>
        <v>E210</v>
      </c>
      <c r="B383">
        <v>1</v>
      </c>
      <c r="C383" t="str">
        <f>"43000"</f>
        <v>43000</v>
      </c>
      <c r="D383" t="str">
        <f t="shared" ref="D383:D397" si="108">"5740"</f>
        <v>5740</v>
      </c>
      <c r="E383" t="str">
        <f>"850LOS"</f>
        <v>850LOS</v>
      </c>
      <c r="F383" t="str">
        <f>""</f>
        <v/>
      </c>
      <c r="G383" t="str">
        <f>""</f>
        <v/>
      </c>
      <c r="H383" s="1">
        <v>41158</v>
      </c>
      <c r="I383" t="str">
        <f>"J0002600"</f>
        <v>J0002600</v>
      </c>
      <c r="J383" t="str">
        <f>""</f>
        <v/>
      </c>
      <c r="K383" t="str">
        <f>"J079"</f>
        <v>J079</v>
      </c>
      <c r="L383" t="s">
        <v>2013</v>
      </c>
      <c r="M383" s="2">
        <v>5750</v>
      </c>
    </row>
    <row r="384" spans="1:13" x14ac:dyDescent="0.25">
      <c r="A384" t="str">
        <f t="shared" si="106"/>
        <v>E210</v>
      </c>
      <c r="B384">
        <v>1</v>
      </c>
      <c r="C384" t="str">
        <f>"43000"</f>
        <v>43000</v>
      </c>
      <c r="D384" t="str">
        <f t="shared" si="108"/>
        <v>5740</v>
      </c>
      <c r="E384" t="str">
        <f>"850LOS"</f>
        <v>850LOS</v>
      </c>
      <c r="F384" t="str">
        <f>""</f>
        <v/>
      </c>
      <c r="G384" t="str">
        <f>""</f>
        <v/>
      </c>
      <c r="H384" s="1">
        <v>41312</v>
      </c>
      <c r="I384" t="str">
        <f>"210955A"</f>
        <v>210955A</v>
      </c>
      <c r="J384" t="str">
        <f>""</f>
        <v/>
      </c>
      <c r="K384" t="str">
        <f>"INNI"</f>
        <v>INNI</v>
      </c>
      <c r="L384" t="s">
        <v>92</v>
      </c>
      <c r="M384" s="2">
        <v>17625</v>
      </c>
    </row>
    <row r="385" spans="1:13" x14ac:dyDescent="0.25">
      <c r="A385" t="str">
        <f t="shared" si="106"/>
        <v>E210</v>
      </c>
      <c r="B385">
        <v>1</v>
      </c>
      <c r="C385" t="str">
        <f>"43000"</f>
        <v>43000</v>
      </c>
      <c r="D385" t="str">
        <f t="shared" si="108"/>
        <v>5740</v>
      </c>
      <c r="E385" t="str">
        <f>"850LOS"</f>
        <v>850LOS</v>
      </c>
      <c r="F385" t="str">
        <f>""</f>
        <v/>
      </c>
      <c r="G385" t="str">
        <f>""</f>
        <v/>
      </c>
      <c r="H385" s="1">
        <v>41364</v>
      </c>
      <c r="I385" t="str">
        <f>"ACG02292"</f>
        <v>ACG02292</v>
      </c>
      <c r="J385" t="str">
        <f>"189710"</f>
        <v>189710</v>
      </c>
      <c r="K385" t="str">
        <f>"AS89"</f>
        <v>AS89</v>
      </c>
      <c r="L385" t="s">
        <v>2012</v>
      </c>
      <c r="M385">
        <v>590.28</v>
      </c>
    </row>
    <row r="386" spans="1:13" x14ac:dyDescent="0.25">
      <c r="A386" t="str">
        <f t="shared" si="106"/>
        <v>E210</v>
      </c>
      <c r="B386">
        <v>1</v>
      </c>
      <c r="C386" t="str">
        <f>"43003"</f>
        <v>43003</v>
      </c>
      <c r="D386" t="str">
        <f t="shared" si="108"/>
        <v>5740</v>
      </c>
      <c r="E386" t="str">
        <f>"850LOS"</f>
        <v>850LOS</v>
      </c>
      <c r="F386" t="str">
        <f>""</f>
        <v/>
      </c>
      <c r="G386" t="str">
        <f>""</f>
        <v/>
      </c>
      <c r="H386" s="1">
        <v>41248</v>
      </c>
      <c r="I386" t="str">
        <f>"170588"</f>
        <v>170588</v>
      </c>
      <c r="J386" t="str">
        <f>"N196028A"</f>
        <v>N196028A</v>
      </c>
      <c r="K386" t="str">
        <f>"INEI"</f>
        <v>INEI</v>
      </c>
      <c r="L386" t="s">
        <v>1189</v>
      </c>
      <c r="M386" s="2">
        <v>13152.7</v>
      </c>
    </row>
    <row r="387" spans="1:13" x14ac:dyDescent="0.25">
      <c r="A387" t="str">
        <f t="shared" ref="A387:A397" si="109">"E213"</f>
        <v>E213</v>
      </c>
      <c r="B387">
        <v>1</v>
      </c>
      <c r="C387" t="str">
        <f t="shared" ref="C387:C397" si="110">"43000"</f>
        <v>43000</v>
      </c>
      <c r="D387" t="str">
        <f t="shared" si="108"/>
        <v>5740</v>
      </c>
      <c r="E387" t="str">
        <f t="shared" ref="E387:E397" si="111">"850PKE"</f>
        <v>850PKE</v>
      </c>
      <c r="F387" t="str">
        <f>""</f>
        <v/>
      </c>
      <c r="G387" t="str">
        <f>""</f>
        <v/>
      </c>
      <c r="H387" s="1">
        <v>41122</v>
      </c>
      <c r="I387" t="str">
        <f>"00004890"</f>
        <v>00004890</v>
      </c>
      <c r="J387" t="str">
        <f>"B125380"</f>
        <v>B125380</v>
      </c>
      <c r="K387" t="str">
        <f t="shared" ref="K387:K397" si="112">"INNI"</f>
        <v>INNI</v>
      </c>
      <c r="L387" t="s">
        <v>225</v>
      </c>
      <c r="M387">
        <v>127.15</v>
      </c>
    </row>
    <row r="388" spans="1:13" x14ac:dyDescent="0.25">
      <c r="A388" t="str">
        <f t="shared" si="109"/>
        <v>E213</v>
      </c>
      <c r="B388">
        <v>1</v>
      </c>
      <c r="C388" t="str">
        <f t="shared" si="110"/>
        <v>43000</v>
      </c>
      <c r="D388" t="str">
        <f t="shared" si="108"/>
        <v>5740</v>
      </c>
      <c r="E388" t="str">
        <f t="shared" si="111"/>
        <v>850PKE</v>
      </c>
      <c r="F388" t="str">
        <f>""</f>
        <v/>
      </c>
      <c r="G388" t="str">
        <f>""</f>
        <v/>
      </c>
      <c r="H388" s="1">
        <v>41163</v>
      </c>
      <c r="I388" t="str">
        <f>"00004985"</f>
        <v>00004985</v>
      </c>
      <c r="J388" t="str">
        <f>"B125380"</f>
        <v>B125380</v>
      </c>
      <c r="K388" t="str">
        <f t="shared" si="112"/>
        <v>INNI</v>
      </c>
      <c r="L388" t="s">
        <v>225</v>
      </c>
      <c r="M388">
        <v>127.15</v>
      </c>
    </row>
    <row r="389" spans="1:13" x14ac:dyDescent="0.25">
      <c r="A389" t="str">
        <f t="shared" si="109"/>
        <v>E213</v>
      </c>
      <c r="B389">
        <v>1</v>
      </c>
      <c r="C389" t="str">
        <f t="shared" si="110"/>
        <v>43000</v>
      </c>
      <c r="D389" t="str">
        <f t="shared" si="108"/>
        <v>5740</v>
      </c>
      <c r="E389" t="str">
        <f t="shared" si="111"/>
        <v>850PKE</v>
      </c>
      <c r="F389" t="str">
        <f>""</f>
        <v/>
      </c>
      <c r="G389" t="str">
        <f>""</f>
        <v/>
      </c>
      <c r="H389" s="1">
        <v>41199</v>
      </c>
      <c r="I389" t="str">
        <f>"DOLK2339"</f>
        <v>DOLK2339</v>
      </c>
      <c r="J389" t="str">
        <f>"B125380"</f>
        <v>B125380</v>
      </c>
      <c r="K389" t="str">
        <f t="shared" si="112"/>
        <v>INNI</v>
      </c>
      <c r="L389" t="s">
        <v>225</v>
      </c>
      <c r="M389">
        <v>127.15</v>
      </c>
    </row>
    <row r="390" spans="1:13" x14ac:dyDescent="0.25">
      <c r="A390" t="str">
        <f t="shared" si="109"/>
        <v>E213</v>
      </c>
      <c r="B390">
        <v>1</v>
      </c>
      <c r="C390" t="str">
        <f t="shared" si="110"/>
        <v>43000</v>
      </c>
      <c r="D390" t="str">
        <f t="shared" si="108"/>
        <v>5740</v>
      </c>
      <c r="E390" t="str">
        <f t="shared" si="111"/>
        <v>850PKE</v>
      </c>
      <c r="F390" t="str">
        <f>""</f>
        <v/>
      </c>
      <c r="G390" t="str">
        <f>""</f>
        <v/>
      </c>
      <c r="H390" s="1">
        <v>41282</v>
      </c>
      <c r="I390" t="str">
        <f>"00005093"</f>
        <v>00005093</v>
      </c>
      <c r="J390" t="str">
        <f t="shared" ref="J390:J397" si="113">"B125380A"</f>
        <v>B125380A</v>
      </c>
      <c r="K390" t="str">
        <f t="shared" si="112"/>
        <v>INNI</v>
      </c>
      <c r="L390" t="s">
        <v>225</v>
      </c>
      <c r="M390">
        <v>127.15</v>
      </c>
    </row>
    <row r="391" spans="1:13" x14ac:dyDescent="0.25">
      <c r="A391" t="str">
        <f t="shared" si="109"/>
        <v>E213</v>
      </c>
      <c r="B391">
        <v>1</v>
      </c>
      <c r="C391" t="str">
        <f t="shared" si="110"/>
        <v>43000</v>
      </c>
      <c r="D391" t="str">
        <f t="shared" si="108"/>
        <v>5740</v>
      </c>
      <c r="E391" t="str">
        <f t="shared" si="111"/>
        <v>850PKE</v>
      </c>
      <c r="F391" t="str">
        <f>""</f>
        <v/>
      </c>
      <c r="G391" t="str">
        <f>""</f>
        <v/>
      </c>
      <c r="H391" s="1">
        <v>41282</v>
      </c>
      <c r="I391" t="str">
        <f>"0005188A"</f>
        <v>0005188A</v>
      </c>
      <c r="J391" t="str">
        <f t="shared" si="113"/>
        <v>B125380A</v>
      </c>
      <c r="K391" t="str">
        <f t="shared" si="112"/>
        <v>INNI</v>
      </c>
      <c r="L391" t="s">
        <v>225</v>
      </c>
      <c r="M391">
        <v>127.15</v>
      </c>
    </row>
    <row r="392" spans="1:13" x14ac:dyDescent="0.25">
      <c r="A392" t="str">
        <f t="shared" si="109"/>
        <v>E213</v>
      </c>
      <c r="B392">
        <v>1</v>
      </c>
      <c r="C392" t="str">
        <f t="shared" si="110"/>
        <v>43000</v>
      </c>
      <c r="D392" t="str">
        <f t="shared" si="108"/>
        <v>5740</v>
      </c>
      <c r="E392" t="str">
        <f t="shared" si="111"/>
        <v>850PKE</v>
      </c>
      <c r="F392" t="str">
        <f>""</f>
        <v/>
      </c>
      <c r="G392" t="str">
        <f>""</f>
        <v/>
      </c>
      <c r="H392" s="1">
        <v>41282</v>
      </c>
      <c r="I392" t="str">
        <f>"0005140A"</f>
        <v>0005140A</v>
      </c>
      <c r="J392" t="str">
        <f t="shared" si="113"/>
        <v>B125380A</v>
      </c>
      <c r="K392" t="str">
        <f t="shared" si="112"/>
        <v>INNI</v>
      </c>
      <c r="L392" t="s">
        <v>225</v>
      </c>
      <c r="M392">
        <v>127.15</v>
      </c>
    </row>
    <row r="393" spans="1:13" x14ac:dyDescent="0.25">
      <c r="A393" t="str">
        <f t="shared" si="109"/>
        <v>E213</v>
      </c>
      <c r="B393">
        <v>1</v>
      </c>
      <c r="C393" t="str">
        <f t="shared" si="110"/>
        <v>43000</v>
      </c>
      <c r="D393" t="str">
        <f t="shared" si="108"/>
        <v>5740</v>
      </c>
      <c r="E393" t="str">
        <f t="shared" si="111"/>
        <v>850PKE</v>
      </c>
      <c r="F393" t="str">
        <f>""</f>
        <v/>
      </c>
      <c r="G393" t="str">
        <f>""</f>
        <v/>
      </c>
      <c r="H393" s="1">
        <v>41344</v>
      </c>
      <c r="I393" t="str">
        <f>"0005277"</f>
        <v>0005277</v>
      </c>
      <c r="J393" t="str">
        <f t="shared" si="113"/>
        <v>B125380A</v>
      </c>
      <c r="K393" t="str">
        <f t="shared" si="112"/>
        <v>INNI</v>
      </c>
      <c r="L393" t="s">
        <v>225</v>
      </c>
      <c r="M393">
        <v>127.15</v>
      </c>
    </row>
    <row r="394" spans="1:13" x14ac:dyDescent="0.25">
      <c r="A394" t="str">
        <f t="shared" si="109"/>
        <v>E213</v>
      </c>
      <c r="B394">
        <v>1</v>
      </c>
      <c r="C394" t="str">
        <f t="shared" si="110"/>
        <v>43000</v>
      </c>
      <c r="D394" t="str">
        <f t="shared" si="108"/>
        <v>5740</v>
      </c>
      <c r="E394" t="str">
        <f t="shared" si="111"/>
        <v>850PKE</v>
      </c>
      <c r="F394" t="str">
        <f>""</f>
        <v/>
      </c>
      <c r="G394" t="str">
        <f>""</f>
        <v/>
      </c>
      <c r="H394" s="1">
        <v>41361</v>
      </c>
      <c r="I394" t="str">
        <f>"00005341"</f>
        <v>00005341</v>
      </c>
      <c r="J394" t="str">
        <f t="shared" si="113"/>
        <v>B125380A</v>
      </c>
      <c r="K394" t="str">
        <f t="shared" si="112"/>
        <v>INNI</v>
      </c>
      <c r="L394" t="s">
        <v>225</v>
      </c>
      <c r="M394">
        <v>127.15</v>
      </c>
    </row>
    <row r="395" spans="1:13" x14ac:dyDescent="0.25">
      <c r="A395" t="str">
        <f t="shared" si="109"/>
        <v>E213</v>
      </c>
      <c r="B395">
        <v>1</v>
      </c>
      <c r="C395" t="str">
        <f t="shared" si="110"/>
        <v>43000</v>
      </c>
      <c r="D395" t="str">
        <f t="shared" si="108"/>
        <v>5740</v>
      </c>
      <c r="E395" t="str">
        <f t="shared" si="111"/>
        <v>850PKE</v>
      </c>
      <c r="F395" t="str">
        <f>""</f>
        <v/>
      </c>
      <c r="G395" t="str">
        <f>""</f>
        <v/>
      </c>
      <c r="H395" s="1">
        <v>41382</v>
      </c>
      <c r="I395" t="str">
        <f>"00005388"</f>
        <v>00005388</v>
      </c>
      <c r="J395" t="str">
        <f t="shared" si="113"/>
        <v>B125380A</v>
      </c>
      <c r="K395" t="str">
        <f t="shared" si="112"/>
        <v>INNI</v>
      </c>
      <c r="L395" t="s">
        <v>225</v>
      </c>
      <c r="M395">
        <v>127.15</v>
      </c>
    </row>
    <row r="396" spans="1:13" x14ac:dyDescent="0.25">
      <c r="A396" t="str">
        <f t="shared" si="109"/>
        <v>E213</v>
      </c>
      <c r="B396">
        <v>1</v>
      </c>
      <c r="C396" t="str">
        <f t="shared" si="110"/>
        <v>43000</v>
      </c>
      <c r="D396" t="str">
        <f t="shared" si="108"/>
        <v>5740</v>
      </c>
      <c r="E396" t="str">
        <f t="shared" si="111"/>
        <v>850PKE</v>
      </c>
      <c r="F396" t="str">
        <f>""</f>
        <v/>
      </c>
      <c r="G396" t="str">
        <f>""</f>
        <v/>
      </c>
      <c r="H396" s="1">
        <v>41423</v>
      </c>
      <c r="I396" t="str">
        <f>"00005441"</f>
        <v>00005441</v>
      </c>
      <c r="J396" t="str">
        <f t="shared" si="113"/>
        <v>B125380A</v>
      </c>
      <c r="K396" t="str">
        <f t="shared" si="112"/>
        <v>INNI</v>
      </c>
      <c r="L396" t="s">
        <v>225</v>
      </c>
      <c r="M396">
        <v>127.15</v>
      </c>
    </row>
    <row r="397" spans="1:13" x14ac:dyDescent="0.25">
      <c r="A397" t="str">
        <f t="shared" si="109"/>
        <v>E213</v>
      </c>
      <c r="B397">
        <v>1</v>
      </c>
      <c r="C397" t="str">
        <f t="shared" si="110"/>
        <v>43000</v>
      </c>
      <c r="D397" t="str">
        <f t="shared" si="108"/>
        <v>5740</v>
      </c>
      <c r="E397" t="str">
        <f t="shared" si="111"/>
        <v>850PKE</v>
      </c>
      <c r="F397" t="str">
        <f>""</f>
        <v/>
      </c>
      <c r="G397" t="str">
        <f>""</f>
        <v/>
      </c>
      <c r="H397" s="1">
        <v>41451</v>
      </c>
      <c r="I397" t="str">
        <f>".0005479"</f>
        <v>.0005479</v>
      </c>
      <c r="J397" t="str">
        <f t="shared" si="113"/>
        <v>B125380A</v>
      </c>
      <c r="K397" t="str">
        <f t="shared" si="112"/>
        <v>INNI</v>
      </c>
      <c r="L397" t="s">
        <v>225</v>
      </c>
      <c r="M397">
        <v>127.15</v>
      </c>
    </row>
    <row r="398" spans="1:13" x14ac:dyDescent="0.25">
      <c r="A398" t="str">
        <f t="shared" ref="A398:A416" si="114">"E216"</f>
        <v>E216</v>
      </c>
      <c r="B398">
        <v>1</v>
      </c>
      <c r="C398" t="str">
        <f>"10200"</f>
        <v>10200</v>
      </c>
      <c r="D398" t="str">
        <f>"5620"</f>
        <v>5620</v>
      </c>
      <c r="E398" t="str">
        <f>"094OMS"</f>
        <v>094OMS</v>
      </c>
      <c r="F398" t="str">
        <f>""</f>
        <v/>
      </c>
      <c r="G398" t="str">
        <f>""</f>
        <v/>
      </c>
      <c r="H398" s="1">
        <v>41191</v>
      </c>
      <c r="I398" t="str">
        <f>"4874C"</f>
        <v>4874C</v>
      </c>
      <c r="J398" t="str">
        <f>"N113831E"</f>
        <v>N113831E</v>
      </c>
      <c r="K398" t="str">
        <f>"INEI"</f>
        <v>INEI</v>
      </c>
      <c r="L398" t="s">
        <v>33</v>
      </c>
      <c r="M398" s="2">
        <v>1760.94</v>
      </c>
    </row>
    <row r="399" spans="1:13" x14ac:dyDescent="0.25">
      <c r="A399" t="str">
        <f t="shared" si="114"/>
        <v>E216</v>
      </c>
      <c r="B399">
        <v>1</v>
      </c>
      <c r="C399" t="str">
        <f>"10200"</f>
        <v>10200</v>
      </c>
      <c r="D399" t="str">
        <f>"5620"</f>
        <v>5620</v>
      </c>
      <c r="E399" t="str">
        <f>"094OMS"</f>
        <v>094OMS</v>
      </c>
      <c r="F399" t="str">
        <f>""</f>
        <v/>
      </c>
      <c r="G399" t="str">
        <f>""</f>
        <v/>
      </c>
      <c r="H399" s="1">
        <v>41436</v>
      </c>
      <c r="I399" t="str">
        <f>"MC010212"</f>
        <v>MC010212</v>
      </c>
      <c r="J399" t="str">
        <f>"N188745A"</f>
        <v>N188745A</v>
      </c>
      <c r="K399" t="str">
        <f>"INEI"</f>
        <v>INEI</v>
      </c>
      <c r="L399" t="s">
        <v>1231</v>
      </c>
      <c r="M399" s="2">
        <v>1169.07</v>
      </c>
    </row>
    <row r="400" spans="1:13" x14ac:dyDescent="0.25">
      <c r="A400" t="str">
        <f t="shared" si="114"/>
        <v>E216</v>
      </c>
      <c r="B400">
        <v>1</v>
      </c>
      <c r="C400" t="str">
        <f>"43000"</f>
        <v>43000</v>
      </c>
      <c r="D400" t="str">
        <f t="shared" ref="D400:D440" si="115">"5740"</f>
        <v>5740</v>
      </c>
      <c r="E400" t="str">
        <f t="shared" ref="E400:E440" si="116">"850LOS"</f>
        <v>850LOS</v>
      </c>
      <c r="F400" t="str">
        <f>""</f>
        <v/>
      </c>
      <c r="G400" t="str">
        <f>""</f>
        <v/>
      </c>
      <c r="H400" s="1">
        <v>41103</v>
      </c>
      <c r="I400" t="str">
        <f>"ACG02185"</f>
        <v>ACG02185</v>
      </c>
      <c r="J400" t="str">
        <f>"F003036"</f>
        <v>F003036</v>
      </c>
      <c r="K400" t="str">
        <f>"AS89"</f>
        <v>AS89</v>
      </c>
      <c r="L400" t="s">
        <v>2011</v>
      </c>
      <c r="M400" s="2">
        <v>35401.61</v>
      </c>
    </row>
    <row r="401" spans="1:13" x14ac:dyDescent="0.25">
      <c r="A401" t="str">
        <f t="shared" si="114"/>
        <v>E216</v>
      </c>
      <c r="B401">
        <v>1</v>
      </c>
      <c r="C401" t="str">
        <f>"43000"</f>
        <v>43000</v>
      </c>
      <c r="D401" t="str">
        <f t="shared" si="115"/>
        <v>5740</v>
      </c>
      <c r="E401" t="str">
        <f t="shared" si="116"/>
        <v>850LOS</v>
      </c>
      <c r="F401" t="str">
        <f>""</f>
        <v/>
      </c>
      <c r="G401" t="str">
        <f>""</f>
        <v/>
      </c>
      <c r="H401" s="1">
        <v>41103</v>
      </c>
      <c r="I401" t="str">
        <f>"ACG02185"</f>
        <v>ACG02185</v>
      </c>
      <c r="J401" t="str">
        <f>"M002039"</f>
        <v>M002039</v>
      </c>
      <c r="K401" t="str">
        <f>"AS89"</f>
        <v>AS89</v>
      </c>
      <c r="L401" t="s">
        <v>2011</v>
      </c>
      <c r="M401" s="2">
        <v>5405.21</v>
      </c>
    </row>
    <row r="402" spans="1:13" x14ac:dyDescent="0.25">
      <c r="A402" t="str">
        <f t="shared" si="114"/>
        <v>E216</v>
      </c>
      <c r="B402">
        <v>1</v>
      </c>
      <c r="C402" t="str">
        <f>"43000"</f>
        <v>43000</v>
      </c>
      <c r="D402" t="str">
        <f t="shared" si="115"/>
        <v>5740</v>
      </c>
      <c r="E402" t="str">
        <f t="shared" si="116"/>
        <v>850LOS</v>
      </c>
      <c r="F402" t="str">
        <f>""</f>
        <v/>
      </c>
      <c r="G402" t="str">
        <f>""</f>
        <v/>
      </c>
      <c r="H402" s="1">
        <v>41455</v>
      </c>
      <c r="I402" t="str">
        <f>"F003909"</f>
        <v>F003909</v>
      </c>
      <c r="J402" t="str">
        <f>"N125348D"</f>
        <v>N125348D</v>
      </c>
      <c r="K402" t="str">
        <f t="shared" ref="K402:K416" si="117">"INEI"</f>
        <v>INEI</v>
      </c>
      <c r="L402" t="s">
        <v>229</v>
      </c>
      <c r="M402" s="2">
        <v>38527.800000000003</v>
      </c>
    </row>
    <row r="403" spans="1:13" x14ac:dyDescent="0.25">
      <c r="A403" t="str">
        <f t="shared" si="114"/>
        <v>E216</v>
      </c>
      <c r="B403">
        <v>1</v>
      </c>
      <c r="C403" t="str">
        <f>"43000"</f>
        <v>43000</v>
      </c>
      <c r="D403" t="str">
        <f t="shared" si="115"/>
        <v>5740</v>
      </c>
      <c r="E403" t="str">
        <f t="shared" si="116"/>
        <v>850LOS</v>
      </c>
      <c r="F403" t="str">
        <f>""</f>
        <v/>
      </c>
      <c r="G403" t="str">
        <f>""</f>
        <v/>
      </c>
      <c r="H403" s="1">
        <v>41455</v>
      </c>
      <c r="I403" t="str">
        <f>"M002672"</f>
        <v>M002672</v>
      </c>
      <c r="J403" t="str">
        <f>"N125348D"</f>
        <v>N125348D</v>
      </c>
      <c r="K403" t="str">
        <f t="shared" si="117"/>
        <v>INEI</v>
      </c>
      <c r="L403" t="s">
        <v>229</v>
      </c>
      <c r="M403" s="2">
        <v>1956.6</v>
      </c>
    </row>
    <row r="404" spans="1:13" x14ac:dyDescent="0.25">
      <c r="A404" t="str">
        <f t="shared" si="114"/>
        <v>E216</v>
      </c>
      <c r="B404">
        <v>1</v>
      </c>
      <c r="C404" t="str">
        <f t="shared" ref="C404:C416" si="118">"43003"</f>
        <v>43003</v>
      </c>
      <c r="D404" t="str">
        <f t="shared" si="115"/>
        <v>5740</v>
      </c>
      <c r="E404" t="str">
        <f t="shared" si="116"/>
        <v>850LOS</v>
      </c>
      <c r="F404" t="str">
        <f>""</f>
        <v/>
      </c>
      <c r="G404" t="str">
        <f>""</f>
        <v/>
      </c>
      <c r="H404" s="1">
        <v>41149</v>
      </c>
      <c r="I404" t="str">
        <f>"164704A"</f>
        <v>164704A</v>
      </c>
      <c r="J404" t="str">
        <f>"N125316C"</f>
        <v>N125316C</v>
      </c>
      <c r="K404" t="str">
        <f t="shared" si="117"/>
        <v>INEI</v>
      </c>
      <c r="L404" t="s">
        <v>1189</v>
      </c>
      <c r="M404">
        <v>896.78</v>
      </c>
    </row>
    <row r="405" spans="1:13" x14ac:dyDescent="0.25">
      <c r="A405" t="str">
        <f t="shared" si="114"/>
        <v>E216</v>
      </c>
      <c r="B405">
        <v>1</v>
      </c>
      <c r="C405" t="str">
        <f t="shared" si="118"/>
        <v>43003</v>
      </c>
      <c r="D405" t="str">
        <f t="shared" si="115"/>
        <v>5740</v>
      </c>
      <c r="E405" t="str">
        <f t="shared" si="116"/>
        <v>850LOS</v>
      </c>
      <c r="F405" t="str">
        <f>""</f>
        <v/>
      </c>
      <c r="G405" t="str">
        <f>""</f>
        <v/>
      </c>
      <c r="H405" s="1">
        <v>41150</v>
      </c>
      <c r="I405" t="str">
        <f>"4169865"</f>
        <v>4169865</v>
      </c>
      <c r="J405" t="str">
        <f>"N183002C"</f>
        <v>N183002C</v>
      </c>
      <c r="K405" t="str">
        <f t="shared" si="117"/>
        <v>INEI</v>
      </c>
      <c r="L405" t="s">
        <v>1304</v>
      </c>
      <c r="M405">
        <v>700</v>
      </c>
    </row>
    <row r="406" spans="1:13" x14ac:dyDescent="0.25">
      <c r="A406" t="str">
        <f t="shared" si="114"/>
        <v>E216</v>
      </c>
      <c r="B406">
        <v>1</v>
      </c>
      <c r="C406" t="str">
        <f t="shared" si="118"/>
        <v>43003</v>
      </c>
      <c r="D406" t="str">
        <f t="shared" si="115"/>
        <v>5740</v>
      </c>
      <c r="E406" t="str">
        <f t="shared" si="116"/>
        <v>850LOS</v>
      </c>
      <c r="F406" t="str">
        <f>""</f>
        <v/>
      </c>
      <c r="G406" t="str">
        <f>""</f>
        <v/>
      </c>
      <c r="H406" s="1">
        <v>41159</v>
      </c>
      <c r="I406" t="str">
        <f>"166119"</f>
        <v>166119</v>
      </c>
      <c r="J406" t="str">
        <f t="shared" ref="J406:J416" si="119">"N125316C"</f>
        <v>N125316C</v>
      </c>
      <c r="K406" t="str">
        <f t="shared" si="117"/>
        <v>INEI</v>
      </c>
      <c r="L406" t="s">
        <v>1189</v>
      </c>
      <c r="M406">
        <v>896.78</v>
      </c>
    </row>
    <row r="407" spans="1:13" x14ac:dyDescent="0.25">
      <c r="A407" t="str">
        <f t="shared" si="114"/>
        <v>E216</v>
      </c>
      <c r="B407">
        <v>1</v>
      </c>
      <c r="C407" t="str">
        <f t="shared" si="118"/>
        <v>43003</v>
      </c>
      <c r="D407" t="str">
        <f t="shared" si="115"/>
        <v>5740</v>
      </c>
      <c r="E407" t="str">
        <f t="shared" si="116"/>
        <v>850LOS</v>
      </c>
      <c r="F407" t="str">
        <f>""</f>
        <v/>
      </c>
      <c r="G407" t="str">
        <f>""</f>
        <v/>
      </c>
      <c r="H407" s="1">
        <v>41192</v>
      </c>
      <c r="I407" t="str">
        <f>"167745"</f>
        <v>167745</v>
      </c>
      <c r="J407" t="str">
        <f t="shared" si="119"/>
        <v>N125316C</v>
      </c>
      <c r="K407" t="str">
        <f t="shared" si="117"/>
        <v>INEI</v>
      </c>
      <c r="L407" t="s">
        <v>1189</v>
      </c>
      <c r="M407">
        <v>896.78</v>
      </c>
    </row>
    <row r="408" spans="1:13" x14ac:dyDescent="0.25">
      <c r="A408" t="str">
        <f t="shared" si="114"/>
        <v>E216</v>
      </c>
      <c r="B408">
        <v>1</v>
      </c>
      <c r="C408" t="str">
        <f t="shared" si="118"/>
        <v>43003</v>
      </c>
      <c r="D408" t="str">
        <f t="shared" si="115"/>
        <v>5740</v>
      </c>
      <c r="E408" t="str">
        <f t="shared" si="116"/>
        <v>850LOS</v>
      </c>
      <c r="F408" t="str">
        <f>""</f>
        <v/>
      </c>
      <c r="G408" t="str">
        <f>""</f>
        <v/>
      </c>
      <c r="H408" s="1">
        <v>41220</v>
      </c>
      <c r="I408" t="str">
        <f>"169276"</f>
        <v>169276</v>
      </c>
      <c r="J408" t="str">
        <f t="shared" si="119"/>
        <v>N125316C</v>
      </c>
      <c r="K408" t="str">
        <f t="shared" si="117"/>
        <v>INEI</v>
      </c>
      <c r="L408" t="s">
        <v>1189</v>
      </c>
      <c r="M408">
        <v>896.78</v>
      </c>
    </row>
    <row r="409" spans="1:13" x14ac:dyDescent="0.25">
      <c r="A409" t="str">
        <f t="shared" si="114"/>
        <v>E216</v>
      </c>
      <c r="B409">
        <v>1</v>
      </c>
      <c r="C409" t="str">
        <f t="shared" si="118"/>
        <v>43003</v>
      </c>
      <c r="D409" t="str">
        <f t="shared" si="115"/>
        <v>5740</v>
      </c>
      <c r="E409" t="str">
        <f t="shared" si="116"/>
        <v>850LOS</v>
      </c>
      <c r="F409" t="str">
        <f>""</f>
        <v/>
      </c>
      <c r="G409" t="str">
        <f>""</f>
        <v/>
      </c>
      <c r="H409" s="1">
        <v>41283</v>
      </c>
      <c r="I409" t="str">
        <f>"172969A"</f>
        <v>172969A</v>
      </c>
      <c r="J409" t="str">
        <f t="shared" si="119"/>
        <v>N125316C</v>
      </c>
      <c r="K409" t="str">
        <f t="shared" si="117"/>
        <v>INEI</v>
      </c>
      <c r="L409" t="s">
        <v>1189</v>
      </c>
      <c r="M409">
        <v>896.78</v>
      </c>
    </row>
    <row r="410" spans="1:13" x14ac:dyDescent="0.25">
      <c r="A410" t="str">
        <f t="shared" si="114"/>
        <v>E216</v>
      </c>
      <c r="B410">
        <v>1</v>
      </c>
      <c r="C410" t="str">
        <f t="shared" si="118"/>
        <v>43003</v>
      </c>
      <c r="D410" t="str">
        <f t="shared" si="115"/>
        <v>5740</v>
      </c>
      <c r="E410" t="str">
        <f t="shared" si="116"/>
        <v>850LOS</v>
      </c>
      <c r="F410" t="str">
        <f>""</f>
        <v/>
      </c>
      <c r="G410" t="str">
        <f>""</f>
        <v/>
      </c>
      <c r="H410" s="1">
        <v>41283</v>
      </c>
      <c r="I410" t="str">
        <f>"172227"</f>
        <v>172227</v>
      </c>
      <c r="J410" t="str">
        <f t="shared" si="119"/>
        <v>N125316C</v>
      </c>
      <c r="K410" t="str">
        <f t="shared" si="117"/>
        <v>INEI</v>
      </c>
      <c r="L410" t="s">
        <v>1189</v>
      </c>
      <c r="M410">
        <v>896.78</v>
      </c>
    </row>
    <row r="411" spans="1:13" x14ac:dyDescent="0.25">
      <c r="A411" t="str">
        <f t="shared" si="114"/>
        <v>E216</v>
      </c>
      <c r="B411">
        <v>1</v>
      </c>
      <c r="C411" t="str">
        <f t="shared" si="118"/>
        <v>43003</v>
      </c>
      <c r="D411" t="str">
        <f t="shared" si="115"/>
        <v>5740</v>
      </c>
      <c r="E411" t="str">
        <f t="shared" si="116"/>
        <v>850LOS</v>
      </c>
      <c r="F411" t="str">
        <f>""</f>
        <v/>
      </c>
      <c r="G411" t="str">
        <f>""</f>
        <v/>
      </c>
      <c r="H411" s="1">
        <v>41311</v>
      </c>
      <c r="I411" t="str">
        <f>"173634"</f>
        <v>173634</v>
      </c>
      <c r="J411" t="str">
        <f t="shared" si="119"/>
        <v>N125316C</v>
      </c>
      <c r="K411" t="str">
        <f t="shared" si="117"/>
        <v>INEI</v>
      </c>
      <c r="L411" t="s">
        <v>1189</v>
      </c>
      <c r="M411">
        <v>896.78</v>
      </c>
    </row>
    <row r="412" spans="1:13" x14ac:dyDescent="0.25">
      <c r="A412" t="str">
        <f t="shared" si="114"/>
        <v>E216</v>
      </c>
      <c r="B412">
        <v>1</v>
      </c>
      <c r="C412" t="str">
        <f t="shared" si="118"/>
        <v>43003</v>
      </c>
      <c r="D412" t="str">
        <f t="shared" si="115"/>
        <v>5740</v>
      </c>
      <c r="E412" t="str">
        <f t="shared" si="116"/>
        <v>850LOS</v>
      </c>
      <c r="F412" t="str">
        <f>""</f>
        <v/>
      </c>
      <c r="G412" t="str">
        <f>""</f>
        <v/>
      </c>
      <c r="H412" s="1">
        <v>41334</v>
      </c>
      <c r="I412" t="str">
        <f>"175119"</f>
        <v>175119</v>
      </c>
      <c r="J412" t="str">
        <f t="shared" si="119"/>
        <v>N125316C</v>
      </c>
      <c r="K412" t="str">
        <f t="shared" si="117"/>
        <v>INEI</v>
      </c>
      <c r="L412" t="s">
        <v>1189</v>
      </c>
      <c r="M412">
        <v>896.78</v>
      </c>
    </row>
    <row r="413" spans="1:13" x14ac:dyDescent="0.25">
      <c r="A413" t="str">
        <f t="shared" si="114"/>
        <v>E216</v>
      </c>
      <c r="B413">
        <v>1</v>
      </c>
      <c r="C413" t="str">
        <f t="shared" si="118"/>
        <v>43003</v>
      </c>
      <c r="D413" t="str">
        <f t="shared" si="115"/>
        <v>5740</v>
      </c>
      <c r="E413" t="str">
        <f t="shared" si="116"/>
        <v>850LOS</v>
      </c>
      <c r="F413" t="str">
        <f>""</f>
        <v/>
      </c>
      <c r="G413" t="str">
        <f>""</f>
        <v/>
      </c>
      <c r="H413" s="1">
        <v>41409</v>
      </c>
      <c r="I413" t="str">
        <f>"176725A"</f>
        <v>176725A</v>
      </c>
      <c r="J413" t="str">
        <f t="shared" si="119"/>
        <v>N125316C</v>
      </c>
      <c r="K413" t="str">
        <f t="shared" si="117"/>
        <v>INEI</v>
      </c>
      <c r="L413" t="s">
        <v>1189</v>
      </c>
      <c r="M413">
        <v>896.78</v>
      </c>
    </row>
    <row r="414" spans="1:13" x14ac:dyDescent="0.25">
      <c r="A414" t="str">
        <f t="shared" si="114"/>
        <v>E216</v>
      </c>
      <c r="B414">
        <v>1</v>
      </c>
      <c r="C414" t="str">
        <f t="shared" si="118"/>
        <v>43003</v>
      </c>
      <c r="D414" t="str">
        <f t="shared" si="115"/>
        <v>5740</v>
      </c>
      <c r="E414" t="str">
        <f t="shared" si="116"/>
        <v>850LOS</v>
      </c>
      <c r="F414" t="str">
        <f>""</f>
        <v/>
      </c>
      <c r="G414" t="str">
        <f>""</f>
        <v/>
      </c>
      <c r="H414" s="1">
        <v>41409</v>
      </c>
      <c r="I414" t="str">
        <f>"178262"</f>
        <v>178262</v>
      </c>
      <c r="J414" t="str">
        <f t="shared" si="119"/>
        <v>N125316C</v>
      </c>
      <c r="K414" t="str">
        <f t="shared" si="117"/>
        <v>INEI</v>
      </c>
      <c r="L414" t="s">
        <v>1189</v>
      </c>
      <c r="M414">
        <v>896.78</v>
      </c>
    </row>
    <row r="415" spans="1:13" x14ac:dyDescent="0.25">
      <c r="A415" t="str">
        <f t="shared" si="114"/>
        <v>E216</v>
      </c>
      <c r="B415">
        <v>1</v>
      </c>
      <c r="C415" t="str">
        <f t="shared" si="118"/>
        <v>43003</v>
      </c>
      <c r="D415" t="str">
        <f t="shared" si="115"/>
        <v>5740</v>
      </c>
      <c r="E415" t="str">
        <f t="shared" si="116"/>
        <v>850LOS</v>
      </c>
      <c r="F415" t="str">
        <f>""</f>
        <v/>
      </c>
      <c r="G415" t="str">
        <f>""</f>
        <v/>
      </c>
      <c r="H415" s="1">
        <v>41425</v>
      </c>
      <c r="I415" t="str">
        <f>"179837"</f>
        <v>179837</v>
      </c>
      <c r="J415" t="str">
        <f t="shared" si="119"/>
        <v>N125316C</v>
      </c>
      <c r="K415" t="str">
        <f t="shared" si="117"/>
        <v>INEI</v>
      </c>
      <c r="L415" t="s">
        <v>1189</v>
      </c>
      <c r="M415">
        <v>896.78</v>
      </c>
    </row>
    <row r="416" spans="1:13" x14ac:dyDescent="0.25">
      <c r="A416" t="str">
        <f t="shared" si="114"/>
        <v>E216</v>
      </c>
      <c r="B416">
        <v>1</v>
      </c>
      <c r="C416" t="str">
        <f t="shared" si="118"/>
        <v>43003</v>
      </c>
      <c r="D416" t="str">
        <f t="shared" si="115"/>
        <v>5740</v>
      </c>
      <c r="E416" t="str">
        <f t="shared" si="116"/>
        <v>850LOS</v>
      </c>
      <c r="F416" t="str">
        <f>""</f>
        <v/>
      </c>
      <c r="G416" t="str">
        <f>""</f>
        <v/>
      </c>
      <c r="H416" s="1">
        <v>41454</v>
      </c>
      <c r="I416" t="str">
        <f>"181519"</f>
        <v>181519</v>
      </c>
      <c r="J416" t="str">
        <f t="shared" si="119"/>
        <v>N125316C</v>
      </c>
      <c r="K416" t="str">
        <f t="shared" si="117"/>
        <v>INEI</v>
      </c>
      <c r="L416" t="s">
        <v>1189</v>
      </c>
      <c r="M416">
        <v>896.78</v>
      </c>
    </row>
    <row r="417" spans="1:13" x14ac:dyDescent="0.25">
      <c r="A417" t="str">
        <f t="shared" ref="A417:A440" si="120">"E217"</f>
        <v>E217</v>
      </c>
      <c r="B417">
        <v>1</v>
      </c>
      <c r="C417" t="str">
        <f t="shared" ref="C417:C429" si="121">"43000"</f>
        <v>43000</v>
      </c>
      <c r="D417" t="str">
        <f t="shared" si="115"/>
        <v>5740</v>
      </c>
      <c r="E417" t="str">
        <f t="shared" si="116"/>
        <v>850LOS</v>
      </c>
      <c r="F417" t="str">
        <f>""</f>
        <v/>
      </c>
      <c r="G417" t="str">
        <f>""</f>
        <v/>
      </c>
      <c r="H417" s="1">
        <v>41129</v>
      </c>
      <c r="I417" t="str">
        <f>"CMG00759"</f>
        <v>CMG00759</v>
      </c>
      <c r="J417" t="str">
        <f>""</f>
        <v/>
      </c>
      <c r="K417" t="str">
        <f t="shared" ref="K417:K429" si="122">"CM89"</f>
        <v>CM89</v>
      </c>
      <c r="L417" t="s">
        <v>2009</v>
      </c>
      <c r="M417">
        <v>288.37</v>
      </c>
    </row>
    <row r="418" spans="1:13" x14ac:dyDescent="0.25">
      <c r="A418" t="str">
        <f t="shared" si="120"/>
        <v>E217</v>
      </c>
      <c r="B418">
        <v>1</v>
      </c>
      <c r="C418" t="str">
        <f t="shared" si="121"/>
        <v>43000</v>
      </c>
      <c r="D418" t="str">
        <f t="shared" si="115"/>
        <v>5740</v>
      </c>
      <c r="E418" t="str">
        <f t="shared" si="116"/>
        <v>850LOS</v>
      </c>
      <c r="F418" t="str">
        <f>""</f>
        <v/>
      </c>
      <c r="G418" t="str">
        <f>""</f>
        <v/>
      </c>
      <c r="H418" s="1">
        <v>41164</v>
      </c>
      <c r="I418" t="str">
        <f>"CMG00766"</f>
        <v>CMG00766</v>
      </c>
      <c r="J418" t="str">
        <f>""</f>
        <v/>
      </c>
      <c r="K418" t="str">
        <f t="shared" si="122"/>
        <v>CM89</v>
      </c>
      <c r="L418" t="s">
        <v>2008</v>
      </c>
      <c r="M418">
        <v>220.16</v>
      </c>
    </row>
    <row r="419" spans="1:13" x14ac:dyDescent="0.25">
      <c r="A419" t="str">
        <f t="shared" si="120"/>
        <v>E217</v>
      </c>
      <c r="B419">
        <v>1</v>
      </c>
      <c r="C419" t="str">
        <f t="shared" si="121"/>
        <v>43000</v>
      </c>
      <c r="D419" t="str">
        <f t="shared" si="115"/>
        <v>5740</v>
      </c>
      <c r="E419" t="str">
        <f t="shared" si="116"/>
        <v>850LOS</v>
      </c>
      <c r="F419" t="str">
        <f>""</f>
        <v/>
      </c>
      <c r="G419" t="str">
        <f>""</f>
        <v/>
      </c>
      <c r="H419" s="1">
        <v>41193</v>
      </c>
      <c r="I419" t="str">
        <f>"CMG00770"</f>
        <v>CMG00770</v>
      </c>
      <c r="J419" t="str">
        <f>""</f>
        <v/>
      </c>
      <c r="K419" t="str">
        <f t="shared" si="122"/>
        <v>CM89</v>
      </c>
      <c r="L419" t="s">
        <v>2007</v>
      </c>
      <c r="M419" s="2">
        <v>3891.9</v>
      </c>
    </row>
    <row r="420" spans="1:13" x14ac:dyDescent="0.25">
      <c r="A420" t="str">
        <f t="shared" si="120"/>
        <v>E217</v>
      </c>
      <c r="B420">
        <v>1</v>
      </c>
      <c r="C420" t="str">
        <f t="shared" si="121"/>
        <v>43000</v>
      </c>
      <c r="D420" t="str">
        <f t="shared" si="115"/>
        <v>5740</v>
      </c>
      <c r="E420" t="str">
        <f t="shared" si="116"/>
        <v>850LOS</v>
      </c>
      <c r="F420" t="str">
        <f>""</f>
        <v/>
      </c>
      <c r="G420" t="str">
        <f>""</f>
        <v/>
      </c>
      <c r="H420" s="1">
        <v>41193</v>
      </c>
      <c r="I420" t="str">
        <f>"CMG00771"</f>
        <v>CMG00771</v>
      </c>
      <c r="J420" t="str">
        <f>""</f>
        <v/>
      </c>
      <c r="K420" t="str">
        <f t="shared" si="122"/>
        <v>CM89</v>
      </c>
      <c r="L420" t="s">
        <v>2007</v>
      </c>
      <c r="M420">
        <v>256.14999999999998</v>
      </c>
    </row>
    <row r="421" spans="1:13" x14ac:dyDescent="0.25">
      <c r="A421" t="str">
        <f t="shared" si="120"/>
        <v>E217</v>
      </c>
      <c r="B421">
        <v>1</v>
      </c>
      <c r="C421" t="str">
        <f t="shared" si="121"/>
        <v>43000</v>
      </c>
      <c r="D421" t="str">
        <f t="shared" si="115"/>
        <v>5740</v>
      </c>
      <c r="E421" t="str">
        <f t="shared" si="116"/>
        <v>850LOS</v>
      </c>
      <c r="F421" t="str">
        <f>""</f>
        <v/>
      </c>
      <c r="G421" t="str">
        <f>""</f>
        <v/>
      </c>
      <c r="H421" s="1">
        <v>41226</v>
      </c>
      <c r="I421" t="str">
        <f>"CMG00774"</f>
        <v>CMG00774</v>
      </c>
      <c r="J421" t="str">
        <f>""</f>
        <v/>
      </c>
      <c r="K421" t="str">
        <f t="shared" si="122"/>
        <v>CM89</v>
      </c>
      <c r="L421" t="s">
        <v>2006</v>
      </c>
      <c r="M421">
        <v>603.04</v>
      </c>
    </row>
    <row r="422" spans="1:13" x14ac:dyDescent="0.25">
      <c r="A422" t="str">
        <f t="shared" si="120"/>
        <v>E217</v>
      </c>
      <c r="B422">
        <v>1</v>
      </c>
      <c r="C422" t="str">
        <f t="shared" si="121"/>
        <v>43000</v>
      </c>
      <c r="D422" t="str">
        <f t="shared" si="115"/>
        <v>5740</v>
      </c>
      <c r="E422" t="str">
        <f t="shared" si="116"/>
        <v>850LOS</v>
      </c>
      <c r="F422" t="str">
        <f>""</f>
        <v/>
      </c>
      <c r="G422" t="str">
        <f>""</f>
        <v/>
      </c>
      <c r="H422" s="1">
        <v>41260</v>
      </c>
      <c r="I422" t="str">
        <f>"CMG00780"</f>
        <v>CMG00780</v>
      </c>
      <c r="J422" t="str">
        <f>""</f>
        <v/>
      </c>
      <c r="K422" t="str">
        <f t="shared" si="122"/>
        <v>CM89</v>
      </c>
      <c r="L422" t="s">
        <v>2005</v>
      </c>
      <c r="M422">
        <v>389.92</v>
      </c>
    </row>
    <row r="423" spans="1:13" x14ac:dyDescent="0.25">
      <c r="A423" t="str">
        <f t="shared" si="120"/>
        <v>E217</v>
      </c>
      <c r="B423">
        <v>1</v>
      </c>
      <c r="C423" t="str">
        <f t="shared" si="121"/>
        <v>43000</v>
      </c>
      <c r="D423" t="str">
        <f t="shared" si="115"/>
        <v>5740</v>
      </c>
      <c r="E423" t="str">
        <f t="shared" si="116"/>
        <v>850LOS</v>
      </c>
      <c r="F423" t="str">
        <f>""</f>
        <v/>
      </c>
      <c r="G423" t="str">
        <f>""</f>
        <v/>
      </c>
      <c r="H423" s="1">
        <v>41288</v>
      </c>
      <c r="I423" t="str">
        <f>"CMG00786"</f>
        <v>CMG00786</v>
      </c>
      <c r="J423" t="str">
        <f>""</f>
        <v/>
      </c>
      <c r="K423" t="str">
        <f t="shared" si="122"/>
        <v>CM89</v>
      </c>
      <c r="L423" t="s">
        <v>2004</v>
      </c>
      <c r="M423">
        <v>386.26</v>
      </c>
    </row>
    <row r="424" spans="1:13" x14ac:dyDescent="0.25">
      <c r="A424" t="str">
        <f t="shared" si="120"/>
        <v>E217</v>
      </c>
      <c r="B424">
        <v>1</v>
      </c>
      <c r="C424" t="str">
        <f t="shared" si="121"/>
        <v>43000</v>
      </c>
      <c r="D424" t="str">
        <f t="shared" si="115"/>
        <v>5740</v>
      </c>
      <c r="E424" t="str">
        <f t="shared" si="116"/>
        <v>850LOS</v>
      </c>
      <c r="F424" t="str">
        <f>""</f>
        <v/>
      </c>
      <c r="G424" t="str">
        <f>""</f>
        <v/>
      </c>
      <c r="H424" s="1">
        <v>41319</v>
      </c>
      <c r="I424" t="str">
        <f>"CMG00792"</f>
        <v>CMG00792</v>
      </c>
      <c r="J424" t="str">
        <f>""</f>
        <v/>
      </c>
      <c r="K424" t="str">
        <f t="shared" si="122"/>
        <v>CM89</v>
      </c>
      <c r="L424" t="s">
        <v>2003</v>
      </c>
      <c r="M424" s="2">
        <v>1278.17</v>
      </c>
    </row>
    <row r="425" spans="1:13" x14ac:dyDescent="0.25">
      <c r="A425" t="str">
        <f t="shared" si="120"/>
        <v>E217</v>
      </c>
      <c r="B425">
        <v>1</v>
      </c>
      <c r="C425" t="str">
        <f t="shared" si="121"/>
        <v>43000</v>
      </c>
      <c r="D425" t="str">
        <f t="shared" si="115"/>
        <v>5740</v>
      </c>
      <c r="E425" t="str">
        <f t="shared" si="116"/>
        <v>850LOS</v>
      </c>
      <c r="F425" t="str">
        <f>""</f>
        <v/>
      </c>
      <c r="G425" t="str">
        <f>""</f>
        <v/>
      </c>
      <c r="H425" s="1">
        <v>41351</v>
      </c>
      <c r="I425" t="str">
        <f>"CMG00796"</f>
        <v>CMG00796</v>
      </c>
      <c r="J425" t="str">
        <f>""</f>
        <v/>
      </c>
      <c r="K425" t="str">
        <f t="shared" si="122"/>
        <v>CM89</v>
      </c>
      <c r="L425" t="s">
        <v>2002</v>
      </c>
      <c r="M425">
        <v>508.61</v>
      </c>
    </row>
    <row r="426" spans="1:13" x14ac:dyDescent="0.25">
      <c r="A426" t="str">
        <f t="shared" si="120"/>
        <v>E217</v>
      </c>
      <c r="B426">
        <v>1</v>
      </c>
      <c r="C426" t="str">
        <f t="shared" si="121"/>
        <v>43000</v>
      </c>
      <c r="D426" t="str">
        <f t="shared" si="115"/>
        <v>5740</v>
      </c>
      <c r="E426" t="str">
        <f t="shared" si="116"/>
        <v>850LOS</v>
      </c>
      <c r="F426" t="str">
        <f>""</f>
        <v/>
      </c>
      <c r="G426" t="str">
        <f>""</f>
        <v/>
      </c>
      <c r="H426" s="1">
        <v>41373</v>
      </c>
      <c r="I426" t="str">
        <f>"CMG00801"</f>
        <v>CMG00801</v>
      </c>
      <c r="J426" t="str">
        <f>""</f>
        <v/>
      </c>
      <c r="K426" t="str">
        <f t="shared" si="122"/>
        <v>CM89</v>
      </c>
      <c r="L426" t="s">
        <v>2001</v>
      </c>
      <c r="M426">
        <v>667.23</v>
      </c>
    </row>
    <row r="427" spans="1:13" x14ac:dyDescent="0.25">
      <c r="A427" t="str">
        <f t="shared" si="120"/>
        <v>E217</v>
      </c>
      <c r="B427">
        <v>1</v>
      </c>
      <c r="C427" t="str">
        <f t="shared" si="121"/>
        <v>43000</v>
      </c>
      <c r="D427" t="str">
        <f t="shared" si="115"/>
        <v>5740</v>
      </c>
      <c r="E427" t="str">
        <f t="shared" si="116"/>
        <v>850LOS</v>
      </c>
      <c r="F427" t="str">
        <f>""</f>
        <v/>
      </c>
      <c r="G427" t="str">
        <f>""</f>
        <v/>
      </c>
      <c r="H427" s="1">
        <v>41408</v>
      </c>
      <c r="I427" t="str">
        <f>"CMG00808"</f>
        <v>CMG00808</v>
      </c>
      <c r="J427" t="str">
        <f>""</f>
        <v/>
      </c>
      <c r="K427" t="str">
        <f t="shared" si="122"/>
        <v>CM89</v>
      </c>
      <c r="L427" t="s">
        <v>2000</v>
      </c>
      <c r="M427" s="2">
        <v>1329.33</v>
      </c>
    </row>
    <row r="428" spans="1:13" x14ac:dyDescent="0.25">
      <c r="A428" t="str">
        <f t="shared" si="120"/>
        <v>E217</v>
      </c>
      <c r="B428">
        <v>1</v>
      </c>
      <c r="C428" t="str">
        <f t="shared" si="121"/>
        <v>43000</v>
      </c>
      <c r="D428" t="str">
        <f t="shared" si="115"/>
        <v>5740</v>
      </c>
      <c r="E428" t="str">
        <f t="shared" si="116"/>
        <v>850LOS</v>
      </c>
      <c r="F428" t="str">
        <f>""</f>
        <v/>
      </c>
      <c r="G428" t="str">
        <f>""</f>
        <v/>
      </c>
      <c r="H428" s="1">
        <v>41439</v>
      </c>
      <c r="I428" t="str">
        <f>"CMG00811"</f>
        <v>CMG00811</v>
      </c>
      <c r="J428" t="str">
        <f>""</f>
        <v/>
      </c>
      <c r="K428" t="str">
        <f t="shared" si="122"/>
        <v>CM89</v>
      </c>
      <c r="L428" t="s">
        <v>1999</v>
      </c>
      <c r="M428">
        <v>517.65</v>
      </c>
    </row>
    <row r="429" spans="1:13" x14ac:dyDescent="0.25">
      <c r="A429" t="str">
        <f t="shared" si="120"/>
        <v>E217</v>
      </c>
      <c r="B429">
        <v>1</v>
      </c>
      <c r="C429" t="str">
        <f t="shared" si="121"/>
        <v>43000</v>
      </c>
      <c r="D429" t="str">
        <f t="shared" si="115"/>
        <v>5740</v>
      </c>
      <c r="E429" t="str">
        <f t="shared" si="116"/>
        <v>850LOS</v>
      </c>
      <c r="F429" t="str">
        <f>""</f>
        <v/>
      </c>
      <c r="G429" t="str">
        <f>""</f>
        <v/>
      </c>
      <c r="H429" s="1">
        <v>41455</v>
      </c>
      <c r="I429" t="str">
        <f>"CMG00818"</f>
        <v>CMG00818</v>
      </c>
      <c r="J429" t="str">
        <f>""</f>
        <v/>
      </c>
      <c r="K429" t="str">
        <f t="shared" si="122"/>
        <v>CM89</v>
      </c>
      <c r="L429" t="s">
        <v>1998</v>
      </c>
      <c r="M429">
        <v>899.37</v>
      </c>
    </row>
    <row r="430" spans="1:13" x14ac:dyDescent="0.25">
      <c r="A430" t="str">
        <f t="shared" si="120"/>
        <v>E217</v>
      </c>
      <c r="B430">
        <v>1</v>
      </c>
      <c r="C430" t="str">
        <f t="shared" ref="C430:C440" si="123">"43003"</f>
        <v>43003</v>
      </c>
      <c r="D430" t="str">
        <f t="shared" si="115"/>
        <v>5740</v>
      </c>
      <c r="E430" t="str">
        <f t="shared" si="116"/>
        <v>850LOS</v>
      </c>
      <c r="F430" t="str">
        <f>""</f>
        <v/>
      </c>
      <c r="G430" t="str">
        <f>""</f>
        <v/>
      </c>
      <c r="H430" s="1">
        <v>41275</v>
      </c>
      <c r="I430" t="str">
        <f>"J0003292"</f>
        <v>J0003292</v>
      </c>
      <c r="J430" t="str">
        <f>""</f>
        <v/>
      </c>
      <c r="K430" t="str">
        <f t="shared" ref="K430:K440" si="124">"J079"</f>
        <v>J079</v>
      </c>
      <c r="L430" t="s">
        <v>1185</v>
      </c>
      <c r="M430">
        <v>634.16999999999996</v>
      </c>
    </row>
    <row r="431" spans="1:13" x14ac:dyDescent="0.25">
      <c r="A431" t="str">
        <f t="shared" si="120"/>
        <v>E217</v>
      </c>
      <c r="B431">
        <v>1</v>
      </c>
      <c r="C431" t="str">
        <f t="shared" si="123"/>
        <v>43003</v>
      </c>
      <c r="D431" t="str">
        <f t="shared" si="115"/>
        <v>5740</v>
      </c>
      <c r="E431" t="str">
        <f t="shared" si="116"/>
        <v>850LOS</v>
      </c>
      <c r="F431" t="str">
        <f>""</f>
        <v/>
      </c>
      <c r="G431" t="str">
        <f>""</f>
        <v/>
      </c>
      <c r="H431" s="1">
        <v>41275</v>
      </c>
      <c r="I431" t="str">
        <f>"J0003293"</f>
        <v>J0003293</v>
      </c>
      <c r="J431" t="str">
        <f>""</f>
        <v/>
      </c>
      <c r="K431" t="str">
        <f t="shared" si="124"/>
        <v>J079</v>
      </c>
      <c r="L431" t="s">
        <v>1185</v>
      </c>
      <c r="M431">
        <v>741.66</v>
      </c>
    </row>
    <row r="432" spans="1:13" x14ac:dyDescent="0.25">
      <c r="A432" t="str">
        <f t="shared" si="120"/>
        <v>E217</v>
      </c>
      <c r="B432">
        <v>1</v>
      </c>
      <c r="C432" t="str">
        <f t="shared" si="123"/>
        <v>43003</v>
      </c>
      <c r="D432" t="str">
        <f t="shared" si="115"/>
        <v>5740</v>
      </c>
      <c r="E432" t="str">
        <f t="shared" si="116"/>
        <v>850LOS</v>
      </c>
      <c r="F432" t="str">
        <f>""</f>
        <v/>
      </c>
      <c r="G432" t="str">
        <f>""</f>
        <v/>
      </c>
      <c r="H432" s="1">
        <v>41275</v>
      </c>
      <c r="I432" t="str">
        <f>"J0003294"</f>
        <v>J0003294</v>
      </c>
      <c r="J432" t="str">
        <f>""</f>
        <v/>
      </c>
      <c r="K432" t="str">
        <f t="shared" si="124"/>
        <v>J079</v>
      </c>
      <c r="L432" t="s">
        <v>1185</v>
      </c>
      <c r="M432">
        <v>473.81</v>
      </c>
    </row>
    <row r="433" spans="1:13" x14ac:dyDescent="0.25">
      <c r="A433" t="str">
        <f t="shared" si="120"/>
        <v>E217</v>
      </c>
      <c r="B433">
        <v>1</v>
      </c>
      <c r="C433" t="str">
        <f t="shared" si="123"/>
        <v>43003</v>
      </c>
      <c r="D433" t="str">
        <f t="shared" si="115"/>
        <v>5740</v>
      </c>
      <c r="E433" t="str">
        <f t="shared" si="116"/>
        <v>850LOS</v>
      </c>
      <c r="F433" t="str">
        <f>""</f>
        <v/>
      </c>
      <c r="G433" t="str">
        <f>""</f>
        <v/>
      </c>
      <c r="H433" s="1">
        <v>41275</v>
      </c>
      <c r="I433" t="str">
        <f>"J0003295"</f>
        <v>J0003295</v>
      </c>
      <c r="J433" t="str">
        <f>""</f>
        <v/>
      </c>
      <c r="K433" t="str">
        <f t="shared" si="124"/>
        <v>J079</v>
      </c>
      <c r="L433" t="s">
        <v>1185</v>
      </c>
      <c r="M433">
        <v>923.56</v>
      </c>
    </row>
    <row r="434" spans="1:13" x14ac:dyDescent="0.25">
      <c r="A434" t="str">
        <f t="shared" si="120"/>
        <v>E217</v>
      </c>
      <c r="B434">
        <v>1</v>
      </c>
      <c r="C434" t="str">
        <f t="shared" si="123"/>
        <v>43003</v>
      </c>
      <c r="D434" t="str">
        <f t="shared" si="115"/>
        <v>5740</v>
      </c>
      <c r="E434" t="str">
        <f t="shared" si="116"/>
        <v>850LOS</v>
      </c>
      <c r="F434" t="str">
        <f>""</f>
        <v/>
      </c>
      <c r="G434" t="str">
        <f>""</f>
        <v/>
      </c>
      <c r="H434" s="1">
        <v>41275</v>
      </c>
      <c r="I434" t="str">
        <f>"J0003296"</f>
        <v>J0003296</v>
      </c>
      <c r="J434" t="str">
        <f>""</f>
        <v/>
      </c>
      <c r="K434" t="str">
        <f t="shared" si="124"/>
        <v>J079</v>
      </c>
      <c r="L434" t="s">
        <v>1185</v>
      </c>
      <c r="M434">
        <v>832.58</v>
      </c>
    </row>
    <row r="435" spans="1:13" x14ac:dyDescent="0.25">
      <c r="A435" t="str">
        <f t="shared" si="120"/>
        <v>E217</v>
      </c>
      <c r="B435">
        <v>1</v>
      </c>
      <c r="C435" t="str">
        <f t="shared" si="123"/>
        <v>43003</v>
      </c>
      <c r="D435" t="str">
        <f t="shared" si="115"/>
        <v>5740</v>
      </c>
      <c r="E435" t="str">
        <f t="shared" si="116"/>
        <v>850LOS</v>
      </c>
      <c r="F435" t="str">
        <f>""</f>
        <v/>
      </c>
      <c r="G435" t="str">
        <f>""</f>
        <v/>
      </c>
      <c r="H435" s="1">
        <v>41306</v>
      </c>
      <c r="I435" t="str">
        <f>"J0003439"</f>
        <v>J0003439</v>
      </c>
      <c r="J435" t="str">
        <f>""</f>
        <v/>
      </c>
      <c r="K435" t="str">
        <f t="shared" si="124"/>
        <v>J079</v>
      </c>
      <c r="L435" t="s">
        <v>1914</v>
      </c>
      <c r="M435">
        <v>571.54999999999995</v>
      </c>
    </row>
    <row r="436" spans="1:13" x14ac:dyDescent="0.25">
      <c r="A436" t="str">
        <f t="shared" si="120"/>
        <v>E217</v>
      </c>
      <c r="B436">
        <v>1</v>
      </c>
      <c r="C436" t="str">
        <f t="shared" si="123"/>
        <v>43003</v>
      </c>
      <c r="D436" t="str">
        <f t="shared" si="115"/>
        <v>5740</v>
      </c>
      <c r="E436" t="str">
        <f t="shared" si="116"/>
        <v>850LOS</v>
      </c>
      <c r="F436" t="str">
        <f>""</f>
        <v/>
      </c>
      <c r="G436" t="str">
        <f>""</f>
        <v/>
      </c>
      <c r="H436" s="1">
        <v>41340</v>
      </c>
      <c r="I436" t="str">
        <f>"J0003655"</f>
        <v>J0003655</v>
      </c>
      <c r="J436" t="str">
        <f>""</f>
        <v/>
      </c>
      <c r="K436" t="str">
        <f t="shared" si="124"/>
        <v>J079</v>
      </c>
      <c r="L436" t="s">
        <v>1913</v>
      </c>
      <c r="M436">
        <v>808.29</v>
      </c>
    </row>
    <row r="437" spans="1:13" x14ac:dyDescent="0.25">
      <c r="A437" t="str">
        <f t="shared" si="120"/>
        <v>E217</v>
      </c>
      <c r="B437">
        <v>1</v>
      </c>
      <c r="C437" t="str">
        <f t="shared" si="123"/>
        <v>43003</v>
      </c>
      <c r="D437" t="str">
        <f t="shared" si="115"/>
        <v>5740</v>
      </c>
      <c r="E437" t="str">
        <f t="shared" si="116"/>
        <v>850LOS</v>
      </c>
      <c r="F437" t="str">
        <f>""</f>
        <v/>
      </c>
      <c r="G437" t="str">
        <f>""</f>
        <v/>
      </c>
      <c r="H437" s="1">
        <v>41358</v>
      </c>
      <c r="I437" t="str">
        <f>"J0003864"</f>
        <v>J0003864</v>
      </c>
      <c r="J437" t="str">
        <f>""</f>
        <v/>
      </c>
      <c r="K437" t="str">
        <f t="shared" si="124"/>
        <v>J079</v>
      </c>
      <c r="L437" t="s">
        <v>1912</v>
      </c>
      <c r="M437">
        <v>988.81</v>
      </c>
    </row>
    <row r="438" spans="1:13" x14ac:dyDescent="0.25">
      <c r="A438" t="str">
        <f t="shared" si="120"/>
        <v>E217</v>
      </c>
      <c r="B438">
        <v>1</v>
      </c>
      <c r="C438" t="str">
        <f t="shared" si="123"/>
        <v>43003</v>
      </c>
      <c r="D438" t="str">
        <f t="shared" si="115"/>
        <v>5740</v>
      </c>
      <c r="E438" t="str">
        <f t="shared" si="116"/>
        <v>850LOS</v>
      </c>
      <c r="F438" t="str">
        <f>""</f>
        <v/>
      </c>
      <c r="G438" t="str">
        <f>""</f>
        <v/>
      </c>
      <c r="H438" s="1">
        <v>41395</v>
      </c>
      <c r="I438" t="str">
        <f>"J0004169"</f>
        <v>J0004169</v>
      </c>
      <c r="J438" t="str">
        <f>""</f>
        <v/>
      </c>
      <c r="K438" t="str">
        <f t="shared" si="124"/>
        <v>J079</v>
      </c>
      <c r="L438" t="s">
        <v>1911</v>
      </c>
      <c r="M438" s="2">
        <v>1080.8900000000001</v>
      </c>
    </row>
    <row r="439" spans="1:13" x14ac:dyDescent="0.25">
      <c r="A439" t="str">
        <f t="shared" si="120"/>
        <v>E217</v>
      </c>
      <c r="B439">
        <v>1</v>
      </c>
      <c r="C439" t="str">
        <f t="shared" si="123"/>
        <v>43003</v>
      </c>
      <c r="D439" t="str">
        <f t="shared" si="115"/>
        <v>5740</v>
      </c>
      <c r="E439" t="str">
        <f t="shared" si="116"/>
        <v>850LOS</v>
      </c>
      <c r="F439" t="str">
        <f>""</f>
        <v/>
      </c>
      <c r="G439" t="str">
        <f>""</f>
        <v/>
      </c>
      <c r="H439" s="1">
        <v>41415</v>
      </c>
      <c r="I439" t="str">
        <f>"J0004359"</f>
        <v>J0004359</v>
      </c>
      <c r="J439" t="str">
        <f>""</f>
        <v/>
      </c>
      <c r="K439" t="str">
        <f t="shared" si="124"/>
        <v>J079</v>
      </c>
      <c r="L439" t="s">
        <v>1910</v>
      </c>
      <c r="M439" s="2">
        <v>1007.34</v>
      </c>
    </row>
    <row r="440" spans="1:13" x14ac:dyDescent="0.25">
      <c r="A440" t="str">
        <f t="shared" si="120"/>
        <v>E217</v>
      </c>
      <c r="B440">
        <v>1</v>
      </c>
      <c r="C440" t="str">
        <f t="shared" si="123"/>
        <v>43003</v>
      </c>
      <c r="D440" t="str">
        <f t="shared" si="115"/>
        <v>5740</v>
      </c>
      <c r="E440" t="str">
        <f t="shared" si="116"/>
        <v>850LOS</v>
      </c>
      <c r="F440" t="str">
        <f>""</f>
        <v/>
      </c>
      <c r="G440" t="str">
        <f>""</f>
        <v/>
      </c>
      <c r="H440" s="1">
        <v>41443</v>
      </c>
      <c r="I440" t="str">
        <f>"J0004662"</f>
        <v>J0004662</v>
      </c>
      <c r="J440" t="str">
        <f>""</f>
        <v/>
      </c>
      <c r="K440" t="str">
        <f t="shared" si="124"/>
        <v>J079</v>
      </c>
      <c r="L440" t="s">
        <v>1909</v>
      </c>
      <c r="M440" s="2">
        <v>1067.77</v>
      </c>
    </row>
    <row r="441" spans="1:13" x14ac:dyDescent="0.25">
      <c r="A441" t="str">
        <f>"E220"</f>
        <v>E220</v>
      </c>
      <c r="B441">
        <v>1</v>
      </c>
      <c r="C441" t="str">
        <f>"23275"</f>
        <v>23275</v>
      </c>
      <c r="D441" t="str">
        <f>"5741"</f>
        <v>5741</v>
      </c>
      <c r="E441" t="str">
        <f>"063STF"</f>
        <v>063STF</v>
      </c>
      <c r="F441" t="str">
        <f>""</f>
        <v/>
      </c>
      <c r="G441" t="str">
        <f>""</f>
        <v/>
      </c>
      <c r="H441" s="1">
        <v>41309</v>
      </c>
      <c r="I441" t="str">
        <f>"J0003505"</f>
        <v>J0003505</v>
      </c>
      <c r="J441" t="str">
        <f>""</f>
        <v/>
      </c>
      <c r="K441" t="str">
        <f>"J096"</f>
        <v>J096</v>
      </c>
      <c r="L441" t="s">
        <v>1997</v>
      </c>
      <c r="M441" s="2">
        <v>1613.1</v>
      </c>
    </row>
    <row r="442" spans="1:13" x14ac:dyDescent="0.25">
      <c r="A442" t="str">
        <f>"E222"</f>
        <v>E222</v>
      </c>
      <c r="B442">
        <v>1</v>
      </c>
      <c r="C442" t="str">
        <f>"31040"</f>
        <v>31040</v>
      </c>
      <c r="D442" t="str">
        <f>"5620"</f>
        <v>5620</v>
      </c>
      <c r="E442" t="str">
        <f>"094OMS"</f>
        <v>094OMS</v>
      </c>
      <c r="F442" t="str">
        <f>""</f>
        <v/>
      </c>
      <c r="G442" t="str">
        <f>""</f>
        <v/>
      </c>
      <c r="H442" s="1">
        <v>41415</v>
      </c>
      <c r="I442" t="str">
        <f>"8719B"</f>
        <v>8719B</v>
      </c>
      <c r="J442" t="str">
        <f>"N210971"</f>
        <v>N210971</v>
      </c>
      <c r="K442" t="str">
        <f>"INEI"</f>
        <v>INEI</v>
      </c>
      <c r="L442" t="s">
        <v>1996</v>
      </c>
      <c r="M442" s="2">
        <v>6467.65</v>
      </c>
    </row>
    <row r="443" spans="1:13" x14ac:dyDescent="0.25">
      <c r="A443" t="str">
        <f t="shared" ref="A443:A452" si="125">"E230"</f>
        <v>E230</v>
      </c>
      <c r="B443">
        <v>1</v>
      </c>
      <c r="C443" t="str">
        <f>"10200"</f>
        <v>10200</v>
      </c>
      <c r="D443" t="str">
        <f>"5620"</f>
        <v>5620</v>
      </c>
      <c r="E443" t="str">
        <f>"094OMS"</f>
        <v>094OMS</v>
      </c>
      <c r="F443" t="str">
        <f>""</f>
        <v/>
      </c>
      <c r="G443" t="str">
        <f>""</f>
        <v/>
      </c>
      <c r="H443" s="1">
        <v>41153</v>
      </c>
      <c r="I443" t="str">
        <f>"PHY00588"</f>
        <v>PHY00588</v>
      </c>
      <c r="J443" t="str">
        <f>"W0096590"</f>
        <v>W0096590</v>
      </c>
      <c r="K443" t="str">
        <f>"AS89"</f>
        <v>AS89</v>
      </c>
      <c r="L443" t="s">
        <v>1995</v>
      </c>
      <c r="M443">
        <v>191.51</v>
      </c>
    </row>
    <row r="444" spans="1:13" x14ac:dyDescent="0.25">
      <c r="A444" t="str">
        <f t="shared" si="125"/>
        <v>E230</v>
      </c>
      <c r="B444">
        <v>1</v>
      </c>
      <c r="C444" t="str">
        <f t="shared" ref="C444:C450" si="126">"23275"</f>
        <v>23275</v>
      </c>
      <c r="D444" t="str">
        <f t="shared" ref="D444:D450" si="127">"5741"</f>
        <v>5741</v>
      </c>
      <c r="E444" t="str">
        <f t="shared" ref="E444:E450" si="128">"063STF"</f>
        <v>063STF</v>
      </c>
      <c r="F444" t="str">
        <f>""</f>
        <v/>
      </c>
      <c r="G444" t="str">
        <f>""</f>
        <v/>
      </c>
      <c r="H444" s="1">
        <v>41158</v>
      </c>
      <c r="I444" t="str">
        <f>"00008192"</f>
        <v>00008192</v>
      </c>
      <c r="J444" t="str">
        <f>"N132881C"</f>
        <v>N132881C</v>
      </c>
      <c r="K444" t="str">
        <f t="shared" ref="K444:K450" si="129">"INEI"</f>
        <v>INEI</v>
      </c>
      <c r="L444" t="s">
        <v>1936</v>
      </c>
      <c r="M444" s="2">
        <v>1708.78</v>
      </c>
    </row>
    <row r="445" spans="1:13" x14ac:dyDescent="0.25">
      <c r="A445" t="str">
        <f t="shared" si="125"/>
        <v>E230</v>
      </c>
      <c r="B445">
        <v>1</v>
      </c>
      <c r="C445" t="str">
        <f t="shared" si="126"/>
        <v>23275</v>
      </c>
      <c r="D445" t="str">
        <f t="shared" si="127"/>
        <v>5741</v>
      </c>
      <c r="E445" t="str">
        <f t="shared" si="128"/>
        <v>063STF</v>
      </c>
      <c r="F445" t="str">
        <f>""</f>
        <v/>
      </c>
      <c r="G445" t="str">
        <f>""</f>
        <v/>
      </c>
      <c r="H445" s="1">
        <v>41194</v>
      </c>
      <c r="I445" t="str">
        <f>"00008200"</f>
        <v>00008200</v>
      </c>
      <c r="J445" t="str">
        <f t="shared" ref="J445:J450" si="130">"N132870C"</f>
        <v>N132870C</v>
      </c>
      <c r="K445" t="str">
        <f t="shared" si="129"/>
        <v>INEI</v>
      </c>
      <c r="L445" t="s">
        <v>1994</v>
      </c>
      <c r="M445">
        <v>108.7</v>
      </c>
    </row>
    <row r="446" spans="1:13" x14ac:dyDescent="0.25">
      <c r="A446" t="str">
        <f t="shared" si="125"/>
        <v>E230</v>
      </c>
      <c r="B446">
        <v>1</v>
      </c>
      <c r="C446" t="str">
        <f t="shared" si="126"/>
        <v>23275</v>
      </c>
      <c r="D446" t="str">
        <f t="shared" si="127"/>
        <v>5741</v>
      </c>
      <c r="E446" t="str">
        <f t="shared" si="128"/>
        <v>063STF</v>
      </c>
      <c r="F446" t="str">
        <f>""</f>
        <v/>
      </c>
      <c r="G446" t="str">
        <f>""</f>
        <v/>
      </c>
      <c r="H446" s="1">
        <v>41212</v>
      </c>
      <c r="I446" t="str">
        <f>"00008222"</f>
        <v>00008222</v>
      </c>
      <c r="J446" t="str">
        <f t="shared" si="130"/>
        <v>N132870C</v>
      </c>
      <c r="K446" t="str">
        <f t="shared" si="129"/>
        <v>INEI</v>
      </c>
      <c r="L446" t="s">
        <v>1994</v>
      </c>
      <c r="M446" s="2">
        <v>1839.63</v>
      </c>
    </row>
    <row r="447" spans="1:13" x14ac:dyDescent="0.25">
      <c r="A447" t="str">
        <f t="shared" si="125"/>
        <v>E230</v>
      </c>
      <c r="B447">
        <v>1</v>
      </c>
      <c r="C447" t="str">
        <f t="shared" si="126"/>
        <v>23275</v>
      </c>
      <c r="D447" t="str">
        <f t="shared" si="127"/>
        <v>5741</v>
      </c>
      <c r="E447" t="str">
        <f t="shared" si="128"/>
        <v>063STF</v>
      </c>
      <c r="F447" t="str">
        <f>""</f>
        <v/>
      </c>
      <c r="G447" t="str">
        <f>""</f>
        <v/>
      </c>
      <c r="H447" s="1">
        <v>41248</v>
      </c>
      <c r="I447" t="str">
        <f>"00008246"</f>
        <v>00008246</v>
      </c>
      <c r="J447" t="str">
        <f t="shared" si="130"/>
        <v>N132870C</v>
      </c>
      <c r="K447" t="str">
        <f t="shared" si="129"/>
        <v>INEI</v>
      </c>
      <c r="L447" t="s">
        <v>1994</v>
      </c>
      <c r="M447" s="2">
        <v>2625.86</v>
      </c>
    </row>
    <row r="448" spans="1:13" x14ac:dyDescent="0.25">
      <c r="A448" t="str">
        <f t="shared" si="125"/>
        <v>E230</v>
      </c>
      <c r="B448">
        <v>1</v>
      </c>
      <c r="C448" t="str">
        <f t="shared" si="126"/>
        <v>23275</v>
      </c>
      <c r="D448" t="str">
        <f t="shared" si="127"/>
        <v>5741</v>
      </c>
      <c r="E448" t="str">
        <f t="shared" si="128"/>
        <v>063STF</v>
      </c>
      <c r="F448" t="str">
        <f>""</f>
        <v/>
      </c>
      <c r="G448" t="str">
        <f>""</f>
        <v/>
      </c>
      <c r="H448" s="1">
        <v>41274</v>
      </c>
      <c r="I448" t="str">
        <f>"00008272"</f>
        <v>00008272</v>
      </c>
      <c r="J448" t="str">
        <f t="shared" si="130"/>
        <v>N132870C</v>
      </c>
      <c r="K448" t="str">
        <f t="shared" si="129"/>
        <v>INEI</v>
      </c>
      <c r="L448" t="s">
        <v>1994</v>
      </c>
      <c r="M448" s="2">
        <v>4067.59</v>
      </c>
    </row>
    <row r="449" spans="1:13" x14ac:dyDescent="0.25">
      <c r="A449" t="str">
        <f t="shared" si="125"/>
        <v>E230</v>
      </c>
      <c r="B449">
        <v>1</v>
      </c>
      <c r="C449" t="str">
        <f t="shared" si="126"/>
        <v>23275</v>
      </c>
      <c r="D449" t="str">
        <f t="shared" si="127"/>
        <v>5741</v>
      </c>
      <c r="E449" t="str">
        <f t="shared" si="128"/>
        <v>063STF</v>
      </c>
      <c r="F449" t="str">
        <f>""</f>
        <v/>
      </c>
      <c r="G449" t="str">
        <f>""</f>
        <v/>
      </c>
      <c r="H449" s="1">
        <v>41334</v>
      </c>
      <c r="I449" t="str">
        <f>"0008321A"</f>
        <v>0008321A</v>
      </c>
      <c r="J449" t="str">
        <f t="shared" si="130"/>
        <v>N132870C</v>
      </c>
      <c r="K449" t="str">
        <f t="shared" si="129"/>
        <v>INEI</v>
      </c>
      <c r="L449" t="s">
        <v>1994</v>
      </c>
      <c r="M449">
        <v>329.02</v>
      </c>
    </row>
    <row r="450" spans="1:13" x14ac:dyDescent="0.25">
      <c r="A450" t="str">
        <f t="shared" si="125"/>
        <v>E230</v>
      </c>
      <c r="B450">
        <v>1</v>
      </c>
      <c r="C450" t="str">
        <f t="shared" si="126"/>
        <v>23275</v>
      </c>
      <c r="D450" t="str">
        <f t="shared" si="127"/>
        <v>5741</v>
      </c>
      <c r="E450" t="str">
        <f t="shared" si="128"/>
        <v>063STF</v>
      </c>
      <c r="F450" t="str">
        <f>""</f>
        <v/>
      </c>
      <c r="G450" t="str">
        <f>""</f>
        <v/>
      </c>
      <c r="H450" s="1">
        <v>41416</v>
      </c>
      <c r="I450" t="str">
        <f>"00008401"</f>
        <v>00008401</v>
      </c>
      <c r="J450" t="str">
        <f t="shared" si="130"/>
        <v>N132870C</v>
      </c>
      <c r="K450" t="str">
        <f t="shared" si="129"/>
        <v>INEI</v>
      </c>
      <c r="L450" t="s">
        <v>1994</v>
      </c>
      <c r="M450">
        <v>857.28</v>
      </c>
    </row>
    <row r="451" spans="1:13" x14ac:dyDescent="0.25">
      <c r="A451" t="str">
        <f t="shared" si="125"/>
        <v>E230</v>
      </c>
      <c r="B451">
        <v>1</v>
      </c>
      <c r="C451" t="str">
        <f>"43000"</f>
        <v>43000</v>
      </c>
      <c r="D451" t="str">
        <f>"5740"</f>
        <v>5740</v>
      </c>
      <c r="E451" t="str">
        <f>"850PKE"</f>
        <v>850PKE</v>
      </c>
      <c r="F451" t="str">
        <f>""</f>
        <v/>
      </c>
      <c r="G451" t="str">
        <f>""</f>
        <v/>
      </c>
      <c r="H451" s="1">
        <v>41333</v>
      </c>
      <c r="I451" t="str">
        <f>"PCD00584"</f>
        <v>PCD00584</v>
      </c>
      <c r="J451" t="str">
        <f>"185476"</f>
        <v>185476</v>
      </c>
      <c r="K451" t="str">
        <f t="shared" ref="K451:K492" si="131">"AS89"</f>
        <v>AS89</v>
      </c>
      <c r="L451" t="s">
        <v>1993</v>
      </c>
      <c r="M451">
        <v>407.63</v>
      </c>
    </row>
    <row r="452" spans="1:13" x14ac:dyDescent="0.25">
      <c r="A452" t="str">
        <f t="shared" si="125"/>
        <v>E230</v>
      </c>
      <c r="B452">
        <v>1</v>
      </c>
      <c r="C452" t="str">
        <f>"43000"</f>
        <v>43000</v>
      </c>
      <c r="D452" t="str">
        <f>"5740"</f>
        <v>5740</v>
      </c>
      <c r="E452" t="str">
        <f>"850PKE"</f>
        <v>850PKE</v>
      </c>
      <c r="F452" t="str">
        <f>""</f>
        <v/>
      </c>
      <c r="G452" t="str">
        <f>""</f>
        <v/>
      </c>
      <c r="H452" s="1">
        <v>41333</v>
      </c>
      <c r="I452" t="str">
        <f>"PCD0584A"</f>
        <v>PCD0584A</v>
      </c>
      <c r="J452" t="str">
        <f>"187301"</f>
        <v>187301</v>
      </c>
      <c r="K452" t="str">
        <f t="shared" si="131"/>
        <v>AS89</v>
      </c>
      <c r="L452" t="s">
        <v>1992</v>
      </c>
      <c r="M452">
        <v>298.93</v>
      </c>
    </row>
    <row r="453" spans="1:13" x14ac:dyDescent="0.25">
      <c r="A453" t="str">
        <f t="shared" ref="A453:A490" si="132">"E231"</f>
        <v>E231</v>
      </c>
      <c r="B453">
        <v>1</v>
      </c>
      <c r="C453" t="str">
        <f t="shared" ref="C453:C464" si="133">"10200"</f>
        <v>10200</v>
      </c>
      <c r="D453" t="str">
        <f t="shared" ref="D453:D464" si="134">"5620"</f>
        <v>5620</v>
      </c>
      <c r="E453" t="str">
        <f t="shared" ref="E453:E464" si="135">"094OMS"</f>
        <v>094OMS</v>
      </c>
      <c r="F453" t="str">
        <f>""</f>
        <v/>
      </c>
      <c r="G453" t="str">
        <f>""</f>
        <v/>
      </c>
      <c r="H453" s="1">
        <v>41152</v>
      </c>
      <c r="I453" t="str">
        <f>"MPG00417"</f>
        <v>MPG00417</v>
      </c>
      <c r="J453" t="str">
        <f t="shared" ref="J453:J490" si="136">"0"</f>
        <v>0</v>
      </c>
      <c r="K453" t="str">
        <f t="shared" si="131"/>
        <v>AS89</v>
      </c>
      <c r="L453" t="s">
        <v>1990</v>
      </c>
      <c r="M453" s="2">
        <v>1846.84</v>
      </c>
    </row>
    <row r="454" spans="1:13" x14ac:dyDescent="0.25">
      <c r="A454" t="str">
        <f t="shared" si="132"/>
        <v>E231</v>
      </c>
      <c r="B454">
        <v>1</v>
      </c>
      <c r="C454" t="str">
        <f t="shared" si="133"/>
        <v>10200</v>
      </c>
      <c r="D454" t="str">
        <f t="shared" si="134"/>
        <v>5620</v>
      </c>
      <c r="E454" t="str">
        <f t="shared" si="135"/>
        <v>094OMS</v>
      </c>
      <c r="F454" t="str">
        <f>""</f>
        <v/>
      </c>
      <c r="G454" t="str">
        <f>""</f>
        <v/>
      </c>
      <c r="H454" s="1">
        <v>41152</v>
      </c>
      <c r="I454" t="str">
        <f>"MPG00417"</f>
        <v>MPG00417</v>
      </c>
      <c r="J454" t="str">
        <f t="shared" si="136"/>
        <v>0</v>
      </c>
      <c r="K454" t="str">
        <f t="shared" si="131"/>
        <v>AS89</v>
      </c>
      <c r="L454" t="s">
        <v>1991</v>
      </c>
      <c r="M454" s="2">
        <v>2124.1</v>
      </c>
    </row>
    <row r="455" spans="1:13" x14ac:dyDescent="0.25">
      <c r="A455" t="str">
        <f t="shared" si="132"/>
        <v>E231</v>
      </c>
      <c r="B455">
        <v>1</v>
      </c>
      <c r="C455" t="str">
        <f t="shared" si="133"/>
        <v>10200</v>
      </c>
      <c r="D455" t="str">
        <f t="shared" si="134"/>
        <v>5620</v>
      </c>
      <c r="E455" t="str">
        <f t="shared" si="135"/>
        <v>094OMS</v>
      </c>
      <c r="F455" t="str">
        <f>""</f>
        <v/>
      </c>
      <c r="G455" t="str">
        <f>""</f>
        <v/>
      </c>
      <c r="H455" s="1">
        <v>41182</v>
      </c>
      <c r="I455" t="str">
        <f>"MPG00418"</f>
        <v>MPG00418</v>
      </c>
      <c r="J455" t="str">
        <f t="shared" si="136"/>
        <v>0</v>
      </c>
      <c r="K455" t="str">
        <f t="shared" si="131"/>
        <v>AS89</v>
      </c>
      <c r="L455" t="s">
        <v>1989</v>
      </c>
      <c r="M455" s="2">
        <v>1846.39</v>
      </c>
    </row>
    <row r="456" spans="1:13" x14ac:dyDescent="0.25">
      <c r="A456" t="str">
        <f t="shared" si="132"/>
        <v>E231</v>
      </c>
      <c r="B456">
        <v>1</v>
      </c>
      <c r="C456" t="str">
        <f t="shared" si="133"/>
        <v>10200</v>
      </c>
      <c r="D456" t="str">
        <f t="shared" si="134"/>
        <v>5620</v>
      </c>
      <c r="E456" t="str">
        <f t="shared" si="135"/>
        <v>094OMS</v>
      </c>
      <c r="F456" t="str">
        <f>""</f>
        <v/>
      </c>
      <c r="G456" t="str">
        <f>""</f>
        <v/>
      </c>
      <c r="H456" s="1">
        <v>41213</v>
      </c>
      <c r="I456" t="str">
        <f>"MPG00419"</f>
        <v>MPG00419</v>
      </c>
      <c r="J456" t="str">
        <f t="shared" si="136"/>
        <v>0</v>
      </c>
      <c r="K456" t="str">
        <f t="shared" si="131"/>
        <v>AS89</v>
      </c>
      <c r="L456" t="s">
        <v>1988</v>
      </c>
      <c r="M456" s="2">
        <v>2511.5</v>
      </c>
    </row>
    <row r="457" spans="1:13" x14ac:dyDescent="0.25">
      <c r="A457" t="str">
        <f t="shared" si="132"/>
        <v>E231</v>
      </c>
      <c r="B457">
        <v>1</v>
      </c>
      <c r="C457" t="str">
        <f t="shared" si="133"/>
        <v>10200</v>
      </c>
      <c r="D457" t="str">
        <f t="shared" si="134"/>
        <v>5620</v>
      </c>
      <c r="E457" t="str">
        <f t="shared" si="135"/>
        <v>094OMS</v>
      </c>
      <c r="F457" t="str">
        <f>""</f>
        <v/>
      </c>
      <c r="G457" t="str">
        <f>""</f>
        <v/>
      </c>
      <c r="H457" s="1">
        <v>41255</v>
      </c>
      <c r="I457" t="str">
        <f>"MPG00420"</f>
        <v>MPG00420</v>
      </c>
      <c r="J457" t="str">
        <f t="shared" si="136"/>
        <v>0</v>
      </c>
      <c r="K457" t="str">
        <f t="shared" si="131"/>
        <v>AS89</v>
      </c>
      <c r="L457" t="s">
        <v>1987</v>
      </c>
      <c r="M457" s="2">
        <v>2513.2199999999998</v>
      </c>
    </row>
    <row r="458" spans="1:13" x14ac:dyDescent="0.25">
      <c r="A458" t="str">
        <f t="shared" si="132"/>
        <v>E231</v>
      </c>
      <c r="B458">
        <v>1</v>
      </c>
      <c r="C458" t="str">
        <f t="shared" si="133"/>
        <v>10200</v>
      </c>
      <c r="D458" t="str">
        <f t="shared" si="134"/>
        <v>5620</v>
      </c>
      <c r="E458" t="str">
        <f t="shared" si="135"/>
        <v>094OMS</v>
      </c>
      <c r="F458" t="str">
        <f>""</f>
        <v/>
      </c>
      <c r="G458" t="str">
        <f>""</f>
        <v/>
      </c>
      <c r="H458" s="1">
        <v>41274</v>
      </c>
      <c r="I458" t="str">
        <f>"MPG00421"</f>
        <v>MPG00421</v>
      </c>
      <c r="J458" t="str">
        <f t="shared" si="136"/>
        <v>0</v>
      </c>
      <c r="K458" t="str">
        <f t="shared" si="131"/>
        <v>AS89</v>
      </c>
      <c r="L458" t="s">
        <v>1986</v>
      </c>
      <c r="M458" s="2">
        <v>2249.5700000000002</v>
      </c>
    </row>
    <row r="459" spans="1:13" x14ac:dyDescent="0.25">
      <c r="A459" t="str">
        <f t="shared" si="132"/>
        <v>E231</v>
      </c>
      <c r="B459">
        <v>1</v>
      </c>
      <c r="C459" t="str">
        <f t="shared" si="133"/>
        <v>10200</v>
      </c>
      <c r="D459" t="str">
        <f t="shared" si="134"/>
        <v>5620</v>
      </c>
      <c r="E459" t="str">
        <f t="shared" si="135"/>
        <v>094OMS</v>
      </c>
      <c r="F459" t="str">
        <f>""</f>
        <v/>
      </c>
      <c r="G459" t="str">
        <f>""</f>
        <v/>
      </c>
      <c r="H459" s="1">
        <v>41305</v>
      </c>
      <c r="I459" t="str">
        <f>"MPG00422"</f>
        <v>MPG00422</v>
      </c>
      <c r="J459" t="str">
        <f t="shared" si="136"/>
        <v>0</v>
      </c>
      <c r="K459" t="str">
        <f t="shared" si="131"/>
        <v>AS89</v>
      </c>
      <c r="L459" t="s">
        <v>1985</v>
      </c>
      <c r="M459" s="2">
        <v>3016.97</v>
      </c>
    </row>
    <row r="460" spans="1:13" x14ac:dyDescent="0.25">
      <c r="A460" t="str">
        <f t="shared" si="132"/>
        <v>E231</v>
      </c>
      <c r="B460">
        <v>1</v>
      </c>
      <c r="C460" t="str">
        <f t="shared" si="133"/>
        <v>10200</v>
      </c>
      <c r="D460" t="str">
        <f t="shared" si="134"/>
        <v>5620</v>
      </c>
      <c r="E460" t="str">
        <f t="shared" si="135"/>
        <v>094OMS</v>
      </c>
      <c r="F460" t="str">
        <f>""</f>
        <v/>
      </c>
      <c r="G460" t="str">
        <f>""</f>
        <v/>
      </c>
      <c r="H460" s="1">
        <v>41333</v>
      </c>
      <c r="I460" t="str">
        <f>"MPG00423"</f>
        <v>MPG00423</v>
      </c>
      <c r="J460" t="str">
        <f t="shared" si="136"/>
        <v>0</v>
      </c>
      <c r="K460" t="str">
        <f t="shared" si="131"/>
        <v>AS89</v>
      </c>
      <c r="L460" t="s">
        <v>1984</v>
      </c>
      <c r="M460" s="2">
        <v>2449.87</v>
      </c>
    </row>
    <row r="461" spans="1:13" x14ac:dyDescent="0.25">
      <c r="A461" t="str">
        <f t="shared" si="132"/>
        <v>E231</v>
      </c>
      <c r="B461">
        <v>1</v>
      </c>
      <c r="C461" t="str">
        <f t="shared" si="133"/>
        <v>10200</v>
      </c>
      <c r="D461" t="str">
        <f t="shared" si="134"/>
        <v>5620</v>
      </c>
      <c r="E461" t="str">
        <f t="shared" si="135"/>
        <v>094OMS</v>
      </c>
      <c r="F461" t="str">
        <f>""</f>
        <v/>
      </c>
      <c r="G461" t="str">
        <f>""</f>
        <v/>
      </c>
      <c r="H461" s="1">
        <v>41364</v>
      </c>
      <c r="I461" t="str">
        <f>"MPG00424"</f>
        <v>MPG00424</v>
      </c>
      <c r="J461" t="str">
        <f t="shared" si="136"/>
        <v>0</v>
      </c>
      <c r="K461" t="str">
        <f t="shared" si="131"/>
        <v>AS89</v>
      </c>
      <c r="L461" t="s">
        <v>1983</v>
      </c>
      <c r="M461" s="2">
        <v>2804.26</v>
      </c>
    </row>
    <row r="462" spans="1:13" x14ac:dyDescent="0.25">
      <c r="A462" t="str">
        <f t="shared" si="132"/>
        <v>E231</v>
      </c>
      <c r="B462">
        <v>1</v>
      </c>
      <c r="C462" t="str">
        <f t="shared" si="133"/>
        <v>10200</v>
      </c>
      <c r="D462" t="str">
        <f t="shared" si="134"/>
        <v>5620</v>
      </c>
      <c r="E462" t="str">
        <f t="shared" si="135"/>
        <v>094OMS</v>
      </c>
      <c r="F462" t="str">
        <f>""</f>
        <v/>
      </c>
      <c r="G462" t="str">
        <f>""</f>
        <v/>
      </c>
      <c r="H462" s="1">
        <v>41394</v>
      </c>
      <c r="I462" t="str">
        <f>"MPG00425"</f>
        <v>MPG00425</v>
      </c>
      <c r="J462" t="str">
        <f t="shared" si="136"/>
        <v>0</v>
      </c>
      <c r="K462" t="str">
        <f t="shared" si="131"/>
        <v>AS89</v>
      </c>
      <c r="L462" t="s">
        <v>1982</v>
      </c>
      <c r="M462" s="2">
        <v>2676.28</v>
      </c>
    </row>
    <row r="463" spans="1:13" x14ac:dyDescent="0.25">
      <c r="A463" t="str">
        <f t="shared" si="132"/>
        <v>E231</v>
      </c>
      <c r="B463">
        <v>1</v>
      </c>
      <c r="C463" t="str">
        <f t="shared" si="133"/>
        <v>10200</v>
      </c>
      <c r="D463" t="str">
        <f t="shared" si="134"/>
        <v>5620</v>
      </c>
      <c r="E463" t="str">
        <f t="shared" si="135"/>
        <v>094OMS</v>
      </c>
      <c r="F463" t="str">
        <f>""</f>
        <v/>
      </c>
      <c r="G463" t="str">
        <f>""</f>
        <v/>
      </c>
      <c r="H463" s="1">
        <v>41425</v>
      </c>
      <c r="I463" t="str">
        <f>"MPG00426"</f>
        <v>MPG00426</v>
      </c>
      <c r="J463" t="str">
        <f t="shared" si="136"/>
        <v>0</v>
      </c>
      <c r="K463" t="str">
        <f t="shared" si="131"/>
        <v>AS89</v>
      </c>
      <c r="L463" t="s">
        <v>1981</v>
      </c>
      <c r="M463" s="2">
        <v>2246.5700000000002</v>
      </c>
    </row>
    <row r="464" spans="1:13" x14ac:dyDescent="0.25">
      <c r="A464" t="str">
        <f t="shared" si="132"/>
        <v>E231</v>
      </c>
      <c r="B464">
        <v>1</v>
      </c>
      <c r="C464" t="str">
        <f t="shared" si="133"/>
        <v>10200</v>
      </c>
      <c r="D464" t="str">
        <f t="shared" si="134"/>
        <v>5620</v>
      </c>
      <c r="E464" t="str">
        <f t="shared" si="135"/>
        <v>094OMS</v>
      </c>
      <c r="F464" t="str">
        <f>""</f>
        <v/>
      </c>
      <c r="G464" t="str">
        <f>""</f>
        <v/>
      </c>
      <c r="H464" s="1">
        <v>41455</v>
      </c>
      <c r="I464" t="str">
        <f>"MPG00427"</f>
        <v>MPG00427</v>
      </c>
      <c r="J464" t="str">
        <f t="shared" si="136"/>
        <v>0</v>
      </c>
      <c r="K464" t="str">
        <f t="shared" si="131"/>
        <v>AS89</v>
      </c>
      <c r="L464" t="s">
        <v>1980</v>
      </c>
      <c r="M464" s="2">
        <v>2243.58</v>
      </c>
    </row>
    <row r="465" spans="1:13" x14ac:dyDescent="0.25">
      <c r="A465" t="str">
        <f t="shared" si="132"/>
        <v>E231</v>
      </c>
      <c r="B465">
        <v>1</v>
      </c>
      <c r="C465" t="str">
        <f t="shared" ref="C465:C474" si="137">"23275"</f>
        <v>23275</v>
      </c>
      <c r="D465" t="str">
        <f t="shared" ref="D465:D474" si="138">"5741"</f>
        <v>5741</v>
      </c>
      <c r="E465" t="str">
        <f t="shared" ref="E465:E474" si="139">"063STF"</f>
        <v>063STF</v>
      </c>
      <c r="F465" t="str">
        <f>""</f>
        <v/>
      </c>
      <c r="G465" t="str">
        <f>""</f>
        <v/>
      </c>
      <c r="H465" s="1">
        <v>41182</v>
      </c>
      <c r="I465" t="str">
        <f>"MPG00418"</f>
        <v>MPG00418</v>
      </c>
      <c r="J465" t="str">
        <f t="shared" si="136"/>
        <v>0</v>
      </c>
      <c r="K465" t="str">
        <f t="shared" si="131"/>
        <v>AS89</v>
      </c>
      <c r="L465" t="s">
        <v>1989</v>
      </c>
      <c r="M465">
        <v>747.25</v>
      </c>
    </row>
    <row r="466" spans="1:13" x14ac:dyDescent="0.25">
      <c r="A466" t="str">
        <f t="shared" si="132"/>
        <v>E231</v>
      </c>
      <c r="B466">
        <v>1</v>
      </c>
      <c r="C466" t="str">
        <f t="shared" si="137"/>
        <v>23275</v>
      </c>
      <c r="D466" t="str">
        <f t="shared" si="138"/>
        <v>5741</v>
      </c>
      <c r="E466" t="str">
        <f t="shared" si="139"/>
        <v>063STF</v>
      </c>
      <c r="F466" t="str">
        <f>""</f>
        <v/>
      </c>
      <c r="G466" t="str">
        <f>""</f>
        <v/>
      </c>
      <c r="H466" s="1">
        <v>41213</v>
      </c>
      <c r="I466" t="str">
        <f>"MPG00419"</f>
        <v>MPG00419</v>
      </c>
      <c r="J466" t="str">
        <f t="shared" si="136"/>
        <v>0</v>
      </c>
      <c r="K466" t="str">
        <f t="shared" si="131"/>
        <v>AS89</v>
      </c>
      <c r="L466" t="s">
        <v>1988</v>
      </c>
      <c r="M466" s="2">
        <v>2743.03</v>
      </c>
    </row>
    <row r="467" spans="1:13" x14ac:dyDescent="0.25">
      <c r="A467" t="str">
        <f t="shared" si="132"/>
        <v>E231</v>
      </c>
      <c r="B467">
        <v>1</v>
      </c>
      <c r="C467" t="str">
        <f t="shared" si="137"/>
        <v>23275</v>
      </c>
      <c r="D467" t="str">
        <f t="shared" si="138"/>
        <v>5741</v>
      </c>
      <c r="E467" t="str">
        <f t="shared" si="139"/>
        <v>063STF</v>
      </c>
      <c r="F467" t="str">
        <f>""</f>
        <v/>
      </c>
      <c r="G467" t="str">
        <f>""</f>
        <v/>
      </c>
      <c r="H467" s="1">
        <v>41255</v>
      </c>
      <c r="I467" t="str">
        <f>"MPG00420"</f>
        <v>MPG00420</v>
      </c>
      <c r="J467" t="str">
        <f t="shared" si="136"/>
        <v>0</v>
      </c>
      <c r="K467" t="str">
        <f t="shared" si="131"/>
        <v>AS89</v>
      </c>
      <c r="L467" t="s">
        <v>1987</v>
      </c>
      <c r="M467" s="2">
        <v>3030.3</v>
      </c>
    </row>
    <row r="468" spans="1:13" x14ac:dyDescent="0.25">
      <c r="A468" t="str">
        <f t="shared" si="132"/>
        <v>E231</v>
      </c>
      <c r="B468">
        <v>1</v>
      </c>
      <c r="C468" t="str">
        <f t="shared" si="137"/>
        <v>23275</v>
      </c>
      <c r="D468" t="str">
        <f t="shared" si="138"/>
        <v>5741</v>
      </c>
      <c r="E468" t="str">
        <f t="shared" si="139"/>
        <v>063STF</v>
      </c>
      <c r="F468" t="str">
        <f>""</f>
        <v/>
      </c>
      <c r="G468" t="str">
        <f>""</f>
        <v/>
      </c>
      <c r="H468" s="1">
        <v>41274</v>
      </c>
      <c r="I468" t="str">
        <f>"MPG00421"</f>
        <v>MPG00421</v>
      </c>
      <c r="J468" t="str">
        <f t="shared" si="136"/>
        <v>0</v>
      </c>
      <c r="K468" t="str">
        <f t="shared" si="131"/>
        <v>AS89</v>
      </c>
      <c r="L468" t="s">
        <v>1986</v>
      </c>
      <c r="M468" s="2">
        <v>2169.38</v>
      </c>
    </row>
    <row r="469" spans="1:13" x14ac:dyDescent="0.25">
      <c r="A469" t="str">
        <f t="shared" si="132"/>
        <v>E231</v>
      </c>
      <c r="B469">
        <v>1</v>
      </c>
      <c r="C469" t="str">
        <f t="shared" si="137"/>
        <v>23275</v>
      </c>
      <c r="D469" t="str">
        <f t="shared" si="138"/>
        <v>5741</v>
      </c>
      <c r="E469" t="str">
        <f t="shared" si="139"/>
        <v>063STF</v>
      </c>
      <c r="F469" t="str">
        <f>""</f>
        <v/>
      </c>
      <c r="G469" t="str">
        <f>""</f>
        <v/>
      </c>
      <c r="H469" s="1">
        <v>41305</v>
      </c>
      <c r="I469" t="str">
        <f>"MPG00422"</f>
        <v>MPG00422</v>
      </c>
      <c r="J469" t="str">
        <f t="shared" si="136"/>
        <v>0</v>
      </c>
      <c r="K469" t="str">
        <f t="shared" si="131"/>
        <v>AS89</v>
      </c>
      <c r="L469" t="s">
        <v>1985</v>
      </c>
      <c r="M469" s="2">
        <v>2846.93</v>
      </c>
    </row>
    <row r="470" spans="1:13" x14ac:dyDescent="0.25">
      <c r="A470" t="str">
        <f t="shared" si="132"/>
        <v>E231</v>
      </c>
      <c r="B470">
        <v>1</v>
      </c>
      <c r="C470" t="str">
        <f t="shared" si="137"/>
        <v>23275</v>
      </c>
      <c r="D470" t="str">
        <f t="shared" si="138"/>
        <v>5741</v>
      </c>
      <c r="E470" t="str">
        <f t="shared" si="139"/>
        <v>063STF</v>
      </c>
      <c r="F470" t="str">
        <f>""</f>
        <v/>
      </c>
      <c r="G470" t="str">
        <f>""</f>
        <v/>
      </c>
      <c r="H470" s="1">
        <v>41333</v>
      </c>
      <c r="I470" t="str">
        <f>"MPG00423"</f>
        <v>MPG00423</v>
      </c>
      <c r="J470" t="str">
        <f t="shared" si="136"/>
        <v>0</v>
      </c>
      <c r="K470" t="str">
        <f t="shared" si="131"/>
        <v>AS89</v>
      </c>
      <c r="L470" t="s">
        <v>1984</v>
      </c>
      <c r="M470" s="2">
        <v>2560.5500000000002</v>
      </c>
    </row>
    <row r="471" spans="1:13" x14ac:dyDescent="0.25">
      <c r="A471" t="str">
        <f t="shared" si="132"/>
        <v>E231</v>
      </c>
      <c r="B471">
        <v>1</v>
      </c>
      <c r="C471" t="str">
        <f t="shared" si="137"/>
        <v>23275</v>
      </c>
      <c r="D471" t="str">
        <f t="shared" si="138"/>
        <v>5741</v>
      </c>
      <c r="E471" t="str">
        <f t="shared" si="139"/>
        <v>063STF</v>
      </c>
      <c r="F471" t="str">
        <f>""</f>
        <v/>
      </c>
      <c r="G471" t="str">
        <f>""</f>
        <v/>
      </c>
      <c r="H471" s="1">
        <v>41364</v>
      </c>
      <c r="I471" t="str">
        <f>"MPG00424"</f>
        <v>MPG00424</v>
      </c>
      <c r="J471" t="str">
        <f t="shared" si="136"/>
        <v>0</v>
      </c>
      <c r="K471" t="str">
        <f t="shared" si="131"/>
        <v>AS89</v>
      </c>
      <c r="L471" t="s">
        <v>1983</v>
      </c>
      <c r="M471" s="2">
        <v>2507.27</v>
      </c>
    </row>
    <row r="472" spans="1:13" x14ac:dyDescent="0.25">
      <c r="A472" t="str">
        <f t="shared" si="132"/>
        <v>E231</v>
      </c>
      <c r="B472">
        <v>1</v>
      </c>
      <c r="C472" t="str">
        <f t="shared" si="137"/>
        <v>23275</v>
      </c>
      <c r="D472" t="str">
        <f t="shared" si="138"/>
        <v>5741</v>
      </c>
      <c r="E472" t="str">
        <f t="shared" si="139"/>
        <v>063STF</v>
      </c>
      <c r="F472" t="str">
        <f>""</f>
        <v/>
      </c>
      <c r="G472" t="str">
        <f>""</f>
        <v/>
      </c>
      <c r="H472" s="1">
        <v>41394</v>
      </c>
      <c r="I472" t="str">
        <f>"MPG00425"</f>
        <v>MPG00425</v>
      </c>
      <c r="J472" t="str">
        <f t="shared" si="136"/>
        <v>0</v>
      </c>
      <c r="K472" t="str">
        <f t="shared" si="131"/>
        <v>AS89</v>
      </c>
      <c r="L472" t="s">
        <v>1982</v>
      </c>
      <c r="M472" s="2">
        <v>3406.81</v>
      </c>
    </row>
    <row r="473" spans="1:13" x14ac:dyDescent="0.25">
      <c r="A473" t="str">
        <f t="shared" si="132"/>
        <v>E231</v>
      </c>
      <c r="B473">
        <v>1</v>
      </c>
      <c r="C473" t="str">
        <f t="shared" si="137"/>
        <v>23275</v>
      </c>
      <c r="D473" t="str">
        <f t="shared" si="138"/>
        <v>5741</v>
      </c>
      <c r="E473" t="str">
        <f t="shared" si="139"/>
        <v>063STF</v>
      </c>
      <c r="F473" t="str">
        <f>""</f>
        <v/>
      </c>
      <c r="G473" t="str">
        <f>""</f>
        <v/>
      </c>
      <c r="H473" s="1">
        <v>41425</v>
      </c>
      <c r="I473" t="str">
        <f>"MPG00426"</f>
        <v>MPG00426</v>
      </c>
      <c r="J473" t="str">
        <f t="shared" si="136"/>
        <v>0</v>
      </c>
      <c r="K473" t="str">
        <f t="shared" si="131"/>
        <v>AS89</v>
      </c>
      <c r="L473" t="s">
        <v>1981</v>
      </c>
      <c r="M473" s="2">
        <v>3372.62</v>
      </c>
    </row>
    <row r="474" spans="1:13" x14ac:dyDescent="0.25">
      <c r="A474" t="str">
        <f t="shared" si="132"/>
        <v>E231</v>
      </c>
      <c r="B474">
        <v>1</v>
      </c>
      <c r="C474" t="str">
        <f t="shared" si="137"/>
        <v>23275</v>
      </c>
      <c r="D474" t="str">
        <f t="shared" si="138"/>
        <v>5741</v>
      </c>
      <c r="E474" t="str">
        <f t="shared" si="139"/>
        <v>063STF</v>
      </c>
      <c r="F474" t="str">
        <f>""</f>
        <v/>
      </c>
      <c r="G474" t="str">
        <f>""</f>
        <v/>
      </c>
      <c r="H474" s="1">
        <v>41455</v>
      </c>
      <c r="I474" t="str">
        <f>"MPG00427"</f>
        <v>MPG00427</v>
      </c>
      <c r="J474" t="str">
        <f t="shared" si="136"/>
        <v>0</v>
      </c>
      <c r="K474" t="str">
        <f t="shared" si="131"/>
        <v>AS89</v>
      </c>
      <c r="L474" t="s">
        <v>1980</v>
      </c>
      <c r="M474" s="2">
        <v>1975.36</v>
      </c>
    </row>
    <row r="475" spans="1:13" x14ac:dyDescent="0.25">
      <c r="A475" t="str">
        <f t="shared" si="132"/>
        <v>E231</v>
      </c>
      <c r="B475">
        <v>1</v>
      </c>
      <c r="C475" t="str">
        <f>"32040"</f>
        <v>32040</v>
      </c>
      <c r="D475" t="str">
        <f>"5610"</f>
        <v>5610</v>
      </c>
      <c r="E475" t="str">
        <f t="shared" ref="E475:E490" si="140">"850LOS"</f>
        <v>850LOS</v>
      </c>
      <c r="F475" t="str">
        <f>""</f>
        <v/>
      </c>
      <c r="G475" t="str">
        <f>""</f>
        <v/>
      </c>
      <c r="H475" s="1">
        <v>41213</v>
      </c>
      <c r="I475" t="str">
        <f>"MPG00419"</f>
        <v>MPG00419</v>
      </c>
      <c r="J475" t="str">
        <f t="shared" si="136"/>
        <v>0</v>
      </c>
      <c r="K475" t="str">
        <f t="shared" si="131"/>
        <v>AS89</v>
      </c>
      <c r="L475" t="s">
        <v>1988</v>
      </c>
      <c r="M475">
        <v>111.71</v>
      </c>
    </row>
    <row r="476" spans="1:13" x14ac:dyDescent="0.25">
      <c r="A476" t="str">
        <f t="shared" si="132"/>
        <v>E231</v>
      </c>
      <c r="B476">
        <v>1</v>
      </c>
      <c r="C476" t="str">
        <f>"32040"</f>
        <v>32040</v>
      </c>
      <c r="D476" t="str">
        <f>"5610"</f>
        <v>5610</v>
      </c>
      <c r="E476" t="str">
        <f t="shared" si="140"/>
        <v>850LOS</v>
      </c>
      <c r="F476" t="str">
        <f>""</f>
        <v/>
      </c>
      <c r="G476" t="str">
        <f>""</f>
        <v/>
      </c>
      <c r="H476" s="1">
        <v>41274</v>
      </c>
      <c r="I476" t="str">
        <f>"MPG00421"</f>
        <v>MPG00421</v>
      </c>
      <c r="J476" t="str">
        <f t="shared" si="136"/>
        <v>0</v>
      </c>
      <c r="K476" t="str">
        <f t="shared" si="131"/>
        <v>AS89</v>
      </c>
      <c r="L476" t="s">
        <v>1986</v>
      </c>
      <c r="M476">
        <v>110</v>
      </c>
    </row>
    <row r="477" spans="1:13" x14ac:dyDescent="0.25">
      <c r="A477" t="str">
        <f t="shared" si="132"/>
        <v>E231</v>
      </c>
      <c r="B477">
        <v>1</v>
      </c>
      <c r="C477" t="str">
        <f>"32040"</f>
        <v>32040</v>
      </c>
      <c r="D477" t="str">
        <f>"5610"</f>
        <v>5610</v>
      </c>
      <c r="E477" t="str">
        <f t="shared" si="140"/>
        <v>850LOS</v>
      </c>
      <c r="F477" t="str">
        <f>""</f>
        <v/>
      </c>
      <c r="G477" t="str">
        <f>""</f>
        <v/>
      </c>
      <c r="H477" s="1">
        <v>41364</v>
      </c>
      <c r="I477" t="str">
        <f>"MPG00424"</f>
        <v>MPG00424</v>
      </c>
      <c r="J477" t="str">
        <f t="shared" si="136"/>
        <v>0</v>
      </c>
      <c r="K477" t="str">
        <f t="shared" si="131"/>
        <v>AS89</v>
      </c>
      <c r="L477" t="s">
        <v>1983</v>
      </c>
      <c r="M477">
        <v>190.03</v>
      </c>
    </row>
    <row r="478" spans="1:13" x14ac:dyDescent="0.25">
      <c r="A478" t="str">
        <f t="shared" si="132"/>
        <v>E231</v>
      </c>
      <c r="B478">
        <v>1</v>
      </c>
      <c r="C478" t="str">
        <f>"32040"</f>
        <v>32040</v>
      </c>
      <c r="D478" t="str">
        <f>"5610"</f>
        <v>5610</v>
      </c>
      <c r="E478" t="str">
        <f t="shared" si="140"/>
        <v>850LOS</v>
      </c>
      <c r="F478" t="str">
        <f>""</f>
        <v/>
      </c>
      <c r="G478" t="str">
        <f>""</f>
        <v/>
      </c>
      <c r="H478" s="1">
        <v>41425</v>
      </c>
      <c r="I478" t="str">
        <f>"MPG00426"</f>
        <v>MPG00426</v>
      </c>
      <c r="J478" t="str">
        <f t="shared" si="136"/>
        <v>0</v>
      </c>
      <c r="K478" t="str">
        <f t="shared" si="131"/>
        <v>AS89</v>
      </c>
      <c r="L478" t="s">
        <v>1981</v>
      </c>
      <c r="M478">
        <v>107.43</v>
      </c>
    </row>
    <row r="479" spans="1:13" x14ac:dyDescent="0.25">
      <c r="A479" t="str">
        <f t="shared" si="132"/>
        <v>E231</v>
      </c>
      <c r="B479">
        <v>1</v>
      </c>
      <c r="C479" t="str">
        <f t="shared" ref="C479:C490" si="141">"43000"</f>
        <v>43000</v>
      </c>
      <c r="D479" t="str">
        <f t="shared" ref="D479:D490" si="142">"5740"</f>
        <v>5740</v>
      </c>
      <c r="E479" t="str">
        <f t="shared" si="140"/>
        <v>850LOS</v>
      </c>
      <c r="F479" t="str">
        <f>""</f>
        <v/>
      </c>
      <c r="G479" t="str">
        <f>""</f>
        <v/>
      </c>
      <c r="H479" s="1">
        <v>41152</v>
      </c>
      <c r="I479" t="str">
        <f>"MPG00417"</f>
        <v>MPG00417</v>
      </c>
      <c r="J479" t="str">
        <f t="shared" si="136"/>
        <v>0</v>
      </c>
      <c r="K479" t="str">
        <f t="shared" si="131"/>
        <v>AS89</v>
      </c>
      <c r="L479" t="s">
        <v>1991</v>
      </c>
      <c r="M479">
        <v>737.03</v>
      </c>
    </row>
    <row r="480" spans="1:13" x14ac:dyDescent="0.25">
      <c r="A480" t="str">
        <f t="shared" si="132"/>
        <v>E231</v>
      </c>
      <c r="B480">
        <v>1</v>
      </c>
      <c r="C480" t="str">
        <f t="shared" si="141"/>
        <v>43000</v>
      </c>
      <c r="D480" t="str">
        <f t="shared" si="142"/>
        <v>5740</v>
      </c>
      <c r="E480" t="str">
        <f t="shared" si="140"/>
        <v>850LOS</v>
      </c>
      <c r="F480" t="str">
        <f>""</f>
        <v/>
      </c>
      <c r="G480" t="str">
        <f>""</f>
        <v/>
      </c>
      <c r="H480" s="1">
        <v>41152</v>
      </c>
      <c r="I480" t="str">
        <f>"MPG00417"</f>
        <v>MPG00417</v>
      </c>
      <c r="J480" t="str">
        <f t="shared" si="136"/>
        <v>0</v>
      </c>
      <c r="K480" t="str">
        <f t="shared" si="131"/>
        <v>AS89</v>
      </c>
      <c r="L480" t="s">
        <v>1990</v>
      </c>
      <c r="M480">
        <v>695.28</v>
      </c>
    </row>
    <row r="481" spans="1:13" x14ac:dyDescent="0.25">
      <c r="A481" t="str">
        <f t="shared" si="132"/>
        <v>E231</v>
      </c>
      <c r="B481">
        <v>1</v>
      </c>
      <c r="C481" t="str">
        <f t="shared" si="141"/>
        <v>43000</v>
      </c>
      <c r="D481" t="str">
        <f t="shared" si="142"/>
        <v>5740</v>
      </c>
      <c r="E481" t="str">
        <f t="shared" si="140"/>
        <v>850LOS</v>
      </c>
      <c r="F481" t="str">
        <f>""</f>
        <v/>
      </c>
      <c r="G481" t="str">
        <f>""</f>
        <v/>
      </c>
      <c r="H481" s="1">
        <v>41182</v>
      </c>
      <c r="I481" t="str">
        <f>"MPG00418"</f>
        <v>MPG00418</v>
      </c>
      <c r="J481" t="str">
        <f t="shared" si="136"/>
        <v>0</v>
      </c>
      <c r="K481" t="str">
        <f t="shared" si="131"/>
        <v>AS89</v>
      </c>
      <c r="L481" t="s">
        <v>1989</v>
      </c>
      <c r="M481">
        <v>818.34</v>
      </c>
    </row>
    <row r="482" spans="1:13" x14ac:dyDescent="0.25">
      <c r="A482" t="str">
        <f t="shared" si="132"/>
        <v>E231</v>
      </c>
      <c r="B482">
        <v>1</v>
      </c>
      <c r="C482" t="str">
        <f t="shared" si="141"/>
        <v>43000</v>
      </c>
      <c r="D482" t="str">
        <f t="shared" si="142"/>
        <v>5740</v>
      </c>
      <c r="E482" t="str">
        <f t="shared" si="140"/>
        <v>850LOS</v>
      </c>
      <c r="F482" t="str">
        <f>""</f>
        <v/>
      </c>
      <c r="G482" t="str">
        <f>""</f>
        <v/>
      </c>
      <c r="H482" s="1">
        <v>41213</v>
      </c>
      <c r="I482" t="str">
        <f>"MPG00419"</f>
        <v>MPG00419</v>
      </c>
      <c r="J482" t="str">
        <f t="shared" si="136"/>
        <v>0</v>
      </c>
      <c r="K482" t="str">
        <f t="shared" si="131"/>
        <v>AS89</v>
      </c>
      <c r="L482" t="s">
        <v>1988</v>
      </c>
      <c r="M482" s="2">
        <v>1359.53</v>
      </c>
    </row>
    <row r="483" spans="1:13" x14ac:dyDescent="0.25">
      <c r="A483" t="str">
        <f t="shared" si="132"/>
        <v>E231</v>
      </c>
      <c r="B483">
        <v>1</v>
      </c>
      <c r="C483" t="str">
        <f t="shared" si="141"/>
        <v>43000</v>
      </c>
      <c r="D483" t="str">
        <f t="shared" si="142"/>
        <v>5740</v>
      </c>
      <c r="E483" t="str">
        <f t="shared" si="140"/>
        <v>850LOS</v>
      </c>
      <c r="F483" t="str">
        <f>""</f>
        <v/>
      </c>
      <c r="G483" t="str">
        <f>""</f>
        <v/>
      </c>
      <c r="H483" s="1">
        <v>41255</v>
      </c>
      <c r="I483" t="str">
        <f>"MPG00420"</f>
        <v>MPG00420</v>
      </c>
      <c r="J483" t="str">
        <f t="shared" si="136"/>
        <v>0</v>
      </c>
      <c r="K483" t="str">
        <f t="shared" si="131"/>
        <v>AS89</v>
      </c>
      <c r="L483" t="s">
        <v>1987</v>
      </c>
      <c r="M483" s="2">
        <v>1222.68</v>
      </c>
    </row>
    <row r="484" spans="1:13" x14ac:dyDescent="0.25">
      <c r="A484" t="str">
        <f t="shared" si="132"/>
        <v>E231</v>
      </c>
      <c r="B484">
        <v>1</v>
      </c>
      <c r="C484" t="str">
        <f t="shared" si="141"/>
        <v>43000</v>
      </c>
      <c r="D484" t="str">
        <f t="shared" si="142"/>
        <v>5740</v>
      </c>
      <c r="E484" t="str">
        <f t="shared" si="140"/>
        <v>850LOS</v>
      </c>
      <c r="F484" t="str">
        <f>""</f>
        <v/>
      </c>
      <c r="G484" t="str">
        <f>""</f>
        <v/>
      </c>
      <c r="H484" s="1">
        <v>41274</v>
      </c>
      <c r="I484" t="str">
        <f>"MPG00421"</f>
        <v>MPG00421</v>
      </c>
      <c r="J484" t="str">
        <f t="shared" si="136"/>
        <v>0</v>
      </c>
      <c r="K484" t="str">
        <f t="shared" si="131"/>
        <v>AS89</v>
      </c>
      <c r="L484" t="s">
        <v>1986</v>
      </c>
      <c r="M484" s="2">
        <v>1059.31</v>
      </c>
    </row>
    <row r="485" spans="1:13" x14ac:dyDescent="0.25">
      <c r="A485" t="str">
        <f t="shared" si="132"/>
        <v>E231</v>
      </c>
      <c r="B485">
        <v>1</v>
      </c>
      <c r="C485" t="str">
        <f t="shared" si="141"/>
        <v>43000</v>
      </c>
      <c r="D485" t="str">
        <f t="shared" si="142"/>
        <v>5740</v>
      </c>
      <c r="E485" t="str">
        <f t="shared" si="140"/>
        <v>850LOS</v>
      </c>
      <c r="F485" t="str">
        <f>""</f>
        <v/>
      </c>
      <c r="G485" t="str">
        <f>""</f>
        <v/>
      </c>
      <c r="H485" s="1">
        <v>41305</v>
      </c>
      <c r="I485" t="str">
        <f>"MPG00422"</f>
        <v>MPG00422</v>
      </c>
      <c r="J485" t="str">
        <f t="shared" si="136"/>
        <v>0</v>
      </c>
      <c r="K485" t="str">
        <f t="shared" si="131"/>
        <v>AS89</v>
      </c>
      <c r="L485" t="s">
        <v>1985</v>
      </c>
      <c r="M485" s="2">
        <v>1359.03</v>
      </c>
    </row>
    <row r="486" spans="1:13" x14ac:dyDescent="0.25">
      <c r="A486" t="str">
        <f t="shared" si="132"/>
        <v>E231</v>
      </c>
      <c r="B486">
        <v>1</v>
      </c>
      <c r="C486" t="str">
        <f t="shared" si="141"/>
        <v>43000</v>
      </c>
      <c r="D486" t="str">
        <f t="shared" si="142"/>
        <v>5740</v>
      </c>
      <c r="E486" t="str">
        <f t="shared" si="140"/>
        <v>850LOS</v>
      </c>
      <c r="F486" t="str">
        <f>""</f>
        <v/>
      </c>
      <c r="G486" t="str">
        <f>""</f>
        <v/>
      </c>
      <c r="H486" s="1">
        <v>41333</v>
      </c>
      <c r="I486" t="str">
        <f>"MPG00423"</f>
        <v>MPG00423</v>
      </c>
      <c r="J486" t="str">
        <f t="shared" si="136"/>
        <v>0</v>
      </c>
      <c r="K486" t="str">
        <f t="shared" si="131"/>
        <v>AS89</v>
      </c>
      <c r="L486" t="s">
        <v>1984</v>
      </c>
      <c r="M486" s="2">
        <v>1271.3900000000001</v>
      </c>
    </row>
    <row r="487" spans="1:13" x14ac:dyDescent="0.25">
      <c r="A487" t="str">
        <f t="shared" si="132"/>
        <v>E231</v>
      </c>
      <c r="B487">
        <v>1</v>
      </c>
      <c r="C487" t="str">
        <f t="shared" si="141"/>
        <v>43000</v>
      </c>
      <c r="D487" t="str">
        <f t="shared" si="142"/>
        <v>5740</v>
      </c>
      <c r="E487" t="str">
        <f t="shared" si="140"/>
        <v>850LOS</v>
      </c>
      <c r="F487" t="str">
        <f>""</f>
        <v/>
      </c>
      <c r="G487" t="str">
        <f>""</f>
        <v/>
      </c>
      <c r="H487" s="1">
        <v>41364</v>
      </c>
      <c r="I487" t="str">
        <f>"MPG00424"</f>
        <v>MPG00424</v>
      </c>
      <c r="J487" t="str">
        <f t="shared" si="136"/>
        <v>0</v>
      </c>
      <c r="K487" t="str">
        <f t="shared" si="131"/>
        <v>AS89</v>
      </c>
      <c r="L487" t="s">
        <v>1983</v>
      </c>
      <c r="M487" s="2">
        <v>1417.52</v>
      </c>
    </row>
    <row r="488" spans="1:13" x14ac:dyDescent="0.25">
      <c r="A488" t="str">
        <f t="shared" si="132"/>
        <v>E231</v>
      </c>
      <c r="B488">
        <v>1</v>
      </c>
      <c r="C488" t="str">
        <f t="shared" si="141"/>
        <v>43000</v>
      </c>
      <c r="D488" t="str">
        <f t="shared" si="142"/>
        <v>5740</v>
      </c>
      <c r="E488" t="str">
        <f t="shared" si="140"/>
        <v>850LOS</v>
      </c>
      <c r="F488" t="str">
        <f>""</f>
        <v/>
      </c>
      <c r="G488" t="str">
        <f>""</f>
        <v/>
      </c>
      <c r="H488" s="1">
        <v>41394</v>
      </c>
      <c r="I488" t="str">
        <f>"MPG00425"</f>
        <v>MPG00425</v>
      </c>
      <c r="J488" t="str">
        <f t="shared" si="136"/>
        <v>0</v>
      </c>
      <c r="K488" t="str">
        <f t="shared" si="131"/>
        <v>AS89</v>
      </c>
      <c r="L488" t="s">
        <v>1982</v>
      </c>
      <c r="M488">
        <v>991.45</v>
      </c>
    </row>
    <row r="489" spans="1:13" x14ac:dyDescent="0.25">
      <c r="A489" t="str">
        <f t="shared" si="132"/>
        <v>E231</v>
      </c>
      <c r="B489">
        <v>1</v>
      </c>
      <c r="C489" t="str">
        <f t="shared" si="141"/>
        <v>43000</v>
      </c>
      <c r="D489" t="str">
        <f t="shared" si="142"/>
        <v>5740</v>
      </c>
      <c r="E489" t="str">
        <f t="shared" si="140"/>
        <v>850LOS</v>
      </c>
      <c r="F489" t="str">
        <f>""</f>
        <v/>
      </c>
      <c r="G489" t="str">
        <f>""</f>
        <v/>
      </c>
      <c r="H489" s="1">
        <v>41425</v>
      </c>
      <c r="I489" t="str">
        <f>"MPG00426"</f>
        <v>MPG00426</v>
      </c>
      <c r="J489" t="str">
        <f t="shared" si="136"/>
        <v>0</v>
      </c>
      <c r="K489" t="str">
        <f t="shared" si="131"/>
        <v>AS89</v>
      </c>
      <c r="L489" t="s">
        <v>1981</v>
      </c>
      <c r="M489" s="2">
        <v>1135.2</v>
      </c>
    </row>
    <row r="490" spans="1:13" x14ac:dyDescent="0.25">
      <c r="A490" t="str">
        <f t="shared" si="132"/>
        <v>E231</v>
      </c>
      <c r="B490">
        <v>1</v>
      </c>
      <c r="C490" t="str">
        <f t="shared" si="141"/>
        <v>43000</v>
      </c>
      <c r="D490" t="str">
        <f t="shared" si="142"/>
        <v>5740</v>
      </c>
      <c r="E490" t="str">
        <f t="shared" si="140"/>
        <v>850LOS</v>
      </c>
      <c r="F490" t="str">
        <f>""</f>
        <v/>
      </c>
      <c r="G490" t="str">
        <f>""</f>
        <v/>
      </c>
      <c r="H490" s="1">
        <v>41455</v>
      </c>
      <c r="I490" t="str">
        <f>"MPG00427"</f>
        <v>MPG00427</v>
      </c>
      <c r="J490" t="str">
        <f t="shared" si="136"/>
        <v>0</v>
      </c>
      <c r="K490" t="str">
        <f t="shared" si="131"/>
        <v>AS89</v>
      </c>
      <c r="L490" t="s">
        <v>1980</v>
      </c>
      <c r="M490" s="2">
        <v>1017.52</v>
      </c>
    </row>
    <row r="491" spans="1:13" x14ac:dyDescent="0.25">
      <c r="A491" t="str">
        <f>"E232"</f>
        <v>E232</v>
      </c>
      <c r="B491">
        <v>1</v>
      </c>
      <c r="C491" t="str">
        <f t="shared" ref="C491:C497" si="143">"23275"</f>
        <v>23275</v>
      </c>
      <c r="D491" t="str">
        <f t="shared" ref="D491:D497" si="144">"5741"</f>
        <v>5741</v>
      </c>
      <c r="E491" t="str">
        <f t="shared" ref="E491:E497" si="145">"063STF"</f>
        <v>063STF</v>
      </c>
      <c r="F491" t="str">
        <f>""</f>
        <v/>
      </c>
      <c r="G491" t="str">
        <f>""</f>
        <v/>
      </c>
      <c r="H491" s="1">
        <v>41213</v>
      </c>
      <c r="I491" t="str">
        <f>"PRK00091"</f>
        <v>PRK00091</v>
      </c>
      <c r="J491" t="str">
        <f>"VV20083-"</f>
        <v>VV20083-</v>
      </c>
      <c r="K491" t="str">
        <f t="shared" si="131"/>
        <v>AS89</v>
      </c>
      <c r="L491" t="s">
        <v>1915</v>
      </c>
      <c r="M491">
        <v>697.64</v>
      </c>
    </row>
    <row r="492" spans="1:13" x14ac:dyDescent="0.25">
      <c r="A492" t="str">
        <f>"E232"</f>
        <v>E232</v>
      </c>
      <c r="B492">
        <v>1</v>
      </c>
      <c r="C492" t="str">
        <f t="shared" si="143"/>
        <v>23275</v>
      </c>
      <c r="D492" t="str">
        <f t="shared" si="144"/>
        <v>5741</v>
      </c>
      <c r="E492" t="str">
        <f t="shared" si="145"/>
        <v>063STF</v>
      </c>
      <c r="F492" t="str">
        <f>""</f>
        <v/>
      </c>
      <c r="G492" t="str">
        <f>""</f>
        <v/>
      </c>
      <c r="H492" s="1">
        <v>41305</v>
      </c>
      <c r="I492" t="str">
        <f>"PRK00094"</f>
        <v>PRK00094</v>
      </c>
      <c r="J492" t="str">
        <f>"DR04636-"</f>
        <v>DR04636-</v>
      </c>
      <c r="K492" t="str">
        <f t="shared" si="131"/>
        <v>AS89</v>
      </c>
      <c r="L492" t="s">
        <v>748</v>
      </c>
      <c r="M492">
        <v>304.36</v>
      </c>
    </row>
    <row r="493" spans="1:13" x14ac:dyDescent="0.25">
      <c r="A493" t="str">
        <f>"E240"</f>
        <v>E240</v>
      </c>
      <c r="B493">
        <v>1</v>
      </c>
      <c r="C493" t="str">
        <f t="shared" si="143"/>
        <v>23275</v>
      </c>
      <c r="D493" t="str">
        <f t="shared" si="144"/>
        <v>5741</v>
      </c>
      <c r="E493" t="str">
        <f t="shared" si="145"/>
        <v>063STF</v>
      </c>
      <c r="F493" t="str">
        <f>""</f>
        <v/>
      </c>
      <c r="G493" t="str">
        <f>""</f>
        <v/>
      </c>
      <c r="H493" s="1">
        <v>41184</v>
      </c>
      <c r="I493" t="str">
        <f>"28297A"</f>
        <v>28297A</v>
      </c>
      <c r="J493" t="str">
        <f>"F188440"</f>
        <v>F188440</v>
      </c>
      <c r="K493" t="str">
        <f>"INEI"</f>
        <v>INEI</v>
      </c>
      <c r="L493" t="s">
        <v>1969</v>
      </c>
      <c r="M493" s="2">
        <v>1605.51</v>
      </c>
    </row>
    <row r="494" spans="1:13" x14ac:dyDescent="0.25">
      <c r="A494" t="str">
        <f>"E240"</f>
        <v>E240</v>
      </c>
      <c r="B494">
        <v>1</v>
      </c>
      <c r="C494" t="str">
        <f t="shared" si="143"/>
        <v>23275</v>
      </c>
      <c r="D494" t="str">
        <f t="shared" si="144"/>
        <v>5741</v>
      </c>
      <c r="E494" t="str">
        <f t="shared" si="145"/>
        <v>063STF</v>
      </c>
      <c r="F494" t="str">
        <f>""</f>
        <v/>
      </c>
      <c r="G494" t="str">
        <f>""</f>
        <v/>
      </c>
      <c r="H494" s="1">
        <v>41354</v>
      </c>
      <c r="I494" t="str">
        <f>"J0003847"</f>
        <v>J0003847</v>
      </c>
      <c r="J494" t="str">
        <f>""</f>
        <v/>
      </c>
      <c r="K494" t="str">
        <f>"J089"</f>
        <v>J089</v>
      </c>
      <c r="L494" t="s">
        <v>1979</v>
      </c>
      <c r="M494">
        <v>100</v>
      </c>
    </row>
    <row r="495" spans="1:13" x14ac:dyDescent="0.25">
      <c r="A495" t="str">
        <f>"E240"</f>
        <v>E240</v>
      </c>
      <c r="B495">
        <v>1</v>
      </c>
      <c r="C495" t="str">
        <f t="shared" si="143"/>
        <v>23275</v>
      </c>
      <c r="D495" t="str">
        <f t="shared" si="144"/>
        <v>5741</v>
      </c>
      <c r="E495" t="str">
        <f t="shared" si="145"/>
        <v>063STF</v>
      </c>
      <c r="F495" t="str">
        <f>""</f>
        <v/>
      </c>
      <c r="G495" t="str">
        <f>""</f>
        <v/>
      </c>
      <c r="H495" s="1">
        <v>41364</v>
      </c>
      <c r="I495" t="str">
        <f>"ACG02292"</f>
        <v>ACG02292</v>
      </c>
      <c r="J495" t="str">
        <f>"189352"</f>
        <v>189352</v>
      </c>
      <c r="K495" t="str">
        <f>"AS89"</f>
        <v>AS89</v>
      </c>
      <c r="L495" t="s">
        <v>1978</v>
      </c>
      <c r="M495">
        <v>100</v>
      </c>
    </row>
    <row r="496" spans="1:13" x14ac:dyDescent="0.25">
      <c r="A496" t="str">
        <f>"E240"</f>
        <v>E240</v>
      </c>
      <c r="B496">
        <v>1</v>
      </c>
      <c r="C496" t="str">
        <f t="shared" si="143"/>
        <v>23275</v>
      </c>
      <c r="D496" t="str">
        <f t="shared" si="144"/>
        <v>5741</v>
      </c>
      <c r="E496" t="str">
        <f t="shared" si="145"/>
        <v>063STF</v>
      </c>
      <c r="F496" t="str">
        <f>""</f>
        <v/>
      </c>
      <c r="G496" t="str">
        <f>""</f>
        <v/>
      </c>
      <c r="H496" s="1">
        <v>41442</v>
      </c>
      <c r="I496" t="str">
        <f>"J0004629"</f>
        <v>J0004629</v>
      </c>
      <c r="J496" t="str">
        <f>""</f>
        <v/>
      </c>
      <c r="K496" t="str">
        <f>"J096"</f>
        <v>J096</v>
      </c>
      <c r="L496" t="s">
        <v>1977</v>
      </c>
      <c r="M496">
        <v>641.4</v>
      </c>
    </row>
    <row r="497" spans="1:13" x14ac:dyDescent="0.25">
      <c r="A497" t="str">
        <f>"E240"</f>
        <v>E240</v>
      </c>
      <c r="B497">
        <v>1</v>
      </c>
      <c r="C497" t="str">
        <f t="shared" si="143"/>
        <v>23275</v>
      </c>
      <c r="D497" t="str">
        <f t="shared" si="144"/>
        <v>5741</v>
      </c>
      <c r="E497" t="str">
        <f t="shared" si="145"/>
        <v>063STF</v>
      </c>
      <c r="F497" t="str">
        <f>""</f>
        <v/>
      </c>
      <c r="G497" t="str">
        <f>""</f>
        <v/>
      </c>
      <c r="H497" s="1">
        <v>41455</v>
      </c>
      <c r="I497" t="str">
        <f>"J0004971"</f>
        <v>J0004971</v>
      </c>
      <c r="J497" t="str">
        <f>""</f>
        <v/>
      </c>
      <c r="K497" t="str">
        <f>"J096"</f>
        <v>J096</v>
      </c>
      <c r="L497" t="s">
        <v>1977</v>
      </c>
      <c r="M497">
        <v>534.5</v>
      </c>
    </row>
    <row r="498" spans="1:13" x14ac:dyDescent="0.25">
      <c r="A498" t="str">
        <f t="shared" ref="A498:A504" si="146">"E241"</f>
        <v>E241</v>
      </c>
      <c r="B498">
        <v>1</v>
      </c>
      <c r="C498" t="str">
        <f t="shared" ref="C498:C504" si="147">"10200"</f>
        <v>10200</v>
      </c>
      <c r="D498" t="str">
        <f t="shared" ref="D498:D504" si="148">"5620"</f>
        <v>5620</v>
      </c>
      <c r="E498" t="str">
        <f t="shared" ref="E498:E504" si="149">"094OMS"</f>
        <v>094OMS</v>
      </c>
      <c r="F498" t="str">
        <f>""</f>
        <v/>
      </c>
      <c r="G498" t="str">
        <f>""</f>
        <v/>
      </c>
      <c r="H498" s="1">
        <v>41142</v>
      </c>
      <c r="I498" t="str">
        <f t="shared" ref="I498:I504" si="150">"PCD00549"</f>
        <v>PCD00549</v>
      </c>
      <c r="J498" t="str">
        <f>"173810"</f>
        <v>173810</v>
      </c>
      <c r="K498" t="str">
        <f t="shared" ref="K498:K504" si="151">"AS89"</f>
        <v>AS89</v>
      </c>
      <c r="L498" t="s">
        <v>1976</v>
      </c>
      <c r="M498">
        <v>375</v>
      </c>
    </row>
    <row r="499" spans="1:13" x14ac:dyDescent="0.25">
      <c r="A499" t="str">
        <f t="shared" si="146"/>
        <v>E241</v>
      </c>
      <c r="B499">
        <v>1</v>
      </c>
      <c r="C499" t="str">
        <f t="shared" si="147"/>
        <v>10200</v>
      </c>
      <c r="D499" t="str">
        <f t="shared" si="148"/>
        <v>5620</v>
      </c>
      <c r="E499" t="str">
        <f t="shared" si="149"/>
        <v>094OMS</v>
      </c>
      <c r="F499" t="str">
        <f>""</f>
        <v/>
      </c>
      <c r="G499" t="str">
        <f>""</f>
        <v/>
      </c>
      <c r="H499" s="1">
        <v>41142</v>
      </c>
      <c r="I499" t="str">
        <f t="shared" si="150"/>
        <v>PCD00549</v>
      </c>
      <c r="J499" t="str">
        <f>"173811"</f>
        <v>173811</v>
      </c>
      <c r="K499" t="str">
        <f t="shared" si="151"/>
        <v>AS89</v>
      </c>
      <c r="L499" t="s">
        <v>1975</v>
      </c>
      <c r="M499">
        <v>268.12</v>
      </c>
    </row>
    <row r="500" spans="1:13" x14ac:dyDescent="0.25">
      <c r="A500" t="str">
        <f t="shared" si="146"/>
        <v>E241</v>
      </c>
      <c r="B500">
        <v>1</v>
      </c>
      <c r="C500" t="str">
        <f t="shared" si="147"/>
        <v>10200</v>
      </c>
      <c r="D500" t="str">
        <f t="shared" si="148"/>
        <v>5620</v>
      </c>
      <c r="E500" t="str">
        <f t="shared" si="149"/>
        <v>094OMS</v>
      </c>
      <c r="F500" t="str">
        <f>""</f>
        <v/>
      </c>
      <c r="G500" t="str">
        <f>""</f>
        <v/>
      </c>
      <c r="H500" s="1">
        <v>41142</v>
      </c>
      <c r="I500" t="str">
        <f t="shared" si="150"/>
        <v>PCD00549</v>
      </c>
      <c r="J500" t="str">
        <f>"173812"</f>
        <v>173812</v>
      </c>
      <c r="K500" t="str">
        <f t="shared" si="151"/>
        <v>AS89</v>
      </c>
      <c r="L500" t="s">
        <v>1974</v>
      </c>
      <c r="M500">
        <v>310</v>
      </c>
    </row>
    <row r="501" spans="1:13" x14ac:dyDescent="0.25">
      <c r="A501" t="str">
        <f t="shared" si="146"/>
        <v>E241</v>
      </c>
      <c r="B501">
        <v>1</v>
      </c>
      <c r="C501" t="str">
        <f t="shared" si="147"/>
        <v>10200</v>
      </c>
      <c r="D501" t="str">
        <f t="shared" si="148"/>
        <v>5620</v>
      </c>
      <c r="E501" t="str">
        <f t="shared" si="149"/>
        <v>094OMS</v>
      </c>
      <c r="F501" t="str">
        <f>""</f>
        <v/>
      </c>
      <c r="G501" t="str">
        <f>""</f>
        <v/>
      </c>
      <c r="H501" s="1">
        <v>41142</v>
      </c>
      <c r="I501" t="str">
        <f t="shared" si="150"/>
        <v>PCD00549</v>
      </c>
      <c r="J501" t="str">
        <f>"173911"</f>
        <v>173911</v>
      </c>
      <c r="K501" t="str">
        <f t="shared" si="151"/>
        <v>AS89</v>
      </c>
      <c r="L501" t="s">
        <v>1973</v>
      </c>
      <c r="M501">
        <v>299</v>
      </c>
    </row>
    <row r="502" spans="1:13" x14ac:dyDescent="0.25">
      <c r="A502" t="str">
        <f t="shared" si="146"/>
        <v>E241</v>
      </c>
      <c r="B502">
        <v>1</v>
      </c>
      <c r="C502" t="str">
        <f t="shared" si="147"/>
        <v>10200</v>
      </c>
      <c r="D502" t="str">
        <f t="shared" si="148"/>
        <v>5620</v>
      </c>
      <c r="E502" t="str">
        <f t="shared" si="149"/>
        <v>094OMS</v>
      </c>
      <c r="F502" t="str">
        <f>""</f>
        <v/>
      </c>
      <c r="G502" t="str">
        <f>""</f>
        <v/>
      </c>
      <c r="H502" s="1">
        <v>41142</v>
      </c>
      <c r="I502" t="str">
        <f t="shared" si="150"/>
        <v>PCD00549</v>
      </c>
      <c r="J502" t="str">
        <f>"173919"</f>
        <v>173919</v>
      </c>
      <c r="K502" t="str">
        <f t="shared" si="151"/>
        <v>AS89</v>
      </c>
      <c r="L502" t="s">
        <v>1972</v>
      </c>
      <c r="M502">
        <v>175</v>
      </c>
    </row>
    <row r="503" spans="1:13" x14ac:dyDescent="0.25">
      <c r="A503" t="str">
        <f t="shared" si="146"/>
        <v>E241</v>
      </c>
      <c r="B503">
        <v>1</v>
      </c>
      <c r="C503" t="str">
        <f t="shared" si="147"/>
        <v>10200</v>
      </c>
      <c r="D503" t="str">
        <f t="shared" si="148"/>
        <v>5620</v>
      </c>
      <c r="E503" t="str">
        <f t="shared" si="149"/>
        <v>094OMS</v>
      </c>
      <c r="F503" t="str">
        <f>""</f>
        <v/>
      </c>
      <c r="G503" t="str">
        <f>""</f>
        <v/>
      </c>
      <c r="H503" s="1">
        <v>41142</v>
      </c>
      <c r="I503" t="str">
        <f t="shared" si="150"/>
        <v>PCD00549</v>
      </c>
      <c r="J503" t="str">
        <f>"173942"</f>
        <v>173942</v>
      </c>
      <c r="K503" t="str">
        <f t="shared" si="151"/>
        <v>AS89</v>
      </c>
      <c r="L503" t="s">
        <v>1971</v>
      </c>
      <c r="M503">
        <v>245</v>
      </c>
    </row>
    <row r="504" spans="1:13" x14ac:dyDescent="0.25">
      <c r="A504" t="str">
        <f t="shared" si="146"/>
        <v>E241</v>
      </c>
      <c r="B504">
        <v>1</v>
      </c>
      <c r="C504" t="str">
        <f t="shared" si="147"/>
        <v>10200</v>
      </c>
      <c r="D504" t="str">
        <f t="shared" si="148"/>
        <v>5620</v>
      </c>
      <c r="E504" t="str">
        <f t="shared" si="149"/>
        <v>094OMS</v>
      </c>
      <c r="F504" t="str">
        <f>""</f>
        <v/>
      </c>
      <c r="G504" t="str">
        <f>""</f>
        <v/>
      </c>
      <c r="H504" s="1">
        <v>41142</v>
      </c>
      <c r="I504" t="str">
        <f t="shared" si="150"/>
        <v>PCD00549</v>
      </c>
      <c r="J504" t="str">
        <f>"174086"</f>
        <v>174086</v>
      </c>
      <c r="K504" t="str">
        <f t="shared" si="151"/>
        <v>AS89</v>
      </c>
      <c r="L504" t="s">
        <v>1970</v>
      </c>
      <c r="M504">
        <v>300</v>
      </c>
    </row>
    <row r="505" spans="1:13" x14ac:dyDescent="0.25">
      <c r="A505" t="str">
        <f>"E242"</f>
        <v>E242</v>
      </c>
      <c r="B505">
        <v>1</v>
      </c>
      <c r="C505" t="str">
        <f>"23275"</f>
        <v>23275</v>
      </c>
      <c r="D505" t="str">
        <f>"5741"</f>
        <v>5741</v>
      </c>
      <c r="E505" t="str">
        <f>"063STF"</f>
        <v>063STF</v>
      </c>
      <c r="F505" t="str">
        <f>""</f>
        <v/>
      </c>
      <c r="G505" t="str">
        <f>""</f>
        <v/>
      </c>
      <c r="H505" s="1">
        <v>41394</v>
      </c>
      <c r="I505" t="str">
        <f>"MOV00376"</f>
        <v>MOV00376</v>
      </c>
      <c r="J505" t="str">
        <f>"751660"</f>
        <v>751660</v>
      </c>
      <c r="K505" t="str">
        <f>"AS96"</f>
        <v>AS96</v>
      </c>
      <c r="L505" t="s">
        <v>282</v>
      </c>
      <c r="M505">
        <v>122.88</v>
      </c>
    </row>
    <row r="506" spans="1:13" x14ac:dyDescent="0.25">
      <c r="A506" t="str">
        <f>"E244"</f>
        <v>E244</v>
      </c>
      <c r="B506">
        <v>1</v>
      </c>
      <c r="C506" t="str">
        <f>"43001"</f>
        <v>43001</v>
      </c>
      <c r="D506" t="str">
        <f>"5740"</f>
        <v>5740</v>
      </c>
      <c r="E506" t="str">
        <f>"850LOS"</f>
        <v>850LOS</v>
      </c>
      <c r="F506" t="str">
        <f>""</f>
        <v/>
      </c>
      <c r="G506" t="str">
        <f>""</f>
        <v/>
      </c>
      <c r="H506" s="1">
        <v>41213</v>
      </c>
      <c r="I506" t="str">
        <f>"PCD00564"</f>
        <v>PCD00564</v>
      </c>
      <c r="J506" t="str">
        <f>"177788"</f>
        <v>177788</v>
      </c>
      <c r="K506" t="str">
        <f>"AS89"</f>
        <v>AS89</v>
      </c>
      <c r="L506" t="s">
        <v>1968</v>
      </c>
      <c r="M506">
        <v>100</v>
      </c>
    </row>
    <row r="507" spans="1:13" x14ac:dyDescent="0.25">
      <c r="A507" t="str">
        <f t="shared" ref="A507:A518" si="152">"E247"</f>
        <v>E247</v>
      </c>
      <c r="B507">
        <v>1</v>
      </c>
      <c r="C507" t="str">
        <f t="shared" ref="C507:C518" si="153">"10200"</f>
        <v>10200</v>
      </c>
      <c r="D507" t="str">
        <f t="shared" ref="D507:D518" si="154">"5620"</f>
        <v>5620</v>
      </c>
      <c r="E507" t="str">
        <f t="shared" ref="E507:E518" si="155">"094OMS"</f>
        <v>094OMS</v>
      </c>
      <c r="F507" t="str">
        <f>""</f>
        <v/>
      </c>
      <c r="G507" t="str">
        <f>""</f>
        <v/>
      </c>
      <c r="H507" s="1">
        <v>41131</v>
      </c>
      <c r="I507" t="str">
        <f>"I0104148"</f>
        <v>I0104148</v>
      </c>
      <c r="J507" t="str">
        <f t="shared" ref="J507:J518" si="156">"N125301E"</f>
        <v>N125301E</v>
      </c>
      <c r="K507" t="str">
        <f t="shared" ref="K507:K518" si="157">"INEI"</f>
        <v>INEI</v>
      </c>
      <c r="L507" t="s">
        <v>838</v>
      </c>
      <c r="M507">
        <v>259</v>
      </c>
    </row>
    <row r="508" spans="1:13" x14ac:dyDescent="0.25">
      <c r="A508" t="str">
        <f t="shared" si="152"/>
        <v>E247</v>
      </c>
      <c r="B508">
        <v>1</v>
      </c>
      <c r="C508" t="str">
        <f t="shared" si="153"/>
        <v>10200</v>
      </c>
      <c r="D508" t="str">
        <f t="shared" si="154"/>
        <v>5620</v>
      </c>
      <c r="E508" t="str">
        <f t="shared" si="155"/>
        <v>094OMS</v>
      </c>
      <c r="F508" t="str">
        <f>""</f>
        <v/>
      </c>
      <c r="G508" t="str">
        <f>""</f>
        <v/>
      </c>
      <c r="H508" s="1">
        <v>41177</v>
      </c>
      <c r="I508" t="str">
        <f>"I0104463"</f>
        <v>I0104463</v>
      </c>
      <c r="J508" t="str">
        <f t="shared" si="156"/>
        <v>N125301E</v>
      </c>
      <c r="K508" t="str">
        <f t="shared" si="157"/>
        <v>INEI</v>
      </c>
      <c r="L508" t="s">
        <v>838</v>
      </c>
      <c r="M508">
        <v>256.06</v>
      </c>
    </row>
    <row r="509" spans="1:13" x14ac:dyDescent="0.25">
      <c r="A509" t="str">
        <f t="shared" si="152"/>
        <v>E247</v>
      </c>
      <c r="B509">
        <v>1</v>
      </c>
      <c r="C509" t="str">
        <f t="shared" si="153"/>
        <v>10200</v>
      </c>
      <c r="D509" t="str">
        <f t="shared" si="154"/>
        <v>5620</v>
      </c>
      <c r="E509" t="str">
        <f t="shared" si="155"/>
        <v>094OMS</v>
      </c>
      <c r="F509" t="str">
        <f>""</f>
        <v/>
      </c>
      <c r="G509" t="str">
        <f>""</f>
        <v/>
      </c>
      <c r="H509" s="1">
        <v>41194</v>
      </c>
      <c r="I509" t="str">
        <f>"I0104550"</f>
        <v>I0104550</v>
      </c>
      <c r="J509" t="str">
        <f t="shared" si="156"/>
        <v>N125301E</v>
      </c>
      <c r="K509" t="str">
        <f t="shared" si="157"/>
        <v>INEI</v>
      </c>
      <c r="L509" t="s">
        <v>838</v>
      </c>
      <c r="M509">
        <v>261.61</v>
      </c>
    </row>
    <row r="510" spans="1:13" x14ac:dyDescent="0.25">
      <c r="A510" t="str">
        <f t="shared" si="152"/>
        <v>E247</v>
      </c>
      <c r="B510">
        <v>1</v>
      </c>
      <c r="C510" t="str">
        <f t="shared" si="153"/>
        <v>10200</v>
      </c>
      <c r="D510" t="str">
        <f t="shared" si="154"/>
        <v>5620</v>
      </c>
      <c r="E510" t="str">
        <f t="shared" si="155"/>
        <v>094OMS</v>
      </c>
      <c r="F510" t="str">
        <f>""</f>
        <v/>
      </c>
      <c r="G510" t="str">
        <f>""</f>
        <v/>
      </c>
      <c r="H510" s="1">
        <v>41220</v>
      </c>
      <c r="I510" t="str">
        <f>"I0104727"</f>
        <v>I0104727</v>
      </c>
      <c r="J510" t="str">
        <f t="shared" si="156"/>
        <v>N125301E</v>
      </c>
      <c r="K510" t="str">
        <f t="shared" si="157"/>
        <v>INEI</v>
      </c>
      <c r="L510" t="s">
        <v>838</v>
      </c>
      <c r="M510">
        <v>279.64999999999998</v>
      </c>
    </row>
    <row r="511" spans="1:13" x14ac:dyDescent="0.25">
      <c r="A511" t="str">
        <f t="shared" si="152"/>
        <v>E247</v>
      </c>
      <c r="B511">
        <v>1</v>
      </c>
      <c r="C511" t="str">
        <f t="shared" si="153"/>
        <v>10200</v>
      </c>
      <c r="D511" t="str">
        <f t="shared" si="154"/>
        <v>5620</v>
      </c>
      <c r="E511" t="str">
        <f t="shared" si="155"/>
        <v>094OMS</v>
      </c>
      <c r="F511" t="str">
        <f>""</f>
        <v/>
      </c>
      <c r="G511" t="str">
        <f>""</f>
        <v/>
      </c>
      <c r="H511" s="1">
        <v>41274</v>
      </c>
      <c r="I511" t="str">
        <f>"I0105055"</f>
        <v>I0105055</v>
      </c>
      <c r="J511" t="str">
        <f t="shared" si="156"/>
        <v>N125301E</v>
      </c>
      <c r="K511" t="str">
        <f t="shared" si="157"/>
        <v>INEI</v>
      </c>
      <c r="L511" t="s">
        <v>838</v>
      </c>
      <c r="M511">
        <v>309</v>
      </c>
    </row>
    <row r="512" spans="1:13" x14ac:dyDescent="0.25">
      <c r="A512" t="str">
        <f t="shared" si="152"/>
        <v>E247</v>
      </c>
      <c r="B512">
        <v>1</v>
      </c>
      <c r="C512" t="str">
        <f t="shared" si="153"/>
        <v>10200</v>
      </c>
      <c r="D512" t="str">
        <f t="shared" si="154"/>
        <v>5620</v>
      </c>
      <c r="E512" t="str">
        <f t="shared" si="155"/>
        <v>094OMS</v>
      </c>
      <c r="F512" t="str">
        <f>""</f>
        <v/>
      </c>
      <c r="G512" t="str">
        <f>""</f>
        <v/>
      </c>
      <c r="H512" s="1">
        <v>41292</v>
      </c>
      <c r="I512" t="str">
        <f>"I0105180"</f>
        <v>I0105180</v>
      </c>
      <c r="J512" t="str">
        <f t="shared" si="156"/>
        <v>N125301E</v>
      </c>
      <c r="K512" t="str">
        <f t="shared" si="157"/>
        <v>INEI</v>
      </c>
      <c r="L512" t="s">
        <v>838</v>
      </c>
      <c r="M512">
        <v>613.42999999999995</v>
      </c>
    </row>
    <row r="513" spans="1:13" x14ac:dyDescent="0.25">
      <c r="A513" t="str">
        <f t="shared" si="152"/>
        <v>E247</v>
      </c>
      <c r="B513">
        <v>1</v>
      </c>
      <c r="C513" t="str">
        <f t="shared" si="153"/>
        <v>10200</v>
      </c>
      <c r="D513" t="str">
        <f t="shared" si="154"/>
        <v>5620</v>
      </c>
      <c r="E513" t="str">
        <f t="shared" si="155"/>
        <v>094OMS</v>
      </c>
      <c r="F513" t="str">
        <f>""</f>
        <v/>
      </c>
      <c r="G513" t="str">
        <f>""</f>
        <v/>
      </c>
      <c r="H513" s="1">
        <v>41292</v>
      </c>
      <c r="I513" t="str">
        <f>"I0105180"</f>
        <v>I0105180</v>
      </c>
      <c r="J513" t="str">
        <f t="shared" si="156"/>
        <v>N125301E</v>
      </c>
      <c r="K513" t="str">
        <f t="shared" si="157"/>
        <v>INEI</v>
      </c>
      <c r="L513" t="s">
        <v>838</v>
      </c>
      <c r="M513">
        <v>304.43</v>
      </c>
    </row>
    <row r="514" spans="1:13" x14ac:dyDescent="0.25">
      <c r="A514" t="str">
        <f t="shared" si="152"/>
        <v>E247</v>
      </c>
      <c r="B514">
        <v>1</v>
      </c>
      <c r="C514" t="str">
        <f t="shared" si="153"/>
        <v>10200</v>
      </c>
      <c r="D514" t="str">
        <f t="shared" si="154"/>
        <v>5620</v>
      </c>
      <c r="E514" t="str">
        <f t="shared" si="155"/>
        <v>094OMS</v>
      </c>
      <c r="F514" t="str">
        <f>""</f>
        <v/>
      </c>
      <c r="G514" t="str">
        <f>""</f>
        <v/>
      </c>
      <c r="H514" s="1">
        <v>41312</v>
      </c>
      <c r="I514" t="str">
        <f>"I0105297"</f>
        <v>I0105297</v>
      </c>
      <c r="J514" t="str">
        <f t="shared" si="156"/>
        <v>N125301E</v>
      </c>
      <c r="K514" t="str">
        <f t="shared" si="157"/>
        <v>INEI</v>
      </c>
      <c r="L514" t="s">
        <v>838</v>
      </c>
      <c r="M514">
        <v>413.18</v>
      </c>
    </row>
    <row r="515" spans="1:13" x14ac:dyDescent="0.25">
      <c r="A515" t="str">
        <f t="shared" si="152"/>
        <v>E247</v>
      </c>
      <c r="B515">
        <v>1</v>
      </c>
      <c r="C515" t="str">
        <f t="shared" si="153"/>
        <v>10200</v>
      </c>
      <c r="D515" t="str">
        <f t="shared" si="154"/>
        <v>5620</v>
      </c>
      <c r="E515" t="str">
        <f t="shared" si="155"/>
        <v>094OMS</v>
      </c>
      <c r="F515" t="str">
        <f>""</f>
        <v/>
      </c>
      <c r="G515" t="str">
        <f>""</f>
        <v/>
      </c>
      <c r="H515" s="1">
        <v>41354</v>
      </c>
      <c r="I515" t="str">
        <f>"I0105594"</f>
        <v>I0105594</v>
      </c>
      <c r="J515" t="str">
        <f t="shared" si="156"/>
        <v>N125301E</v>
      </c>
      <c r="K515" t="str">
        <f t="shared" si="157"/>
        <v>INEI</v>
      </c>
      <c r="L515" t="s">
        <v>838</v>
      </c>
      <c r="M515">
        <v>297.36</v>
      </c>
    </row>
    <row r="516" spans="1:13" x14ac:dyDescent="0.25">
      <c r="A516" t="str">
        <f t="shared" si="152"/>
        <v>E247</v>
      </c>
      <c r="B516">
        <v>1</v>
      </c>
      <c r="C516" t="str">
        <f t="shared" si="153"/>
        <v>10200</v>
      </c>
      <c r="D516" t="str">
        <f t="shared" si="154"/>
        <v>5620</v>
      </c>
      <c r="E516" t="str">
        <f t="shared" si="155"/>
        <v>094OMS</v>
      </c>
      <c r="F516" t="str">
        <f>""</f>
        <v/>
      </c>
      <c r="G516" t="str">
        <f>""</f>
        <v/>
      </c>
      <c r="H516" s="1">
        <v>41380</v>
      </c>
      <c r="I516" t="str">
        <f>"I0105776"</f>
        <v>I0105776</v>
      </c>
      <c r="J516" t="str">
        <f t="shared" si="156"/>
        <v>N125301E</v>
      </c>
      <c r="K516" t="str">
        <f t="shared" si="157"/>
        <v>INEI</v>
      </c>
      <c r="L516" t="s">
        <v>838</v>
      </c>
      <c r="M516">
        <v>354.21</v>
      </c>
    </row>
    <row r="517" spans="1:13" x14ac:dyDescent="0.25">
      <c r="A517" t="str">
        <f t="shared" si="152"/>
        <v>E247</v>
      </c>
      <c r="B517">
        <v>1</v>
      </c>
      <c r="C517" t="str">
        <f t="shared" si="153"/>
        <v>10200</v>
      </c>
      <c r="D517" t="str">
        <f t="shared" si="154"/>
        <v>5620</v>
      </c>
      <c r="E517" t="str">
        <f t="shared" si="155"/>
        <v>094OMS</v>
      </c>
      <c r="F517" t="str">
        <f>""</f>
        <v/>
      </c>
      <c r="G517" t="str">
        <f>""</f>
        <v/>
      </c>
      <c r="H517" s="1">
        <v>41416</v>
      </c>
      <c r="I517" t="str">
        <f>"I0106090"</f>
        <v>I0106090</v>
      </c>
      <c r="J517" t="str">
        <f t="shared" si="156"/>
        <v>N125301E</v>
      </c>
      <c r="K517" t="str">
        <f t="shared" si="157"/>
        <v>INEI</v>
      </c>
      <c r="L517" t="s">
        <v>838</v>
      </c>
      <c r="M517">
        <v>432.46</v>
      </c>
    </row>
    <row r="518" spans="1:13" x14ac:dyDescent="0.25">
      <c r="A518" t="str">
        <f t="shared" si="152"/>
        <v>E247</v>
      </c>
      <c r="B518">
        <v>1</v>
      </c>
      <c r="C518" t="str">
        <f t="shared" si="153"/>
        <v>10200</v>
      </c>
      <c r="D518" t="str">
        <f t="shared" si="154"/>
        <v>5620</v>
      </c>
      <c r="E518" t="str">
        <f t="shared" si="155"/>
        <v>094OMS</v>
      </c>
      <c r="F518" t="str">
        <f>""</f>
        <v/>
      </c>
      <c r="G518" t="str">
        <f>""</f>
        <v/>
      </c>
      <c r="H518" s="1">
        <v>41455</v>
      </c>
      <c r="I518" t="str">
        <f>"I0106419"</f>
        <v>I0106419</v>
      </c>
      <c r="J518" t="str">
        <f t="shared" si="156"/>
        <v>N125301E</v>
      </c>
      <c r="K518" t="str">
        <f t="shared" si="157"/>
        <v>INEI</v>
      </c>
      <c r="L518" t="s">
        <v>838</v>
      </c>
      <c r="M518">
        <v>877.94</v>
      </c>
    </row>
    <row r="519" spans="1:13" x14ac:dyDescent="0.25">
      <c r="A519" t="str">
        <f>"E255"</f>
        <v>E255</v>
      </c>
      <c r="B519">
        <v>1</v>
      </c>
      <c r="C519" t="str">
        <f>"43000"</f>
        <v>43000</v>
      </c>
      <c r="D519" t="str">
        <f>"5740"</f>
        <v>5740</v>
      </c>
      <c r="E519" t="str">
        <f>"850LOS"</f>
        <v>850LOS</v>
      </c>
      <c r="F519" t="str">
        <f>"PKOLOT"</f>
        <v>PKOLOT</v>
      </c>
      <c r="G519" t="str">
        <f>""</f>
        <v/>
      </c>
      <c r="H519" s="1">
        <v>41455</v>
      </c>
      <c r="I519" t="str">
        <f>"PCD00605"</f>
        <v>PCD00605</v>
      </c>
      <c r="J519" t="str">
        <f>"195335"</f>
        <v>195335</v>
      </c>
      <c r="K519" t="str">
        <f t="shared" ref="K519:K529" si="158">"AS89"</f>
        <v>AS89</v>
      </c>
      <c r="L519" t="s">
        <v>1967</v>
      </c>
      <c r="M519">
        <v>227.48</v>
      </c>
    </row>
    <row r="520" spans="1:13" x14ac:dyDescent="0.25">
      <c r="A520" t="str">
        <f t="shared" ref="A520:A538" si="159">"E257"</f>
        <v>E257</v>
      </c>
      <c r="B520">
        <v>1</v>
      </c>
      <c r="C520" t="str">
        <f t="shared" ref="C520:C533" si="160">"10200"</f>
        <v>10200</v>
      </c>
      <c r="D520" t="str">
        <f t="shared" ref="D520:D533" si="161">"5620"</f>
        <v>5620</v>
      </c>
      <c r="E520" t="str">
        <f t="shared" ref="E520:E533" si="162">"094OMS"</f>
        <v>094OMS</v>
      </c>
      <c r="F520" t="str">
        <f>""</f>
        <v/>
      </c>
      <c r="G520" t="str">
        <f>""</f>
        <v/>
      </c>
      <c r="H520" s="1">
        <v>41158</v>
      </c>
      <c r="I520" t="str">
        <f>"PCD00553"</f>
        <v>PCD00553</v>
      </c>
      <c r="J520" t="str">
        <f>"175314"</f>
        <v>175314</v>
      </c>
      <c r="K520" t="str">
        <f t="shared" si="158"/>
        <v>AS89</v>
      </c>
      <c r="L520" t="s">
        <v>1966</v>
      </c>
      <c r="M520">
        <v>905.42</v>
      </c>
    </row>
    <row r="521" spans="1:13" x14ac:dyDescent="0.25">
      <c r="A521" t="str">
        <f t="shared" si="159"/>
        <v>E257</v>
      </c>
      <c r="B521">
        <v>1</v>
      </c>
      <c r="C521" t="str">
        <f t="shared" si="160"/>
        <v>10200</v>
      </c>
      <c r="D521" t="str">
        <f t="shared" si="161"/>
        <v>5620</v>
      </c>
      <c r="E521" t="str">
        <f t="shared" si="162"/>
        <v>094OMS</v>
      </c>
      <c r="F521" t="str">
        <f>""</f>
        <v/>
      </c>
      <c r="G521" t="str">
        <f>""</f>
        <v/>
      </c>
      <c r="H521" s="1">
        <v>41182</v>
      </c>
      <c r="I521" t="str">
        <f>"PCD00558"</f>
        <v>PCD00558</v>
      </c>
      <c r="J521" t="str">
        <f>"175409"</f>
        <v>175409</v>
      </c>
      <c r="K521" t="str">
        <f t="shared" si="158"/>
        <v>AS89</v>
      </c>
      <c r="L521" t="s">
        <v>1965</v>
      </c>
      <c r="M521">
        <v>719.39</v>
      </c>
    </row>
    <row r="522" spans="1:13" x14ac:dyDescent="0.25">
      <c r="A522" t="str">
        <f t="shared" si="159"/>
        <v>E257</v>
      </c>
      <c r="B522">
        <v>1</v>
      </c>
      <c r="C522" t="str">
        <f t="shared" si="160"/>
        <v>10200</v>
      </c>
      <c r="D522" t="str">
        <f t="shared" si="161"/>
        <v>5620</v>
      </c>
      <c r="E522" t="str">
        <f t="shared" si="162"/>
        <v>094OMS</v>
      </c>
      <c r="F522" t="str">
        <f>""</f>
        <v/>
      </c>
      <c r="G522" t="str">
        <f>""</f>
        <v/>
      </c>
      <c r="H522" s="1">
        <v>41274</v>
      </c>
      <c r="I522" t="str">
        <f>"PCD00575"</f>
        <v>PCD00575</v>
      </c>
      <c r="J522" t="str">
        <f>"182098"</f>
        <v>182098</v>
      </c>
      <c r="K522" t="str">
        <f t="shared" si="158"/>
        <v>AS89</v>
      </c>
      <c r="L522" t="s">
        <v>1964</v>
      </c>
      <c r="M522">
        <v>133.9</v>
      </c>
    </row>
    <row r="523" spans="1:13" x14ac:dyDescent="0.25">
      <c r="A523" t="str">
        <f t="shared" si="159"/>
        <v>E257</v>
      </c>
      <c r="B523">
        <v>1</v>
      </c>
      <c r="C523" t="str">
        <f t="shared" si="160"/>
        <v>10200</v>
      </c>
      <c r="D523" t="str">
        <f t="shared" si="161"/>
        <v>5620</v>
      </c>
      <c r="E523" t="str">
        <f t="shared" si="162"/>
        <v>094OMS</v>
      </c>
      <c r="F523" t="str">
        <f>""</f>
        <v/>
      </c>
      <c r="G523" t="str">
        <f>""</f>
        <v/>
      </c>
      <c r="H523" s="1">
        <v>41274</v>
      </c>
      <c r="I523" t="str">
        <f>"PCD00575"</f>
        <v>PCD00575</v>
      </c>
      <c r="J523" t="str">
        <f>"182195"</f>
        <v>182195</v>
      </c>
      <c r="K523" t="str">
        <f t="shared" si="158"/>
        <v>AS89</v>
      </c>
      <c r="L523" t="s">
        <v>1963</v>
      </c>
      <c r="M523">
        <v>108.7</v>
      </c>
    </row>
    <row r="524" spans="1:13" x14ac:dyDescent="0.25">
      <c r="A524" t="str">
        <f t="shared" si="159"/>
        <v>E257</v>
      </c>
      <c r="B524">
        <v>1</v>
      </c>
      <c r="C524" t="str">
        <f t="shared" si="160"/>
        <v>10200</v>
      </c>
      <c r="D524" t="str">
        <f t="shared" si="161"/>
        <v>5620</v>
      </c>
      <c r="E524" t="str">
        <f t="shared" si="162"/>
        <v>094OMS</v>
      </c>
      <c r="F524" t="str">
        <f>""</f>
        <v/>
      </c>
      <c r="G524" t="str">
        <f>""</f>
        <v/>
      </c>
      <c r="H524" s="1">
        <v>41274</v>
      </c>
      <c r="I524" t="str">
        <f>"PCD00575"</f>
        <v>PCD00575</v>
      </c>
      <c r="J524" t="str">
        <f>"182196"</f>
        <v>182196</v>
      </c>
      <c r="K524" t="str">
        <f t="shared" si="158"/>
        <v>AS89</v>
      </c>
      <c r="L524" t="s">
        <v>1963</v>
      </c>
      <c r="M524">
        <v>241.54</v>
      </c>
    </row>
    <row r="525" spans="1:13" x14ac:dyDescent="0.25">
      <c r="A525" t="str">
        <f t="shared" si="159"/>
        <v>E257</v>
      </c>
      <c r="B525">
        <v>1</v>
      </c>
      <c r="C525" t="str">
        <f t="shared" si="160"/>
        <v>10200</v>
      </c>
      <c r="D525" t="str">
        <f t="shared" si="161"/>
        <v>5620</v>
      </c>
      <c r="E525" t="str">
        <f t="shared" si="162"/>
        <v>094OMS</v>
      </c>
      <c r="F525" t="str">
        <f>""</f>
        <v/>
      </c>
      <c r="G525" t="str">
        <f>""</f>
        <v/>
      </c>
      <c r="H525" s="1">
        <v>41305</v>
      </c>
      <c r="I525" t="str">
        <f>"PCD00580"</f>
        <v>PCD00580</v>
      </c>
      <c r="J525" t="str">
        <f>"183778"</f>
        <v>183778</v>
      </c>
      <c r="K525" t="str">
        <f t="shared" si="158"/>
        <v>AS89</v>
      </c>
      <c r="L525" t="s">
        <v>1962</v>
      </c>
      <c r="M525">
        <v>347.8</v>
      </c>
    </row>
    <row r="526" spans="1:13" x14ac:dyDescent="0.25">
      <c r="A526" t="str">
        <f t="shared" si="159"/>
        <v>E257</v>
      </c>
      <c r="B526">
        <v>1</v>
      </c>
      <c r="C526" t="str">
        <f t="shared" si="160"/>
        <v>10200</v>
      </c>
      <c r="D526" t="str">
        <f t="shared" si="161"/>
        <v>5620</v>
      </c>
      <c r="E526" t="str">
        <f t="shared" si="162"/>
        <v>094OMS</v>
      </c>
      <c r="F526" t="str">
        <f>""</f>
        <v/>
      </c>
      <c r="G526" t="str">
        <f>""</f>
        <v/>
      </c>
      <c r="H526" s="1">
        <v>41364</v>
      </c>
      <c r="I526" t="str">
        <f>"PCD00588"</f>
        <v>PCD00588</v>
      </c>
      <c r="J526" t="str">
        <f>"188068"</f>
        <v>188068</v>
      </c>
      <c r="K526" t="str">
        <f t="shared" si="158"/>
        <v>AS89</v>
      </c>
      <c r="L526" t="s">
        <v>1961</v>
      </c>
      <c r="M526">
        <v>885.77</v>
      </c>
    </row>
    <row r="527" spans="1:13" x14ac:dyDescent="0.25">
      <c r="A527" t="str">
        <f t="shared" si="159"/>
        <v>E257</v>
      </c>
      <c r="B527">
        <v>1</v>
      </c>
      <c r="C527" t="str">
        <f t="shared" si="160"/>
        <v>10200</v>
      </c>
      <c r="D527" t="str">
        <f t="shared" si="161"/>
        <v>5620</v>
      </c>
      <c r="E527" t="str">
        <f t="shared" si="162"/>
        <v>094OMS</v>
      </c>
      <c r="F527" t="str">
        <f>""</f>
        <v/>
      </c>
      <c r="G527" t="str">
        <f>""</f>
        <v/>
      </c>
      <c r="H527" s="1">
        <v>41364</v>
      </c>
      <c r="I527" t="str">
        <f>"PCD00588"</f>
        <v>PCD00588</v>
      </c>
      <c r="J527" t="str">
        <f>"188252"</f>
        <v>188252</v>
      </c>
      <c r="K527" t="str">
        <f t="shared" si="158"/>
        <v>AS89</v>
      </c>
      <c r="L527" t="s">
        <v>1960</v>
      </c>
      <c r="M527">
        <v>666.07</v>
      </c>
    </row>
    <row r="528" spans="1:13" x14ac:dyDescent="0.25">
      <c r="A528" t="str">
        <f t="shared" si="159"/>
        <v>E257</v>
      </c>
      <c r="B528">
        <v>1</v>
      </c>
      <c r="C528" t="str">
        <f t="shared" si="160"/>
        <v>10200</v>
      </c>
      <c r="D528" t="str">
        <f t="shared" si="161"/>
        <v>5620</v>
      </c>
      <c r="E528" t="str">
        <f t="shared" si="162"/>
        <v>094OMS</v>
      </c>
      <c r="F528" t="str">
        <f>""</f>
        <v/>
      </c>
      <c r="G528" t="str">
        <f>""</f>
        <v/>
      </c>
      <c r="H528" s="1">
        <v>41364</v>
      </c>
      <c r="I528" t="str">
        <f>"PCD00588"</f>
        <v>PCD00588</v>
      </c>
      <c r="J528" t="str">
        <f>"188256"</f>
        <v>188256</v>
      </c>
      <c r="K528" t="str">
        <f t="shared" si="158"/>
        <v>AS89</v>
      </c>
      <c r="L528" t="s">
        <v>1960</v>
      </c>
      <c r="M528">
        <v>666.07</v>
      </c>
    </row>
    <row r="529" spans="1:13" x14ac:dyDescent="0.25">
      <c r="A529" t="str">
        <f t="shared" si="159"/>
        <v>E257</v>
      </c>
      <c r="B529">
        <v>1</v>
      </c>
      <c r="C529" t="str">
        <f t="shared" si="160"/>
        <v>10200</v>
      </c>
      <c r="D529" t="str">
        <f t="shared" si="161"/>
        <v>5620</v>
      </c>
      <c r="E529" t="str">
        <f t="shared" si="162"/>
        <v>094OMS</v>
      </c>
      <c r="F529" t="str">
        <f>""</f>
        <v/>
      </c>
      <c r="G529" t="str">
        <f>""</f>
        <v/>
      </c>
      <c r="H529" s="1">
        <v>41364</v>
      </c>
      <c r="I529" t="str">
        <f>"PCD00588"</f>
        <v>PCD00588</v>
      </c>
      <c r="J529" t="str">
        <f>"188350"</f>
        <v>188350</v>
      </c>
      <c r="K529" t="str">
        <f t="shared" si="158"/>
        <v>AS89</v>
      </c>
      <c r="L529" t="s">
        <v>1959</v>
      </c>
      <c r="M529">
        <v>524.59</v>
      </c>
    </row>
    <row r="530" spans="1:13" x14ac:dyDescent="0.25">
      <c r="A530" t="str">
        <f t="shared" si="159"/>
        <v>E257</v>
      </c>
      <c r="B530">
        <v>1</v>
      </c>
      <c r="C530" t="str">
        <f t="shared" si="160"/>
        <v>10200</v>
      </c>
      <c r="D530" t="str">
        <f t="shared" si="161"/>
        <v>5620</v>
      </c>
      <c r="E530" t="str">
        <f t="shared" si="162"/>
        <v>094OMS</v>
      </c>
      <c r="F530" t="str">
        <f>""</f>
        <v/>
      </c>
      <c r="G530" t="str">
        <f>""</f>
        <v/>
      </c>
      <c r="H530" s="1">
        <v>41368</v>
      </c>
      <c r="I530" t="str">
        <f>"210964"</f>
        <v>210964</v>
      </c>
      <c r="J530" t="str">
        <f>""</f>
        <v/>
      </c>
      <c r="K530" t="str">
        <f>"INNI"</f>
        <v>INNI</v>
      </c>
      <c r="L530" t="s">
        <v>1498</v>
      </c>
      <c r="M530" s="2">
        <v>3177.09</v>
      </c>
    </row>
    <row r="531" spans="1:13" x14ac:dyDescent="0.25">
      <c r="A531" t="str">
        <f t="shared" si="159"/>
        <v>E257</v>
      </c>
      <c r="B531">
        <v>1</v>
      </c>
      <c r="C531" t="str">
        <f t="shared" si="160"/>
        <v>10200</v>
      </c>
      <c r="D531" t="str">
        <f t="shared" si="161"/>
        <v>5620</v>
      </c>
      <c r="E531" t="str">
        <f t="shared" si="162"/>
        <v>094OMS</v>
      </c>
      <c r="F531" t="str">
        <f>""</f>
        <v/>
      </c>
      <c r="G531" t="str">
        <f>""</f>
        <v/>
      </c>
      <c r="H531" s="1">
        <v>41394</v>
      </c>
      <c r="I531" t="str">
        <f>"PCD00594"</f>
        <v>PCD00594</v>
      </c>
      <c r="J531" t="str">
        <f>"190244"</f>
        <v>190244</v>
      </c>
      <c r="K531" t="str">
        <f t="shared" ref="K531:K537" si="163">"AS89"</f>
        <v>AS89</v>
      </c>
      <c r="L531" t="s">
        <v>1958</v>
      </c>
      <c r="M531">
        <v>781.55</v>
      </c>
    </row>
    <row r="532" spans="1:13" x14ac:dyDescent="0.25">
      <c r="A532" t="str">
        <f t="shared" si="159"/>
        <v>E257</v>
      </c>
      <c r="B532">
        <v>1</v>
      </c>
      <c r="C532" t="str">
        <f t="shared" si="160"/>
        <v>10200</v>
      </c>
      <c r="D532" t="str">
        <f t="shared" si="161"/>
        <v>5620</v>
      </c>
      <c r="E532" t="str">
        <f t="shared" si="162"/>
        <v>094OMS</v>
      </c>
      <c r="F532" t="str">
        <f>""</f>
        <v/>
      </c>
      <c r="G532" t="str">
        <f>""</f>
        <v/>
      </c>
      <c r="H532" s="1">
        <v>41439</v>
      </c>
      <c r="I532" t="str">
        <f>"PCD00602"</f>
        <v>PCD00602</v>
      </c>
      <c r="J532" t="str">
        <f>"194674"</f>
        <v>194674</v>
      </c>
      <c r="K532" t="str">
        <f t="shared" si="163"/>
        <v>AS89</v>
      </c>
      <c r="L532" t="s">
        <v>1957</v>
      </c>
      <c r="M532">
        <v>272.29000000000002</v>
      </c>
    </row>
    <row r="533" spans="1:13" x14ac:dyDescent="0.25">
      <c r="A533" t="str">
        <f t="shared" si="159"/>
        <v>E257</v>
      </c>
      <c r="B533">
        <v>1</v>
      </c>
      <c r="C533" t="str">
        <f t="shared" si="160"/>
        <v>10200</v>
      </c>
      <c r="D533" t="str">
        <f t="shared" si="161"/>
        <v>5620</v>
      </c>
      <c r="E533" t="str">
        <f t="shared" si="162"/>
        <v>094OMS</v>
      </c>
      <c r="F533" t="str">
        <f>""</f>
        <v/>
      </c>
      <c r="G533" t="str">
        <f>""</f>
        <v/>
      </c>
      <c r="H533" s="1">
        <v>41455</v>
      </c>
      <c r="I533" t="str">
        <f>"PCD00605"</f>
        <v>PCD00605</v>
      </c>
      <c r="J533" t="str">
        <f>"196119"</f>
        <v>196119</v>
      </c>
      <c r="K533" t="str">
        <f t="shared" si="163"/>
        <v>AS89</v>
      </c>
      <c r="L533" t="s">
        <v>1956</v>
      </c>
      <c r="M533">
        <v>537.74</v>
      </c>
    </row>
    <row r="534" spans="1:13" x14ac:dyDescent="0.25">
      <c r="A534" t="str">
        <f t="shared" si="159"/>
        <v>E257</v>
      </c>
      <c r="B534">
        <v>1</v>
      </c>
      <c r="C534" t="str">
        <f>"32040"</f>
        <v>32040</v>
      </c>
      <c r="D534" t="str">
        <f>"5610"</f>
        <v>5610</v>
      </c>
      <c r="E534" t="str">
        <f>"850LOS"</f>
        <v>850LOS</v>
      </c>
      <c r="F534" t="str">
        <f>""</f>
        <v/>
      </c>
      <c r="G534" t="str">
        <f>""</f>
        <v/>
      </c>
      <c r="H534" s="1">
        <v>41455</v>
      </c>
      <c r="I534" t="str">
        <f>"PCD00605"</f>
        <v>PCD00605</v>
      </c>
      <c r="J534" t="str">
        <f>"195557"</f>
        <v>195557</v>
      </c>
      <c r="K534" t="str">
        <f t="shared" si="163"/>
        <v>AS89</v>
      </c>
      <c r="L534" t="s">
        <v>1955</v>
      </c>
      <c r="M534">
        <v>342.03</v>
      </c>
    </row>
    <row r="535" spans="1:13" x14ac:dyDescent="0.25">
      <c r="A535" t="str">
        <f t="shared" si="159"/>
        <v>E257</v>
      </c>
      <c r="B535">
        <v>1</v>
      </c>
      <c r="C535" t="str">
        <f>"43000"</f>
        <v>43000</v>
      </c>
      <c r="D535" t="str">
        <f>"5740"</f>
        <v>5740</v>
      </c>
      <c r="E535" t="str">
        <f>"850LOS"</f>
        <v>850LOS</v>
      </c>
      <c r="F535" t="str">
        <f>"PKOLOT"</f>
        <v>PKOLOT</v>
      </c>
      <c r="G535" t="str">
        <f>""</f>
        <v/>
      </c>
      <c r="H535" s="1">
        <v>41182</v>
      </c>
      <c r="I535" t="str">
        <f>"PCD00558"</f>
        <v>PCD00558</v>
      </c>
      <c r="J535" t="str">
        <f>"176388"</f>
        <v>176388</v>
      </c>
      <c r="K535" t="str">
        <f t="shared" si="163"/>
        <v>AS89</v>
      </c>
      <c r="L535" t="s">
        <v>1954</v>
      </c>
      <c r="M535">
        <v>244.53</v>
      </c>
    </row>
    <row r="536" spans="1:13" x14ac:dyDescent="0.25">
      <c r="A536" t="str">
        <f t="shared" si="159"/>
        <v>E257</v>
      </c>
      <c r="B536">
        <v>1</v>
      </c>
      <c r="C536" t="str">
        <f>"43000"</f>
        <v>43000</v>
      </c>
      <c r="D536" t="str">
        <f>"5740"</f>
        <v>5740</v>
      </c>
      <c r="E536" t="str">
        <f>"850LOS"</f>
        <v>850LOS</v>
      </c>
      <c r="F536" t="str">
        <f>""</f>
        <v/>
      </c>
      <c r="G536" t="str">
        <f>""</f>
        <v/>
      </c>
      <c r="H536" s="1">
        <v>41213</v>
      </c>
      <c r="I536" t="str">
        <f>"PCD00564"</f>
        <v>PCD00564</v>
      </c>
      <c r="J536" t="str">
        <f>"177950"</f>
        <v>177950</v>
      </c>
      <c r="K536" t="str">
        <f t="shared" si="163"/>
        <v>AS89</v>
      </c>
      <c r="L536" t="s">
        <v>1953</v>
      </c>
      <c r="M536">
        <v>686.28</v>
      </c>
    </row>
    <row r="537" spans="1:13" x14ac:dyDescent="0.25">
      <c r="A537" t="str">
        <f t="shared" si="159"/>
        <v>E257</v>
      </c>
      <c r="B537">
        <v>1</v>
      </c>
      <c r="C537" t="str">
        <f>"43000"</f>
        <v>43000</v>
      </c>
      <c r="D537" t="str">
        <f>"5740"</f>
        <v>5740</v>
      </c>
      <c r="E537" t="str">
        <f>"850LOS"</f>
        <v>850LOS</v>
      </c>
      <c r="F537" t="str">
        <f>""</f>
        <v/>
      </c>
      <c r="G537" t="str">
        <f>""</f>
        <v/>
      </c>
      <c r="H537" s="1">
        <v>41425</v>
      </c>
      <c r="I537" t="str">
        <f>"PCD00599"</f>
        <v>PCD00599</v>
      </c>
      <c r="J537" t="str">
        <f>"193002"</f>
        <v>193002</v>
      </c>
      <c r="K537" t="str">
        <f t="shared" si="163"/>
        <v>AS89</v>
      </c>
      <c r="L537" t="s">
        <v>1952</v>
      </c>
      <c r="M537">
        <v>156.53</v>
      </c>
    </row>
    <row r="538" spans="1:13" x14ac:dyDescent="0.25">
      <c r="A538" t="str">
        <f t="shared" si="159"/>
        <v>E257</v>
      </c>
      <c r="B538">
        <v>1</v>
      </c>
      <c r="C538" t="str">
        <f>"43000"</f>
        <v>43000</v>
      </c>
      <c r="D538" t="str">
        <f>"5740"</f>
        <v>5740</v>
      </c>
      <c r="E538" t="str">
        <f>"850PKE"</f>
        <v>850PKE</v>
      </c>
      <c r="F538" t="str">
        <f>""</f>
        <v/>
      </c>
      <c r="G538" t="str">
        <f>""</f>
        <v/>
      </c>
      <c r="H538" s="1">
        <v>41368</v>
      </c>
      <c r="I538" t="str">
        <f>"210964"</f>
        <v>210964</v>
      </c>
      <c r="J538" t="str">
        <f>""</f>
        <v/>
      </c>
      <c r="K538" t="str">
        <f>"INNI"</f>
        <v>INNI</v>
      </c>
      <c r="L538" t="s">
        <v>1498</v>
      </c>
      <c r="M538">
        <v>452.95</v>
      </c>
    </row>
    <row r="539" spans="1:13" x14ac:dyDescent="0.25">
      <c r="A539" t="str">
        <f>"E261"</f>
        <v>E261</v>
      </c>
      <c r="B539">
        <v>1</v>
      </c>
      <c r="C539" t="str">
        <f>"10200"</f>
        <v>10200</v>
      </c>
      <c r="D539" t="str">
        <f>"5620"</f>
        <v>5620</v>
      </c>
      <c r="E539" t="str">
        <f>"094OMS"</f>
        <v>094OMS</v>
      </c>
      <c r="F539" t="str">
        <f>""</f>
        <v/>
      </c>
      <c r="G539" t="str">
        <f>""</f>
        <v/>
      </c>
      <c r="H539" s="1">
        <v>41143</v>
      </c>
      <c r="I539" t="str">
        <f>"199502A"</f>
        <v>199502A</v>
      </c>
      <c r="J539" t="str">
        <f>""</f>
        <v/>
      </c>
      <c r="K539" t="str">
        <f>"INNI"</f>
        <v>INNI</v>
      </c>
      <c r="L539" t="s">
        <v>1951</v>
      </c>
      <c r="M539">
        <v>250</v>
      </c>
    </row>
    <row r="540" spans="1:13" x14ac:dyDescent="0.25">
      <c r="A540" t="str">
        <f>"E261"</f>
        <v>E261</v>
      </c>
      <c r="B540">
        <v>1</v>
      </c>
      <c r="C540" t="str">
        <f>"32040"</f>
        <v>32040</v>
      </c>
      <c r="D540" t="str">
        <f>"5610"</f>
        <v>5610</v>
      </c>
      <c r="E540" t="str">
        <f>"850LOS"</f>
        <v>850LOS</v>
      </c>
      <c r="F540" t="str">
        <f>""</f>
        <v/>
      </c>
      <c r="G540" t="str">
        <f>""</f>
        <v/>
      </c>
      <c r="H540" s="1">
        <v>41333</v>
      </c>
      <c r="I540" t="str">
        <f>"PCD0584A"</f>
        <v>PCD0584A</v>
      </c>
      <c r="J540" t="str">
        <f>"186774"</f>
        <v>186774</v>
      </c>
      <c r="K540" t="str">
        <f>"AS89"</f>
        <v>AS89</v>
      </c>
      <c r="L540" t="s">
        <v>1950</v>
      </c>
      <c r="M540">
        <v>217.25</v>
      </c>
    </row>
    <row r="541" spans="1:13" x14ac:dyDescent="0.25">
      <c r="A541" t="str">
        <f>"E261"</f>
        <v>E261</v>
      </c>
      <c r="B541">
        <v>1</v>
      </c>
      <c r="C541" t="str">
        <f>"32040"</f>
        <v>32040</v>
      </c>
      <c r="D541" t="str">
        <f>"5610"</f>
        <v>5610</v>
      </c>
      <c r="E541" t="str">
        <f>"850LOS"</f>
        <v>850LOS</v>
      </c>
      <c r="F541" t="str">
        <f>""</f>
        <v/>
      </c>
      <c r="G541" t="str">
        <f>""</f>
        <v/>
      </c>
      <c r="H541" s="1">
        <v>41333</v>
      </c>
      <c r="I541" t="str">
        <f>"PCD0584A"</f>
        <v>PCD0584A</v>
      </c>
      <c r="J541" t="str">
        <f>"187106"</f>
        <v>187106</v>
      </c>
      <c r="K541" t="str">
        <f>"AS89"</f>
        <v>AS89</v>
      </c>
      <c r="L541" t="s">
        <v>1949</v>
      </c>
      <c r="M541">
        <v>205</v>
      </c>
    </row>
    <row r="542" spans="1:13" x14ac:dyDescent="0.25">
      <c r="A542" t="str">
        <f t="shared" ref="A542:A548" si="164">"E263"</f>
        <v>E263</v>
      </c>
      <c r="B542">
        <v>1</v>
      </c>
      <c r="C542" t="str">
        <f>"10200"</f>
        <v>10200</v>
      </c>
      <c r="D542" t="str">
        <f>"5620"</f>
        <v>5620</v>
      </c>
      <c r="E542" t="str">
        <f>"094OMS"</f>
        <v>094OMS</v>
      </c>
      <c r="F542" t="str">
        <f>""</f>
        <v/>
      </c>
      <c r="G542" t="str">
        <f>""</f>
        <v/>
      </c>
      <c r="H542" s="1">
        <v>41192</v>
      </c>
      <c r="I542" t="str">
        <f>"Q64755"</f>
        <v>Q64755</v>
      </c>
      <c r="J542" t="str">
        <f>""</f>
        <v/>
      </c>
      <c r="K542" t="str">
        <f>"INNI"</f>
        <v>INNI</v>
      </c>
      <c r="L542" t="s">
        <v>284</v>
      </c>
      <c r="M542">
        <v>110.72</v>
      </c>
    </row>
    <row r="543" spans="1:13" x14ac:dyDescent="0.25">
      <c r="A543" t="str">
        <f t="shared" si="164"/>
        <v>E263</v>
      </c>
      <c r="B543">
        <v>1</v>
      </c>
      <c r="C543" t="str">
        <f>"10200"</f>
        <v>10200</v>
      </c>
      <c r="D543" t="str">
        <f>"5620"</f>
        <v>5620</v>
      </c>
      <c r="E543" t="str">
        <f>"094OMS"</f>
        <v>094OMS</v>
      </c>
      <c r="F543" t="str">
        <f>""</f>
        <v/>
      </c>
      <c r="G543" t="str">
        <f>""</f>
        <v/>
      </c>
      <c r="H543" s="1">
        <v>41274</v>
      </c>
      <c r="I543" t="str">
        <f>"PCD00575"</f>
        <v>PCD00575</v>
      </c>
      <c r="J543" t="str">
        <f>"182702"</f>
        <v>182702</v>
      </c>
      <c r="K543" t="str">
        <f>"AS89"</f>
        <v>AS89</v>
      </c>
      <c r="L543" t="s">
        <v>1947</v>
      </c>
      <c r="M543">
        <v>300.85000000000002</v>
      </c>
    </row>
    <row r="544" spans="1:13" x14ac:dyDescent="0.25">
      <c r="A544" t="str">
        <f t="shared" si="164"/>
        <v>E263</v>
      </c>
      <c r="B544">
        <v>1</v>
      </c>
      <c r="C544" t="str">
        <f>"43000"</f>
        <v>43000</v>
      </c>
      <c r="D544" t="str">
        <f t="shared" ref="D544:D550" si="165">"5740"</f>
        <v>5740</v>
      </c>
      <c r="E544" t="str">
        <f>"850LOS"</f>
        <v>850LOS</v>
      </c>
      <c r="F544" t="str">
        <f>""</f>
        <v/>
      </c>
      <c r="G544" t="str">
        <f>""</f>
        <v/>
      </c>
      <c r="H544" s="1">
        <v>41130</v>
      </c>
      <c r="I544" t="str">
        <f>"Q64752"</f>
        <v>Q64752</v>
      </c>
      <c r="J544" t="str">
        <f>""</f>
        <v/>
      </c>
      <c r="K544" t="str">
        <f>"INNI"</f>
        <v>INNI</v>
      </c>
      <c r="L544" t="s">
        <v>1948</v>
      </c>
      <c r="M544">
        <v>311.51</v>
      </c>
    </row>
    <row r="545" spans="1:13" x14ac:dyDescent="0.25">
      <c r="A545" t="str">
        <f t="shared" si="164"/>
        <v>E263</v>
      </c>
      <c r="B545">
        <v>1</v>
      </c>
      <c r="C545" t="str">
        <f>"43000"</f>
        <v>43000</v>
      </c>
      <c r="D545" t="str">
        <f t="shared" si="165"/>
        <v>5740</v>
      </c>
      <c r="E545" t="str">
        <f>"850LOS"</f>
        <v>850LOS</v>
      </c>
      <c r="F545" t="str">
        <f>""</f>
        <v/>
      </c>
      <c r="G545" t="str">
        <f>""</f>
        <v/>
      </c>
      <c r="H545" s="1">
        <v>41151</v>
      </c>
      <c r="I545" t="str">
        <f>"196034"</f>
        <v>196034</v>
      </c>
      <c r="J545" t="str">
        <f>""</f>
        <v/>
      </c>
      <c r="K545" t="str">
        <f>"INNI"</f>
        <v>INNI</v>
      </c>
      <c r="L545" t="s">
        <v>1702</v>
      </c>
      <c r="M545">
        <v>194.3</v>
      </c>
    </row>
    <row r="546" spans="1:13" x14ac:dyDescent="0.25">
      <c r="A546" t="str">
        <f t="shared" si="164"/>
        <v>E263</v>
      </c>
      <c r="B546">
        <v>1</v>
      </c>
      <c r="C546" t="str">
        <f>"43000"</f>
        <v>43000</v>
      </c>
      <c r="D546" t="str">
        <f t="shared" si="165"/>
        <v>5740</v>
      </c>
      <c r="E546" t="str">
        <f>"850LOS"</f>
        <v>850LOS</v>
      </c>
      <c r="F546" t="str">
        <f>""</f>
        <v/>
      </c>
      <c r="G546" t="str">
        <f>""</f>
        <v/>
      </c>
      <c r="H546" s="1">
        <v>41192</v>
      </c>
      <c r="I546" t="str">
        <f>"Q64755"</f>
        <v>Q64755</v>
      </c>
      <c r="J546" t="str">
        <f>""</f>
        <v/>
      </c>
      <c r="K546" t="str">
        <f>"INNI"</f>
        <v>INNI</v>
      </c>
      <c r="L546" t="s">
        <v>284</v>
      </c>
      <c r="M546">
        <v>124.56</v>
      </c>
    </row>
    <row r="547" spans="1:13" x14ac:dyDescent="0.25">
      <c r="A547" t="str">
        <f t="shared" si="164"/>
        <v>E263</v>
      </c>
      <c r="B547">
        <v>1</v>
      </c>
      <c r="C547" t="str">
        <f>"43000"</f>
        <v>43000</v>
      </c>
      <c r="D547" t="str">
        <f t="shared" si="165"/>
        <v>5740</v>
      </c>
      <c r="E547" t="str">
        <f>"850LOS"</f>
        <v>850LOS</v>
      </c>
      <c r="F547" t="str">
        <f>""</f>
        <v/>
      </c>
      <c r="G547" t="str">
        <f>""</f>
        <v/>
      </c>
      <c r="H547" s="1">
        <v>41274</v>
      </c>
      <c r="I547" t="str">
        <f>"PCD00575"</f>
        <v>PCD00575</v>
      </c>
      <c r="J547" t="str">
        <f>"182702"</f>
        <v>182702</v>
      </c>
      <c r="K547" t="str">
        <f>"AS89"</f>
        <v>AS89</v>
      </c>
      <c r="L547" t="s">
        <v>1947</v>
      </c>
      <c r="M547">
        <v>222.34</v>
      </c>
    </row>
    <row r="548" spans="1:13" x14ac:dyDescent="0.25">
      <c r="A548" t="str">
        <f t="shared" si="164"/>
        <v>E263</v>
      </c>
      <c r="B548">
        <v>1</v>
      </c>
      <c r="C548" t="str">
        <f>"43000"</f>
        <v>43000</v>
      </c>
      <c r="D548" t="str">
        <f t="shared" si="165"/>
        <v>5740</v>
      </c>
      <c r="E548" t="str">
        <f>"850LOS"</f>
        <v>850LOS</v>
      </c>
      <c r="F548" t="str">
        <f>""</f>
        <v/>
      </c>
      <c r="G548" t="str">
        <f>""</f>
        <v/>
      </c>
      <c r="H548" s="1">
        <v>41274</v>
      </c>
      <c r="I548" t="str">
        <f>"PCD00575"</f>
        <v>PCD00575</v>
      </c>
      <c r="J548" t="str">
        <f>"182702"</f>
        <v>182702</v>
      </c>
      <c r="K548" t="str">
        <f>"AS89"</f>
        <v>AS89</v>
      </c>
      <c r="L548" t="s">
        <v>1947</v>
      </c>
      <c r="M548">
        <v>143.34</v>
      </c>
    </row>
    <row r="549" spans="1:13" x14ac:dyDescent="0.25">
      <c r="A549" t="str">
        <f>"E266"</f>
        <v>E266</v>
      </c>
      <c r="B549">
        <v>1</v>
      </c>
      <c r="C549" t="str">
        <f>"78020"</f>
        <v>78020</v>
      </c>
      <c r="D549" t="str">
        <f t="shared" si="165"/>
        <v>5740</v>
      </c>
      <c r="E549" t="str">
        <f>"850GAR"</f>
        <v>850GAR</v>
      </c>
      <c r="F549" t="str">
        <f>""</f>
        <v/>
      </c>
      <c r="G549" t="str">
        <f>""</f>
        <v/>
      </c>
      <c r="H549" s="1">
        <v>41424</v>
      </c>
      <c r="I549" t="str">
        <f>"ACG02301"</f>
        <v>ACG02301</v>
      </c>
      <c r="J549" t="str">
        <f>""</f>
        <v/>
      </c>
      <c r="K549" t="str">
        <f>"AS96"</f>
        <v>AS96</v>
      </c>
      <c r="L549" t="s">
        <v>1917</v>
      </c>
      <c r="M549" s="2">
        <v>13585.96</v>
      </c>
    </row>
    <row r="550" spans="1:13" x14ac:dyDescent="0.25">
      <c r="A550" t="str">
        <f>"E266"</f>
        <v>E266</v>
      </c>
      <c r="B550">
        <v>1</v>
      </c>
      <c r="C550" t="str">
        <f>"78020"</f>
        <v>78020</v>
      </c>
      <c r="D550" t="str">
        <f t="shared" si="165"/>
        <v>5740</v>
      </c>
      <c r="E550" t="str">
        <f>"850GAR"</f>
        <v>850GAR</v>
      </c>
      <c r="F550" t="str">
        <f>""</f>
        <v/>
      </c>
      <c r="G550" t="str">
        <f>""</f>
        <v/>
      </c>
      <c r="H550" s="1">
        <v>41455</v>
      </c>
      <c r="I550" t="str">
        <f>"ACG02311"</f>
        <v>ACG02311</v>
      </c>
      <c r="J550" t="str">
        <f>""</f>
        <v/>
      </c>
      <c r="K550" t="str">
        <f>"AS96"</f>
        <v>AS96</v>
      </c>
      <c r="L550" t="s">
        <v>1916</v>
      </c>
      <c r="M550" s="2">
        <v>12673.44</v>
      </c>
    </row>
    <row r="551" spans="1:13" x14ac:dyDescent="0.25">
      <c r="A551" t="str">
        <f t="shared" ref="A551:A558" si="166">"E267"</f>
        <v>E267</v>
      </c>
      <c r="B551">
        <v>1</v>
      </c>
      <c r="C551" t="str">
        <f>"32040"</f>
        <v>32040</v>
      </c>
      <c r="D551" t="str">
        <f>"5610"</f>
        <v>5610</v>
      </c>
      <c r="E551" t="str">
        <f t="shared" ref="E551:E558" si="167">"850LOS"</f>
        <v>850LOS</v>
      </c>
      <c r="F551" t="str">
        <f>""</f>
        <v/>
      </c>
      <c r="G551" t="str">
        <f>""</f>
        <v/>
      </c>
      <c r="H551" s="1">
        <v>41217</v>
      </c>
      <c r="I551" t="str">
        <f>"BJV00338"</f>
        <v>BJV00338</v>
      </c>
      <c r="J551" t="str">
        <f>""</f>
        <v/>
      </c>
      <c r="K551" t="str">
        <f>"J096"</f>
        <v>J096</v>
      </c>
      <c r="L551" t="s">
        <v>1946</v>
      </c>
      <c r="M551" s="2">
        <v>1995</v>
      </c>
    </row>
    <row r="552" spans="1:13" x14ac:dyDescent="0.25">
      <c r="A552" t="str">
        <f t="shared" si="166"/>
        <v>E267</v>
      </c>
      <c r="B552">
        <v>1</v>
      </c>
      <c r="C552" t="str">
        <f>"32040"</f>
        <v>32040</v>
      </c>
      <c r="D552" t="str">
        <f>"5610"</f>
        <v>5610</v>
      </c>
      <c r="E552" t="str">
        <f t="shared" si="167"/>
        <v>850LOS</v>
      </c>
      <c r="F552" t="str">
        <f>""</f>
        <v/>
      </c>
      <c r="G552" t="str">
        <f>""</f>
        <v/>
      </c>
      <c r="H552" s="1">
        <v>41285</v>
      </c>
      <c r="I552" t="str">
        <f>"BJV00339"</f>
        <v>BJV00339</v>
      </c>
      <c r="J552" t="str">
        <f>""</f>
        <v/>
      </c>
      <c r="K552" t="str">
        <f>"AS96"</f>
        <v>AS96</v>
      </c>
      <c r="L552" t="s">
        <v>1945</v>
      </c>
      <c r="M552" s="2">
        <v>1443</v>
      </c>
    </row>
    <row r="553" spans="1:13" x14ac:dyDescent="0.25">
      <c r="A553" t="str">
        <f t="shared" si="166"/>
        <v>E267</v>
      </c>
      <c r="B553">
        <v>1</v>
      </c>
      <c r="C553" t="str">
        <f>"32040"</f>
        <v>32040</v>
      </c>
      <c r="D553" t="str">
        <f>"5610"</f>
        <v>5610</v>
      </c>
      <c r="E553" t="str">
        <f t="shared" si="167"/>
        <v>850LOS</v>
      </c>
      <c r="F553" t="str">
        <f>""</f>
        <v/>
      </c>
      <c r="G553" t="str">
        <f>""</f>
        <v/>
      </c>
      <c r="H553" s="1">
        <v>41376</v>
      </c>
      <c r="I553" t="str">
        <f>"BJV00343"</f>
        <v>BJV00343</v>
      </c>
      <c r="J553" t="str">
        <f>""</f>
        <v/>
      </c>
      <c r="K553" t="str">
        <f>"AS96"</f>
        <v>AS96</v>
      </c>
      <c r="L553" t="s">
        <v>1944</v>
      </c>
      <c r="M553" s="2">
        <v>1664</v>
      </c>
    </row>
    <row r="554" spans="1:13" x14ac:dyDescent="0.25">
      <c r="A554" t="str">
        <f t="shared" si="166"/>
        <v>E267</v>
      </c>
      <c r="B554">
        <v>1</v>
      </c>
      <c r="C554" t="str">
        <f>"32040"</f>
        <v>32040</v>
      </c>
      <c r="D554" t="str">
        <f>"5610"</f>
        <v>5610</v>
      </c>
      <c r="E554" t="str">
        <f t="shared" si="167"/>
        <v>850LOS</v>
      </c>
      <c r="F554" t="str">
        <f>""</f>
        <v/>
      </c>
      <c r="G554" t="str">
        <f>""</f>
        <v/>
      </c>
      <c r="H554" s="1">
        <v>41455</v>
      </c>
      <c r="I554" t="str">
        <f>"BJV00344"</f>
        <v>BJV00344</v>
      </c>
      <c r="J554" t="str">
        <f>""</f>
        <v/>
      </c>
      <c r="K554" t="str">
        <f>"AS96"</f>
        <v>AS96</v>
      </c>
      <c r="L554" t="s">
        <v>1943</v>
      </c>
      <c r="M554" s="2">
        <v>7037</v>
      </c>
    </row>
    <row r="555" spans="1:13" x14ac:dyDescent="0.25">
      <c r="A555" t="str">
        <f t="shared" si="166"/>
        <v>E267</v>
      </c>
      <c r="B555">
        <v>1</v>
      </c>
      <c r="C555" t="str">
        <f>"43000"</f>
        <v>43000</v>
      </c>
      <c r="D555" t="str">
        <f>"5740"</f>
        <v>5740</v>
      </c>
      <c r="E555" t="str">
        <f t="shared" si="167"/>
        <v>850LOS</v>
      </c>
      <c r="F555" t="str">
        <f>""</f>
        <v/>
      </c>
      <c r="G555" t="str">
        <f>""</f>
        <v/>
      </c>
      <c r="H555" s="1">
        <v>41217</v>
      </c>
      <c r="I555" t="str">
        <f>"BJV00338"</f>
        <v>BJV00338</v>
      </c>
      <c r="J555" t="str">
        <f>""</f>
        <v/>
      </c>
      <c r="K555" t="str">
        <f>"J096"</f>
        <v>J096</v>
      </c>
      <c r="L555" t="s">
        <v>1946</v>
      </c>
      <c r="M555" s="2">
        <v>22117</v>
      </c>
    </row>
    <row r="556" spans="1:13" x14ac:dyDescent="0.25">
      <c r="A556" t="str">
        <f t="shared" si="166"/>
        <v>E267</v>
      </c>
      <c r="B556">
        <v>1</v>
      </c>
      <c r="C556" t="str">
        <f>"43000"</f>
        <v>43000</v>
      </c>
      <c r="D556" t="str">
        <f>"5740"</f>
        <v>5740</v>
      </c>
      <c r="E556" t="str">
        <f t="shared" si="167"/>
        <v>850LOS</v>
      </c>
      <c r="F556" t="str">
        <f>""</f>
        <v/>
      </c>
      <c r="G556" t="str">
        <f>""</f>
        <v/>
      </c>
      <c r="H556" s="1">
        <v>41285</v>
      </c>
      <c r="I556" t="str">
        <f>"BJV00339"</f>
        <v>BJV00339</v>
      </c>
      <c r="J556" t="str">
        <f>""</f>
        <v/>
      </c>
      <c r="K556" t="str">
        <f>"AS96"</f>
        <v>AS96</v>
      </c>
      <c r="L556" t="s">
        <v>1945</v>
      </c>
      <c r="M556" s="2">
        <v>14955</v>
      </c>
    </row>
    <row r="557" spans="1:13" x14ac:dyDescent="0.25">
      <c r="A557" t="str">
        <f t="shared" si="166"/>
        <v>E267</v>
      </c>
      <c r="B557">
        <v>1</v>
      </c>
      <c r="C557" t="str">
        <f>"43000"</f>
        <v>43000</v>
      </c>
      <c r="D557" t="str">
        <f>"5740"</f>
        <v>5740</v>
      </c>
      <c r="E557" t="str">
        <f t="shared" si="167"/>
        <v>850LOS</v>
      </c>
      <c r="F557" t="str">
        <f>""</f>
        <v/>
      </c>
      <c r="G557" t="str">
        <f>""</f>
        <v/>
      </c>
      <c r="H557" s="1">
        <v>41376</v>
      </c>
      <c r="I557" t="str">
        <f>"BJV00343"</f>
        <v>BJV00343</v>
      </c>
      <c r="J557" t="str">
        <f>""</f>
        <v/>
      </c>
      <c r="K557" t="str">
        <f>"AS96"</f>
        <v>AS96</v>
      </c>
      <c r="L557" t="s">
        <v>1944</v>
      </c>
      <c r="M557" s="2">
        <v>15247</v>
      </c>
    </row>
    <row r="558" spans="1:13" x14ac:dyDescent="0.25">
      <c r="A558" t="str">
        <f t="shared" si="166"/>
        <v>E267</v>
      </c>
      <c r="B558">
        <v>1</v>
      </c>
      <c r="C558" t="str">
        <f>"43000"</f>
        <v>43000</v>
      </c>
      <c r="D558" t="str">
        <f>"5740"</f>
        <v>5740</v>
      </c>
      <c r="E558" t="str">
        <f t="shared" si="167"/>
        <v>850LOS</v>
      </c>
      <c r="F558" t="str">
        <f>""</f>
        <v/>
      </c>
      <c r="G558" t="str">
        <f>""</f>
        <v/>
      </c>
      <c r="H558" s="1">
        <v>41455</v>
      </c>
      <c r="I558" t="str">
        <f>"BJV00344"</f>
        <v>BJV00344</v>
      </c>
      <c r="J558" t="str">
        <f>""</f>
        <v/>
      </c>
      <c r="K558" t="str">
        <f>"AS96"</f>
        <v>AS96</v>
      </c>
      <c r="L558" t="s">
        <v>1943</v>
      </c>
      <c r="M558" s="2">
        <v>15172</v>
      </c>
    </row>
    <row r="559" spans="1:13" x14ac:dyDescent="0.25">
      <c r="A559" t="str">
        <f>"E278"</f>
        <v>E278</v>
      </c>
      <c r="B559">
        <v>1</v>
      </c>
      <c r="C559" t="str">
        <f t="shared" ref="C559:C565" si="168">"23275"</f>
        <v>23275</v>
      </c>
      <c r="D559" t="str">
        <f t="shared" ref="D559:D565" si="169">"5741"</f>
        <v>5741</v>
      </c>
      <c r="E559" t="str">
        <f t="shared" ref="E559:E565" si="170">"063STF"</f>
        <v>063STF</v>
      </c>
      <c r="F559" t="str">
        <f>""</f>
        <v/>
      </c>
      <c r="G559" t="str">
        <f>""</f>
        <v/>
      </c>
      <c r="H559" s="1">
        <v>41455</v>
      </c>
      <c r="I559" t="str">
        <f>"HSG00478"</f>
        <v>HSG00478</v>
      </c>
      <c r="J559" t="str">
        <f>""</f>
        <v/>
      </c>
      <c r="K559" t="str">
        <f>"AS96"</f>
        <v>AS96</v>
      </c>
      <c r="L559" t="s">
        <v>1942</v>
      </c>
      <c r="M559" s="2">
        <v>6852.13</v>
      </c>
    </row>
    <row r="560" spans="1:13" x14ac:dyDescent="0.25">
      <c r="A560" t="str">
        <f>"E278"</f>
        <v>E278</v>
      </c>
      <c r="B560">
        <v>1</v>
      </c>
      <c r="C560" t="str">
        <f t="shared" si="168"/>
        <v>23275</v>
      </c>
      <c r="D560" t="str">
        <f t="shared" si="169"/>
        <v>5741</v>
      </c>
      <c r="E560" t="str">
        <f t="shared" si="170"/>
        <v>063STF</v>
      </c>
      <c r="F560" t="str">
        <f>""</f>
        <v/>
      </c>
      <c r="G560" t="str">
        <f>""</f>
        <v/>
      </c>
      <c r="H560" s="1">
        <v>41455</v>
      </c>
      <c r="I560" t="str">
        <f>"HSG00478"</f>
        <v>HSG00478</v>
      </c>
      <c r="J560" t="str">
        <f>""</f>
        <v/>
      </c>
      <c r="K560" t="str">
        <f>"AS96"</f>
        <v>AS96</v>
      </c>
      <c r="L560" t="s">
        <v>1941</v>
      </c>
      <c r="M560">
        <v>606.54</v>
      </c>
    </row>
    <row r="561" spans="1:13" x14ac:dyDescent="0.25">
      <c r="A561" t="str">
        <f t="shared" ref="A561:A577" si="171">"E279"</f>
        <v>E279</v>
      </c>
      <c r="B561">
        <v>1</v>
      </c>
      <c r="C561" t="str">
        <f t="shared" si="168"/>
        <v>23275</v>
      </c>
      <c r="D561" t="str">
        <f t="shared" si="169"/>
        <v>5741</v>
      </c>
      <c r="E561" t="str">
        <f t="shared" si="170"/>
        <v>063STF</v>
      </c>
      <c r="F561" t="str">
        <f>""</f>
        <v/>
      </c>
      <c r="G561" t="str">
        <f>""</f>
        <v/>
      </c>
      <c r="H561" s="1">
        <v>41158</v>
      </c>
      <c r="I561" t="str">
        <f>"J0002595"</f>
        <v>J0002595</v>
      </c>
      <c r="J561" t="str">
        <f>""</f>
        <v/>
      </c>
      <c r="K561" t="str">
        <f>"J079"</f>
        <v>J079</v>
      </c>
      <c r="L561" t="s">
        <v>1940</v>
      </c>
      <c r="M561" s="2">
        <v>121974</v>
      </c>
    </row>
    <row r="562" spans="1:13" x14ac:dyDescent="0.25">
      <c r="A562" t="str">
        <f t="shared" si="171"/>
        <v>E279</v>
      </c>
      <c r="B562">
        <v>1</v>
      </c>
      <c r="C562" t="str">
        <f t="shared" si="168"/>
        <v>23275</v>
      </c>
      <c r="D562" t="str">
        <f t="shared" si="169"/>
        <v>5741</v>
      </c>
      <c r="E562" t="str">
        <f t="shared" si="170"/>
        <v>063STF</v>
      </c>
      <c r="F562" t="str">
        <f>""</f>
        <v/>
      </c>
      <c r="G562" t="str">
        <f>""</f>
        <v/>
      </c>
      <c r="H562" s="1">
        <v>41214</v>
      </c>
      <c r="I562" t="str">
        <f>"2012645"</f>
        <v>2012645</v>
      </c>
      <c r="J562" t="str">
        <f>"N188442"</f>
        <v>N188442</v>
      </c>
      <c r="K562" t="str">
        <f t="shared" ref="K562:K569" si="172">"INEI"</f>
        <v>INEI</v>
      </c>
      <c r="L562" t="s">
        <v>330</v>
      </c>
      <c r="M562" s="2">
        <v>264487</v>
      </c>
    </row>
    <row r="563" spans="1:13" x14ac:dyDescent="0.25">
      <c r="A563" t="str">
        <f t="shared" si="171"/>
        <v>E279</v>
      </c>
      <c r="B563">
        <v>1</v>
      </c>
      <c r="C563" t="str">
        <f t="shared" si="168"/>
        <v>23275</v>
      </c>
      <c r="D563" t="str">
        <f t="shared" si="169"/>
        <v>5741</v>
      </c>
      <c r="E563" t="str">
        <f t="shared" si="170"/>
        <v>063STF</v>
      </c>
      <c r="F563" t="str">
        <f>""</f>
        <v/>
      </c>
      <c r="G563" t="str">
        <f>""</f>
        <v/>
      </c>
      <c r="H563" s="1">
        <v>41214</v>
      </c>
      <c r="I563" t="str">
        <f>"2012645"</f>
        <v>2012645</v>
      </c>
      <c r="J563" t="str">
        <f>"N188442"</f>
        <v>N188442</v>
      </c>
      <c r="K563" t="str">
        <f t="shared" si="172"/>
        <v>INEI</v>
      </c>
      <c r="L563" t="s">
        <v>330</v>
      </c>
      <c r="M563" s="2">
        <v>264487</v>
      </c>
    </row>
    <row r="564" spans="1:13" x14ac:dyDescent="0.25">
      <c r="A564" t="str">
        <f t="shared" si="171"/>
        <v>E279</v>
      </c>
      <c r="B564">
        <v>1</v>
      </c>
      <c r="C564" t="str">
        <f t="shared" si="168"/>
        <v>23275</v>
      </c>
      <c r="D564" t="str">
        <f t="shared" si="169"/>
        <v>5741</v>
      </c>
      <c r="E564" t="str">
        <f t="shared" si="170"/>
        <v>063STF</v>
      </c>
      <c r="F564" t="str">
        <f>""</f>
        <v/>
      </c>
      <c r="G564" t="str">
        <f>""</f>
        <v/>
      </c>
      <c r="H564" s="1">
        <v>41292</v>
      </c>
      <c r="I564" t="str">
        <f>"2013030"</f>
        <v>2013030</v>
      </c>
      <c r="J564" t="str">
        <f>"N188442"</f>
        <v>N188442</v>
      </c>
      <c r="K564" t="str">
        <f t="shared" si="172"/>
        <v>INEI</v>
      </c>
      <c r="L564" t="s">
        <v>330</v>
      </c>
      <c r="M564" s="2">
        <v>264487</v>
      </c>
    </row>
    <row r="565" spans="1:13" x14ac:dyDescent="0.25">
      <c r="A565" t="str">
        <f t="shared" si="171"/>
        <v>E279</v>
      </c>
      <c r="B565">
        <v>1</v>
      </c>
      <c r="C565" t="str">
        <f t="shared" si="168"/>
        <v>23275</v>
      </c>
      <c r="D565" t="str">
        <f t="shared" si="169"/>
        <v>5741</v>
      </c>
      <c r="E565" t="str">
        <f t="shared" si="170"/>
        <v>063STF</v>
      </c>
      <c r="F565" t="str">
        <f>""</f>
        <v/>
      </c>
      <c r="G565" t="str">
        <f>""</f>
        <v/>
      </c>
      <c r="H565" s="1">
        <v>41389</v>
      </c>
      <c r="I565" t="str">
        <f>"2013246"</f>
        <v>2013246</v>
      </c>
      <c r="J565" t="str">
        <f>"N188442"</f>
        <v>N188442</v>
      </c>
      <c r="K565" t="str">
        <f t="shared" si="172"/>
        <v>INEI</v>
      </c>
      <c r="L565" t="s">
        <v>330</v>
      </c>
      <c r="M565" s="2">
        <v>264487</v>
      </c>
    </row>
    <row r="566" spans="1:13" x14ac:dyDescent="0.25">
      <c r="A566" t="str">
        <f t="shared" si="171"/>
        <v>E279</v>
      </c>
      <c r="B566">
        <v>1</v>
      </c>
      <c r="C566" t="str">
        <f>"43000"</f>
        <v>43000</v>
      </c>
      <c r="D566" t="str">
        <f>"5740"</f>
        <v>5740</v>
      </c>
      <c r="E566" t="str">
        <f t="shared" ref="E566:E577" si="173">"850LOS"</f>
        <v>850LOS</v>
      </c>
      <c r="F566" t="str">
        <f>""</f>
        <v/>
      </c>
      <c r="G566" t="str">
        <f>""</f>
        <v/>
      </c>
      <c r="H566" s="1">
        <v>41275</v>
      </c>
      <c r="I566" t="str">
        <f>"2012790"</f>
        <v>2012790</v>
      </c>
      <c r="J566" t="str">
        <f>"N113803E"</f>
        <v>N113803E</v>
      </c>
      <c r="K566" t="str">
        <f t="shared" si="172"/>
        <v>INEI</v>
      </c>
      <c r="L566" t="s">
        <v>330</v>
      </c>
      <c r="M566" s="2">
        <v>64114</v>
      </c>
    </row>
    <row r="567" spans="1:13" x14ac:dyDescent="0.25">
      <c r="A567" t="str">
        <f t="shared" si="171"/>
        <v>E279</v>
      </c>
      <c r="B567">
        <v>1</v>
      </c>
      <c r="C567" t="str">
        <f>"43000"</f>
        <v>43000</v>
      </c>
      <c r="D567" t="str">
        <f>"5740"</f>
        <v>5740</v>
      </c>
      <c r="E567" t="str">
        <f t="shared" si="173"/>
        <v>850LOS</v>
      </c>
      <c r="F567" t="str">
        <f>""</f>
        <v/>
      </c>
      <c r="G567" t="str">
        <f>""</f>
        <v/>
      </c>
      <c r="H567" s="1">
        <v>41437</v>
      </c>
      <c r="I567" t="str">
        <f>"2013374"</f>
        <v>2013374</v>
      </c>
      <c r="J567" t="str">
        <f>"N113803E"</f>
        <v>N113803E</v>
      </c>
      <c r="K567" t="str">
        <f t="shared" si="172"/>
        <v>INEI</v>
      </c>
      <c r="L567" t="s">
        <v>330</v>
      </c>
      <c r="M567" s="2">
        <v>2491</v>
      </c>
    </row>
    <row r="568" spans="1:13" x14ac:dyDescent="0.25">
      <c r="A568" t="str">
        <f t="shared" si="171"/>
        <v>E279</v>
      </c>
      <c r="B568">
        <v>1</v>
      </c>
      <c r="C568" t="str">
        <f>"43000"</f>
        <v>43000</v>
      </c>
      <c r="D568" t="str">
        <f t="shared" ref="D568:D577" si="174">"5741"</f>
        <v>5741</v>
      </c>
      <c r="E568" t="str">
        <f t="shared" si="173"/>
        <v>850LOS</v>
      </c>
      <c r="F568" t="str">
        <f>""</f>
        <v/>
      </c>
      <c r="G568" t="str">
        <f>""</f>
        <v/>
      </c>
      <c r="H568" s="1">
        <v>41334</v>
      </c>
      <c r="I568" t="str">
        <f>"2013164"</f>
        <v>2013164</v>
      </c>
      <c r="J568" t="str">
        <f>"N113803E"</f>
        <v>N113803E</v>
      </c>
      <c r="K568" t="str">
        <f t="shared" si="172"/>
        <v>INEI</v>
      </c>
      <c r="L568" t="s">
        <v>330</v>
      </c>
      <c r="M568" s="2">
        <v>1927</v>
      </c>
    </row>
    <row r="569" spans="1:13" x14ac:dyDescent="0.25">
      <c r="A569" t="str">
        <f t="shared" si="171"/>
        <v>E279</v>
      </c>
      <c r="B569">
        <v>1</v>
      </c>
      <c r="C569" t="str">
        <f t="shared" ref="C569:C577" si="175">"43004"</f>
        <v>43004</v>
      </c>
      <c r="D569" t="str">
        <f t="shared" si="174"/>
        <v>5741</v>
      </c>
      <c r="E569" t="str">
        <f t="shared" si="173"/>
        <v>850LOS</v>
      </c>
      <c r="F569" t="str">
        <f>""</f>
        <v/>
      </c>
      <c r="G569" t="str">
        <f>""</f>
        <v/>
      </c>
      <c r="H569" s="1">
        <v>41137</v>
      </c>
      <c r="I569" t="str">
        <f>"2012463"</f>
        <v>2012463</v>
      </c>
      <c r="J569" t="str">
        <f>"N113803D"</f>
        <v>N113803D</v>
      </c>
      <c r="K569" t="str">
        <f t="shared" si="172"/>
        <v>INEI</v>
      </c>
      <c r="L569" t="s">
        <v>330</v>
      </c>
      <c r="M569" s="2">
        <v>10298</v>
      </c>
    </row>
    <row r="570" spans="1:13" x14ac:dyDescent="0.25">
      <c r="A570" t="str">
        <f t="shared" si="171"/>
        <v>E279</v>
      </c>
      <c r="B570">
        <v>1</v>
      </c>
      <c r="C570" t="str">
        <f t="shared" si="175"/>
        <v>43004</v>
      </c>
      <c r="D570" t="str">
        <f t="shared" si="174"/>
        <v>5741</v>
      </c>
      <c r="E570" t="str">
        <f t="shared" si="173"/>
        <v>850LOS</v>
      </c>
      <c r="F570" t="str">
        <f>""</f>
        <v/>
      </c>
      <c r="G570" t="str">
        <f>""</f>
        <v/>
      </c>
      <c r="H570" s="1">
        <v>41153</v>
      </c>
      <c r="I570" t="str">
        <f>"J0002543"</f>
        <v>J0002543</v>
      </c>
      <c r="J570" t="str">
        <f>""</f>
        <v/>
      </c>
      <c r="K570" t="str">
        <f>"J096"</f>
        <v>J096</v>
      </c>
      <c r="L570" t="s">
        <v>1908</v>
      </c>
      <c r="M570">
        <v>542</v>
      </c>
    </row>
    <row r="571" spans="1:13" x14ac:dyDescent="0.25">
      <c r="A571" t="str">
        <f t="shared" si="171"/>
        <v>E279</v>
      </c>
      <c r="B571">
        <v>1</v>
      </c>
      <c r="C571" t="str">
        <f t="shared" si="175"/>
        <v>43004</v>
      </c>
      <c r="D571" t="str">
        <f t="shared" si="174"/>
        <v>5741</v>
      </c>
      <c r="E571" t="str">
        <f t="shared" si="173"/>
        <v>850LOS</v>
      </c>
      <c r="F571" t="str">
        <f>""</f>
        <v/>
      </c>
      <c r="G571" t="str">
        <f>""</f>
        <v/>
      </c>
      <c r="H571" s="1">
        <v>41275</v>
      </c>
      <c r="I571" t="str">
        <f>"2012790"</f>
        <v>2012790</v>
      </c>
      <c r="J571" t="str">
        <f>"N113803E"</f>
        <v>N113803E</v>
      </c>
      <c r="K571" t="str">
        <f>"INEI"</f>
        <v>INEI</v>
      </c>
      <c r="L571" t="s">
        <v>330</v>
      </c>
      <c r="M571" s="2">
        <v>21292.5</v>
      </c>
    </row>
    <row r="572" spans="1:13" x14ac:dyDescent="0.25">
      <c r="A572" t="str">
        <f t="shared" si="171"/>
        <v>E279</v>
      </c>
      <c r="B572">
        <v>1</v>
      </c>
      <c r="C572" t="str">
        <f t="shared" si="175"/>
        <v>43004</v>
      </c>
      <c r="D572" t="str">
        <f t="shared" si="174"/>
        <v>5741</v>
      </c>
      <c r="E572" t="str">
        <f t="shared" si="173"/>
        <v>850LOS</v>
      </c>
      <c r="F572" t="str">
        <f>""</f>
        <v/>
      </c>
      <c r="G572" t="str">
        <f>""</f>
        <v/>
      </c>
      <c r="H572" s="1">
        <v>41313</v>
      </c>
      <c r="I572" t="str">
        <f>"J0003419"</f>
        <v>J0003419</v>
      </c>
      <c r="J572" t="str">
        <f>""</f>
        <v/>
      </c>
      <c r="K572" t="str">
        <f>"J096"</f>
        <v>J096</v>
      </c>
      <c r="L572" t="s">
        <v>1181</v>
      </c>
      <c r="M572" s="2">
        <v>4686.5</v>
      </c>
    </row>
    <row r="573" spans="1:13" x14ac:dyDescent="0.25">
      <c r="A573" t="str">
        <f t="shared" si="171"/>
        <v>E279</v>
      </c>
      <c r="B573">
        <v>1</v>
      </c>
      <c r="C573" t="str">
        <f t="shared" si="175"/>
        <v>43004</v>
      </c>
      <c r="D573" t="str">
        <f t="shared" si="174"/>
        <v>5741</v>
      </c>
      <c r="E573" t="str">
        <f t="shared" si="173"/>
        <v>850LOS</v>
      </c>
      <c r="F573" t="str">
        <f>""</f>
        <v/>
      </c>
      <c r="G573" t="str">
        <f>""</f>
        <v/>
      </c>
      <c r="H573" s="1">
        <v>41334</v>
      </c>
      <c r="I573" t="str">
        <f>"2013164"</f>
        <v>2013164</v>
      </c>
      <c r="J573" t="str">
        <f>"N113803E"</f>
        <v>N113803E</v>
      </c>
      <c r="K573" t="str">
        <f>"INEI"</f>
        <v>INEI</v>
      </c>
      <c r="L573" t="s">
        <v>330</v>
      </c>
      <c r="M573">
        <v>897</v>
      </c>
    </row>
    <row r="574" spans="1:13" x14ac:dyDescent="0.25">
      <c r="A574" t="str">
        <f t="shared" si="171"/>
        <v>E279</v>
      </c>
      <c r="B574">
        <v>1</v>
      </c>
      <c r="C574" t="str">
        <f t="shared" si="175"/>
        <v>43004</v>
      </c>
      <c r="D574" t="str">
        <f t="shared" si="174"/>
        <v>5741</v>
      </c>
      <c r="E574" t="str">
        <f t="shared" si="173"/>
        <v>850LOS</v>
      </c>
      <c r="F574" t="str">
        <f>""</f>
        <v/>
      </c>
      <c r="G574" t="str">
        <f>""</f>
        <v/>
      </c>
      <c r="H574" s="1">
        <v>41366</v>
      </c>
      <c r="I574" t="str">
        <f>"J0003927"</f>
        <v>J0003927</v>
      </c>
      <c r="J574" t="str">
        <f>""</f>
        <v/>
      </c>
      <c r="K574" t="str">
        <f>"J096"</f>
        <v>J096</v>
      </c>
      <c r="L574" t="s">
        <v>1907</v>
      </c>
      <c r="M574">
        <v>161</v>
      </c>
    </row>
    <row r="575" spans="1:13" x14ac:dyDescent="0.25">
      <c r="A575" t="str">
        <f t="shared" si="171"/>
        <v>E279</v>
      </c>
      <c r="B575">
        <v>1</v>
      </c>
      <c r="C575" t="str">
        <f t="shared" si="175"/>
        <v>43004</v>
      </c>
      <c r="D575" t="str">
        <f t="shared" si="174"/>
        <v>5741</v>
      </c>
      <c r="E575" t="str">
        <f t="shared" si="173"/>
        <v>850LOS</v>
      </c>
      <c r="F575" t="str">
        <f>""</f>
        <v/>
      </c>
      <c r="G575" t="str">
        <f>""</f>
        <v/>
      </c>
      <c r="H575" s="1">
        <v>41437</v>
      </c>
      <c r="I575" t="str">
        <f>"2013374"</f>
        <v>2013374</v>
      </c>
      <c r="J575" t="str">
        <f>"N113803E"</f>
        <v>N113803E</v>
      </c>
      <c r="K575" t="str">
        <f>"INEI"</f>
        <v>INEI</v>
      </c>
      <c r="L575" t="s">
        <v>330</v>
      </c>
      <c r="M575" s="2">
        <v>1150.5</v>
      </c>
    </row>
    <row r="576" spans="1:13" x14ac:dyDescent="0.25">
      <c r="A576" t="str">
        <f t="shared" si="171"/>
        <v>E279</v>
      </c>
      <c r="B576">
        <v>1</v>
      </c>
      <c r="C576" t="str">
        <f t="shared" si="175"/>
        <v>43004</v>
      </c>
      <c r="D576" t="str">
        <f t="shared" si="174"/>
        <v>5741</v>
      </c>
      <c r="E576" t="str">
        <f t="shared" si="173"/>
        <v>850LOS</v>
      </c>
      <c r="F576" t="str">
        <f>""</f>
        <v/>
      </c>
      <c r="G576" t="str">
        <f>""</f>
        <v/>
      </c>
      <c r="H576" s="1">
        <v>41442</v>
      </c>
      <c r="I576" t="str">
        <f>"J0004648"</f>
        <v>J0004648</v>
      </c>
      <c r="J576" t="str">
        <f>""</f>
        <v/>
      </c>
      <c r="K576" t="str">
        <f>"J096"</f>
        <v>J096</v>
      </c>
      <c r="L576" t="s">
        <v>1906</v>
      </c>
      <c r="M576">
        <v>206.5</v>
      </c>
    </row>
    <row r="577" spans="1:13" x14ac:dyDescent="0.25">
      <c r="A577" t="str">
        <f t="shared" si="171"/>
        <v>E279</v>
      </c>
      <c r="B577">
        <v>1</v>
      </c>
      <c r="C577" t="str">
        <f t="shared" si="175"/>
        <v>43004</v>
      </c>
      <c r="D577" t="str">
        <f t="shared" si="174"/>
        <v>5741</v>
      </c>
      <c r="E577" t="str">
        <f t="shared" si="173"/>
        <v>850LOS</v>
      </c>
      <c r="F577" t="str">
        <f>""</f>
        <v/>
      </c>
      <c r="G577" t="str">
        <f>""</f>
        <v/>
      </c>
      <c r="H577" s="1">
        <v>41455</v>
      </c>
      <c r="I577" t="str">
        <f>"J0005051"</f>
        <v>J0005051</v>
      </c>
      <c r="J577" t="str">
        <f>""</f>
        <v/>
      </c>
      <c r="K577" t="str">
        <f>"J089"</f>
        <v>J089</v>
      </c>
      <c r="L577" t="s">
        <v>1905</v>
      </c>
      <c r="M577">
        <v>796.92</v>
      </c>
    </row>
    <row r="578" spans="1:13" x14ac:dyDescent="0.25">
      <c r="A578" t="str">
        <f t="shared" ref="A578:A593" si="176">"E351"</f>
        <v>E351</v>
      </c>
      <c r="B578">
        <v>1</v>
      </c>
      <c r="C578" t="str">
        <f t="shared" ref="C578:C591" si="177">"10200"</f>
        <v>10200</v>
      </c>
      <c r="D578" t="str">
        <f t="shared" ref="D578:D591" si="178">"5620"</f>
        <v>5620</v>
      </c>
      <c r="E578" t="str">
        <f t="shared" ref="E578:E591" si="179">"094OMS"</f>
        <v>094OMS</v>
      </c>
      <c r="F578" t="str">
        <f>""</f>
        <v/>
      </c>
      <c r="G578" t="str">
        <f>""</f>
        <v/>
      </c>
      <c r="H578" s="1">
        <v>41148</v>
      </c>
      <c r="I578" t="str">
        <f>"V129764"</f>
        <v>V129764</v>
      </c>
      <c r="J578" t="str">
        <f>""</f>
        <v/>
      </c>
      <c r="K578" t="str">
        <f t="shared" ref="K578:K598" si="180">"INNI"</f>
        <v>INNI</v>
      </c>
      <c r="L578" t="s">
        <v>1939</v>
      </c>
      <c r="M578">
        <v>338.08</v>
      </c>
    </row>
    <row r="579" spans="1:13" x14ac:dyDescent="0.25">
      <c r="A579" t="str">
        <f t="shared" si="176"/>
        <v>E351</v>
      </c>
      <c r="B579">
        <v>1</v>
      </c>
      <c r="C579" t="str">
        <f t="shared" si="177"/>
        <v>10200</v>
      </c>
      <c r="D579" t="str">
        <f t="shared" si="178"/>
        <v>5620</v>
      </c>
      <c r="E579" t="str">
        <f t="shared" si="179"/>
        <v>094OMS</v>
      </c>
      <c r="F579" t="str">
        <f>""</f>
        <v/>
      </c>
      <c r="G579" t="str">
        <f>""</f>
        <v/>
      </c>
      <c r="H579" s="1">
        <v>41148</v>
      </c>
      <c r="I579" t="str">
        <f>"V129765"</f>
        <v>V129765</v>
      </c>
      <c r="J579" t="str">
        <f>""</f>
        <v/>
      </c>
      <c r="K579" t="str">
        <f t="shared" si="180"/>
        <v>INNI</v>
      </c>
      <c r="L579" t="s">
        <v>823</v>
      </c>
      <c r="M579">
        <v>338.08</v>
      </c>
    </row>
    <row r="580" spans="1:13" x14ac:dyDescent="0.25">
      <c r="A580" t="str">
        <f t="shared" si="176"/>
        <v>E351</v>
      </c>
      <c r="B580">
        <v>1</v>
      </c>
      <c r="C580" t="str">
        <f t="shared" si="177"/>
        <v>10200</v>
      </c>
      <c r="D580" t="str">
        <f t="shared" si="178"/>
        <v>5620</v>
      </c>
      <c r="E580" t="str">
        <f t="shared" si="179"/>
        <v>094OMS</v>
      </c>
      <c r="F580" t="str">
        <f>""</f>
        <v/>
      </c>
      <c r="G580" t="str">
        <f>""</f>
        <v/>
      </c>
      <c r="H580" s="1">
        <v>41148</v>
      </c>
      <c r="I580" t="str">
        <f>"V129762"</f>
        <v>V129762</v>
      </c>
      <c r="J580" t="str">
        <f>""</f>
        <v/>
      </c>
      <c r="K580" t="str">
        <f t="shared" si="180"/>
        <v>INNI</v>
      </c>
      <c r="L580" t="s">
        <v>336</v>
      </c>
      <c r="M580" s="2">
        <v>1566.96</v>
      </c>
    </row>
    <row r="581" spans="1:13" x14ac:dyDescent="0.25">
      <c r="A581" t="str">
        <f t="shared" si="176"/>
        <v>E351</v>
      </c>
      <c r="B581">
        <v>1</v>
      </c>
      <c r="C581" t="str">
        <f t="shared" si="177"/>
        <v>10200</v>
      </c>
      <c r="D581" t="str">
        <f t="shared" si="178"/>
        <v>5620</v>
      </c>
      <c r="E581" t="str">
        <f t="shared" si="179"/>
        <v>094OMS</v>
      </c>
      <c r="F581" t="str">
        <f>""</f>
        <v/>
      </c>
      <c r="G581" t="str">
        <f>""</f>
        <v/>
      </c>
      <c r="H581" s="1">
        <v>41148</v>
      </c>
      <c r="I581" t="str">
        <f>"V129763"</f>
        <v>V129763</v>
      </c>
      <c r="J581" t="str">
        <f>""</f>
        <v/>
      </c>
      <c r="K581" t="str">
        <f t="shared" si="180"/>
        <v>INNI</v>
      </c>
      <c r="L581" t="s">
        <v>1930</v>
      </c>
      <c r="M581">
        <v>284</v>
      </c>
    </row>
    <row r="582" spans="1:13" x14ac:dyDescent="0.25">
      <c r="A582" t="str">
        <f t="shared" si="176"/>
        <v>E351</v>
      </c>
      <c r="B582">
        <v>1</v>
      </c>
      <c r="C582" t="str">
        <f t="shared" si="177"/>
        <v>10200</v>
      </c>
      <c r="D582" t="str">
        <f t="shared" si="178"/>
        <v>5620</v>
      </c>
      <c r="E582" t="str">
        <f t="shared" si="179"/>
        <v>094OMS</v>
      </c>
      <c r="F582" t="str">
        <f>""</f>
        <v/>
      </c>
      <c r="G582" t="str">
        <f>""</f>
        <v/>
      </c>
      <c r="H582" s="1">
        <v>41256</v>
      </c>
      <c r="I582" t="str">
        <f>"V129768"</f>
        <v>V129768</v>
      </c>
      <c r="J582" t="str">
        <f>""</f>
        <v/>
      </c>
      <c r="K582" t="str">
        <f t="shared" si="180"/>
        <v>INNI</v>
      </c>
      <c r="L582" t="s">
        <v>334</v>
      </c>
      <c r="M582">
        <v>804</v>
      </c>
    </row>
    <row r="583" spans="1:13" x14ac:dyDescent="0.25">
      <c r="A583" t="str">
        <f t="shared" si="176"/>
        <v>E351</v>
      </c>
      <c r="B583">
        <v>1</v>
      </c>
      <c r="C583" t="str">
        <f t="shared" si="177"/>
        <v>10200</v>
      </c>
      <c r="D583" t="str">
        <f t="shared" si="178"/>
        <v>5620</v>
      </c>
      <c r="E583" t="str">
        <f t="shared" si="179"/>
        <v>094OMS</v>
      </c>
      <c r="F583" t="str">
        <f>""</f>
        <v/>
      </c>
      <c r="G583" t="str">
        <f>""</f>
        <v/>
      </c>
      <c r="H583" s="1">
        <v>41270</v>
      </c>
      <c r="I583" t="str">
        <f>"V129771"</f>
        <v>V129771</v>
      </c>
      <c r="J583" t="str">
        <f>""</f>
        <v/>
      </c>
      <c r="K583" t="str">
        <f t="shared" si="180"/>
        <v>INNI</v>
      </c>
      <c r="L583" t="s">
        <v>197</v>
      </c>
      <c r="M583">
        <v>417.32</v>
      </c>
    </row>
    <row r="584" spans="1:13" x14ac:dyDescent="0.25">
      <c r="A584" t="str">
        <f t="shared" si="176"/>
        <v>E351</v>
      </c>
      <c r="B584">
        <v>1</v>
      </c>
      <c r="C584" t="str">
        <f t="shared" si="177"/>
        <v>10200</v>
      </c>
      <c r="D584" t="str">
        <f t="shared" si="178"/>
        <v>5620</v>
      </c>
      <c r="E584" t="str">
        <f t="shared" si="179"/>
        <v>094OMS</v>
      </c>
      <c r="F584" t="str">
        <f>""</f>
        <v/>
      </c>
      <c r="G584" t="str">
        <f>""</f>
        <v/>
      </c>
      <c r="H584" s="1">
        <v>41270</v>
      </c>
      <c r="I584" t="str">
        <f>"V129770"</f>
        <v>V129770</v>
      </c>
      <c r="J584" t="str">
        <f>""</f>
        <v/>
      </c>
      <c r="K584" t="str">
        <f t="shared" si="180"/>
        <v>INNI</v>
      </c>
      <c r="L584" t="s">
        <v>197</v>
      </c>
      <c r="M584">
        <v>342.6</v>
      </c>
    </row>
    <row r="585" spans="1:13" x14ac:dyDescent="0.25">
      <c r="A585" t="str">
        <f t="shared" si="176"/>
        <v>E351</v>
      </c>
      <c r="B585">
        <v>1</v>
      </c>
      <c r="C585" t="str">
        <f t="shared" si="177"/>
        <v>10200</v>
      </c>
      <c r="D585" t="str">
        <f t="shared" si="178"/>
        <v>5620</v>
      </c>
      <c r="E585" t="str">
        <f t="shared" si="179"/>
        <v>094OMS</v>
      </c>
      <c r="F585" t="str">
        <f>""</f>
        <v/>
      </c>
      <c r="G585" t="str">
        <f>""</f>
        <v/>
      </c>
      <c r="H585" s="1">
        <v>41270</v>
      </c>
      <c r="I585" t="str">
        <f>"V129774"</f>
        <v>V129774</v>
      </c>
      <c r="J585" t="str">
        <f>""</f>
        <v/>
      </c>
      <c r="K585" t="str">
        <f t="shared" si="180"/>
        <v>INNI</v>
      </c>
      <c r="L585" t="s">
        <v>785</v>
      </c>
      <c r="M585">
        <v>256.86</v>
      </c>
    </row>
    <row r="586" spans="1:13" x14ac:dyDescent="0.25">
      <c r="A586" t="str">
        <f t="shared" si="176"/>
        <v>E351</v>
      </c>
      <c r="B586">
        <v>1</v>
      </c>
      <c r="C586" t="str">
        <f t="shared" si="177"/>
        <v>10200</v>
      </c>
      <c r="D586" t="str">
        <f t="shared" si="178"/>
        <v>5620</v>
      </c>
      <c r="E586" t="str">
        <f t="shared" si="179"/>
        <v>094OMS</v>
      </c>
      <c r="F586" t="str">
        <f>""</f>
        <v/>
      </c>
      <c r="G586" t="str">
        <f>""</f>
        <v/>
      </c>
      <c r="H586" s="1">
        <v>41369</v>
      </c>
      <c r="I586" t="str">
        <f>"V129775"</f>
        <v>V129775</v>
      </c>
      <c r="J586" t="str">
        <f>""</f>
        <v/>
      </c>
      <c r="K586" t="str">
        <f t="shared" si="180"/>
        <v>INNI</v>
      </c>
      <c r="L586" t="s">
        <v>1930</v>
      </c>
      <c r="M586">
        <v>309.24</v>
      </c>
    </row>
    <row r="587" spans="1:13" x14ac:dyDescent="0.25">
      <c r="A587" t="str">
        <f t="shared" si="176"/>
        <v>E351</v>
      </c>
      <c r="B587">
        <v>1</v>
      </c>
      <c r="C587" t="str">
        <f t="shared" si="177"/>
        <v>10200</v>
      </c>
      <c r="D587" t="str">
        <f t="shared" si="178"/>
        <v>5620</v>
      </c>
      <c r="E587" t="str">
        <f t="shared" si="179"/>
        <v>094OMS</v>
      </c>
      <c r="F587" t="str">
        <f>""</f>
        <v/>
      </c>
      <c r="G587" t="str">
        <f>""</f>
        <v/>
      </c>
      <c r="H587" s="1">
        <v>41369</v>
      </c>
      <c r="I587" t="str">
        <f>"V129776"</f>
        <v>V129776</v>
      </c>
      <c r="J587" t="str">
        <f>""</f>
        <v/>
      </c>
      <c r="K587" t="str">
        <f t="shared" si="180"/>
        <v>INNI</v>
      </c>
      <c r="L587" t="s">
        <v>1930</v>
      </c>
      <c r="M587">
        <v>172.53</v>
      </c>
    </row>
    <row r="588" spans="1:13" x14ac:dyDescent="0.25">
      <c r="A588" t="str">
        <f t="shared" si="176"/>
        <v>E351</v>
      </c>
      <c r="B588">
        <v>1</v>
      </c>
      <c r="C588" t="str">
        <f t="shared" si="177"/>
        <v>10200</v>
      </c>
      <c r="D588" t="str">
        <f t="shared" si="178"/>
        <v>5620</v>
      </c>
      <c r="E588" t="str">
        <f t="shared" si="179"/>
        <v>094OMS</v>
      </c>
      <c r="F588" t="str">
        <f>""</f>
        <v/>
      </c>
      <c r="G588" t="str">
        <f>""</f>
        <v/>
      </c>
      <c r="H588" s="1">
        <v>41455</v>
      </c>
      <c r="I588" t="str">
        <f>"V129778"</f>
        <v>V129778</v>
      </c>
      <c r="J588" t="str">
        <f>""</f>
        <v/>
      </c>
      <c r="K588" t="str">
        <f t="shared" si="180"/>
        <v>INNI</v>
      </c>
      <c r="L588" t="s">
        <v>1484</v>
      </c>
      <c r="M588">
        <v>276</v>
      </c>
    </row>
    <row r="589" spans="1:13" x14ac:dyDescent="0.25">
      <c r="A589" t="str">
        <f t="shared" si="176"/>
        <v>E351</v>
      </c>
      <c r="B589">
        <v>1</v>
      </c>
      <c r="C589" t="str">
        <f t="shared" si="177"/>
        <v>10200</v>
      </c>
      <c r="D589" t="str">
        <f t="shared" si="178"/>
        <v>5620</v>
      </c>
      <c r="E589" t="str">
        <f t="shared" si="179"/>
        <v>094OMS</v>
      </c>
      <c r="F589" t="str">
        <f>""</f>
        <v/>
      </c>
      <c r="G589" t="str">
        <f>""</f>
        <v/>
      </c>
      <c r="H589" s="1">
        <v>41455</v>
      </c>
      <c r="I589" t="str">
        <f>"V129779"</f>
        <v>V129779</v>
      </c>
      <c r="J589" t="str">
        <f>""</f>
        <v/>
      </c>
      <c r="K589" t="str">
        <f t="shared" si="180"/>
        <v>INNI</v>
      </c>
      <c r="L589" t="s">
        <v>336</v>
      </c>
      <c r="M589">
        <v>438.15</v>
      </c>
    </row>
    <row r="590" spans="1:13" x14ac:dyDescent="0.25">
      <c r="A590" t="str">
        <f t="shared" si="176"/>
        <v>E351</v>
      </c>
      <c r="B590">
        <v>1</v>
      </c>
      <c r="C590" t="str">
        <f t="shared" si="177"/>
        <v>10200</v>
      </c>
      <c r="D590" t="str">
        <f t="shared" si="178"/>
        <v>5620</v>
      </c>
      <c r="E590" t="str">
        <f t="shared" si="179"/>
        <v>094OMS</v>
      </c>
      <c r="F590" t="str">
        <f>""</f>
        <v/>
      </c>
      <c r="G590" t="str">
        <f>""</f>
        <v/>
      </c>
      <c r="H590" s="1">
        <v>41455</v>
      </c>
      <c r="I590" t="str">
        <f>"V129780"</f>
        <v>V129780</v>
      </c>
      <c r="J590" t="str">
        <f>""</f>
        <v/>
      </c>
      <c r="K590" t="str">
        <f t="shared" si="180"/>
        <v>INNI</v>
      </c>
      <c r="L590" t="s">
        <v>334</v>
      </c>
      <c r="M590">
        <v>125</v>
      </c>
    </row>
    <row r="591" spans="1:13" x14ac:dyDescent="0.25">
      <c r="A591" t="str">
        <f t="shared" si="176"/>
        <v>E351</v>
      </c>
      <c r="B591">
        <v>1</v>
      </c>
      <c r="C591" t="str">
        <f t="shared" si="177"/>
        <v>10200</v>
      </c>
      <c r="D591" t="str">
        <f t="shared" si="178"/>
        <v>5620</v>
      </c>
      <c r="E591" t="str">
        <f t="shared" si="179"/>
        <v>094OMS</v>
      </c>
      <c r="F591" t="str">
        <f>""</f>
        <v/>
      </c>
      <c r="G591" t="str">
        <f>""</f>
        <v/>
      </c>
      <c r="H591" s="1">
        <v>41455</v>
      </c>
      <c r="I591" t="str">
        <f>"V129782"</f>
        <v>V129782</v>
      </c>
      <c r="J591" t="str">
        <f>""</f>
        <v/>
      </c>
      <c r="K591" t="str">
        <f t="shared" si="180"/>
        <v>INNI</v>
      </c>
      <c r="L591" t="s">
        <v>335</v>
      </c>
      <c r="M591">
        <v>125</v>
      </c>
    </row>
    <row r="592" spans="1:13" x14ac:dyDescent="0.25">
      <c r="A592" t="str">
        <f t="shared" si="176"/>
        <v>E351</v>
      </c>
      <c r="B592">
        <v>1</v>
      </c>
      <c r="C592" t="str">
        <f>"43000"</f>
        <v>43000</v>
      </c>
      <c r="D592" t="str">
        <f>"5740"</f>
        <v>5740</v>
      </c>
      <c r="E592" t="str">
        <f>"850LOS"</f>
        <v>850LOS</v>
      </c>
      <c r="F592" t="str">
        <f>""</f>
        <v/>
      </c>
      <c r="G592" t="str">
        <f>""</f>
        <v/>
      </c>
      <c r="H592" s="1">
        <v>41123</v>
      </c>
      <c r="I592" t="str">
        <f>"V129761"</f>
        <v>V129761</v>
      </c>
      <c r="J592" t="str">
        <f>""</f>
        <v/>
      </c>
      <c r="K592" t="str">
        <f t="shared" si="180"/>
        <v>INNI</v>
      </c>
      <c r="L592" t="s">
        <v>284</v>
      </c>
      <c r="M592">
        <v>552.11</v>
      </c>
    </row>
    <row r="593" spans="1:13" x14ac:dyDescent="0.25">
      <c r="A593" t="str">
        <f t="shared" si="176"/>
        <v>E351</v>
      </c>
      <c r="B593">
        <v>1</v>
      </c>
      <c r="C593" t="str">
        <f>"43000"</f>
        <v>43000</v>
      </c>
      <c r="D593" t="str">
        <f>"5740"</f>
        <v>5740</v>
      </c>
      <c r="E593" t="str">
        <f>"850LOS"</f>
        <v>850LOS</v>
      </c>
      <c r="F593" t="str">
        <f>""</f>
        <v/>
      </c>
      <c r="G593" t="str">
        <f>""</f>
        <v/>
      </c>
      <c r="H593" s="1">
        <v>41455</v>
      </c>
      <c r="I593" t="str">
        <f>"V129783"</f>
        <v>V129783</v>
      </c>
      <c r="J593" t="str">
        <f>""</f>
        <v/>
      </c>
      <c r="K593" t="str">
        <f t="shared" si="180"/>
        <v>INNI</v>
      </c>
      <c r="L593" t="s">
        <v>284</v>
      </c>
      <c r="M593">
        <v>125</v>
      </c>
    </row>
    <row r="594" spans="1:13" x14ac:dyDescent="0.25">
      <c r="A594" t="str">
        <f>"E353"</f>
        <v>E353</v>
      </c>
      <c r="B594">
        <v>1</v>
      </c>
      <c r="C594" t="str">
        <f>"10200"</f>
        <v>10200</v>
      </c>
      <c r="D594" t="str">
        <f>"5620"</f>
        <v>5620</v>
      </c>
      <c r="E594" t="str">
        <f>"094OMS"</f>
        <v>094OMS</v>
      </c>
      <c r="F594" t="str">
        <f>""</f>
        <v/>
      </c>
      <c r="G594" t="str">
        <f>""</f>
        <v/>
      </c>
      <c r="H594" s="1">
        <v>41270</v>
      </c>
      <c r="I594" t="str">
        <f>"V129773"</f>
        <v>V129773</v>
      </c>
      <c r="J594" t="str">
        <f>""</f>
        <v/>
      </c>
      <c r="K594" t="str">
        <f t="shared" si="180"/>
        <v>INNI</v>
      </c>
      <c r="L594" t="s">
        <v>1483</v>
      </c>
      <c r="M594">
        <v>133.62</v>
      </c>
    </row>
    <row r="595" spans="1:13" x14ac:dyDescent="0.25">
      <c r="A595" t="str">
        <f>"E353"</f>
        <v>E353</v>
      </c>
      <c r="B595">
        <v>1</v>
      </c>
      <c r="C595" t="str">
        <f>"10200"</f>
        <v>10200</v>
      </c>
      <c r="D595" t="str">
        <f>"5620"</f>
        <v>5620</v>
      </c>
      <c r="E595" t="str">
        <f>"094OMS"</f>
        <v>094OMS</v>
      </c>
      <c r="F595" t="str">
        <f>""</f>
        <v/>
      </c>
      <c r="G595" t="str">
        <f>""</f>
        <v/>
      </c>
      <c r="H595" s="1">
        <v>41270</v>
      </c>
      <c r="I595" t="str">
        <f>"V129774"</f>
        <v>V129774</v>
      </c>
      <c r="J595" t="str">
        <f>""</f>
        <v/>
      </c>
      <c r="K595" t="str">
        <f t="shared" si="180"/>
        <v>INNI</v>
      </c>
      <c r="L595" t="s">
        <v>785</v>
      </c>
      <c r="M595">
        <v>183.6</v>
      </c>
    </row>
    <row r="596" spans="1:13" x14ac:dyDescent="0.25">
      <c r="A596" t="str">
        <f>"E353"</f>
        <v>E353</v>
      </c>
      <c r="B596">
        <v>1</v>
      </c>
      <c r="C596" t="str">
        <f>"10200"</f>
        <v>10200</v>
      </c>
      <c r="D596" t="str">
        <f>"5620"</f>
        <v>5620</v>
      </c>
      <c r="E596" t="str">
        <f>"094OMS"</f>
        <v>094OMS</v>
      </c>
      <c r="F596" t="str">
        <f>""</f>
        <v/>
      </c>
      <c r="G596" t="str">
        <f>""</f>
        <v/>
      </c>
      <c r="H596" s="1">
        <v>41369</v>
      </c>
      <c r="I596" t="str">
        <f>"V129775"</f>
        <v>V129775</v>
      </c>
      <c r="J596" t="str">
        <f>""</f>
        <v/>
      </c>
      <c r="K596" t="str">
        <f t="shared" si="180"/>
        <v>INNI</v>
      </c>
      <c r="L596" t="s">
        <v>1930</v>
      </c>
      <c r="M596">
        <v>235.62</v>
      </c>
    </row>
    <row r="597" spans="1:13" x14ac:dyDescent="0.25">
      <c r="A597" t="str">
        <f>"E354"</f>
        <v>E354</v>
      </c>
      <c r="B597">
        <v>1</v>
      </c>
      <c r="C597" t="str">
        <f>"43000"</f>
        <v>43000</v>
      </c>
      <c r="D597" t="str">
        <f>"5740"</f>
        <v>5740</v>
      </c>
      <c r="E597" t="str">
        <f>"850LOS"</f>
        <v>850LOS</v>
      </c>
      <c r="F597" t="str">
        <f>""</f>
        <v/>
      </c>
      <c r="G597" t="str">
        <f>""</f>
        <v/>
      </c>
      <c r="H597" s="1">
        <v>41123</v>
      </c>
      <c r="I597" t="str">
        <f>"V129761"</f>
        <v>V129761</v>
      </c>
      <c r="J597" t="str">
        <f>""</f>
        <v/>
      </c>
      <c r="K597" t="str">
        <f t="shared" si="180"/>
        <v>INNI</v>
      </c>
      <c r="L597" t="s">
        <v>284</v>
      </c>
      <c r="M597">
        <v>117.12</v>
      </c>
    </row>
    <row r="598" spans="1:13" x14ac:dyDescent="0.25">
      <c r="A598" t="str">
        <f>"E354"</f>
        <v>E354</v>
      </c>
      <c r="B598">
        <v>1</v>
      </c>
      <c r="C598" t="str">
        <f>"43000"</f>
        <v>43000</v>
      </c>
      <c r="D598" t="str">
        <f>"5740"</f>
        <v>5740</v>
      </c>
      <c r="E598" t="str">
        <f>"850LOS"</f>
        <v>850LOS</v>
      </c>
      <c r="F598" t="str">
        <f>""</f>
        <v/>
      </c>
      <c r="G598" t="str">
        <f>""</f>
        <v/>
      </c>
      <c r="H598" s="1">
        <v>41255</v>
      </c>
      <c r="I598" t="str">
        <f>"V129766"</f>
        <v>V129766</v>
      </c>
      <c r="J598" t="str">
        <f>""</f>
        <v/>
      </c>
      <c r="K598" t="str">
        <f t="shared" si="180"/>
        <v>INNI</v>
      </c>
      <c r="L598" t="s">
        <v>284</v>
      </c>
      <c r="M598">
        <v>135.85</v>
      </c>
    </row>
    <row r="599" spans="1:13" x14ac:dyDescent="0.25">
      <c r="A599" t="str">
        <f>"E356"</f>
        <v>E356</v>
      </c>
      <c r="B599">
        <v>1</v>
      </c>
      <c r="C599" t="str">
        <f>"10200"</f>
        <v>10200</v>
      </c>
      <c r="D599" t="str">
        <f>"5620"</f>
        <v>5620</v>
      </c>
      <c r="E599" t="str">
        <f>"094OMS"</f>
        <v>094OMS</v>
      </c>
      <c r="F599" t="str">
        <f>""</f>
        <v/>
      </c>
      <c r="G599" t="str">
        <f>""</f>
        <v/>
      </c>
      <c r="H599" s="1">
        <v>41320</v>
      </c>
      <c r="I599" t="str">
        <f>"J0003606"</f>
        <v>J0003606</v>
      </c>
      <c r="J599" t="str">
        <f>""</f>
        <v/>
      </c>
      <c r="K599" t="str">
        <f>"J096"</f>
        <v>J096</v>
      </c>
      <c r="L599" t="s">
        <v>1931</v>
      </c>
      <c r="M599">
        <v>603.84</v>
      </c>
    </row>
    <row r="600" spans="1:13" x14ac:dyDescent="0.25">
      <c r="A600" t="str">
        <f t="shared" ref="A600:A637" si="181">"E365"</f>
        <v>E365</v>
      </c>
      <c r="B600">
        <v>1</v>
      </c>
      <c r="C600" t="str">
        <f>"10200"</f>
        <v>10200</v>
      </c>
      <c r="D600" t="str">
        <f>"5620"</f>
        <v>5620</v>
      </c>
      <c r="E600" t="str">
        <f>"094OMS"</f>
        <v>094OMS</v>
      </c>
      <c r="F600" t="str">
        <f>""</f>
        <v/>
      </c>
      <c r="G600" t="str">
        <f>""</f>
        <v/>
      </c>
      <c r="H600" s="1">
        <v>41274</v>
      </c>
      <c r="I600" t="str">
        <f>"PCD00575"</f>
        <v>PCD00575</v>
      </c>
      <c r="J600" t="str">
        <f>"182730"</f>
        <v>182730</v>
      </c>
      <c r="K600" t="str">
        <f>"AS89"</f>
        <v>AS89</v>
      </c>
      <c r="L600" t="s">
        <v>1938</v>
      </c>
      <c r="M600">
        <v>105.63</v>
      </c>
    </row>
    <row r="601" spans="1:13" x14ac:dyDescent="0.25">
      <c r="A601" t="str">
        <f t="shared" si="181"/>
        <v>E365</v>
      </c>
      <c r="B601">
        <v>1</v>
      </c>
      <c r="C601" t="str">
        <f>"10200"</f>
        <v>10200</v>
      </c>
      <c r="D601" t="str">
        <f>"5620"</f>
        <v>5620</v>
      </c>
      <c r="E601" t="str">
        <f>"094OMS"</f>
        <v>094OMS</v>
      </c>
      <c r="F601" t="str">
        <f>""</f>
        <v/>
      </c>
      <c r="G601" t="str">
        <f>""</f>
        <v/>
      </c>
      <c r="H601" s="1">
        <v>41277</v>
      </c>
      <c r="I601" t="str">
        <f>"199519"</f>
        <v>199519</v>
      </c>
      <c r="J601" t="str">
        <f>""</f>
        <v/>
      </c>
      <c r="K601" t="str">
        <f>"INNI"</f>
        <v>INNI</v>
      </c>
      <c r="L601" t="s">
        <v>1937</v>
      </c>
      <c r="M601">
        <v>203.57</v>
      </c>
    </row>
    <row r="602" spans="1:13" x14ac:dyDescent="0.25">
      <c r="A602" t="str">
        <f t="shared" si="181"/>
        <v>E365</v>
      </c>
      <c r="B602">
        <v>1</v>
      </c>
      <c r="C602" t="str">
        <f>"10200"</f>
        <v>10200</v>
      </c>
      <c r="D602" t="str">
        <f>"5620"</f>
        <v>5620</v>
      </c>
      <c r="E602" t="str">
        <f>"094OMS"</f>
        <v>094OMS</v>
      </c>
      <c r="F602" t="str">
        <f>""</f>
        <v/>
      </c>
      <c r="G602" t="str">
        <f>""</f>
        <v/>
      </c>
      <c r="H602" s="1">
        <v>41277</v>
      </c>
      <c r="I602" t="str">
        <f>"199519"</f>
        <v>199519</v>
      </c>
      <c r="J602" t="str">
        <f>""</f>
        <v/>
      </c>
      <c r="K602" t="str">
        <f>"INNI"</f>
        <v>INNI</v>
      </c>
      <c r="L602" t="s">
        <v>1937</v>
      </c>
      <c r="M602">
        <v>203.57</v>
      </c>
    </row>
    <row r="603" spans="1:13" x14ac:dyDescent="0.25">
      <c r="A603" t="str">
        <f t="shared" si="181"/>
        <v>E365</v>
      </c>
      <c r="B603">
        <v>1</v>
      </c>
      <c r="C603" t="str">
        <f>"10200"</f>
        <v>10200</v>
      </c>
      <c r="D603" t="str">
        <f>"5620"</f>
        <v>5620</v>
      </c>
      <c r="E603" t="str">
        <f>"094OMS"</f>
        <v>094OMS</v>
      </c>
      <c r="F603" t="str">
        <f>""</f>
        <v/>
      </c>
      <c r="G603" t="str">
        <f>""</f>
        <v/>
      </c>
      <c r="H603" s="1">
        <v>41277</v>
      </c>
      <c r="I603" t="str">
        <f>"210938"</f>
        <v>210938</v>
      </c>
      <c r="J603" t="str">
        <f>""</f>
        <v/>
      </c>
      <c r="K603" t="str">
        <f>"INNI"</f>
        <v>INNI</v>
      </c>
      <c r="L603" t="s">
        <v>1937</v>
      </c>
      <c r="M603">
        <v>203.57</v>
      </c>
    </row>
    <row r="604" spans="1:13" x14ac:dyDescent="0.25">
      <c r="A604" t="str">
        <f t="shared" si="181"/>
        <v>E365</v>
      </c>
      <c r="B604">
        <v>1</v>
      </c>
      <c r="C604" t="str">
        <f t="shared" ref="C604:C637" si="182">"23275"</f>
        <v>23275</v>
      </c>
      <c r="D604" t="str">
        <f t="shared" ref="D604:D637" si="183">"5741"</f>
        <v>5741</v>
      </c>
      <c r="E604" t="str">
        <f t="shared" ref="E604:E637" si="184">"063STF"</f>
        <v>063STF</v>
      </c>
      <c r="F604" t="str">
        <f>""</f>
        <v/>
      </c>
      <c r="G604" t="str">
        <f>""</f>
        <v/>
      </c>
      <c r="H604" s="1">
        <v>41212</v>
      </c>
      <c r="I604" t="str">
        <f>"00008225"</f>
        <v>00008225</v>
      </c>
      <c r="J604" t="str">
        <f t="shared" ref="J604:J637" si="185">"N132881C"</f>
        <v>N132881C</v>
      </c>
      <c r="K604" t="str">
        <f t="shared" ref="K604:K637" si="186">"INEI"</f>
        <v>INEI</v>
      </c>
      <c r="L604" t="s">
        <v>1936</v>
      </c>
      <c r="M604" s="2">
        <v>3540.89</v>
      </c>
    </row>
    <row r="605" spans="1:13" x14ac:dyDescent="0.25">
      <c r="A605" t="str">
        <f t="shared" si="181"/>
        <v>E365</v>
      </c>
      <c r="B605">
        <v>1</v>
      </c>
      <c r="C605" t="str">
        <f t="shared" si="182"/>
        <v>23275</v>
      </c>
      <c r="D605" t="str">
        <f t="shared" si="183"/>
        <v>5741</v>
      </c>
      <c r="E605" t="str">
        <f t="shared" si="184"/>
        <v>063STF</v>
      </c>
      <c r="F605" t="str">
        <f>""</f>
        <v/>
      </c>
      <c r="G605" t="str">
        <f>""</f>
        <v/>
      </c>
      <c r="H605" s="1">
        <v>41212</v>
      </c>
      <c r="I605" t="str">
        <f>"0008224A"</f>
        <v>0008224A</v>
      </c>
      <c r="J605" t="str">
        <f t="shared" si="185"/>
        <v>N132881C</v>
      </c>
      <c r="K605" t="str">
        <f t="shared" si="186"/>
        <v>INEI</v>
      </c>
      <c r="L605" t="s">
        <v>1936</v>
      </c>
      <c r="M605" s="2">
        <v>3540.89</v>
      </c>
    </row>
    <row r="606" spans="1:13" x14ac:dyDescent="0.25">
      <c r="A606" t="str">
        <f t="shared" si="181"/>
        <v>E365</v>
      </c>
      <c r="B606">
        <v>1</v>
      </c>
      <c r="C606" t="str">
        <f t="shared" si="182"/>
        <v>23275</v>
      </c>
      <c r="D606" t="str">
        <f t="shared" si="183"/>
        <v>5741</v>
      </c>
      <c r="E606" t="str">
        <f t="shared" si="184"/>
        <v>063STF</v>
      </c>
      <c r="F606" t="str">
        <f>""</f>
        <v/>
      </c>
      <c r="G606" t="str">
        <f>""</f>
        <v/>
      </c>
      <c r="H606" s="1">
        <v>41220</v>
      </c>
      <c r="I606" t="str">
        <f>"00008227"</f>
        <v>00008227</v>
      </c>
      <c r="J606" t="str">
        <f t="shared" si="185"/>
        <v>N132881C</v>
      </c>
      <c r="K606" t="str">
        <f t="shared" si="186"/>
        <v>INEI</v>
      </c>
      <c r="L606" t="s">
        <v>1936</v>
      </c>
      <c r="M606" s="2">
        <v>3901.47</v>
      </c>
    </row>
    <row r="607" spans="1:13" x14ac:dyDescent="0.25">
      <c r="A607" t="str">
        <f t="shared" si="181"/>
        <v>E365</v>
      </c>
      <c r="B607">
        <v>1</v>
      </c>
      <c r="C607" t="str">
        <f t="shared" si="182"/>
        <v>23275</v>
      </c>
      <c r="D607" t="str">
        <f t="shared" si="183"/>
        <v>5741</v>
      </c>
      <c r="E607" t="str">
        <f t="shared" si="184"/>
        <v>063STF</v>
      </c>
      <c r="F607" t="str">
        <f>""</f>
        <v/>
      </c>
      <c r="G607" t="str">
        <f>""</f>
        <v/>
      </c>
      <c r="H607" s="1">
        <v>41248</v>
      </c>
      <c r="I607" t="str">
        <f>"00008223"</f>
        <v>00008223</v>
      </c>
      <c r="J607" t="str">
        <f t="shared" si="185"/>
        <v>N132881C</v>
      </c>
      <c r="K607" t="str">
        <f t="shared" si="186"/>
        <v>INEI</v>
      </c>
      <c r="L607" t="s">
        <v>1936</v>
      </c>
      <c r="M607" s="2">
        <v>3315.89</v>
      </c>
    </row>
    <row r="608" spans="1:13" x14ac:dyDescent="0.25">
      <c r="A608" t="str">
        <f t="shared" si="181"/>
        <v>E365</v>
      </c>
      <c r="B608">
        <v>1</v>
      </c>
      <c r="C608" t="str">
        <f t="shared" si="182"/>
        <v>23275</v>
      </c>
      <c r="D608" t="str">
        <f t="shared" si="183"/>
        <v>5741</v>
      </c>
      <c r="E608" t="str">
        <f t="shared" si="184"/>
        <v>063STF</v>
      </c>
      <c r="F608" t="str">
        <f>""</f>
        <v/>
      </c>
      <c r="G608" t="str">
        <f>""</f>
        <v/>
      </c>
      <c r="H608" s="1">
        <v>41248</v>
      </c>
      <c r="I608" t="str">
        <f>"00008248"</f>
        <v>00008248</v>
      </c>
      <c r="J608" t="str">
        <f t="shared" si="185"/>
        <v>N132881C</v>
      </c>
      <c r="K608" t="str">
        <f t="shared" si="186"/>
        <v>INEI</v>
      </c>
      <c r="L608" t="s">
        <v>1936</v>
      </c>
      <c r="M608" s="2">
        <v>3540.89</v>
      </c>
    </row>
    <row r="609" spans="1:13" x14ac:dyDescent="0.25">
      <c r="A609" t="str">
        <f t="shared" si="181"/>
        <v>E365</v>
      </c>
      <c r="B609">
        <v>1</v>
      </c>
      <c r="C609" t="str">
        <f t="shared" si="182"/>
        <v>23275</v>
      </c>
      <c r="D609" t="str">
        <f t="shared" si="183"/>
        <v>5741</v>
      </c>
      <c r="E609" t="str">
        <f t="shared" si="184"/>
        <v>063STF</v>
      </c>
      <c r="F609" t="str">
        <f>""</f>
        <v/>
      </c>
      <c r="G609" t="str">
        <f>""</f>
        <v/>
      </c>
      <c r="H609" s="1">
        <v>41248</v>
      </c>
      <c r="I609" t="str">
        <f>"00008249"</f>
        <v>00008249</v>
      </c>
      <c r="J609" t="str">
        <f t="shared" si="185"/>
        <v>N132881C</v>
      </c>
      <c r="K609" t="str">
        <f t="shared" si="186"/>
        <v>INEI</v>
      </c>
      <c r="L609" t="s">
        <v>1936</v>
      </c>
      <c r="M609" s="2">
        <v>3540.89</v>
      </c>
    </row>
    <row r="610" spans="1:13" x14ac:dyDescent="0.25">
      <c r="A610" t="str">
        <f t="shared" si="181"/>
        <v>E365</v>
      </c>
      <c r="B610">
        <v>1</v>
      </c>
      <c r="C610" t="str">
        <f t="shared" si="182"/>
        <v>23275</v>
      </c>
      <c r="D610" t="str">
        <f t="shared" si="183"/>
        <v>5741</v>
      </c>
      <c r="E610" t="str">
        <f t="shared" si="184"/>
        <v>063STF</v>
      </c>
      <c r="F610" t="str">
        <f>""</f>
        <v/>
      </c>
      <c r="G610" t="str">
        <f>""</f>
        <v/>
      </c>
      <c r="H610" s="1">
        <v>41248</v>
      </c>
      <c r="I610" t="str">
        <f>"0008250A"</f>
        <v>0008250A</v>
      </c>
      <c r="J610" t="str">
        <f t="shared" si="185"/>
        <v>N132881C</v>
      </c>
      <c r="K610" t="str">
        <f t="shared" si="186"/>
        <v>INEI</v>
      </c>
      <c r="L610" t="s">
        <v>1936</v>
      </c>
      <c r="M610" s="2">
        <v>3540.89</v>
      </c>
    </row>
    <row r="611" spans="1:13" x14ac:dyDescent="0.25">
      <c r="A611" t="str">
        <f t="shared" si="181"/>
        <v>E365</v>
      </c>
      <c r="B611">
        <v>1</v>
      </c>
      <c r="C611" t="str">
        <f t="shared" si="182"/>
        <v>23275</v>
      </c>
      <c r="D611" t="str">
        <f t="shared" si="183"/>
        <v>5741</v>
      </c>
      <c r="E611" t="str">
        <f t="shared" si="184"/>
        <v>063STF</v>
      </c>
      <c r="F611" t="str">
        <f>""</f>
        <v/>
      </c>
      <c r="G611" t="str">
        <f>""</f>
        <v/>
      </c>
      <c r="H611" s="1">
        <v>41256</v>
      </c>
      <c r="I611" t="str">
        <f>"00008251"</f>
        <v>00008251</v>
      </c>
      <c r="J611" t="str">
        <f t="shared" si="185"/>
        <v>N132881C</v>
      </c>
      <c r="K611" t="str">
        <f t="shared" si="186"/>
        <v>INEI</v>
      </c>
      <c r="L611" t="s">
        <v>1936</v>
      </c>
      <c r="M611" s="2">
        <v>3721.18</v>
      </c>
    </row>
    <row r="612" spans="1:13" x14ac:dyDescent="0.25">
      <c r="A612" t="str">
        <f t="shared" si="181"/>
        <v>E365</v>
      </c>
      <c r="B612">
        <v>1</v>
      </c>
      <c r="C612" t="str">
        <f t="shared" si="182"/>
        <v>23275</v>
      </c>
      <c r="D612" t="str">
        <f t="shared" si="183"/>
        <v>5741</v>
      </c>
      <c r="E612" t="str">
        <f t="shared" si="184"/>
        <v>063STF</v>
      </c>
      <c r="F612" t="str">
        <f>""</f>
        <v/>
      </c>
      <c r="G612" t="str">
        <f>""</f>
        <v/>
      </c>
      <c r="H612" s="1">
        <v>41262</v>
      </c>
      <c r="I612" t="str">
        <f>"00008270"</f>
        <v>00008270</v>
      </c>
      <c r="J612" t="str">
        <f t="shared" si="185"/>
        <v>N132881C</v>
      </c>
      <c r="K612" t="str">
        <f t="shared" si="186"/>
        <v>INEI</v>
      </c>
      <c r="L612" t="s">
        <v>1936</v>
      </c>
      <c r="M612" s="2">
        <v>4285.43</v>
      </c>
    </row>
    <row r="613" spans="1:13" x14ac:dyDescent="0.25">
      <c r="A613" t="str">
        <f t="shared" si="181"/>
        <v>E365</v>
      </c>
      <c r="B613">
        <v>1</v>
      </c>
      <c r="C613" t="str">
        <f t="shared" si="182"/>
        <v>23275</v>
      </c>
      <c r="D613" t="str">
        <f t="shared" si="183"/>
        <v>5741</v>
      </c>
      <c r="E613" t="str">
        <f t="shared" si="184"/>
        <v>063STF</v>
      </c>
      <c r="F613" t="str">
        <f>""</f>
        <v/>
      </c>
      <c r="G613" t="str">
        <f>""</f>
        <v/>
      </c>
      <c r="H613" s="1">
        <v>41262</v>
      </c>
      <c r="I613" t="str">
        <f>"0008269B"</f>
        <v>0008269B</v>
      </c>
      <c r="J613" t="str">
        <f t="shared" si="185"/>
        <v>N132881C</v>
      </c>
      <c r="K613" t="str">
        <f t="shared" si="186"/>
        <v>INEI</v>
      </c>
      <c r="L613" t="s">
        <v>1936</v>
      </c>
      <c r="M613" s="2">
        <v>2207.39</v>
      </c>
    </row>
    <row r="614" spans="1:13" x14ac:dyDescent="0.25">
      <c r="A614" t="str">
        <f t="shared" si="181"/>
        <v>E365</v>
      </c>
      <c r="B614">
        <v>1</v>
      </c>
      <c r="C614" t="str">
        <f t="shared" si="182"/>
        <v>23275</v>
      </c>
      <c r="D614" t="str">
        <f t="shared" si="183"/>
        <v>5741</v>
      </c>
      <c r="E614" t="str">
        <f t="shared" si="184"/>
        <v>063STF</v>
      </c>
      <c r="F614" t="str">
        <f>""</f>
        <v/>
      </c>
      <c r="G614" t="str">
        <f>""</f>
        <v/>
      </c>
      <c r="H614" s="1">
        <v>41274</v>
      </c>
      <c r="I614" t="str">
        <f>"00008273"</f>
        <v>00008273</v>
      </c>
      <c r="J614" t="str">
        <f t="shared" si="185"/>
        <v>N132881C</v>
      </c>
      <c r="K614" t="str">
        <f t="shared" si="186"/>
        <v>INEI</v>
      </c>
      <c r="L614" t="s">
        <v>1936</v>
      </c>
      <c r="M614" s="2">
        <v>3721.18</v>
      </c>
    </row>
    <row r="615" spans="1:13" x14ac:dyDescent="0.25">
      <c r="A615" t="str">
        <f t="shared" si="181"/>
        <v>E365</v>
      </c>
      <c r="B615">
        <v>1</v>
      </c>
      <c r="C615" t="str">
        <f t="shared" si="182"/>
        <v>23275</v>
      </c>
      <c r="D615" t="str">
        <f t="shared" si="183"/>
        <v>5741</v>
      </c>
      <c r="E615" t="str">
        <f t="shared" si="184"/>
        <v>063STF</v>
      </c>
      <c r="F615" t="str">
        <f>""</f>
        <v/>
      </c>
      <c r="G615" t="str">
        <f>""</f>
        <v/>
      </c>
      <c r="H615" s="1">
        <v>41285</v>
      </c>
      <c r="I615" t="str">
        <f>"00008287"</f>
        <v>00008287</v>
      </c>
      <c r="J615" t="str">
        <f t="shared" si="185"/>
        <v>N132881C</v>
      </c>
      <c r="K615" t="str">
        <f t="shared" si="186"/>
        <v>INEI</v>
      </c>
      <c r="L615" t="s">
        <v>1936</v>
      </c>
      <c r="M615" s="2">
        <v>3540.89</v>
      </c>
    </row>
    <row r="616" spans="1:13" x14ac:dyDescent="0.25">
      <c r="A616" t="str">
        <f t="shared" si="181"/>
        <v>E365</v>
      </c>
      <c r="B616">
        <v>1</v>
      </c>
      <c r="C616" t="str">
        <f t="shared" si="182"/>
        <v>23275</v>
      </c>
      <c r="D616" t="str">
        <f t="shared" si="183"/>
        <v>5741</v>
      </c>
      <c r="E616" t="str">
        <f t="shared" si="184"/>
        <v>063STF</v>
      </c>
      <c r="F616" t="str">
        <f>""</f>
        <v/>
      </c>
      <c r="G616" t="str">
        <f>""</f>
        <v/>
      </c>
      <c r="H616" s="1">
        <v>41306</v>
      </c>
      <c r="I616" t="str">
        <f>"00008295"</f>
        <v>00008295</v>
      </c>
      <c r="J616" t="str">
        <f t="shared" si="185"/>
        <v>N132881C</v>
      </c>
      <c r="K616" t="str">
        <f t="shared" si="186"/>
        <v>INEI</v>
      </c>
      <c r="L616" t="s">
        <v>1936</v>
      </c>
      <c r="M616" s="2">
        <v>3721.18</v>
      </c>
    </row>
    <row r="617" spans="1:13" x14ac:dyDescent="0.25">
      <c r="A617" t="str">
        <f t="shared" si="181"/>
        <v>E365</v>
      </c>
      <c r="B617">
        <v>1</v>
      </c>
      <c r="C617" t="str">
        <f t="shared" si="182"/>
        <v>23275</v>
      </c>
      <c r="D617" t="str">
        <f t="shared" si="183"/>
        <v>5741</v>
      </c>
      <c r="E617" t="str">
        <f t="shared" si="184"/>
        <v>063STF</v>
      </c>
      <c r="F617" t="str">
        <f>""</f>
        <v/>
      </c>
      <c r="G617" t="str">
        <f>""</f>
        <v/>
      </c>
      <c r="H617" s="1">
        <v>41306</v>
      </c>
      <c r="I617" t="str">
        <f>"00008296"</f>
        <v>00008296</v>
      </c>
      <c r="J617" t="str">
        <f t="shared" si="185"/>
        <v>N132881C</v>
      </c>
      <c r="K617" t="str">
        <f t="shared" si="186"/>
        <v>INEI</v>
      </c>
      <c r="L617" t="s">
        <v>1936</v>
      </c>
      <c r="M617" s="2">
        <v>3540.89</v>
      </c>
    </row>
    <row r="618" spans="1:13" x14ac:dyDescent="0.25">
      <c r="A618" t="str">
        <f t="shared" si="181"/>
        <v>E365</v>
      </c>
      <c r="B618">
        <v>1</v>
      </c>
      <c r="C618" t="str">
        <f t="shared" si="182"/>
        <v>23275</v>
      </c>
      <c r="D618" t="str">
        <f t="shared" si="183"/>
        <v>5741</v>
      </c>
      <c r="E618" t="str">
        <f t="shared" si="184"/>
        <v>063STF</v>
      </c>
      <c r="F618" t="str">
        <f>""</f>
        <v/>
      </c>
      <c r="G618" t="str">
        <f>""</f>
        <v/>
      </c>
      <c r="H618" s="1">
        <v>41334</v>
      </c>
      <c r="I618" t="str">
        <f>"00008317"</f>
        <v>00008317</v>
      </c>
      <c r="J618" t="str">
        <f t="shared" si="185"/>
        <v>N132881C</v>
      </c>
      <c r="K618" t="str">
        <f t="shared" si="186"/>
        <v>INEI</v>
      </c>
      <c r="L618" t="s">
        <v>1936</v>
      </c>
      <c r="M618" s="2">
        <v>3540.89</v>
      </c>
    </row>
    <row r="619" spans="1:13" x14ac:dyDescent="0.25">
      <c r="A619" t="str">
        <f t="shared" si="181"/>
        <v>E365</v>
      </c>
      <c r="B619">
        <v>1</v>
      </c>
      <c r="C619" t="str">
        <f t="shared" si="182"/>
        <v>23275</v>
      </c>
      <c r="D619" t="str">
        <f t="shared" si="183"/>
        <v>5741</v>
      </c>
      <c r="E619" t="str">
        <f t="shared" si="184"/>
        <v>063STF</v>
      </c>
      <c r="F619" t="str">
        <f>""</f>
        <v/>
      </c>
      <c r="G619" t="str">
        <f>""</f>
        <v/>
      </c>
      <c r="H619" s="1">
        <v>41334</v>
      </c>
      <c r="I619" t="str">
        <f>"00008318"</f>
        <v>00008318</v>
      </c>
      <c r="J619" t="str">
        <f t="shared" si="185"/>
        <v>N132881C</v>
      </c>
      <c r="K619" t="str">
        <f t="shared" si="186"/>
        <v>INEI</v>
      </c>
      <c r="L619" t="s">
        <v>1936</v>
      </c>
      <c r="M619" s="2">
        <v>3540.89</v>
      </c>
    </row>
    <row r="620" spans="1:13" x14ac:dyDescent="0.25">
      <c r="A620" t="str">
        <f t="shared" si="181"/>
        <v>E365</v>
      </c>
      <c r="B620">
        <v>1</v>
      </c>
      <c r="C620" t="str">
        <f t="shared" si="182"/>
        <v>23275</v>
      </c>
      <c r="D620" t="str">
        <f t="shared" si="183"/>
        <v>5741</v>
      </c>
      <c r="E620" t="str">
        <f t="shared" si="184"/>
        <v>063STF</v>
      </c>
      <c r="F620" t="str">
        <f>""</f>
        <v/>
      </c>
      <c r="G620" t="str">
        <f>""</f>
        <v/>
      </c>
      <c r="H620" s="1">
        <v>41334</v>
      </c>
      <c r="I620" t="str">
        <f>"00008319"</f>
        <v>00008319</v>
      </c>
      <c r="J620" t="str">
        <f t="shared" si="185"/>
        <v>N132881C</v>
      </c>
      <c r="K620" t="str">
        <f t="shared" si="186"/>
        <v>INEI</v>
      </c>
      <c r="L620" t="s">
        <v>1936</v>
      </c>
      <c r="M620" s="2">
        <v>3721.18</v>
      </c>
    </row>
    <row r="621" spans="1:13" x14ac:dyDescent="0.25">
      <c r="A621" t="str">
        <f t="shared" si="181"/>
        <v>E365</v>
      </c>
      <c r="B621">
        <v>1</v>
      </c>
      <c r="C621" t="str">
        <f t="shared" si="182"/>
        <v>23275</v>
      </c>
      <c r="D621" t="str">
        <f t="shared" si="183"/>
        <v>5741</v>
      </c>
      <c r="E621" t="str">
        <f t="shared" si="184"/>
        <v>063STF</v>
      </c>
      <c r="F621" t="str">
        <f>""</f>
        <v/>
      </c>
      <c r="G621" t="str">
        <f>""</f>
        <v/>
      </c>
      <c r="H621" s="1">
        <v>41334</v>
      </c>
      <c r="I621" t="str">
        <f>"0008322A"</f>
        <v>0008322A</v>
      </c>
      <c r="J621" t="str">
        <f t="shared" si="185"/>
        <v>N132881C</v>
      </c>
      <c r="K621" t="str">
        <f t="shared" si="186"/>
        <v>INEI</v>
      </c>
      <c r="L621" t="s">
        <v>1936</v>
      </c>
      <c r="M621" s="2">
        <v>3540.89</v>
      </c>
    </row>
    <row r="622" spans="1:13" x14ac:dyDescent="0.25">
      <c r="A622" t="str">
        <f t="shared" si="181"/>
        <v>E365</v>
      </c>
      <c r="B622">
        <v>1</v>
      </c>
      <c r="C622" t="str">
        <f t="shared" si="182"/>
        <v>23275</v>
      </c>
      <c r="D622" t="str">
        <f t="shared" si="183"/>
        <v>5741</v>
      </c>
      <c r="E622" t="str">
        <f t="shared" si="184"/>
        <v>063STF</v>
      </c>
      <c r="F622" t="str">
        <f>""</f>
        <v/>
      </c>
      <c r="G622" t="str">
        <f>""</f>
        <v/>
      </c>
      <c r="H622" s="1">
        <v>41351</v>
      </c>
      <c r="I622" t="str">
        <f>"00008332"</f>
        <v>00008332</v>
      </c>
      <c r="J622" t="str">
        <f t="shared" si="185"/>
        <v>N132881C</v>
      </c>
      <c r="K622" t="str">
        <f t="shared" si="186"/>
        <v>INEI</v>
      </c>
      <c r="L622" t="s">
        <v>1936</v>
      </c>
      <c r="M622" s="2">
        <v>3540.89</v>
      </c>
    </row>
    <row r="623" spans="1:13" x14ac:dyDescent="0.25">
      <c r="A623" t="str">
        <f t="shared" si="181"/>
        <v>E365</v>
      </c>
      <c r="B623">
        <v>1</v>
      </c>
      <c r="C623" t="str">
        <f t="shared" si="182"/>
        <v>23275</v>
      </c>
      <c r="D623" t="str">
        <f t="shared" si="183"/>
        <v>5741</v>
      </c>
      <c r="E623" t="str">
        <f t="shared" si="184"/>
        <v>063STF</v>
      </c>
      <c r="F623" t="str">
        <f>""</f>
        <v/>
      </c>
      <c r="G623" t="str">
        <f>""</f>
        <v/>
      </c>
      <c r="H623" s="1">
        <v>41353</v>
      </c>
      <c r="I623" t="str">
        <f>"00008342"</f>
        <v>00008342</v>
      </c>
      <c r="J623" t="str">
        <f t="shared" si="185"/>
        <v>N132881C</v>
      </c>
      <c r="K623" t="str">
        <f t="shared" si="186"/>
        <v>INEI</v>
      </c>
      <c r="L623" t="s">
        <v>1936</v>
      </c>
      <c r="M623" s="2">
        <v>3540.89</v>
      </c>
    </row>
    <row r="624" spans="1:13" x14ac:dyDescent="0.25">
      <c r="A624" t="str">
        <f t="shared" si="181"/>
        <v>E365</v>
      </c>
      <c r="B624">
        <v>1</v>
      </c>
      <c r="C624" t="str">
        <f t="shared" si="182"/>
        <v>23275</v>
      </c>
      <c r="D624" t="str">
        <f t="shared" si="183"/>
        <v>5741</v>
      </c>
      <c r="E624" t="str">
        <f t="shared" si="184"/>
        <v>063STF</v>
      </c>
      <c r="F624" t="str">
        <f>""</f>
        <v/>
      </c>
      <c r="G624" t="str">
        <f>""</f>
        <v/>
      </c>
      <c r="H624" s="1">
        <v>41360</v>
      </c>
      <c r="I624" t="str">
        <f>"00008344"</f>
        <v>00008344</v>
      </c>
      <c r="J624" t="str">
        <f t="shared" si="185"/>
        <v>N132881C</v>
      </c>
      <c r="K624" t="str">
        <f t="shared" si="186"/>
        <v>INEI</v>
      </c>
      <c r="L624" t="s">
        <v>1936</v>
      </c>
      <c r="M624" s="2">
        <v>3540.89</v>
      </c>
    </row>
    <row r="625" spans="1:13" x14ac:dyDescent="0.25">
      <c r="A625" t="str">
        <f t="shared" si="181"/>
        <v>E365</v>
      </c>
      <c r="B625">
        <v>1</v>
      </c>
      <c r="C625" t="str">
        <f t="shared" si="182"/>
        <v>23275</v>
      </c>
      <c r="D625" t="str">
        <f t="shared" si="183"/>
        <v>5741</v>
      </c>
      <c r="E625" t="str">
        <f t="shared" si="184"/>
        <v>063STF</v>
      </c>
      <c r="F625" t="str">
        <f>""</f>
        <v/>
      </c>
      <c r="G625" t="str">
        <f>""</f>
        <v/>
      </c>
      <c r="H625" s="1">
        <v>41360</v>
      </c>
      <c r="I625" t="str">
        <f>"00008345"</f>
        <v>00008345</v>
      </c>
      <c r="J625" t="str">
        <f t="shared" si="185"/>
        <v>N132881C</v>
      </c>
      <c r="K625" t="str">
        <f t="shared" si="186"/>
        <v>INEI</v>
      </c>
      <c r="L625" t="s">
        <v>1936</v>
      </c>
      <c r="M625" s="2">
        <v>3540.89</v>
      </c>
    </row>
    <row r="626" spans="1:13" x14ac:dyDescent="0.25">
      <c r="A626" t="str">
        <f t="shared" si="181"/>
        <v>E365</v>
      </c>
      <c r="B626">
        <v>1</v>
      </c>
      <c r="C626" t="str">
        <f t="shared" si="182"/>
        <v>23275</v>
      </c>
      <c r="D626" t="str">
        <f t="shared" si="183"/>
        <v>5741</v>
      </c>
      <c r="E626" t="str">
        <f t="shared" si="184"/>
        <v>063STF</v>
      </c>
      <c r="F626" t="str">
        <f>""</f>
        <v/>
      </c>
      <c r="G626" t="str">
        <f>""</f>
        <v/>
      </c>
      <c r="H626" s="1">
        <v>41368</v>
      </c>
      <c r="I626" t="str">
        <f>"00008347"</f>
        <v>00008347</v>
      </c>
      <c r="J626" t="str">
        <f t="shared" si="185"/>
        <v>N132881C</v>
      </c>
      <c r="K626" t="str">
        <f t="shared" si="186"/>
        <v>INEI</v>
      </c>
      <c r="L626" t="s">
        <v>1936</v>
      </c>
      <c r="M626" s="2">
        <v>3540.89</v>
      </c>
    </row>
    <row r="627" spans="1:13" x14ac:dyDescent="0.25">
      <c r="A627" t="str">
        <f t="shared" si="181"/>
        <v>E365</v>
      </c>
      <c r="B627">
        <v>1</v>
      </c>
      <c r="C627" t="str">
        <f t="shared" si="182"/>
        <v>23275</v>
      </c>
      <c r="D627" t="str">
        <f t="shared" si="183"/>
        <v>5741</v>
      </c>
      <c r="E627" t="str">
        <f t="shared" si="184"/>
        <v>063STF</v>
      </c>
      <c r="F627" t="str">
        <f>""</f>
        <v/>
      </c>
      <c r="G627" t="str">
        <f>""</f>
        <v/>
      </c>
      <c r="H627" s="1">
        <v>41380</v>
      </c>
      <c r="I627" t="str">
        <f>"00008373"</f>
        <v>00008373</v>
      </c>
      <c r="J627" t="str">
        <f t="shared" si="185"/>
        <v>N132881C</v>
      </c>
      <c r="K627" t="str">
        <f t="shared" si="186"/>
        <v>INEI</v>
      </c>
      <c r="L627" t="s">
        <v>1936</v>
      </c>
      <c r="M627" s="2">
        <v>3540.89</v>
      </c>
    </row>
    <row r="628" spans="1:13" x14ac:dyDescent="0.25">
      <c r="A628" t="str">
        <f t="shared" si="181"/>
        <v>E365</v>
      </c>
      <c r="B628">
        <v>1</v>
      </c>
      <c r="C628" t="str">
        <f t="shared" si="182"/>
        <v>23275</v>
      </c>
      <c r="D628" t="str">
        <f t="shared" si="183"/>
        <v>5741</v>
      </c>
      <c r="E628" t="str">
        <f t="shared" si="184"/>
        <v>063STF</v>
      </c>
      <c r="F628" t="str">
        <f>""</f>
        <v/>
      </c>
      <c r="G628" t="str">
        <f>""</f>
        <v/>
      </c>
      <c r="H628" s="1">
        <v>41404</v>
      </c>
      <c r="I628" t="str">
        <f>"00008375"</f>
        <v>00008375</v>
      </c>
      <c r="J628" t="str">
        <f t="shared" si="185"/>
        <v>N132881C</v>
      </c>
      <c r="K628" t="str">
        <f t="shared" si="186"/>
        <v>INEI</v>
      </c>
      <c r="L628" t="s">
        <v>1936</v>
      </c>
      <c r="M628" s="2">
        <v>3540.89</v>
      </c>
    </row>
    <row r="629" spans="1:13" x14ac:dyDescent="0.25">
      <c r="A629" t="str">
        <f t="shared" si="181"/>
        <v>E365</v>
      </c>
      <c r="B629">
        <v>1</v>
      </c>
      <c r="C629" t="str">
        <f t="shared" si="182"/>
        <v>23275</v>
      </c>
      <c r="D629" t="str">
        <f t="shared" si="183"/>
        <v>5741</v>
      </c>
      <c r="E629" t="str">
        <f t="shared" si="184"/>
        <v>063STF</v>
      </c>
      <c r="F629" t="str">
        <f>""</f>
        <v/>
      </c>
      <c r="G629" t="str">
        <f>""</f>
        <v/>
      </c>
      <c r="H629" s="1">
        <v>41411</v>
      </c>
      <c r="I629" t="str">
        <f>"00008377"</f>
        <v>00008377</v>
      </c>
      <c r="J629" t="str">
        <f t="shared" si="185"/>
        <v>N132881C</v>
      </c>
      <c r="K629" t="str">
        <f t="shared" si="186"/>
        <v>INEI</v>
      </c>
      <c r="L629" t="s">
        <v>1936</v>
      </c>
      <c r="M629" s="2">
        <v>3540.89</v>
      </c>
    </row>
    <row r="630" spans="1:13" x14ac:dyDescent="0.25">
      <c r="A630" t="str">
        <f t="shared" si="181"/>
        <v>E365</v>
      </c>
      <c r="B630">
        <v>1</v>
      </c>
      <c r="C630" t="str">
        <f t="shared" si="182"/>
        <v>23275</v>
      </c>
      <c r="D630" t="str">
        <f t="shared" si="183"/>
        <v>5741</v>
      </c>
      <c r="E630" t="str">
        <f t="shared" si="184"/>
        <v>063STF</v>
      </c>
      <c r="F630" t="str">
        <f>""</f>
        <v/>
      </c>
      <c r="G630" t="str">
        <f>""</f>
        <v/>
      </c>
      <c r="H630" s="1">
        <v>41411</v>
      </c>
      <c r="I630" t="str">
        <f>"00008404"</f>
        <v>00008404</v>
      </c>
      <c r="J630" t="str">
        <f t="shared" si="185"/>
        <v>N132881C</v>
      </c>
      <c r="K630" t="str">
        <f t="shared" si="186"/>
        <v>INEI</v>
      </c>
      <c r="L630" t="s">
        <v>1936</v>
      </c>
      <c r="M630" s="2">
        <v>3721.18</v>
      </c>
    </row>
    <row r="631" spans="1:13" x14ac:dyDescent="0.25">
      <c r="A631" t="str">
        <f t="shared" si="181"/>
        <v>E365</v>
      </c>
      <c r="B631">
        <v>1</v>
      </c>
      <c r="C631" t="str">
        <f t="shared" si="182"/>
        <v>23275</v>
      </c>
      <c r="D631" t="str">
        <f t="shared" si="183"/>
        <v>5741</v>
      </c>
      <c r="E631" t="str">
        <f t="shared" si="184"/>
        <v>063STF</v>
      </c>
      <c r="F631" t="str">
        <f>""</f>
        <v/>
      </c>
      <c r="G631" t="str">
        <f>""</f>
        <v/>
      </c>
      <c r="H631" s="1">
        <v>41411</v>
      </c>
      <c r="I631" t="str">
        <f>"0008378B"</f>
        <v>0008378B</v>
      </c>
      <c r="J631" t="str">
        <f t="shared" si="185"/>
        <v>N132881C</v>
      </c>
      <c r="K631" t="str">
        <f t="shared" si="186"/>
        <v>INEI</v>
      </c>
      <c r="L631" t="s">
        <v>1936</v>
      </c>
      <c r="M631" s="2">
        <v>3901.47</v>
      </c>
    </row>
    <row r="632" spans="1:13" x14ac:dyDescent="0.25">
      <c r="A632" t="str">
        <f t="shared" si="181"/>
        <v>E365</v>
      </c>
      <c r="B632">
        <v>1</v>
      </c>
      <c r="C632" t="str">
        <f t="shared" si="182"/>
        <v>23275</v>
      </c>
      <c r="D632" t="str">
        <f t="shared" si="183"/>
        <v>5741</v>
      </c>
      <c r="E632" t="str">
        <f t="shared" si="184"/>
        <v>063STF</v>
      </c>
      <c r="F632" t="str">
        <f>""</f>
        <v/>
      </c>
      <c r="G632" t="str">
        <f>""</f>
        <v/>
      </c>
      <c r="H632" s="1">
        <v>41439</v>
      </c>
      <c r="I632" t="str">
        <f>"00008412"</f>
        <v>00008412</v>
      </c>
      <c r="J632" t="str">
        <f t="shared" si="185"/>
        <v>N132881C</v>
      </c>
      <c r="K632" t="str">
        <f t="shared" si="186"/>
        <v>INEI</v>
      </c>
      <c r="L632" t="s">
        <v>1936</v>
      </c>
      <c r="M632" s="2">
        <v>3540.89</v>
      </c>
    </row>
    <row r="633" spans="1:13" x14ac:dyDescent="0.25">
      <c r="A633" t="str">
        <f t="shared" si="181"/>
        <v>E365</v>
      </c>
      <c r="B633">
        <v>1</v>
      </c>
      <c r="C633" t="str">
        <f t="shared" si="182"/>
        <v>23275</v>
      </c>
      <c r="D633" t="str">
        <f t="shared" si="183"/>
        <v>5741</v>
      </c>
      <c r="E633" t="str">
        <f t="shared" si="184"/>
        <v>063STF</v>
      </c>
      <c r="F633" t="str">
        <f>""</f>
        <v/>
      </c>
      <c r="G633" t="str">
        <f>""</f>
        <v/>
      </c>
      <c r="H633" s="1">
        <v>41439</v>
      </c>
      <c r="I633" t="str">
        <f>"00008428"</f>
        <v>00008428</v>
      </c>
      <c r="J633" t="str">
        <f t="shared" si="185"/>
        <v>N132881C</v>
      </c>
      <c r="K633" t="str">
        <f t="shared" si="186"/>
        <v>INEI</v>
      </c>
      <c r="L633" t="s">
        <v>1936</v>
      </c>
      <c r="M633" s="2">
        <v>4541.01</v>
      </c>
    </row>
    <row r="634" spans="1:13" x14ac:dyDescent="0.25">
      <c r="A634" t="str">
        <f t="shared" si="181"/>
        <v>E365</v>
      </c>
      <c r="B634">
        <v>1</v>
      </c>
      <c r="C634" t="str">
        <f t="shared" si="182"/>
        <v>23275</v>
      </c>
      <c r="D634" t="str">
        <f t="shared" si="183"/>
        <v>5741</v>
      </c>
      <c r="E634" t="str">
        <f t="shared" si="184"/>
        <v>063STF</v>
      </c>
      <c r="F634" t="str">
        <f>""</f>
        <v/>
      </c>
      <c r="G634" t="str">
        <f>""</f>
        <v/>
      </c>
      <c r="H634" s="1">
        <v>41439</v>
      </c>
      <c r="I634" t="str">
        <f>"0008411A"</f>
        <v>0008411A</v>
      </c>
      <c r="J634" t="str">
        <f t="shared" si="185"/>
        <v>N132881C</v>
      </c>
      <c r="K634" t="str">
        <f t="shared" si="186"/>
        <v>INEI</v>
      </c>
      <c r="L634" t="s">
        <v>1936</v>
      </c>
      <c r="M634" s="2">
        <v>3901.47</v>
      </c>
    </row>
    <row r="635" spans="1:13" x14ac:dyDescent="0.25">
      <c r="A635" t="str">
        <f t="shared" si="181"/>
        <v>E365</v>
      </c>
      <c r="B635">
        <v>1</v>
      </c>
      <c r="C635" t="str">
        <f t="shared" si="182"/>
        <v>23275</v>
      </c>
      <c r="D635" t="str">
        <f t="shared" si="183"/>
        <v>5741</v>
      </c>
      <c r="E635" t="str">
        <f t="shared" si="184"/>
        <v>063STF</v>
      </c>
      <c r="F635" t="str">
        <f>""</f>
        <v/>
      </c>
      <c r="G635" t="str">
        <f>""</f>
        <v/>
      </c>
      <c r="H635" s="1">
        <v>41451</v>
      </c>
      <c r="I635" t="str">
        <f>"00008435"</f>
        <v>00008435</v>
      </c>
      <c r="J635" t="str">
        <f t="shared" si="185"/>
        <v>N132881C</v>
      </c>
      <c r="K635" t="str">
        <f t="shared" si="186"/>
        <v>INEI</v>
      </c>
      <c r="L635" t="s">
        <v>1936</v>
      </c>
      <c r="M635" s="2">
        <v>3540.89</v>
      </c>
    </row>
    <row r="636" spans="1:13" x14ac:dyDescent="0.25">
      <c r="A636" t="str">
        <f t="shared" si="181"/>
        <v>E365</v>
      </c>
      <c r="B636">
        <v>1</v>
      </c>
      <c r="C636" t="str">
        <f t="shared" si="182"/>
        <v>23275</v>
      </c>
      <c r="D636" t="str">
        <f t="shared" si="183"/>
        <v>5741</v>
      </c>
      <c r="E636" t="str">
        <f t="shared" si="184"/>
        <v>063STF</v>
      </c>
      <c r="F636" t="str">
        <f>""</f>
        <v/>
      </c>
      <c r="G636" t="str">
        <f>""</f>
        <v/>
      </c>
      <c r="H636" s="1">
        <v>41451</v>
      </c>
      <c r="I636" t="str">
        <f>"00008436"</f>
        <v>00008436</v>
      </c>
      <c r="J636" t="str">
        <f t="shared" si="185"/>
        <v>N132881C</v>
      </c>
      <c r="K636" t="str">
        <f t="shared" si="186"/>
        <v>INEI</v>
      </c>
      <c r="L636" t="s">
        <v>1936</v>
      </c>
      <c r="M636" s="2">
        <v>3540.89</v>
      </c>
    </row>
    <row r="637" spans="1:13" x14ac:dyDescent="0.25">
      <c r="A637" t="str">
        <f t="shared" si="181"/>
        <v>E365</v>
      </c>
      <c r="B637">
        <v>1</v>
      </c>
      <c r="C637" t="str">
        <f t="shared" si="182"/>
        <v>23275</v>
      </c>
      <c r="D637" t="str">
        <f t="shared" si="183"/>
        <v>5741</v>
      </c>
      <c r="E637" t="str">
        <f t="shared" si="184"/>
        <v>063STF</v>
      </c>
      <c r="F637" t="str">
        <f>""</f>
        <v/>
      </c>
      <c r="G637" t="str">
        <f>""</f>
        <v/>
      </c>
      <c r="H637" s="1">
        <v>41451</v>
      </c>
      <c r="I637" t="str">
        <f>"00008440"</f>
        <v>00008440</v>
      </c>
      <c r="J637" t="str">
        <f t="shared" si="185"/>
        <v>N132881C</v>
      </c>
      <c r="K637" t="str">
        <f t="shared" si="186"/>
        <v>INEI</v>
      </c>
      <c r="L637" t="s">
        <v>1936</v>
      </c>
      <c r="M637" s="2">
        <v>3540.89</v>
      </c>
    </row>
    <row r="638" spans="1:13" x14ac:dyDescent="0.25">
      <c r="A638" t="str">
        <f>"E366"</f>
        <v>E366</v>
      </c>
      <c r="B638">
        <v>1</v>
      </c>
      <c r="C638" t="str">
        <f>"43000"</f>
        <v>43000</v>
      </c>
      <c r="D638" t="str">
        <f>"5740"</f>
        <v>5740</v>
      </c>
      <c r="E638" t="str">
        <f>"850LOS"</f>
        <v>850LOS</v>
      </c>
      <c r="F638" t="str">
        <f>""</f>
        <v/>
      </c>
      <c r="G638" t="str">
        <f>""</f>
        <v/>
      </c>
      <c r="H638" s="1">
        <v>41305</v>
      </c>
      <c r="I638" t="str">
        <f>"TRV10159"</f>
        <v>TRV10159</v>
      </c>
      <c r="J638" t="str">
        <f>"TE732080"</f>
        <v>TE732080</v>
      </c>
      <c r="K638" t="str">
        <f>"AS89"</f>
        <v>AS89</v>
      </c>
      <c r="L638" t="s">
        <v>1933</v>
      </c>
      <c r="M638">
        <v>336.6</v>
      </c>
    </row>
    <row r="639" spans="1:13" x14ac:dyDescent="0.25">
      <c r="A639" t="str">
        <f>"E367"</f>
        <v>E367</v>
      </c>
      <c r="B639">
        <v>1</v>
      </c>
      <c r="C639" t="str">
        <f>"43000"</f>
        <v>43000</v>
      </c>
      <c r="D639" t="str">
        <f>"5740"</f>
        <v>5740</v>
      </c>
      <c r="E639" t="str">
        <f>"850LOS"</f>
        <v>850LOS</v>
      </c>
      <c r="F639" t="str">
        <f>""</f>
        <v/>
      </c>
      <c r="G639" t="str">
        <f>""</f>
        <v/>
      </c>
      <c r="H639" s="1">
        <v>41213</v>
      </c>
      <c r="I639" t="str">
        <f>"TRV10156"</f>
        <v>TRV10156</v>
      </c>
      <c r="J639" t="str">
        <f>"TE701228"</f>
        <v>TE701228</v>
      </c>
      <c r="K639" t="str">
        <f>"AS89"</f>
        <v>AS89</v>
      </c>
      <c r="L639" t="s">
        <v>1935</v>
      </c>
      <c r="M639">
        <v>618</v>
      </c>
    </row>
    <row r="640" spans="1:13" x14ac:dyDescent="0.25">
      <c r="A640" t="str">
        <f>"E367"</f>
        <v>E367</v>
      </c>
      <c r="B640">
        <v>1</v>
      </c>
      <c r="C640" t="str">
        <f>"43000"</f>
        <v>43000</v>
      </c>
      <c r="D640" t="str">
        <f>"5740"</f>
        <v>5740</v>
      </c>
      <c r="E640" t="str">
        <f>"850LOS"</f>
        <v>850LOS</v>
      </c>
      <c r="F640" t="str">
        <f>""</f>
        <v/>
      </c>
      <c r="G640" t="str">
        <f>""</f>
        <v/>
      </c>
      <c r="H640" s="1">
        <v>41213</v>
      </c>
      <c r="I640" t="str">
        <f>"TRV10156"</f>
        <v>TRV10156</v>
      </c>
      <c r="J640" t="str">
        <f>"TE701229"</f>
        <v>TE701229</v>
      </c>
      <c r="K640" t="str">
        <f>"AS89"</f>
        <v>AS89</v>
      </c>
      <c r="L640" t="s">
        <v>1934</v>
      </c>
      <c r="M640">
        <v>752</v>
      </c>
    </row>
    <row r="641" spans="1:13" x14ac:dyDescent="0.25">
      <c r="A641" t="str">
        <f>"E367"</f>
        <v>E367</v>
      </c>
      <c r="B641">
        <v>1</v>
      </c>
      <c r="C641" t="str">
        <f>"43000"</f>
        <v>43000</v>
      </c>
      <c r="D641" t="str">
        <f>"5740"</f>
        <v>5740</v>
      </c>
      <c r="E641" t="str">
        <f>"850LOS"</f>
        <v>850LOS</v>
      </c>
      <c r="F641" t="str">
        <f>""</f>
        <v/>
      </c>
      <c r="G641" t="str">
        <f>""</f>
        <v/>
      </c>
      <c r="H641" s="1">
        <v>41454</v>
      </c>
      <c r="I641" t="str">
        <f>"TRV10164"</f>
        <v>TRV10164</v>
      </c>
      <c r="J641" t="str">
        <f>"TE766465"</f>
        <v>TE766465</v>
      </c>
      <c r="K641" t="str">
        <f>"AS89"</f>
        <v>AS89</v>
      </c>
      <c r="L641" t="s">
        <v>1933</v>
      </c>
      <c r="M641">
        <v>290.5</v>
      </c>
    </row>
    <row r="642" spans="1:13" x14ac:dyDescent="0.25">
      <c r="A642" t="str">
        <f>"E368"</f>
        <v>E368</v>
      </c>
      <c r="B642">
        <v>1</v>
      </c>
      <c r="C642" t="str">
        <f>"10200"</f>
        <v>10200</v>
      </c>
      <c r="D642" t="str">
        <f>"5620"</f>
        <v>5620</v>
      </c>
      <c r="E642" t="str">
        <f>"094OMS"</f>
        <v>094OMS</v>
      </c>
      <c r="F642" t="str">
        <f>""</f>
        <v/>
      </c>
      <c r="G642" t="str">
        <f>""</f>
        <v/>
      </c>
      <c r="H642" s="1">
        <v>41229</v>
      </c>
      <c r="I642" t="str">
        <f>"199517"</f>
        <v>199517</v>
      </c>
      <c r="J642" t="str">
        <f>""</f>
        <v/>
      </c>
      <c r="K642" t="str">
        <f>"INNI"</f>
        <v>INNI</v>
      </c>
      <c r="L642" t="s">
        <v>1932</v>
      </c>
      <c r="M642">
        <v>426.18</v>
      </c>
    </row>
    <row r="643" spans="1:13" x14ac:dyDescent="0.25">
      <c r="A643" t="str">
        <f>"E368"</f>
        <v>E368</v>
      </c>
      <c r="B643">
        <v>1</v>
      </c>
      <c r="C643" t="str">
        <f>"10200"</f>
        <v>10200</v>
      </c>
      <c r="D643" t="str">
        <f>"5620"</f>
        <v>5620</v>
      </c>
      <c r="E643" t="str">
        <f>"094OMS"</f>
        <v>094OMS</v>
      </c>
      <c r="F643" t="str">
        <f>""</f>
        <v/>
      </c>
      <c r="G643" t="str">
        <f>""</f>
        <v/>
      </c>
      <c r="H643" s="1">
        <v>41288</v>
      </c>
      <c r="I643" t="str">
        <f>"210952"</f>
        <v>210952</v>
      </c>
      <c r="J643" t="str">
        <f>""</f>
        <v/>
      </c>
      <c r="K643" t="str">
        <f>"INNI"</f>
        <v>INNI</v>
      </c>
      <c r="L643" t="s">
        <v>4</v>
      </c>
      <c r="M643">
        <v>350</v>
      </c>
    </row>
    <row r="644" spans="1:13" x14ac:dyDescent="0.25">
      <c r="A644" t="str">
        <f>"E368"</f>
        <v>E368</v>
      </c>
      <c r="B644">
        <v>1</v>
      </c>
      <c r="C644" t="str">
        <f>"10200"</f>
        <v>10200</v>
      </c>
      <c r="D644" t="str">
        <f>"5620"</f>
        <v>5620</v>
      </c>
      <c r="E644" t="str">
        <f>"094OMS"</f>
        <v>094OMS</v>
      </c>
      <c r="F644" t="str">
        <f>""</f>
        <v/>
      </c>
      <c r="G644" t="str">
        <f>""</f>
        <v/>
      </c>
      <c r="H644" s="1">
        <v>41320</v>
      </c>
      <c r="I644" t="str">
        <f>"J0003606"</f>
        <v>J0003606</v>
      </c>
      <c r="J644" t="str">
        <f>""</f>
        <v/>
      </c>
      <c r="K644" t="str">
        <f>"J096"</f>
        <v>J096</v>
      </c>
      <c r="L644" t="s">
        <v>1931</v>
      </c>
      <c r="M644">
        <v>985.2</v>
      </c>
    </row>
    <row r="645" spans="1:13" x14ac:dyDescent="0.25">
      <c r="A645" t="str">
        <f>"E370"</f>
        <v>E370</v>
      </c>
      <c r="B645">
        <v>1</v>
      </c>
      <c r="C645" t="str">
        <f>"43000"</f>
        <v>43000</v>
      </c>
      <c r="D645" t="str">
        <f>"5740"</f>
        <v>5740</v>
      </c>
      <c r="E645" t="str">
        <f>"850LOS"</f>
        <v>850LOS</v>
      </c>
      <c r="F645" t="str">
        <f>""</f>
        <v/>
      </c>
      <c r="G645" t="str">
        <f>""</f>
        <v/>
      </c>
      <c r="H645" s="1">
        <v>41255</v>
      </c>
      <c r="I645" t="str">
        <f>"V129766"</f>
        <v>V129766</v>
      </c>
      <c r="J645" t="str">
        <f>""</f>
        <v/>
      </c>
      <c r="K645" t="str">
        <f>"INNI"</f>
        <v>INNI</v>
      </c>
      <c r="L645" t="s">
        <v>284</v>
      </c>
      <c r="M645" s="2">
        <v>1521.04</v>
      </c>
    </row>
    <row r="646" spans="1:13" x14ac:dyDescent="0.25">
      <c r="A646" t="str">
        <f>"E370"</f>
        <v>E370</v>
      </c>
      <c r="B646">
        <v>1</v>
      </c>
      <c r="C646" t="str">
        <f>"43000"</f>
        <v>43000</v>
      </c>
      <c r="D646" t="str">
        <f>"5740"</f>
        <v>5740</v>
      </c>
      <c r="E646" t="str">
        <f>"850LOS"</f>
        <v>850LOS</v>
      </c>
      <c r="F646" t="str">
        <f>""</f>
        <v/>
      </c>
      <c r="G646" t="str">
        <f>""</f>
        <v/>
      </c>
      <c r="H646" s="1">
        <v>41260</v>
      </c>
      <c r="I646" t="str">
        <f>"V129767"</f>
        <v>V129767</v>
      </c>
      <c r="J646" t="str">
        <f>""</f>
        <v/>
      </c>
      <c r="K646" t="str">
        <f>"INNI"</f>
        <v>INNI</v>
      </c>
      <c r="L646" t="s">
        <v>1697</v>
      </c>
      <c r="M646">
        <v>180</v>
      </c>
    </row>
    <row r="647" spans="1:13" x14ac:dyDescent="0.25">
      <c r="A647" t="str">
        <f>"E370"</f>
        <v>E370</v>
      </c>
      <c r="B647">
        <v>1</v>
      </c>
      <c r="C647" t="str">
        <f>"43000"</f>
        <v>43000</v>
      </c>
      <c r="D647" t="str">
        <f>"5740"</f>
        <v>5740</v>
      </c>
      <c r="E647" t="str">
        <f>"850LOS"</f>
        <v>850LOS</v>
      </c>
      <c r="F647" t="str">
        <f>""</f>
        <v/>
      </c>
      <c r="G647" t="str">
        <f>""</f>
        <v/>
      </c>
      <c r="H647" s="1">
        <v>41354</v>
      </c>
      <c r="I647" t="str">
        <f>"V129777"</f>
        <v>V129777</v>
      </c>
      <c r="J647" t="str">
        <f>""</f>
        <v/>
      </c>
      <c r="K647" t="str">
        <f>"INNI"</f>
        <v>INNI</v>
      </c>
      <c r="L647" t="s">
        <v>284</v>
      </c>
      <c r="M647">
        <v>292.38</v>
      </c>
    </row>
    <row r="648" spans="1:13" x14ac:dyDescent="0.25">
      <c r="A648" t="str">
        <f>"E373"</f>
        <v>E373</v>
      </c>
      <c r="B648">
        <v>1</v>
      </c>
      <c r="C648" t="str">
        <f>"10200"</f>
        <v>10200</v>
      </c>
      <c r="D648" t="str">
        <f>"5620"</f>
        <v>5620</v>
      </c>
      <c r="E648" t="str">
        <f>"094OMS"</f>
        <v>094OMS</v>
      </c>
      <c r="F648" t="str">
        <f>""</f>
        <v/>
      </c>
      <c r="G648" t="str">
        <f>""</f>
        <v/>
      </c>
      <c r="H648" s="1">
        <v>41256</v>
      </c>
      <c r="I648" t="str">
        <f>"V129768"</f>
        <v>V129768</v>
      </c>
      <c r="J648" t="str">
        <f>""</f>
        <v/>
      </c>
      <c r="K648" t="str">
        <f>"INNI"</f>
        <v>INNI</v>
      </c>
      <c r="L648" t="s">
        <v>334</v>
      </c>
      <c r="M648">
        <v>116.21</v>
      </c>
    </row>
    <row r="649" spans="1:13" x14ac:dyDescent="0.25">
      <c r="A649" t="str">
        <f>"E402"</f>
        <v>E402</v>
      </c>
      <c r="B649">
        <v>1</v>
      </c>
      <c r="C649" t="str">
        <f>"10200"</f>
        <v>10200</v>
      </c>
      <c r="D649" t="str">
        <f>"5620"</f>
        <v>5620</v>
      </c>
      <c r="E649" t="str">
        <f>"094OMS"</f>
        <v>094OMS</v>
      </c>
      <c r="F649" t="str">
        <f>""</f>
        <v/>
      </c>
      <c r="G649" t="str">
        <f>""</f>
        <v/>
      </c>
      <c r="H649" s="1">
        <v>41439</v>
      </c>
      <c r="I649" t="str">
        <f>"PCD00602"</f>
        <v>PCD00602</v>
      </c>
      <c r="J649" t="str">
        <f>"195267"</f>
        <v>195267</v>
      </c>
      <c r="K649" t="str">
        <f>"AS89"</f>
        <v>AS89</v>
      </c>
      <c r="L649" t="s">
        <v>1929</v>
      </c>
      <c r="M649">
        <v>101</v>
      </c>
    </row>
    <row r="650" spans="1:13" x14ac:dyDescent="0.25">
      <c r="A650" t="str">
        <f>"E403"</f>
        <v>E403</v>
      </c>
      <c r="B650">
        <v>1</v>
      </c>
      <c r="C650" t="str">
        <f>"31040"</f>
        <v>31040</v>
      </c>
      <c r="D650" t="str">
        <f>"5620"</f>
        <v>5620</v>
      </c>
      <c r="E650" t="str">
        <f>"094OMS"</f>
        <v>094OMS</v>
      </c>
      <c r="F650" t="str">
        <f>""</f>
        <v/>
      </c>
      <c r="G650" t="str">
        <f>""</f>
        <v/>
      </c>
      <c r="H650" s="1">
        <v>41274</v>
      </c>
      <c r="I650" t="str">
        <f>"SWS00103"</f>
        <v>SWS00103</v>
      </c>
      <c r="J650" t="str">
        <f>"13526"</f>
        <v>13526</v>
      </c>
      <c r="K650" t="str">
        <f>"AS89"</f>
        <v>AS89</v>
      </c>
      <c r="L650" t="s">
        <v>1928</v>
      </c>
      <c r="M650">
        <v>100</v>
      </c>
    </row>
    <row r="651" spans="1:13" x14ac:dyDescent="0.25">
      <c r="A651" t="str">
        <f>"E404"</f>
        <v>E404</v>
      </c>
      <c r="B651">
        <v>1</v>
      </c>
      <c r="C651" t="str">
        <f>"43000"</f>
        <v>43000</v>
      </c>
      <c r="D651" t="str">
        <f>"5740"</f>
        <v>5740</v>
      </c>
      <c r="E651" t="str">
        <f>"850LOS"</f>
        <v>850LOS</v>
      </c>
      <c r="F651" t="str">
        <f>""</f>
        <v/>
      </c>
      <c r="G651" t="str">
        <f>""</f>
        <v/>
      </c>
      <c r="H651" s="1">
        <v>41297</v>
      </c>
      <c r="I651" t="str">
        <f>"K0046344"</f>
        <v>K0046344</v>
      </c>
      <c r="J651" t="str">
        <f>"10367143"</f>
        <v>10367143</v>
      </c>
      <c r="K651" t="str">
        <f>"MR89"</f>
        <v>MR89</v>
      </c>
      <c r="L651" t="s">
        <v>1927</v>
      </c>
      <c r="M651" s="2">
        <v>1275</v>
      </c>
    </row>
    <row r="652" spans="1:13" x14ac:dyDescent="0.25">
      <c r="A652" t="str">
        <f>"E404"</f>
        <v>E404</v>
      </c>
      <c r="B652">
        <v>1</v>
      </c>
      <c r="C652" t="str">
        <f>"43000"</f>
        <v>43000</v>
      </c>
      <c r="D652" t="str">
        <f>"5740"</f>
        <v>5740</v>
      </c>
      <c r="E652" t="str">
        <f>"850PKE"</f>
        <v>850PKE</v>
      </c>
      <c r="F652" t="str">
        <f>""</f>
        <v/>
      </c>
      <c r="G652" t="str">
        <f>""</f>
        <v/>
      </c>
      <c r="H652" s="1">
        <v>41274</v>
      </c>
      <c r="I652" t="str">
        <f>"PCD00575"</f>
        <v>PCD00575</v>
      </c>
      <c r="J652" t="str">
        <f>"182093"</f>
        <v>182093</v>
      </c>
      <c r="K652" t="str">
        <f>"AS89"</f>
        <v>AS89</v>
      </c>
      <c r="L652" t="s">
        <v>1926</v>
      </c>
      <c r="M652">
        <v>521.76</v>
      </c>
    </row>
    <row r="653" spans="1:13" x14ac:dyDescent="0.25">
      <c r="A653" t="str">
        <f>"E405"</f>
        <v>E405</v>
      </c>
      <c r="B653">
        <v>1</v>
      </c>
      <c r="C653" t="str">
        <f>"23275"</f>
        <v>23275</v>
      </c>
      <c r="D653" t="str">
        <f>"5741"</f>
        <v>5741</v>
      </c>
      <c r="E653" t="str">
        <f>"063STF"</f>
        <v>063STF</v>
      </c>
      <c r="F653" t="str">
        <f>""</f>
        <v/>
      </c>
      <c r="G653" t="str">
        <f>""</f>
        <v/>
      </c>
      <c r="H653" s="1">
        <v>41425</v>
      </c>
      <c r="I653" t="str">
        <f>"494552"</f>
        <v>494552</v>
      </c>
      <c r="J653" t="str">
        <f>"F188445"</f>
        <v>F188445</v>
      </c>
      <c r="K653" t="str">
        <f t="shared" ref="K653:K658" si="187">"INEI"</f>
        <v>INEI</v>
      </c>
      <c r="L653" t="s">
        <v>220</v>
      </c>
      <c r="M653">
        <v>251.51</v>
      </c>
    </row>
    <row r="654" spans="1:13" x14ac:dyDescent="0.25">
      <c r="A654" t="str">
        <f>"E405"</f>
        <v>E405</v>
      </c>
      <c r="B654">
        <v>1</v>
      </c>
      <c r="C654" t="str">
        <f>"43000"</f>
        <v>43000</v>
      </c>
      <c r="D654" t="str">
        <f>"5740"</f>
        <v>5740</v>
      </c>
      <c r="E654" t="str">
        <f>"850LOS"</f>
        <v>850LOS</v>
      </c>
      <c r="F654" t="str">
        <f>""</f>
        <v/>
      </c>
      <c r="G654" t="str">
        <f>""</f>
        <v/>
      </c>
      <c r="H654" s="1">
        <v>41383</v>
      </c>
      <c r="I654" t="str">
        <f>"493017"</f>
        <v>493017</v>
      </c>
      <c r="J654" t="str">
        <f>"F210963A"</f>
        <v>F210963A</v>
      </c>
      <c r="K654" t="str">
        <f t="shared" si="187"/>
        <v>INEI</v>
      </c>
      <c r="L654" t="s">
        <v>220</v>
      </c>
      <c r="M654">
        <v>529.14</v>
      </c>
    </row>
    <row r="655" spans="1:13" x14ac:dyDescent="0.25">
      <c r="A655" t="str">
        <f>"E405"</f>
        <v>E405</v>
      </c>
      <c r="B655">
        <v>1</v>
      </c>
      <c r="C655" t="str">
        <f>"43000"</f>
        <v>43000</v>
      </c>
      <c r="D655" t="str">
        <f>"5740"</f>
        <v>5740</v>
      </c>
      <c r="E655" t="str">
        <f>"850LOS"</f>
        <v>850LOS</v>
      </c>
      <c r="F655" t="str">
        <f>""</f>
        <v/>
      </c>
      <c r="G655" t="str">
        <f>""</f>
        <v/>
      </c>
      <c r="H655" s="1">
        <v>41415</v>
      </c>
      <c r="I655" t="str">
        <f>"29293"</f>
        <v>29293</v>
      </c>
      <c r="J655" t="str">
        <f>"F210963"</f>
        <v>F210963</v>
      </c>
      <c r="K655" t="str">
        <f t="shared" si="187"/>
        <v>INEI</v>
      </c>
      <c r="L655" t="s">
        <v>1925</v>
      </c>
      <c r="M655">
        <v>457.63</v>
      </c>
    </row>
    <row r="656" spans="1:13" x14ac:dyDescent="0.25">
      <c r="A656" t="str">
        <f>"E407"</f>
        <v>E407</v>
      </c>
      <c r="B656">
        <v>1</v>
      </c>
      <c r="C656" t="str">
        <f>"43000"</f>
        <v>43000</v>
      </c>
      <c r="D656" t="str">
        <f>"5740"</f>
        <v>5740</v>
      </c>
      <c r="E656" t="str">
        <f>"850LOS"</f>
        <v>850LOS</v>
      </c>
      <c r="F656" t="str">
        <f>""</f>
        <v/>
      </c>
      <c r="G656" t="str">
        <f>""</f>
        <v/>
      </c>
      <c r="H656" s="1">
        <v>41327</v>
      </c>
      <c r="I656" t="str">
        <f>"188440IN"</f>
        <v>188440IN</v>
      </c>
      <c r="J656" t="str">
        <f>"F210958"</f>
        <v>F210958</v>
      </c>
      <c r="K656" t="str">
        <f t="shared" si="187"/>
        <v>INEI</v>
      </c>
      <c r="L656" t="s">
        <v>1924</v>
      </c>
      <c r="M656" s="2">
        <v>2282.86</v>
      </c>
    </row>
    <row r="657" spans="1:13" x14ac:dyDescent="0.25">
      <c r="A657" t="str">
        <f t="shared" ref="A657:A662" si="188">"E408"</f>
        <v>E408</v>
      </c>
      <c r="B657">
        <v>1</v>
      </c>
      <c r="C657" t="str">
        <f>"10200"</f>
        <v>10200</v>
      </c>
      <c r="D657" t="str">
        <f t="shared" ref="D657:D663" si="189">"5620"</f>
        <v>5620</v>
      </c>
      <c r="E657" t="str">
        <f>"094OMS"</f>
        <v>094OMS</v>
      </c>
      <c r="F657" t="str">
        <f>""</f>
        <v/>
      </c>
      <c r="G657" t="str">
        <f>""</f>
        <v/>
      </c>
      <c r="H657" s="1">
        <v>41244</v>
      </c>
      <c r="I657" t="str">
        <f>"13922815"</f>
        <v>13922815</v>
      </c>
      <c r="J657" t="str">
        <f>"F196038"</f>
        <v>F196038</v>
      </c>
      <c r="K657" t="str">
        <f t="shared" si="187"/>
        <v>INEI</v>
      </c>
      <c r="L657" t="s">
        <v>1688</v>
      </c>
      <c r="M657">
        <v>281.52999999999997</v>
      </c>
    </row>
    <row r="658" spans="1:13" x14ac:dyDescent="0.25">
      <c r="A658" t="str">
        <f t="shared" si="188"/>
        <v>E408</v>
      </c>
      <c r="B658">
        <v>1</v>
      </c>
      <c r="C658" t="str">
        <f>"10200"</f>
        <v>10200</v>
      </c>
      <c r="D658" t="str">
        <f t="shared" si="189"/>
        <v>5620</v>
      </c>
      <c r="E658" t="str">
        <f>"094OMS"</f>
        <v>094OMS</v>
      </c>
      <c r="F658" t="str">
        <f>""</f>
        <v/>
      </c>
      <c r="G658" t="str">
        <f>""</f>
        <v/>
      </c>
      <c r="H658" s="1">
        <v>41244</v>
      </c>
      <c r="I658" t="str">
        <f>"13922904"</f>
        <v>13922904</v>
      </c>
      <c r="J658" t="str">
        <f>"F196038"</f>
        <v>F196038</v>
      </c>
      <c r="K658" t="str">
        <f t="shared" si="187"/>
        <v>INEI</v>
      </c>
      <c r="L658" t="s">
        <v>1688</v>
      </c>
      <c r="M658" s="2">
        <v>6908.97</v>
      </c>
    </row>
    <row r="659" spans="1:13" x14ac:dyDescent="0.25">
      <c r="A659" t="str">
        <f t="shared" si="188"/>
        <v>E408</v>
      </c>
      <c r="B659">
        <v>1</v>
      </c>
      <c r="C659" t="str">
        <f>"10200"</f>
        <v>10200</v>
      </c>
      <c r="D659" t="str">
        <f t="shared" si="189"/>
        <v>5620</v>
      </c>
      <c r="E659" t="str">
        <f>"094OMS"</f>
        <v>094OMS</v>
      </c>
      <c r="F659" t="str">
        <f>""</f>
        <v/>
      </c>
      <c r="G659" t="str">
        <f>""</f>
        <v/>
      </c>
      <c r="H659" s="1">
        <v>41360</v>
      </c>
      <c r="I659" t="str">
        <f>"210950"</f>
        <v>210950</v>
      </c>
      <c r="J659" t="str">
        <f>""</f>
        <v/>
      </c>
      <c r="K659" t="str">
        <f>"INNI"</f>
        <v>INNI</v>
      </c>
      <c r="L659" t="s">
        <v>1923</v>
      </c>
      <c r="M659" s="2">
        <v>1377.73</v>
      </c>
    </row>
    <row r="660" spans="1:13" x14ac:dyDescent="0.25">
      <c r="A660" t="str">
        <f t="shared" si="188"/>
        <v>E408</v>
      </c>
      <c r="B660">
        <v>1</v>
      </c>
      <c r="C660" t="str">
        <f>"10200"</f>
        <v>10200</v>
      </c>
      <c r="D660" t="str">
        <f t="shared" si="189"/>
        <v>5620</v>
      </c>
      <c r="E660" t="str">
        <f>"094OMS"</f>
        <v>094OMS</v>
      </c>
      <c r="F660" t="str">
        <f>""</f>
        <v/>
      </c>
      <c r="G660" t="str">
        <f>""</f>
        <v/>
      </c>
      <c r="H660" s="1">
        <v>41360</v>
      </c>
      <c r="I660" t="str">
        <f>"856334"</f>
        <v>856334</v>
      </c>
      <c r="J660" t="str">
        <f>"F196039"</f>
        <v>F196039</v>
      </c>
      <c r="K660" t="str">
        <f>"INEI"</f>
        <v>INEI</v>
      </c>
      <c r="L660" t="s">
        <v>1208</v>
      </c>
      <c r="M660" s="2">
        <v>1961.71</v>
      </c>
    </row>
    <row r="661" spans="1:13" x14ac:dyDescent="0.25">
      <c r="A661" t="str">
        <f t="shared" si="188"/>
        <v>E408</v>
      </c>
      <c r="B661">
        <v>1</v>
      </c>
      <c r="C661" t="str">
        <f>"10200"</f>
        <v>10200</v>
      </c>
      <c r="D661" t="str">
        <f t="shared" si="189"/>
        <v>5620</v>
      </c>
      <c r="E661" t="str">
        <f>"094OMS"</f>
        <v>094OMS</v>
      </c>
      <c r="F661" t="str">
        <f>""</f>
        <v/>
      </c>
      <c r="G661" t="str">
        <f>""</f>
        <v/>
      </c>
      <c r="H661" s="1">
        <v>41436</v>
      </c>
      <c r="I661" t="str">
        <f>"235647"</f>
        <v>235647</v>
      </c>
      <c r="J661" t="str">
        <f>"F210966"</f>
        <v>F210966</v>
      </c>
      <c r="K661" t="str">
        <f>"INEI"</f>
        <v>INEI</v>
      </c>
      <c r="L661" t="s">
        <v>957</v>
      </c>
      <c r="M661" s="2">
        <v>2168.5700000000002</v>
      </c>
    </row>
    <row r="662" spans="1:13" x14ac:dyDescent="0.25">
      <c r="A662" t="str">
        <f t="shared" si="188"/>
        <v>E408</v>
      </c>
      <c r="B662">
        <v>1</v>
      </c>
      <c r="C662" t="str">
        <f>"55781"</f>
        <v>55781</v>
      </c>
      <c r="D662" t="str">
        <f t="shared" si="189"/>
        <v>5620</v>
      </c>
      <c r="E662" t="str">
        <f>"111ZAA"</f>
        <v>111ZAA</v>
      </c>
      <c r="F662" t="str">
        <f>""</f>
        <v/>
      </c>
      <c r="G662" t="str">
        <f>""</f>
        <v/>
      </c>
      <c r="H662" s="1">
        <v>41446</v>
      </c>
      <c r="I662" t="str">
        <f>"J0004756"</f>
        <v>J0004756</v>
      </c>
      <c r="J662" t="str">
        <f>"F210966"</f>
        <v>F210966</v>
      </c>
      <c r="K662" t="str">
        <f>"J096"</f>
        <v>J096</v>
      </c>
      <c r="L662" t="s">
        <v>1922</v>
      </c>
      <c r="M662" s="2">
        <v>1400</v>
      </c>
    </row>
    <row r="663" spans="1:13" x14ac:dyDescent="0.25">
      <c r="A663" t="str">
        <f>"E414"</f>
        <v>E414</v>
      </c>
      <c r="B663">
        <v>1</v>
      </c>
      <c r="C663" t="str">
        <f>"10200"</f>
        <v>10200</v>
      </c>
      <c r="D663" t="str">
        <f t="shared" si="189"/>
        <v>5620</v>
      </c>
      <c r="E663" t="str">
        <f>"094OMS"</f>
        <v>094OMS</v>
      </c>
      <c r="F663" t="str">
        <f>""</f>
        <v/>
      </c>
      <c r="G663" t="str">
        <f>""</f>
        <v/>
      </c>
      <c r="H663" s="1">
        <v>41274</v>
      </c>
      <c r="I663" t="str">
        <f>"EIS00205"</f>
        <v>EIS00205</v>
      </c>
      <c r="J663" t="str">
        <f>"F196.38"</f>
        <v>F196.38</v>
      </c>
      <c r="K663" t="str">
        <f>"AS96"</f>
        <v>AS96</v>
      </c>
      <c r="L663" t="s">
        <v>1921</v>
      </c>
      <c r="M663" s="2">
        <v>6908.97</v>
      </c>
    </row>
    <row r="664" spans="1:13" x14ac:dyDescent="0.25">
      <c r="A664" t="str">
        <f>"E491"</f>
        <v>E491</v>
      </c>
      <c r="B664">
        <v>1</v>
      </c>
      <c r="C664" t="str">
        <f>"54551"</f>
        <v>54551</v>
      </c>
      <c r="D664" t="str">
        <f>"5740"</f>
        <v>5740</v>
      </c>
      <c r="E664" t="str">
        <f>"111ZAA"</f>
        <v>111ZAA</v>
      </c>
      <c r="F664" t="str">
        <f>"GRADPR"</f>
        <v>GRADPR</v>
      </c>
      <c r="G664" t="str">
        <f>""</f>
        <v/>
      </c>
      <c r="H664" s="1">
        <v>41261</v>
      </c>
      <c r="I664" t="str">
        <f>"J0003245"</f>
        <v>J0003245</v>
      </c>
      <c r="J664" t="str">
        <f>""</f>
        <v/>
      </c>
      <c r="K664" t="str">
        <f>"J096"</f>
        <v>J096</v>
      </c>
      <c r="L664" t="s">
        <v>1919</v>
      </c>
      <c r="M664" s="2">
        <v>4264.5600000000004</v>
      </c>
    </row>
    <row r="665" spans="1:13" x14ac:dyDescent="0.25">
      <c r="A665" t="str">
        <f>"E491"</f>
        <v>E491</v>
      </c>
      <c r="B665">
        <v>1</v>
      </c>
      <c r="C665" t="str">
        <f>"54551"</f>
        <v>54551</v>
      </c>
      <c r="D665" t="str">
        <f>"5740"</f>
        <v>5740</v>
      </c>
      <c r="E665" t="str">
        <f>"111ZAA"</f>
        <v>111ZAA</v>
      </c>
      <c r="F665" t="str">
        <f>"GRADPR"</f>
        <v>GRADPR</v>
      </c>
      <c r="G665" t="str">
        <f>""</f>
        <v/>
      </c>
      <c r="H665" s="1">
        <v>41430</v>
      </c>
      <c r="I665" t="str">
        <f>"J0004511"</f>
        <v>J0004511</v>
      </c>
      <c r="J665" t="str">
        <f>""</f>
        <v/>
      </c>
      <c r="K665" t="str">
        <f>"J096"</f>
        <v>J096</v>
      </c>
      <c r="L665" t="s">
        <v>1918</v>
      </c>
      <c r="M665" s="2">
        <v>6364.01</v>
      </c>
    </row>
    <row r="666" spans="1:13" x14ac:dyDescent="0.25">
      <c r="A666" t="str">
        <f>"E494"</f>
        <v>E494</v>
      </c>
      <c r="B666">
        <v>1</v>
      </c>
      <c r="C666" t="str">
        <f>"43000"</f>
        <v>43000</v>
      </c>
      <c r="D666" t="str">
        <f>"5740"</f>
        <v>5740</v>
      </c>
      <c r="E666" t="str">
        <f>"850LOS"</f>
        <v>850LOS</v>
      </c>
      <c r="F666" t="str">
        <f>""</f>
        <v/>
      </c>
      <c r="G666" t="str">
        <f>""</f>
        <v/>
      </c>
      <c r="H666" s="1">
        <v>41306</v>
      </c>
      <c r="I666" t="str">
        <f>"15031C"</f>
        <v>15031C</v>
      </c>
      <c r="J666" t="str">
        <f>"N138267C"</f>
        <v>N138267C</v>
      </c>
      <c r="K666" t="str">
        <f>"INEI"</f>
        <v>INEI</v>
      </c>
      <c r="L666" t="s">
        <v>3</v>
      </c>
      <c r="M666" s="2">
        <v>12500</v>
      </c>
    </row>
  </sheetData>
  <autoFilter ref="A1:M66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FY 00-05</vt:lpstr>
      <vt:lpstr>FY 06</vt:lpstr>
      <vt:lpstr>FY 07</vt:lpstr>
      <vt:lpstr>FY 08</vt:lpstr>
      <vt:lpstr>FY 09</vt:lpstr>
      <vt:lpstr>FY 10</vt:lpstr>
      <vt:lpstr>FY 11</vt:lpstr>
      <vt:lpstr>FY 12</vt:lpstr>
      <vt:lpstr>FY 13</vt:lpstr>
      <vt:lpstr>FY 14</vt:lpstr>
      <vt:lpstr>FY 15</vt:lpstr>
      <vt:lpstr>FY 16</vt:lpstr>
      <vt:lpstr>FY 17</vt:lpstr>
      <vt:lpstr>'FY 00-05'!Print_Titles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Ulrich</dc:creator>
  <cp:lastModifiedBy>Sharon Colman</cp:lastModifiedBy>
  <cp:lastPrinted>2016-10-27T19:23:30Z</cp:lastPrinted>
  <dcterms:created xsi:type="dcterms:W3CDTF">2016-10-26T17:13:23Z</dcterms:created>
  <dcterms:modified xsi:type="dcterms:W3CDTF">2016-10-27T19:23:34Z</dcterms:modified>
</cp:coreProperties>
</file>